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N:\Теплоснабжение\!!Общая папка\ТАРИФЫ\ТАРИФЫ 2026 ТЕПЛО_ГАЗ\на сайт\"/>
    </mc:Choice>
  </mc:AlternateContent>
  <bookViews>
    <workbookView xWindow="-120" yWindow="960" windowWidth="19440" windowHeight="10080" tabRatio="691" firstSheet="4" activeTab="4"/>
  </bookViews>
  <sheets>
    <sheet name="БАЗА" sheetId="13" state="hidden" r:id="rId1"/>
    <sheet name="НВВ 2022" sheetId="29" state="hidden" r:id="rId2"/>
    <sheet name="ЗДЕСЬ ЗАПОЛНЯЕМ ИСХОДНЫЙ 2024" sheetId="31" state="hidden" r:id="rId3"/>
    <sheet name="!!ЗДЕСЬ ЗАПОЛНЯЕ ТАР ОБЪЕМ  (2" sheetId="33" state="hidden" r:id="rId4"/>
    <sheet name=" 2026" sheetId="34" r:id="rId5"/>
    <sheet name="СМЕТА 2021-2022" sheetId="26" state="hidden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</externalReferences>
  <definedNames>
    <definedName name="_def1999" localSheetId="4">'[1]1999-veca'!#REF!</definedName>
    <definedName name="_def1999" localSheetId="3">'[1]1999-veca'!#REF!</definedName>
    <definedName name="_def1999" localSheetId="2">'[1]1999-veca'!#REF!</definedName>
    <definedName name="_def1999" localSheetId="1">'[1]1999-veca'!#REF!</definedName>
    <definedName name="_def1999" localSheetId="5">'[1]1999-veca'!#REF!</definedName>
    <definedName name="_def1999">'[1]1999-veca'!#REF!</definedName>
    <definedName name="_def2000г" localSheetId="4">#REF!</definedName>
    <definedName name="_def2000г" localSheetId="3">#REF!</definedName>
    <definedName name="_def2000г" localSheetId="2">#REF!</definedName>
    <definedName name="_def2000г" localSheetId="1">#REF!</definedName>
    <definedName name="_def2000г" localSheetId="5">#REF!</definedName>
    <definedName name="_def2000г">#REF!</definedName>
    <definedName name="_def2001г" localSheetId="4">#REF!</definedName>
    <definedName name="_def2001г" localSheetId="3">#REF!</definedName>
    <definedName name="_def2001г" localSheetId="2">#REF!</definedName>
    <definedName name="_def2001г" localSheetId="1">#REF!</definedName>
    <definedName name="_def2001г" localSheetId="5">#REF!</definedName>
    <definedName name="_def2001г">#REF!</definedName>
    <definedName name="_def2002г" localSheetId="4">#REF!</definedName>
    <definedName name="_def2002г" localSheetId="3">#REF!</definedName>
    <definedName name="_def2002г" localSheetId="2">#REF!</definedName>
    <definedName name="_def2002г" localSheetId="1">#REF!</definedName>
    <definedName name="_def2002г" localSheetId="5">#REF!</definedName>
    <definedName name="_def2002г">#REF!</definedName>
    <definedName name="_inf2000" localSheetId="4">#REF!</definedName>
    <definedName name="_inf2000" localSheetId="3">#REF!</definedName>
    <definedName name="_inf2000" localSheetId="2">#REF!</definedName>
    <definedName name="_inf2000" localSheetId="1">#REF!</definedName>
    <definedName name="_inf2000" localSheetId="5">#REF!</definedName>
    <definedName name="_inf2000">#REF!</definedName>
    <definedName name="_inf2001" localSheetId="4">#REF!</definedName>
    <definedName name="_inf2001" localSheetId="3">#REF!</definedName>
    <definedName name="_inf2001" localSheetId="2">#REF!</definedName>
    <definedName name="_inf2001" localSheetId="1">#REF!</definedName>
    <definedName name="_inf2001" localSheetId="5">#REF!</definedName>
    <definedName name="_inf2001">#REF!</definedName>
    <definedName name="_inf2002" localSheetId="4">#REF!</definedName>
    <definedName name="_inf2002" localSheetId="3">#REF!</definedName>
    <definedName name="_inf2002" localSheetId="2">#REF!</definedName>
    <definedName name="_inf2002" localSheetId="1">#REF!</definedName>
    <definedName name="_inf2002" localSheetId="5">#REF!</definedName>
    <definedName name="_inf2002">#REF!</definedName>
    <definedName name="_inf2003" localSheetId="4">#REF!</definedName>
    <definedName name="_inf2003" localSheetId="3">#REF!</definedName>
    <definedName name="_inf2003" localSheetId="2">#REF!</definedName>
    <definedName name="_inf2003" localSheetId="1">#REF!</definedName>
    <definedName name="_inf2003" localSheetId="5">#REF!</definedName>
    <definedName name="_inf2003">#REF!</definedName>
    <definedName name="_inf2004" localSheetId="4">#REF!</definedName>
    <definedName name="_inf2004" localSheetId="3">#REF!</definedName>
    <definedName name="_inf2004" localSheetId="2">#REF!</definedName>
    <definedName name="_inf2004" localSheetId="1">#REF!</definedName>
    <definedName name="_inf2004" localSheetId="5">#REF!</definedName>
    <definedName name="_inf2004">#REF!</definedName>
    <definedName name="_inf2005" localSheetId="4">#REF!</definedName>
    <definedName name="_inf2005" localSheetId="3">#REF!</definedName>
    <definedName name="_inf2005" localSheetId="2">#REF!</definedName>
    <definedName name="_inf2005" localSheetId="1">#REF!</definedName>
    <definedName name="_inf2005" localSheetId="5">#REF!</definedName>
    <definedName name="_inf2005">#REF!</definedName>
    <definedName name="_inf2006" localSheetId="4">#REF!</definedName>
    <definedName name="_inf2006" localSheetId="3">#REF!</definedName>
    <definedName name="_inf2006" localSheetId="2">#REF!</definedName>
    <definedName name="_inf2006" localSheetId="1">#REF!</definedName>
    <definedName name="_inf2006" localSheetId="5">#REF!</definedName>
    <definedName name="_inf2006">#REF!</definedName>
    <definedName name="_inf2007" localSheetId="4">#REF!</definedName>
    <definedName name="_inf2007" localSheetId="3">#REF!</definedName>
    <definedName name="_inf2007" localSheetId="2">#REF!</definedName>
    <definedName name="_inf2007" localSheetId="1">#REF!</definedName>
    <definedName name="_inf2007" localSheetId="5">#REF!</definedName>
    <definedName name="_inf2007">#REF!</definedName>
    <definedName name="_inf2008" localSheetId="4">#REF!</definedName>
    <definedName name="_inf2008" localSheetId="3">#REF!</definedName>
    <definedName name="_inf2008" localSheetId="2">#REF!</definedName>
    <definedName name="_inf2008" localSheetId="1">#REF!</definedName>
    <definedName name="_inf2008" localSheetId="5">#REF!</definedName>
    <definedName name="_inf2008">#REF!</definedName>
    <definedName name="_inf2009" localSheetId="4">#REF!</definedName>
    <definedName name="_inf2009" localSheetId="3">#REF!</definedName>
    <definedName name="_inf2009" localSheetId="2">#REF!</definedName>
    <definedName name="_inf2009" localSheetId="1">#REF!</definedName>
    <definedName name="_inf2009" localSheetId="5">#REF!</definedName>
    <definedName name="_inf2009">#REF!</definedName>
    <definedName name="_inf2010" localSheetId="4">#REF!</definedName>
    <definedName name="_inf2010" localSheetId="3">#REF!</definedName>
    <definedName name="_inf2010" localSheetId="2">#REF!</definedName>
    <definedName name="_inf2010" localSheetId="1">#REF!</definedName>
    <definedName name="_inf2010" localSheetId="5">#REF!</definedName>
    <definedName name="_inf2010">#REF!</definedName>
    <definedName name="_inf2011" localSheetId="4">#REF!</definedName>
    <definedName name="_inf2011" localSheetId="3">#REF!</definedName>
    <definedName name="_inf2011" localSheetId="2">#REF!</definedName>
    <definedName name="_inf2011" localSheetId="1">#REF!</definedName>
    <definedName name="_inf2011" localSheetId="5">#REF!</definedName>
    <definedName name="_inf2011">#REF!</definedName>
    <definedName name="_inf2012" localSheetId="4">#REF!</definedName>
    <definedName name="_inf2012" localSheetId="3">#REF!</definedName>
    <definedName name="_inf2012" localSheetId="2">#REF!</definedName>
    <definedName name="_inf2012" localSheetId="1">#REF!</definedName>
    <definedName name="_inf2012" localSheetId="5">#REF!</definedName>
    <definedName name="_inf2012">#REF!</definedName>
    <definedName name="_inf2013" localSheetId="4">#REF!</definedName>
    <definedName name="_inf2013" localSheetId="3">#REF!</definedName>
    <definedName name="_inf2013" localSheetId="2">#REF!</definedName>
    <definedName name="_inf2013" localSheetId="1">#REF!</definedName>
    <definedName name="_inf2013" localSheetId="5">#REF!</definedName>
    <definedName name="_inf2013">#REF!</definedName>
    <definedName name="_inf2014" localSheetId="4">#REF!</definedName>
    <definedName name="_inf2014" localSheetId="3">#REF!</definedName>
    <definedName name="_inf2014" localSheetId="2">#REF!</definedName>
    <definedName name="_inf2014" localSheetId="1">#REF!</definedName>
    <definedName name="_inf2014" localSheetId="5">#REF!</definedName>
    <definedName name="_inf2014">#REF!</definedName>
    <definedName name="_inf2015" localSheetId="4">#REF!</definedName>
    <definedName name="_inf2015" localSheetId="3">#REF!</definedName>
    <definedName name="_inf2015" localSheetId="2">#REF!</definedName>
    <definedName name="_inf2015" localSheetId="1">#REF!</definedName>
    <definedName name="_inf2015" localSheetId="5">#REF!</definedName>
    <definedName name="_inf2015">#REF!</definedName>
    <definedName name="_mm1" localSheetId="4">[2]ПРОГНОЗ_1!#REF!</definedName>
    <definedName name="_mm1" localSheetId="3">[2]ПРОГНОЗ_1!#REF!</definedName>
    <definedName name="_mm1" localSheetId="2">[2]ПРОГНОЗ_1!#REF!</definedName>
    <definedName name="_mm1" localSheetId="1">[2]ПРОГНОЗ_1!#REF!</definedName>
    <definedName name="_mm1" localSheetId="5">[2]ПРОГНОЗ_1!#REF!</definedName>
    <definedName name="_mm1">[2]ПРОГНОЗ_1!#REF!</definedName>
    <definedName name="_xlnm._FilterDatabase" localSheetId="4" hidden="1">' 2026'!$A$12:$BI$132</definedName>
    <definedName name="_xlnm._FilterDatabase" localSheetId="3" hidden="1">'!!ЗДЕСЬ ЗАПОЛНЯЕ ТАР ОБЪЕМ  (2'!$A$13:$GI$382</definedName>
    <definedName name="_xlnm._FilterDatabase" localSheetId="0" hidden="1">БАЗА!$A$6:$AE$6</definedName>
    <definedName name="_xlnm._FilterDatabase" localSheetId="2" hidden="1">'ЗДЕСЬ ЗАПОЛНЯЕМ ИСХОДНЫЙ 2024'!$A$13:$GI$425</definedName>
    <definedName name="_xlnm._FilterDatabase" localSheetId="1" hidden="1">'НВВ 2022'!$A$13:$DL$143</definedName>
    <definedName name="_xlnm._FilterDatabase" localSheetId="5" hidden="1">'СМЕТА 2021-2022'!$A$7:$MB$68</definedName>
    <definedName name="a04t" localSheetId="4">#REF!</definedName>
    <definedName name="a04t" localSheetId="3">#REF!</definedName>
    <definedName name="a04t" localSheetId="2">#REF!</definedName>
    <definedName name="a04t" localSheetId="1">#REF!</definedName>
    <definedName name="a04t" localSheetId="5">#REF!</definedName>
    <definedName name="a04t">#REF!</definedName>
    <definedName name="ajhvf1_140_3">[3]Форма1!$D$16</definedName>
    <definedName name="anscount" hidden="1">1</definedName>
    <definedName name="AVG_IDX_1">'[4]СРЕД 1'!$CV$74</definedName>
    <definedName name="AVG_IDX_10">'[4]СРЕД 10'!$CV$88</definedName>
    <definedName name="AVG_IDX_11">'[4]СРЕД 11'!$CV$78</definedName>
    <definedName name="AVG_IDX_12">'[4]СРЕД 12'!$CV$79</definedName>
    <definedName name="AVG_IDX_13">'[4]СРЕД 13'!$CV$86</definedName>
    <definedName name="AVG_IDX_14">'[4]СРЕД 14'!$CV$78</definedName>
    <definedName name="AVG_IDX_15">'[4]СРЕД 15'!$CV$84</definedName>
    <definedName name="AVG_IDX_2">'[4]СРЕД 2'!$CV$75</definedName>
    <definedName name="AVG_IDX_3">'[4]СРЕД 3'!$CV$98</definedName>
    <definedName name="AVG_IDX_4">'[4]СРЕД 4'!$CV$95</definedName>
    <definedName name="AVG_IDX_5">'[4]СРЕД 5'!$CV$73</definedName>
    <definedName name="AVG_IDX_6">'[4]СРЕД 6'!$CV$79</definedName>
    <definedName name="AVG_IDX_7">'[4]СРЕД 7'!$CV$80</definedName>
    <definedName name="AVG_IDX_8">'[4]СРЕД 8'!$CV$71</definedName>
    <definedName name="AVG_IDX_9">'[4]СРЕД 9'!$CV$86</definedName>
    <definedName name="AVG_IDX_OMSU_1">'[4]СРЕД 1'!$CX$74</definedName>
    <definedName name="AVG_IDX_OMSU_10">'[4]СРЕД 10'!$CX$88</definedName>
    <definedName name="AVG_IDX_OMSU_11">'[4]СРЕД 11'!$CX$78</definedName>
    <definedName name="AVG_IDX_OMSU_12">'[4]СРЕД 12'!$CX$79</definedName>
    <definedName name="AVG_IDX_OMSU_13">'[4]СРЕД 13'!$CX$86</definedName>
    <definedName name="AVG_IDX_OMSU_14">'[4]СРЕД 14'!$CX$78</definedName>
    <definedName name="AVG_IDX_OMSU_15">'[4]СРЕД 15'!$CX$84</definedName>
    <definedName name="AVG_IDX_OMSU_2">'[4]СРЕД 2'!$CX$75</definedName>
    <definedName name="AVG_IDX_OMSU_3">'[4]СРЕД 3'!$CX$98</definedName>
    <definedName name="AVG_IDX_OMSU_4">'[4]СРЕД 4'!$CX$95</definedName>
    <definedName name="AVG_IDX_OMSU_5">'[4]СРЕД 5'!$CX$73</definedName>
    <definedName name="AVG_IDX_OMSU_6">'[4]СРЕД 6'!$CX$79</definedName>
    <definedName name="AVG_IDX_OMSU_7">'[4]СРЕД 7'!$CX$80</definedName>
    <definedName name="AVG_IDX_OMSU_8">'[4]СРЕД 8'!$CX$71</definedName>
    <definedName name="AVG_IDX_OMSU_9">'[4]СРЕД 9'!$CX$86</definedName>
    <definedName name="base_month">[4]TECHSHEET!$K$6</definedName>
    <definedName name="base_period">[4]TECHSHEET!$K$7</definedName>
    <definedName name="BASE_TARIFF_LIST">[4]TECHSHEET!$D$95:$D$96</definedName>
    <definedName name="base_year">[4]TECHSHEET!$K$2</definedName>
    <definedName name="calc" localSheetId="4">#REF!</definedName>
    <definedName name="calc" localSheetId="3">#REF!</definedName>
    <definedName name="calc" localSheetId="2">#REF!</definedName>
    <definedName name="calc" localSheetId="1">#REF!</definedName>
    <definedName name="calc" localSheetId="5">#REF!</definedName>
    <definedName name="calc">#REF!</definedName>
    <definedName name="ddd" localSheetId="4">[5]ПРОГНОЗ_1!#REF!</definedName>
    <definedName name="ddd" localSheetId="3">[5]ПРОГНОЗ_1!#REF!</definedName>
    <definedName name="ddd" localSheetId="2">[5]ПРОГНОЗ_1!#REF!</definedName>
    <definedName name="ddd" localSheetId="1">[5]ПРОГНОЗ_1!#REF!</definedName>
    <definedName name="ddd" localSheetId="5">[5]ПРОГНОЗ_1!#REF!</definedName>
    <definedName name="ddd">[5]ПРОГНОЗ_1!#REF!</definedName>
    <definedName name="Det_141" localSheetId="4">'[6]5'!#REF!</definedName>
    <definedName name="Det_141" localSheetId="3">'[6]5'!#REF!</definedName>
    <definedName name="Det_141" localSheetId="2">'[6]5'!#REF!</definedName>
    <definedName name="Det_141" localSheetId="1">'[6]5'!#REF!</definedName>
    <definedName name="Det_141">'[6]5'!#REF!</definedName>
    <definedName name="DOCUMENT_SOURCE">[4]TECHSHEET!$D$165:$D$169</definedName>
    <definedName name="DOCUMENT_TYPES">[4]TECHSHEET!$D$173:$D$177</definedName>
    <definedName name="DOLL" localSheetId="4">#REF!</definedName>
    <definedName name="DOLL" localSheetId="3">#REF!</definedName>
    <definedName name="DOLL" localSheetId="2">#REF!</definedName>
    <definedName name="DOLL" localSheetId="1">#REF!</definedName>
    <definedName name="DOLL" localSheetId="5">#REF!</definedName>
    <definedName name="DOLL">#REF!</definedName>
    <definedName name="EE_1ST_FEATURE_LIST">[4]TECHSHEET!$D$107:$D$115</definedName>
    <definedName name="EE_ZONE_TARIFFING">[4]TECHSHEET!$D$55:$D$56</definedName>
    <definedName name="EOT_VS_TF_REASON_LIST">[4]TECHSHEET!$D$142:$D$144</definedName>
    <definedName name="Excel_BuiltIn_Print_Area_1_1" localSheetId="4">#REF!</definedName>
    <definedName name="Excel_BuiltIn_Print_Area_1_1" localSheetId="3">#REF!</definedName>
    <definedName name="Excel_BuiltIn_Print_Area_1_1" localSheetId="2">#REF!</definedName>
    <definedName name="Excel_BuiltIn_Print_Area_1_1" localSheetId="1">#REF!</definedName>
    <definedName name="Excel_BuiltIn_Print_Area_1_1" localSheetId="5">#REF!</definedName>
    <definedName name="Excel_BuiltIn_Print_Area_1_1">#REF!</definedName>
    <definedName name="ff" localSheetId="4">#REF!</definedName>
    <definedName name="ff" localSheetId="3">#REF!</definedName>
    <definedName name="ff" localSheetId="2">#REF!</definedName>
    <definedName name="ff" localSheetId="1">#REF!</definedName>
    <definedName name="ff" localSheetId="5">#REF!</definedName>
    <definedName name="ff">#REF!</definedName>
    <definedName name="fffff" localSheetId="4">'[7]Гр5(о)'!#REF!</definedName>
    <definedName name="fffff" localSheetId="3">'[7]Гр5(о)'!#REF!</definedName>
    <definedName name="fffff" localSheetId="2">'[7]Гр5(о)'!#REF!</definedName>
    <definedName name="fffff" localSheetId="1">'[7]Гр5(о)'!#REF!</definedName>
    <definedName name="fffff" localSheetId="5">'[7]Гр5(о)'!#REF!</definedName>
    <definedName name="fffff">'[7]Гр5(о)'!#REF!</definedName>
    <definedName name="GAS_LIQ_LIST">[4]TECHSHEET!$D$134:$D$138</definedName>
    <definedName name="gggg" localSheetId="4">#REF!</definedName>
    <definedName name="gggg" localSheetId="3">#REF!</definedName>
    <definedName name="gggg" localSheetId="2">#REF!</definedName>
    <definedName name="gggg" localSheetId="1">#REF!</definedName>
    <definedName name="gggg" localSheetId="5">#REF!</definedName>
    <definedName name="gggg">#REF!</definedName>
    <definedName name="jjjj" localSheetId="4">'[8]Гр5(о)'!#REF!</definedName>
    <definedName name="jjjj" localSheetId="3">'[8]Гр5(о)'!#REF!</definedName>
    <definedName name="jjjj" localSheetId="2">'[8]Гр5(о)'!#REF!</definedName>
    <definedName name="jjjj" localSheetId="1">'[8]Гр5(о)'!#REF!</definedName>
    <definedName name="jjjj" localSheetId="5">'[8]Гр5(о)'!#REF!</definedName>
    <definedName name="jjjj">'[8]Гр5(о)'!#REF!</definedName>
    <definedName name="KARTA">[9]KARTA!$A$1:$AJ$1211</definedName>
    <definedName name="LOGICAL">[4]TECHSHEET!$D$45:$D$46</definedName>
    <definedName name="MO_LIST_4">[4]REESTR_MO!$B$25:$B$38</definedName>
    <definedName name="MO_LIST_5">[4]REESTR_MO!$B$39:$B$54</definedName>
    <definedName name="MR_LIST">[4]REESTR_MO!$D$2:$D$34</definedName>
    <definedName name="MUNRAION">[10]TEHSHEET!$A$2:$A$74</definedName>
    <definedName name="NM_UNIT_LIST">[4]TECHSHEET!$D$87:$D$91</definedName>
    <definedName name="oblClient" localSheetId="4">[11]Переменные!#REF!</definedName>
    <definedName name="oblClient" localSheetId="3">[11]Переменные!#REF!</definedName>
    <definedName name="oblClient" localSheetId="2">[11]Переменные!#REF!</definedName>
    <definedName name="oblClient" localSheetId="1">[11]Переменные!#REF!</definedName>
    <definedName name="oblClient" localSheetId="5">[11]Переменные!#REF!</definedName>
    <definedName name="oblClient">[11]Переменные!#REF!</definedName>
    <definedName name="OLE_LINK1" localSheetId="4">' 2026'!$G$93</definedName>
    <definedName name="P19_T1_Protect" localSheetId="4" hidden="1">P5_T1_Protect,P6_T1_Protect,P7_T1_Protect,P8_T1_Protect,P9_T1_Protect,P10_T1_Protect,P11_T1_Protect,P12_T1_Protect,P13_T1_Protect,P14_T1_Protect</definedName>
    <definedName name="P19_T1_Protect" localSheetId="3" hidden="1">P5_T1_Protect,P6_T1_Protect,P7_T1_Protect,P8_T1_Protect,P9_T1_Protect,P10_T1_Protect,P11_T1_Protect,P12_T1_Protect,P13_T1_Protect,P14_T1_Protect</definedName>
    <definedName name="P19_T1_Protect" localSheetId="2" hidden="1">P5_T1_Protect,P6_T1_Protect,P7_T1_Protect,P8_T1_Protect,P9_T1_Protect,P10_T1_Protect,P11_T1_Protect,P12_T1_Protect,P13_T1_Protect,P14_T1_Protect</definedName>
    <definedName name="P19_T1_Protect" localSheetId="1" hidden="1">P5_T1_Protect,P6_T1_Protect,P7_T1_Protect,P8_T1_Protect,P9_T1_Protect,P10_T1_Protect,P11_T1_Protect,P12_T1_Protect,P13_T1_Protect,P14_T1_Protect</definedName>
    <definedName name="P19_T1_Protect" localSheetId="5" hidden="1">P5_T1_Protect,P6_T1_Protect,P7_T1_Protect,P8_T1_Protect,P9_T1_Protect,P10_T1_Protect,P11_T1_Protect,P12_T1_Protect,P13_T1_Protect,P14_T1_Protect</definedName>
    <definedName name="P19_T1_Protect" hidden="1">P5_T1_Protect,P6_T1_Protect,P7_T1_Protect,P8_T1_Protect,P9_T1_Protect,P10_T1_Protect,P11_T1_Protect,P12_T1_Protect,P13_T1_Protect,P14_T1_Protect</definedName>
    <definedName name="P19_T2_Protect" localSheetId="4" hidden="1">P5_T1_Protect,P6_T1_Protect,P7_T1_Protect,P8_T1_Protect,P9_T1_Protect,P10_T1_Protect,P11_T1_Protect,P12_T1_Protect,P13_T1_Protect,P14_T1_Protect</definedName>
    <definedName name="P19_T2_Protect" localSheetId="3" hidden="1">P5_T1_Protect,P6_T1_Protect,P7_T1_Protect,P8_T1_Protect,P9_T1_Protect,P10_T1_Protect,P11_T1_Protect,P12_T1_Protect,P13_T1_Protect,P14_T1_Protect</definedName>
    <definedName name="P19_T2_Protect" localSheetId="2" hidden="1">P5_T1_Protect,P6_T1_Protect,P7_T1_Protect,P8_T1_Protect,P9_T1_Protect,P10_T1_Protect,P11_T1_Protect,P12_T1_Protect,P13_T1_Protect,P14_T1_Protect</definedName>
    <definedName name="P19_T2_Protect" localSheetId="1" hidden="1">P5_T1_Protect,P6_T1_Protect,P7_T1_Protect,P8_T1_Protect,P9_T1_Protect,P10_T1_Protect,P11_T1_Protect,P12_T1_Protect,P13_T1_Protect,P14_T1_Protect</definedName>
    <definedName name="P19_T2_Protect" localSheetId="5" hidden="1">P5_T1_Protect,P6_T1_Protect,P7_T1_Protect,P8_T1_Protect,P9_T1_Protect,P10_T1_Protect,P11_T1_Protect,P12_T1_Protect,P13_T1_Protect,P14_T1_Protect</definedName>
    <definedName name="P19_T2_Protect" hidden="1">P5_T1_Protect,P6_T1_Protect,P7_T1_Protect,P8_T1_Protect,P9_T1_Protect,P10_T1_Protect,P11_T1_Protect,P12_T1_Protect,P13_T1_Protect,P14_T1_Protect</definedName>
    <definedName name="QUESTIONS_LIST">[4]TECHSHEET!$D$3:$D$10</definedName>
    <definedName name="RATE_JKU">'[4]Список МО'!$G$75</definedName>
    <definedName name="RATE_JKU_DOCS">'[4]Список МО'!$G$77</definedName>
    <definedName name="REGION_IDX_LIMIT_MIRROR">'[4]Список МО'!$M$73</definedName>
    <definedName name="REGION_IDX_VALUE_MIRROR">'[4]Список МО'!$M$69</definedName>
    <definedName name="regulation_year">[4]TECHSHEET!$K$3</definedName>
    <definedName name="report_month">[4]TECHSHEET!$K$5</definedName>
    <definedName name="report_period">[4]TECHSHEET!$K$8</definedName>
    <definedName name="RP_VS_BP_TF_REASON_LIST">[4]TECHSHEET!$D$148:$D$150</definedName>
    <definedName name="SAPBEXrevision" hidden="1">1</definedName>
    <definedName name="SAPBEXsysID" hidden="1">"BW2"</definedName>
    <definedName name="SAPBEXwbID" hidden="1">"479GSPMTNK9HM4ZSIVE5K2SH6"</definedName>
    <definedName name="SF_LIST">[4]TECHSHEET!$D$125:$D$130</definedName>
    <definedName name="SUBSID_SOURCE">[4]TECHSHEET!$D$119:$D$121</definedName>
    <definedName name="TARIFF_SOURCE_LIST">[4]TECHSHEET!$D$154:$D$156</definedName>
    <definedName name="time" localSheetId="4">#REF!</definedName>
    <definedName name="time" localSheetId="3">#REF!</definedName>
    <definedName name="time" localSheetId="2">#REF!</definedName>
    <definedName name="time" localSheetId="1">#REF!</definedName>
    <definedName name="time" localSheetId="5">#REF!</definedName>
    <definedName name="time">#REF!</definedName>
    <definedName name="title">'[12]Огл. Графиков'!$B$2:$B$31</definedName>
    <definedName name="UNITS_LIST">[4]TECHSHEET!$D$14:$D$15</definedName>
    <definedName name="version" hidden="1">[4]Инструкция!$B$3</definedName>
    <definedName name="VSNA_FEATURE_LIST">[4]TECHSHEET!$D$100:$D$103</definedName>
    <definedName name="YES_NO">[4]TECHSHEET!$D$160:$D$161</definedName>
    <definedName name="а" localSheetId="4">#REF!</definedName>
    <definedName name="а" localSheetId="3">#REF!</definedName>
    <definedName name="а" localSheetId="2">#REF!</definedName>
    <definedName name="а" localSheetId="1">#REF!</definedName>
    <definedName name="а" localSheetId="5">#REF!</definedName>
    <definedName name="а">#REF!</definedName>
    <definedName name="ааа" localSheetId="4">#REF!</definedName>
    <definedName name="ааа" localSheetId="3">#REF!</definedName>
    <definedName name="ааа" localSheetId="2">#REF!</definedName>
    <definedName name="ааа" localSheetId="1">#REF!</definedName>
    <definedName name="ааа" localSheetId="5">#REF!</definedName>
    <definedName name="ааа">#REF!</definedName>
    <definedName name="авв">[13]Содержание!$A$5:$IV$5</definedName>
    <definedName name="АнМ" localSheetId="4">'[14]Гр5(о)'!#REF!</definedName>
    <definedName name="АнМ" localSheetId="3">'[14]Гр5(о)'!#REF!</definedName>
    <definedName name="АнМ" localSheetId="2">'[14]Гр5(о)'!#REF!</definedName>
    <definedName name="АнМ" localSheetId="1">'[14]Гр5(о)'!#REF!</definedName>
    <definedName name="АнМ" localSheetId="5">'[14]Гр5(о)'!#REF!</definedName>
    <definedName name="АнМ">'[14]Гр5(о)'!#REF!</definedName>
    <definedName name="_xlnm.Database" localSheetId="4">#REF!</definedName>
    <definedName name="_xlnm.Database" localSheetId="3">#REF!</definedName>
    <definedName name="_xlnm.Database" localSheetId="2">#REF!</definedName>
    <definedName name="_xlnm.Database" localSheetId="1">#REF!</definedName>
    <definedName name="_xlnm.Database" localSheetId="5">#REF!</definedName>
    <definedName name="_xlnm.Database">#REF!</definedName>
    <definedName name="База_данных2" localSheetId="4">#REF!</definedName>
    <definedName name="База_данных2" localSheetId="3">#REF!</definedName>
    <definedName name="База_данных2" localSheetId="2">#REF!</definedName>
    <definedName name="База_данных2" localSheetId="1">#REF!</definedName>
    <definedName name="База_данных2" localSheetId="5">#REF!</definedName>
    <definedName name="База_данных2">#REF!</definedName>
    <definedName name="в" localSheetId="4">#REF!</definedName>
    <definedName name="в" localSheetId="3">#REF!</definedName>
    <definedName name="в" localSheetId="2">#REF!</definedName>
    <definedName name="в" localSheetId="1">#REF!</definedName>
    <definedName name="в" localSheetId="5">#REF!</definedName>
    <definedName name="в">#REF!</definedName>
    <definedName name="вв" localSheetId="4">[15]ПРОГНОЗ_1!#REF!</definedName>
    <definedName name="вв" localSheetId="3">[15]ПРОГНОЗ_1!#REF!</definedName>
    <definedName name="вв" localSheetId="2">[15]ПРОГНОЗ_1!#REF!</definedName>
    <definedName name="вв" localSheetId="1">[15]ПРОГНОЗ_1!#REF!</definedName>
    <definedName name="вв" localSheetId="5">[15]ПРОГНОЗ_1!#REF!</definedName>
    <definedName name="вв">[15]ПРОГНОЗ_1!#REF!</definedName>
    <definedName name="Вып_н_2003" localSheetId="4">'[12]Текущие цены'!#REF!</definedName>
    <definedName name="Вып_н_2003" localSheetId="3">'[12]Текущие цены'!#REF!</definedName>
    <definedName name="Вып_н_2003" localSheetId="2">'[12]Текущие цены'!#REF!</definedName>
    <definedName name="Вып_н_2003" localSheetId="1">'[12]Текущие цены'!#REF!</definedName>
    <definedName name="Вып_н_2003">'[12]Текущие цены'!#REF!</definedName>
    <definedName name="вып_н_2004" localSheetId="4">'[12]Текущие цены'!#REF!</definedName>
    <definedName name="вып_н_2004" localSheetId="3">'[12]Текущие цены'!#REF!</definedName>
    <definedName name="вып_н_2004" localSheetId="2">'[12]Текущие цены'!#REF!</definedName>
    <definedName name="вып_н_2004" localSheetId="1">'[12]Текущие цены'!#REF!</definedName>
    <definedName name="вып_н_2004">'[12]Текущие цены'!#REF!</definedName>
    <definedName name="Вып_ОФ_с_пц">[12]рабочий!$Y$202:$AP$224</definedName>
    <definedName name="Вып_оф_с_цпг" localSheetId="4">'[12]Текущие цены'!#REF!</definedName>
    <definedName name="Вып_оф_с_цпг" localSheetId="3">'[12]Текущие цены'!#REF!</definedName>
    <definedName name="Вып_оф_с_цпг" localSheetId="2">'[12]Текущие цены'!#REF!</definedName>
    <definedName name="Вып_оф_с_цпг" localSheetId="1">'[12]Текущие цены'!#REF!</definedName>
    <definedName name="Вып_оф_с_цпг" localSheetId="5">'[12]Текущие цены'!#REF!</definedName>
    <definedName name="Вып_оф_с_цпг">'[12]Текущие цены'!#REF!</definedName>
    <definedName name="Вып_с_новых_ОФ">[12]рабочий!$Y$277:$AP$299</definedName>
    <definedName name="График">"Диагр. 4"</definedName>
    <definedName name="д" localSheetId="4">#REF!</definedName>
    <definedName name="д" localSheetId="3">#REF!</definedName>
    <definedName name="д" localSheetId="2">#REF!</definedName>
    <definedName name="д" localSheetId="1">#REF!</definedName>
    <definedName name="д" localSheetId="5">#REF!</definedName>
    <definedName name="д">#REF!</definedName>
    <definedName name="Дефл_ц_пред_год">'[12]Текущие цены'!$AT$36:$BK$58</definedName>
    <definedName name="Дефлятор_годовой">'[12]Текущие цены'!$Y$4:$AP$27</definedName>
    <definedName name="Дефлятор_цепной">'[12]Текущие цены'!$Y$36:$AP$58</definedName>
    <definedName name="ДС" localSheetId="4">#REF!</definedName>
    <definedName name="ДС" localSheetId="3">#REF!</definedName>
    <definedName name="ДС" localSheetId="2">#REF!</definedName>
    <definedName name="ДС" localSheetId="1">#REF!</definedName>
    <definedName name="ДС" localSheetId="5">#REF!</definedName>
    <definedName name="ДС">#REF!</definedName>
    <definedName name="енррненрнр" localSheetId="4">#REF!</definedName>
    <definedName name="енррненрнр" localSheetId="3">#REF!</definedName>
    <definedName name="енррненрнр" localSheetId="2">#REF!</definedName>
    <definedName name="енррненрнр" localSheetId="1">#REF!</definedName>
    <definedName name="енррненрнр" localSheetId="5">#REF!</definedName>
    <definedName name="енррненрнр">#REF!</definedName>
    <definedName name="_xlnm.Print_Titles" localSheetId="4">' 2026'!$9:$12</definedName>
    <definedName name="_xlnm.Print_Titles" localSheetId="3">'!!ЗДЕСЬ ЗАПОЛНЯЕ ТАР ОБЪЕМ  (2'!$10:$13</definedName>
    <definedName name="_xlnm.Print_Titles" localSheetId="2">'ЗДЕСЬ ЗАПОЛНЯЕМ ИСХОДНЫЙ 2024'!$10:$13</definedName>
    <definedName name="_xlnm.Print_Titles" localSheetId="1">'НВВ 2022'!$10:$13</definedName>
    <definedName name="_xlnm.Print_Titles" localSheetId="5">'СМЕТА 2021-2022'!$B:$C</definedName>
    <definedName name="_xlnm.Print_Titles">[16]Содержание!$A$5:$IV$5</definedName>
    <definedName name="иии" localSheetId="4">#REF!</definedName>
    <definedName name="иии" localSheetId="3">#REF!</definedName>
    <definedName name="иии" localSheetId="2">#REF!</definedName>
    <definedName name="иии" localSheetId="1">#REF!</definedName>
    <definedName name="иии" localSheetId="5">#REF!</definedName>
    <definedName name="иии">#REF!</definedName>
    <definedName name="к" localSheetId="4">#REF!</definedName>
    <definedName name="к" localSheetId="3">#REF!</definedName>
    <definedName name="к" localSheetId="2">#REF!</definedName>
    <definedName name="к" localSheetId="1">#REF!</definedName>
    <definedName name="к" localSheetId="5">#REF!</definedName>
    <definedName name="к">#REF!</definedName>
    <definedName name="кв1__2" localSheetId="4">#REF!</definedName>
    <definedName name="кв1__2" localSheetId="3">#REF!</definedName>
    <definedName name="кв1__2" localSheetId="2">#REF!</definedName>
    <definedName name="кв1__2" localSheetId="1">#REF!</definedName>
    <definedName name="кв1__2" localSheetId="5">#REF!</definedName>
    <definedName name="кв1__2">#REF!</definedName>
    <definedName name="кв1_1" localSheetId="4">#REF!</definedName>
    <definedName name="кв1_1" localSheetId="3">#REF!</definedName>
    <definedName name="кв1_1" localSheetId="2">#REF!</definedName>
    <definedName name="кв1_1" localSheetId="1">#REF!</definedName>
    <definedName name="кв1_1" localSheetId="5">#REF!</definedName>
    <definedName name="кв1_1">#REF!</definedName>
    <definedName name="кв1_2" localSheetId="4">#REF!</definedName>
    <definedName name="кв1_2" localSheetId="3">#REF!</definedName>
    <definedName name="кв1_2" localSheetId="2">#REF!</definedName>
    <definedName name="кв1_2" localSheetId="1">#REF!</definedName>
    <definedName name="кв1_2" localSheetId="5">#REF!</definedName>
    <definedName name="кв1_2">#REF!</definedName>
    <definedName name="кв2_1" localSheetId="4">#REF!</definedName>
    <definedName name="кв2_1" localSheetId="3">#REF!</definedName>
    <definedName name="кв2_1" localSheetId="2">#REF!</definedName>
    <definedName name="кв2_1" localSheetId="1">#REF!</definedName>
    <definedName name="кв2_1" localSheetId="5">#REF!</definedName>
    <definedName name="кв2_1">#REF!</definedName>
    <definedName name="кв2_2" localSheetId="4">#REF!</definedName>
    <definedName name="кв2_2" localSheetId="3">#REF!</definedName>
    <definedName name="кв2_2" localSheetId="2">#REF!</definedName>
    <definedName name="кв2_2" localSheetId="1">#REF!</definedName>
    <definedName name="кв2_2" localSheetId="5">#REF!</definedName>
    <definedName name="кв2_2">#REF!</definedName>
    <definedName name="кв3_1" localSheetId="4">#REF!</definedName>
    <definedName name="кв3_1" localSheetId="3">#REF!</definedName>
    <definedName name="кв3_1" localSheetId="2">#REF!</definedName>
    <definedName name="кв3_1" localSheetId="1">#REF!</definedName>
    <definedName name="кв3_1" localSheetId="5">#REF!</definedName>
    <definedName name="кв3_1">#REF!</definedName>
    <definedName name="кв3_2" localSheetId="4">#REF!</definedName>
    <definedName name="кв3_2" localSheetId="3">#REF!</definedName>
    <definedName name="кв3_2" localSheetId="2">#REF!</definedName>
    <definedName name="кв3_2" localSheetId="1">#REF!</definedName>
    <definedName name="кв3_2" localSheetId="5">#REF!</definedName>
    <definedName name="кв3_2">#REF!</definedName>
    <definedName name="кв4_1" localSheetId="4">#REF!</definedName>
    <definedName name="кв4_1" localSheetId="3">#REF!</definedName>
    <definedName name="кв4_1" localSheetId="2">#REF!</definedName>
    <definedName name="кв4_1" localSheetId="1">#REF!</definedName>
    <definedName name="кв4_1" localSheetId="5">#REF!</definedName>
    <definedName name="кв4_1">#REF!</definedName>
    <definedName name="кв4_2" localSheetId="4">#REF!</definedName>
    <definedName name="кв4_2" localSheetId="3">#REF!</definedName>
    <definedName name="кв4_2" localSheetId="2">#REF!</definedName>
    <definedName name="кв4_2" localSheetId="1">#REF!</definedName>
    <definedName name="кв4_2" localSheetId="5">#REF!</definedName>
    <definedName name="кв4_2">#REF!</definedName>
    <definedName name="кост" localSheetId="4">#REF!</definedName>
    <definedName name="кост" localSheetId="3">#REF!</definedName>
    <definedName name="кост" localSheetId="2">#REF!</definedName>
    <definedName name="кост" localSheetId="1">#REF!</definedName>
    <definedName name="кост" localSheetId="5">#REF!</definedName>
    <definedName name="кост">#REF!</definedName>
    <definedName name="кредит" localSheetId="4">#REF!</definedName>
    <definedName name="кредит" localSheetId="3">#REF!</definedName>
    <definedName name="кредит" localSheetId="2">#REF!</definedName>
    <definedName name="кредит" localSheetId="1">#REF!</definedName>
    <definedName name="кредит" localSheetId="5">#REF!</definedName>
    <definedName name="кредит">#REF!</definedName>
    <definedName name="ллл" localSheetId="4">#REF!</definedName>
    <definedName name="ллл" localSheetId="3">#REF!</definedName>
    <definedName name="ллл" localSheetId="2">#REF!</definedName>
    <definedName name="ллл" localSheetId="1">#REF!</definedName>
    <definedName name="ллл" localSheetId="5">#REF!</definedName>
    <definedName name="ллл">#REF!</definedName>
    <definedName name="М1" localSheetId="4">[17]ПРОГНОЗ_1!#REF!</definedName>
    <definedName name="М1" localSheetId="3">[17]ПРОГНОЗ_1!#REF!</definedName>
    <definedName name="М1" localSheetId="2">[17]ПРОГНОЗ_1!#REF!</definedName>
    <definedName name="М1" localSheetId="1">[17]ПРОГНОЗ_1!#REF!</definedName>
    <definedName name="М1" localSheetId="5">[17]ПРОГНОЗ_1!#REF!</definedName>
    <definedName name="М1">[17]ПРОГНОЗ_1!#REF!</definedName>
    <definedName name="Модель2" localSheetId="4">#REF!</definedName>
    <definedName name="Модель2" localSheetId="3">#REF!</definedName>
    <definedName name="Модель2" localSheetId="2">#REF!</definedName>
    <definedName name="Модель2" localSheetId="1">#REF!</definedName>
    <definedName name="Модель2" localSheetId="5">#REF!</definedName>
    <definedName name="Модель2">#REF!</definedName>
    <definedName name="Мониторинг1" localSheetId="4">'[18]Гр5(о)'!#REF!</definedName>
    <definedName name="Мониторинг1" localSheetId="3">'[18]Гр5(о)'!#REF!</definedName>
    <definedName name="Мониторинг1" localSheetId="2">'[18]Гр5(о)'!#REF!</definedName>
    <definedName name="Мониторинг1" localSheetId="1">'[18]Гр5(о)'!#REF!</definedName>
    <definedName name="Мониторинг1" localSheetId="5">'[18]Гр5(о)'!#REF!</definedName>
    <definedName name="Мониторинг1">'[18]Гр5(о)'!#REF!</definedName>
    <definedName name="ннн" localSheetId="4">#REF!</definedName>
    <definedName name="ннн" localSheetId="3">#REF!</definedName>
    <definedName name="ннн" localSheetId="2">#REF!</definedName>
    <definedName name="ннн" localSheetId="1">#REF!</definedName>
    <definedName name="ннн" localSheetId="5">#REF!</definedName>
    <definedName name="ннн">#REF!</definedName>
    <definedName name="новые_ОФ_2003">[12]рабочий!$F$305:$W$327</definedName>
    <definedName name="новые_ОФ_2004">[12]рабочий!$F$335:$W$357</definedName>
    <definedName name="новые_ОФ_а_всего">[12]рабочий!$F$767:$V$789</definedName>
    <definedName name="новые_ОФ_всего">[12]рабочий!$F$1331:$V$1353</definedName>
    <definedName name="новые_ОФ_п_всего">[12]рабочий!$F$1293:$V$1315</definedName>
    <definedName name="нр" localSheetId="4">#REF!</definedName>
    <definedName name="нр" localSheetId="3">#REF!</definedName>
    <definedName name="нр" localSheetId="2">#REF!</definedName>
    <definedName name="нр" localSheetId="1">#REF!</definedName>
    <definedName name="нр" localSheetId="5">#REF!</definedName>
    <definedName name="нр">#REF!</definedName>
    <definedName name="_xlnm.Print_Area" localSheetId="4">' 2026'!$B$1:$S$132</definedName>
    <definedName name="_xlnm.Print_Area" localSheetId="3">'!!ЗДЕСЬ ЗАПОЛНЯЕ ТАР ОБЪЕМ  (2'!$B$1:$AH$143</definedName>
    <definedName name="_xlnm.Print_Area" localSheetId="2">'ЗДЕСЬ ЗАПОЛНЯЕМ ИСХОДНЫЙ 2024'!$B$1:$AH$161</definedName>
    <definedName name="_xlnm.Print_Area" localSheetId="1">'НВВ 2022'!$B$1:$AH$160</definedName>
    <definedName name="Оглавление">[19]Содержание!$A$5:$IV$5</definedName>
    <definedName name="окраска_05">[12]окраска!$C$7:$Z$30</definedName>
    <definedName name="окраска_06">[12]окраска!$C$35:$Z$58</definedName>
    <definedName name="окраска_07">[12]окраска!$C$63:$Z$86</definedName>
    <definedName name="окраска_08">[12]окраска!$C$91:$Z$114</definedName>
    <definedName name="окраска_09">[12]окраска!$C$119:$Z$142</definedName>
    <definedName name="окраска_10">[12]окраска!$C$147:$Z$170</definedName>
    <definedName name="окраска_11">[12]окраска!$C$175:$Z$198</definedName>
    <definedName name="окраска_12">[12]окраска!$C$203:$Z$226</definedName>
    <definedName name="окраска_13">[12]окраска!$C$231:$Z$254</definedName>
    <definedName name="окраска_14">[12]окраска!$C$259:$Z$282</definedName>
    <definedName name="окраска_15">[12]окраска!$C$287:$Z$310</definedName>
    <definedName name="ооо" localSheetId="4">#REF!</definedName>
    <definedName name="ооо" localSheetId="3">#REF!</definedName>
    <definedName name="ооо" localSheetId="2">#REF!</definedName>
    <definedName name="ооо" localSheetId="1">#REF!</definedName>
    <definedName name="ооо" localSheetId="5">#REF!</definedName>
    <definedName name="ооо">#REF!</definedName>
    <definedName name="ОФ_а_с_пц">[12]рабочий!$CI$121:$CY$143</definedName>
    <definedName name="оф_н_а_2003_пц" localSheetId="4">'[12]Текущие цены'!#REF!</definedName>
    <definedName name="оф_н_а_2003_пц" localSheetId="3">'[12]Текущие цены'!#REF!</definedName>
    <definedName name="оф_н_а_2003_пц" localSheetId="2">'[12]Текущие цены'!#REF!</definedName>
    <definedName name="оф_н_а_2003_пц" localSheetId="1">'[12]Текущие цены'!#REF!</definedName>
    <definedName name="оф_н_а_2003_пц" localSheetId="5">'[12]Текущие цены'!#REF!</definedName>
    <definedName name="оф_н_а_2003_пц">'[12]Текущие цены'!#REF!</definedName>
    <definedName name="оф_н_а_2004" localSheetId="4">'[12]Текущие цены'!#REF!</definedName>
    <definedName name="оф_н_а_2004" localSheetId="3">'[12]Текущие цены'!#REF!</definedName>
    <definedName name="оф_н_а_2004" localSheetId="2">'[12]Текущие цены'!#REF!</definedName>
    <definedName name="оф_н_а_2004" localSheetId="1">'[12]Текущие цены'!#REF!</definedName>
    <definedName name="оф_н_а_2004">'[12]Текущие цены'!#REF!</definedName>
    <definedName name="пар">[20]KARTA!$A$1:$AJ$1211</definedName>
    <definedName name="ПОКАЗАТЕЛИ_ДОЛГОСР.ПРОГНОЗА" localSheetId="4">#REF!</definedName>
    <definedName name="ПОКАЗАТЕЛИ_ДОЛГОСР.ПРОГНОЗА" localSheetId="3">#REF!</definedName>
    <definedName name="ПОКАЗАТЕЛИ_ДОЛГОСР.ПРОГНОЗА" localSheetId="2">#REF!</definedName>
    <definedName name="ПОКАЗАТЕЛИ_ДОЛГОСР.ПРОГНОЗА" localSheetId="1">#REF!</definedName>
    <definedName name="ПОКАЗАТЕЛИ_ДОЛГОСР.ПРОГНОЗА" localSheetId="5">#REF!</definedName>
    <definedName name="ПОКАЗАТЕЛИ_ДОЛГОСР.ПРОГНОЗА">#REF!</definedName>
    <definedName name="покупок">[21]Содержание!$A$5:$IV$5</definedName>
    <definedName name="ПОТР._РЫНОКДП" localSheetId="4">'[1]1999-veca'!#REF!</definedName>
    <definedName name="ПОТР._РЫНОКДП" localSheetId="3">'[1]1999-veca'!#REF!</definedName>
    <definedName name="ПОТР._РЫНОКДП" localSheetId="2">'[1]1999-veca'!#REF!</definedName>
    <definedName name="ПОТР._РЫНОКДП" localSheetId="1">'[1]1999-veca'!#REF!</definedName>
    <definedName name="ПОТР._РЫНОКДП" localSheetId="5">'[1]1999-veca'!#REF!</definedName>
    <definedName name="ПОТР._РЫНОКДП">'[1]1999-veca'!#REF!</definedName>
    <definedName name="Потреб_вып_всего" localSheetId="4">'[12]Текущие цены'!#REF!</definedName>
    <definedName name="Потреб_вып_всего" localSheetId="3">'[12]Текущие цены'!#REF!</definedName>
    <definedName name="Потреб_вып_всего" localSheetId="2">'[12]Текущие цены'!#REF!</definedName>
    <definedName name="Потреб_вып_всего" localSheetId="1">'[12]Текущие цены'!#REF!</definedName>
    <definedName name="Потреб_вып_всего">'[12]Текущие цены'!#REF!</definedName>
    <definedName name="Потреб_вып_оф_н_цпг" localSheetId="4">'[12]Текущие цены'!#REF!</definedName>
    <definedName name="Потреб_вып_оф_н_цпг" localSheetId="3">'[12]Текущие цены'!#REF!</definedName>
    <definedName name="Потреб_вып_оф_н_цпг" localSheetId="2">'[12]Текущие цены'!#REF!</definedName>
    <definedName name="Потреб_вып_оф_н_цпг" localSheetId="1">'[12]Текущие цены'!#REF!</definedName>
    <definedName name="Потреб_вып_оф_н_цпг">'[12]Текущие цены'!#REF!</definedName>
    <definedName name="ппп" localSheetId="4">#REF!</definedName>
    <definedName name="ппп" localSheetId="3">#REF!</definedName>
    <definedName name="ппп" localSheetId="2">#REF!</definedName>
    <definedName name="ппп" localSheetId="1">#REF!</definedName>
    <definedName name="ппп" localSheetId="5">#REF!</definedName>
    <definedName name="ппп">#REF!</definedName>
    <definedName name="пппп" localSheetId="4">'[22]2002(v1)'!#REF!</definedName>
    <definedName name="пппп" localSheetId="3">'[22]2002(v1)'!#REF!</definedName>
    <definedName name="пппп" localSheetId="2">'[22]2002(v1)'!#REF!</definedName>
    <definedName name="пппп" localSheetId="1">'[22]2002(v1)'!#REF!</definedName>
    <definedName name="пппп" localSheetId="5">'[22]2002(v1)'!#REF!</definedName>
    <definedName name="пппп">'[22]2002(v1)'!#REF!</definedName>
    <definedName name="пр" localSheetId="4">#REF!</definedName>
    <definedName name="пр" localSheetId="3">#REF!</definedName>
    <definedName name="пр" localSheetId="2">#REF!</definedName>
    <definedName name="пр" localSheetId="1">#REF!</definedName>
    <definedName name="пр" localSheetId="5">#REF!</definedName>
    <definedName name="пр">#REF!</definedName>
    <definedName name="про" localSheetId="4">#REF!</definedName>
    <definedName name="про" localSheetId="3">#REF!</definedName>
    <definedName name="про" localSheetId="2">#REF!</definedName>
    <definedName name="про" localSheetId="1">#REF!</definedName>
    <definedName name="про" localSheetId="5">#REF!</definedName>
    <definedName name="про">#REF!</definedName>
    <definedName name="про1" localSheetId="4">#REF!</definedName>
    <definedName name="про1" localSheetId="3">#REF!</definedName>
    <definedName name="про1" localSheetId="2">#REF!</definedName>
    <definedName name="про1" localSheetId="1">#REF!</definedName>
    <definedName name="про1" localSheetId="5">#REF!</definedName>
    <definedName name="про1">#REF!</definedName>
    <definedName name="про2" localSheetId="4">#REF!</definedName>
    <definedName name="про2" localSheetId="3">#REF!</definedName>
    <definedName name="про2" localSheetId="2">#REF!</definedName>
    <definedName name="про2" localSheetId="1">#REF!</definedName>
    <definedName name="про2" localSheetId="5">#REF!</definedName>
    <definedName name="про2">#REF!</definedName>
    <definedName name="про3" localSheetId="4">#REF!</definedName>
    <definedName name="про3" localSheetId="3">#REF!</definedName>
    <definedName name="про3" localSheetId="2">#REF!</definedName>
    <definedName name="про3" localSheetId="1">#REF!</definedName>
    <definedName name="про3" localSheetId="5">#REF!</definedName>
    <definedName name="про3">#REF!</definedName>
    <definedName name="про4" localSheetId="4">#REF!</definedName>
    <definedName name="про4" localSheetId="3">#REF!</definedName>
    <definedName name="про4" localSheetId="2">#REF!</definedName>
    <definedName name="про4" localSheetId="1">#REF!</definedName>
    <definedName name="про4" localSheetId="5">#REF!</definedName>
    <definedName name="про4">#REF!</definedName>
    <definedName name="про5" localSheetId="4">#REF!</definedName>
    <definedName name="про5" localSheetId="3">#REF!</definedName>
    <definedName name="про5" localSheetId="2">#REF!</definedName>
    <definedName name="про5" localSheetId="1">#REF!</definedName>
    <definedName name="про5" localSheetId="5">#REF!</definedName>
    <definedName name="про5">#REF!</definedName>
    <definedName name="про6" localSheetId="4">#REF!</definedName>
    <definedName name="про6" localSheetId="3">#REF!</definedName>
    <definedName name="про6" localSheetId="2">#REF!</definedName>
    <definedName name="про6" localSheetId="1">#REF!</definedName>
    <definedName name="про6" localSheetId="5">#REF!</definedName>
    <definedName name="про6">#REF!</definedName>
    <definedName name="про7" localSheetId="4">#REF!</definedName>
    <definedName name="про7" localSheetId="3">#REF!</definedName>
    <definedName name="про7" localSheetId="2">#REF!</definedName>
    <definedName name="про7" localSheetId="1">#REF!</definedName>
    <definedName name="про7" localSheetId="5">#REF!</definedName>
    <definedName name="про7">#REF!</definedName>
    <definedName name="Прогноз_Вып_пц">[12]рабочий!$Y$240:$AP$262</definedName>
    <definedName name="Прогноз_вып_цпг" localSheetId="4">'[12]Текущие цены'!#REF!</definedName>
    <definedName name="Прогноз_вып_цпг" localSheetId="3">'[12]Текущие цены'!#REF!</definedName>
    <definedName name="Прогноз_вып_цпг" localSheetId="2">'[12]Текущие цены'!#REF!</definedName>
    <definedName name="Прогноз_вып_цпг" localSheetId="1">'[12]Текущие цены'!#REF!</definedName>
    <definedName name="Прогноз_вып_цпг" localSheetId="5">'[12]Текущие цены'!#REF!</definedName>
    <definedName name="Прогноз_вып_цпг">'[12]Текущие цены'!#REF!</definedName>
    <definedName name="Прогноз97" localSheetId="4">[23]ПРОГНОЗ_1!#REF!</definedName>
    <definedName name="Прогноз97" localSheetId="3">[23]ПРОГНОЗ_1!#REF!</definedName>
    <definedName name="Прогноз97" localSheetId="2">[23]ПРОГНОЗ_1!#REF!</definedName>
    <definedName name="Прогноз97" localSheetId="1">[23]ПРОГНОЗ_1!#REF!</definedName>
    <definedName name="Прогноз97">[23]ПРОГНОЗ_1!#REF!</definedName>
    <definedName name="ррр" localSheetId="4">#REF!</definedName>
    <definedName name="ррр" localSheetId="3">#REF!</definedName>
    <definedName name="ррр" localSheetId="2">#REF!</definedName>
    <definedName name="ррр" localSheetId="1">#REF!</definedName>
    <definedName name="ррр" localSheetId="5">#REF!</definedName>
    <definedName name="ррр">#REF!</definedName>
    <definedName name="СПИСОК_СТОЛБЦОВ">[24]База_А!$H$1:$N$1</definedName>
    <definedName name="СПИСОК_СТОЛБЦОВ_2" localSheetId="5">БАЗА!$H$6:$AD$6</definedName>
    <definedName name="СПИСОК_СТОЛБЦОВ_2">БАЗА!$H$6:$AD$6</definedName>
    <definedName name="ттт" localSheetId="4">#REF!</definedName>
    <definedName name="ттт" localSheetId="3">#REF!</definedName>
    <definedName name="ттт" localSheetId="2">#REF!</definedName>
    <definedName name="ттт" localSheetId="1">#REF!</definedName>
    <definedName name="ттт" localSheetId="5">#REF!</definedName>
    <definedName name="ттт">#REF!</definedName>
    <definedName name="у" localSheetId="4">#REF!</definedName>
    <definedName name="у" localSheetId="3">#REF!</definedName>
    <definedName name="у" localSheetId="2">#REF!</definedName>
    <definedName name="у" localSheetId="1">#REF!</definedName>
    <definedName name="у" localSheetId="5">#REF!</definedName>
    <definedName name="у">#REF!</definedName>
    <definedName name="фо_а_н_пц">[12]рабочий!$AR$240:$BI$263</definedName>
    <definedName name="фо_а_с_пц">[12]рабочий!$AS$202:$BI$224</definedName>
    <definedName name="фо_н_03">[12]рабочий!$X$305:$X$327</definedName>
    <definedName name="фо_н_04">[12]рабочий!$X$335:$X$357</definedName>
    <definedName name="форма_56" localSheetId="4">#REF!</definedName>
    <definedName name="форма_56" localSheetId="3">#REF!</definedName>
    <definedName name="форма_56" localSheetId="2">#REF!</definedName>
    <definedName name="форма_56" localSheetId="1">#REF!</definedName>
    <definedName name="форма_56" localSheetId="5">#REF!</definedName>
    <definedName name="форма_56">#REF!</definedName>
    <definedName name="форма1_110_3">[25]Форма1!$D$5</definedName>
    <definedName name="форма1_120_3">[25]Форма1!$D$9</definedName>
    <definedName name="форма1_120_4">[26]Форма1!$D$9</definedName>
    <definedName name="форма1_125_2">[25]Форма1!$D$13</definedName>
    <definedName name="форма1_130_3">[25]Форма1!$D$12</definedName>
    <definedName name="форма1_135_3">[25]Форма1!$D$13</definedName>
    <definedName name="форма1_135_9">[26]Форма1!$D$13</definedName>
    <definedName name="форма1_140_3">[25]Форма1!$D$16</definedName>
    <definedName name="форма1_150_3">[25]Форма1!$D$22</definedName>
    <definedName name="форма1_210_3">[25]Форма1!$D$26</definedName>
    <definedName name="форма1_230_3">[25]Форма1!$D$35</definedName>
    <definedName name="форма1_240_3">[25]Форма1!$D$41</definedName>
    <definedName name="форма1_250_3">[25]Форма1!$D$48</definedName>
    <definedName name="форма1_260_3">[25]Форма1!$D$52</definedName>
    <definedName name="форма1_270_3">[25]Форма1!$D$57</definedName>
    <definedName name="форма1_450_3">[25]Форма1!$D$70</definedName>
    <definedName name="форма1_510_3">[25]Форма1!$D$77</definedName>
    <definedName name="форма1_610_3">[25]Форма1!$D$83</definedName>
    <definedName name="форма1_620_3">[25]Форма1!$D$86</definedName>
    <definedName name="форма1_650_3">[25]Форма1!$D$97</definedName>
    <definedName name="форма1_660_3">[25]Форма1!$D$98</definedName>
    <definedName name="форма3_150_3">[25]Форма3!$D$57</definedName>
    <definedName name="форма7_333_1">[25]Форма1!$D$48</definedName>
    <definedName name="форма7_333_3">[25]Форма1!$D$52</definedName>
    <definedName name="фф" localSheetId="4">'[27]Гр5(о)'!#REF!</definedName>
    <definedName name="фф" localSheetId="3">'[27]Гр5(о)'!#REF!</definedName>
    <definedName name="фф" localSheetId="2">'[27]Гр5(о)'!#REF!</definedName>
    <definedName name="фф" localSheetId="1">'[27]Гр5(о)'!#REF!</definedName>
    <definedName name="фф" localSheetId="5">'[27]Гр5(о)'!#REF!</definedName>
    <definedName name="фф">'[27]Гр5(о)'!#REF!</definedName>
    <definedName name="ффф" localSheetId="4">#REF!</definedName>
    <definedName name="ффф" localSheetId="3">#REF!</definedName>
    <definedName name="ффф" localSheetId="2">#REF!</definedName>
    <definedName name="ффф" localSheetId="1">#REF!</definedName>
    <definedName name="ффф" localSheetId="5">#REF!</definedName>
    <definedName name="ффф">#REF!</definedName>
    <definedName name="хххх" localSheetId="4" hidden="1">P5_T1_Protect,P6_T1_Protect,P7_T1_Protect,P8_T1_Protect,P9_T1_Protect,P10_T1_Protect,P11_T1_Protect,P12_T1_Protect,P13_T1_Protect,P14_T1_Protect</definedName>
    <definedName name="хххх" localSheetId="3" hidden="1">P5_T1_Protect,P6_T1_Protect,P7_T1_Protect,P8_T1_Protect,P9_T1_Protect,P10_T1_Protect,P11_T1_Protect,P12_T1_Protect,P13_T1_Protect,P14_T1_Protect</definedName>
    <definedName name="хххх" localSheetId="2" hidden="1">P5_T1_Protect,P6_T1_Protect,P7_T1_Protect,P8_T1_Protect,P9_T1_Protect,P10_T1_Protect,P11_T1_Protect,P12_T1_Protect,P13_T1_Protect,P14_T1_Protect</definedName>
    <definedName name="хххх" localSheetId="1" hidden="1">P5_T1_Protect,P6_T1_Protect,P7_T1_Protect,P8_T1_Protect,P9_T1_Protect,P10_T1_Protect,P11_T1_Protect,P12_T1_Protect,P13_T1_Protect,P14_T1_Protect</definedName>
    <definedName name="хххх" localSheetId="5" hidden="1">P5_T1_Protect,P6_T1_Protect,P7_T1_Protect,P8_T1_Protect,P9_T1_Protect,P10_T1_Protect,P11_T1_Protect,P12_T1_Protect,P13_T1_Protect,P14_T1_Protect</definedName>
    <definedName name="хххх" hidden="1">P5_T1_Protect,P6_T1_Protect,P7_T1_Protect,P8_T1_Protect,P9_T1_Protect,P10_T1_Protect,P11_T1_Protect,P12_T1_Protect,P13_T1_Protect,P14_T1_Protect</definedName>
    <definedName name="ш" localSheetId="4">#REF!</definedName>
    <definedName name="ш" localSheetId="3">#REF!</definedName>
    <definedName name="ш" localSheetId="2">#REF!</definedName>
    <definedName name="ш" localSheetId="1">#REF!</definedName>
    <definedName name="ш" localSheetId="5">#REF!</definedName>
    <definedName name="ш">#REF!</definedName>
    <definedName name="ы" localSheetId="4">#REF!</definedName>
    <definedName name="ы" localSheetId="3">#REF!</definedName>
    <definedName name="ы" localSheetId="2">#REF!</definedName>
    <definedName name="ы" localSheetId="1">#REF!</definedName>
    <definedName name="ы" localSheetId="5">#REF!</definedName>
    <definedName name="ы">#REF!</definedName>
    <definedName name="ььь" localSheetId="4">#REF!</definedName>
    <definedName name="ььь" localSheetId="3">#REF!</definedName>
    <definedName name="ььь" localSheetId="2">#REF!</definedName>
    <definedName name="ььь" localSheetId="1">#REF!</definedName>
    <definedName name="ььь" localSheetId="5">#REF!</definedName>
    <definedName name="ььь">#REF!</definedName>
    <definedName name="э" localSheetId="4">#REF!</definedName>
    <definedName name="э" localSheetId="3">#REF!</definedName>
    <definedName name="э" localSheetId="2">#REF!</definedName>
    <definedName name="э" localSheetId="1">#REF!</definedName>
    <definedName name="э" localSheetId="5">#REF!</definedName>
    <definedName name="э">#REF!</definedName>
    <definedName name="юююю" localSheetId="4">#REF!</definedName>
    <definedName name="юююю" localSheetId="3">#REF!</definedName>
    <definedName name="юююю" localSheetId="2">#REF!</definedName>
    <definedName name="юююю" localSheetId="1">#REF!</definedName>
    <definedName name="юююю" localSheetId="5">#REF!</definedName>
    <definedName name="юююю">#REF!</definedName>
  </definedNames>
  <calcPr calcId="162913"/>
</workbook>
</file>

<file path=xl/calcChain.xml><?xml version="1.0" encoding="utf-8"?>
<calcChain xmlns="http://schemas.openxmlformats.org/spreadsheetml/2006/main">
  <c r="A130" i="34" l="1"/>
  <c r="A131" i="34" s="1"/>
  <c r="A132" i="34" s="1"/>
  <c r="B67" i="34"/>
  <c r="B68" i="34" s="1"/>
  <c r="B69" i="34" s="1"/>
  <c r="B70" i="34" s="1"/>
  <c r="B71" i="34" s="1"/>
  <c r="B72" i="34" s="1"/>
  <c r="B73" i="34" s="1"/>
  <c r="A62" i="34"/>
  <c r="A63" i="34" s="1"/>
  <c r="A64" i="34" s="1"/>
  <c r="A65" i="34" s="1"/>
  <c r="A66" i="34" s="1"/>
  <c r="A67" i="34" s="1"/>
  <c r="A68" i="34" s="1"/>
  <c r="A69" i="34" s="1"/>
  <c r="A70" i="34" s="1"/>
  <c r="A71" i="34" s="1"/>
  <c r="A72" i="34" s="1"/>
  <c r="A73" i="34" s="1"/>
  <c r="A74" i="34" s="1"/>
  <c r="A75" i="34" s="1"/>
  <c r="A76" i="34" s="1"/>
  <c r="A77" i="34" s="1"/>
  <c r="A78" i="34" s="1"/>
  <c r="A79" i="34" s="1"/>
  <c r="A80" i="34" s="1"/>
  <c r="A81" i="34" s="1"/>
  <c r="A82" i="34" s="1"/>
  <c r="A83" i="34" s="1"/>
  <c r="A84" i="34" s="1"/>
  <c r="A85" i="34" s="1"/>
  <c r="A86" i="34" s="1"/>
  <c r="A87" i="34" s="1"/>
  <c r="A88" i="34" s="1"/>
  <c r="A89" i="34" s="1"/>
  <c r="A90" i="34" s="1"/>
  <c r="A91" i="34" s="1"/>
  <c r="A92" i="34" s="1"/>
  <c r="A93" i="34" s="1"/>
  <c r="A94" i="34" s="1"/>
  <c r="A95" i="34" s="1"/>
  <c r="A96" i="34" s="1"/>
  <c r="A97" i="34" s="1"/>
  <c r="A98" i="34" s="1"/>
  <c r="A99" i="34" s="1"/>
  <c r="A100" i="34" s="1"/>
  <c r="A101" i="34" s="1"/>
  <c r="A102" i="34" s="1"/>
  <c r="A103" i="34" s="1"/>
  <c r="A104" i="34" s="1"/>
  <c r="A105" i="34" s="1"/>
  <c r="A106" i="34" s="1"/>
  <c r="A107" i="34" s="1"/>
  <c r="A108" i="34" s="1"/>
  <c r="A109" i="34" s="1"/>
  <c r="A110" i="34" s="1"/>
  <c r="A111" i="34" s="1"/>
  <c r="A112" i="34" s="1"/>
  <c r="A113" i="34" s="1"/>
  <c r="A114" i="34" s="1"/>
  <c r="A115" i="34" s="1"/>
  <c r="A116" i="34" s="1"/>
  <c r="A117" i="34" s="1"/>
  <c r="A118" i="34" s="1"/>
  <c r="A119" i="34" s="1"/>
  <c r="A120" i="34" s="1"/>
  <c r="A121" i="34" s="1"/>
  <c r="A122" i="34" s="1"/>
  <c r="A123" i="34" s="1"/>
  <c r="A124" i="34" s="1"/>
  <c r="A125" i="34" s="1"/>
  <c r="A126" i="34" s="1"/>
  <c r="A127" i="34" s="1"/>
  <c r="A128" i="34" s="1"/>
  <c r="A129" i="34" s="1"/>
  <c r="A41" i="34"/>
  <c r="A42" i="34" s="1"/>
  <c r="A43" i="34" s="1"/>
  <c r="A44" i="34" s="1"/>
  <c r="A45" i="34" s="1"/>
  <c r="A47" i="34" s="1"/>
  <c r="A48" i="34" s="1"/>
  <c r="A49" i="34" s="1"/>
  <c r="A50" i="34" s="1"/>
  <c r="A51" i="34" s="1"/>
  <c r="A52" i="34" s="1"/>
  <c r="A53" i="34" s="1"/>
  <c r="A54" i="34" s="1"/>
  <c r="A55" i="34" s="1"/>
  <c r="A56" i="34" s="1"/>
  <c r="A57" i="34" s="1"/>
  <c r="A58" i="34" s="1"/>
  <c r="A59" i="34" s="1"/>
  <c r="A60" i="34" s="1"/>
  <c r="A61" i="34" s="1"/>
  <c r="B39" i="34"/>
  <c r="A33" i="34"/>
  <c r="A34" i="34" s="1"/>
  <c r="A35" i="34" s="1"/>
  <c r="A36" i="34" s="1"/>
  <c r="A37" i="34" s="1"/>
  <c r="A38" i="34" s="1"/>
  <c r="A39" i="34" s="1"/>
  <c r="A40" i="34" s="1"/>
  <c r="A14" i="34"/>
  <c r="A15" i="34" s="1"/>
  <c r="A16" i="34" s="1"/>
  <c r="A17" i="34" s="1"/>
  <c r="A18" i="34" s="1"/>
  <c r="A19" i="34" s="1"/>
  <c r="A20" i="34" s="1"/>
  <c r="A21" i="34" s="1"/>
  <c r="A22" i="34" s="1"/>
  <c r="A23" i="34" s="1"/>
  <c r="A24" i="34" s="1"/>
  <c r="A25" i="34" s="1"/>
  <c r="A26" i="34" s="1"/>
  <c r="A27" i="34" s="1"/>
  <c r="A28" i="34" s="1"/>
  <c r="A29" i="34" s="1"/>
  <c r="A30" i="34" s="1"/>
  <c r="A31" i="34" s="1"/>
  <c r="A32" i="34" s="1"/>
  <c r="D1" i="34"/>
  <c r="E1" i="34" s="1"/>
  <c r="F1" i="34" s="1"/>
  <c r="G1" i="34" s="1"/>
  <c r="H1" i="34" s="1"/>
  <c r="I1" i="34" s="1"/>
  <c r="J1" i="34" s="1"/>
  <c r="K1" i="34" s="1"/>
  <c r="L1" i="34" s="1"/>
  <c r="M1" i="34" s="1"/>
  <c r="N1" i="34" s="1"/>
  <c r="O1" i="34" s="1"/>
  <c r="P1" i="34" s="1"/>
  <c r="Q1" i="34" s="1"/>
  <c r="R1" i="34" s="1"/>
  <c r="S1" i="34" s="1"/>
  <c r="CM382" i="33" l="1"/>
  <c r="CN382" i="33" s="1"/>
  <c r="CM381" i="33"/>
  <c r="CN381" i="33" s="1"/>
  <c r="CM380" i="33"/>
  <c r="CN380" i="33" s="1"/>
  <c r="CM379" i="33"/>
  <c r="CN379" i="33" s="1"/>
  <c r="CM378" i="33"/>
  <c r="CN378" i="33" s="1"/>
  <c r="CM377" i="33"/>
  <c r="CN377" i="33" s="1"/>
  <c r="CM376" i="33"/>
  <c r="CN376" i="33" s="1"/>
  <c r="CM375" i="33"/>
  <c r="CN375" i="33" s="1"/>
  <c r="CM374" i="33"/>
  <c r="CN374" i="33" s="1"/>
  <c r="CM373" i="33"/>
  <c r="CN373" i="33" s="1"/>
  <c r="CM372" i="33"/>
  <c r="CN372" i="33" s="1"/>
  <c r="CM371" i="33"/>
  <c r="CN371" i="33" s="1"/>
  <c r="CM370" i="33"/>
  <c r="CN370" i="33" s="1"/>
  <c r="CM369" i="33"/>
  <c r="CN369" i="33" s="1"/>
  <c r="CM368" i="33"/>
  <c r="CN368" i="33" s="1"/>
  <c r="CM367" i="33"/>
  <c r="CN367" i="33" s="1"/>
  <c r="CM366" i="33"/>
  <c r="CN366" i="33" s="1"/>
  <c r="CM365" i="33"/>
  <c r="CN365" i="33" s="1"/>
  <c r="CM364" i="33"/>
  <c r="CN364" i="33" s="1"/>
  <c r="CM363" i="33"/>
  <c r="CN363" i="33" s="1"/>
  <c r="CM362" i="33"/>
  <c r="CN362" i="33" s="1"/>
  <c r="CM361" i="33"/>
  <c r="CN361" i="33" s="1"/>
  <c r="CM360" i="33"/>
  <c r="CN360" i="33" s="1"/>
  <c r="CM359" i="33"/>
  <c r="CN359" i="33" s="1"/>
  <c r="CM358" i="33"/>
  <c r="CN358" i="33" s="1"/>
  <c r="CM357" i="33"/>
  <c r="CN357" i="33" s="1"/>
  <c r="CM356" i="33"/>
  <c r="CN356" i="33" s="1"/>
  <c r="CM355" i="33"/>
  <c r="CN355" i="33" s="1"/>
  <c r="CM354" i="33"/>
  <c r="CN354" i="33" s="1"/>
  <c r="CM353" i="33"/>
  <c r="CN353" i="33" s="1"/>
  <c r="CM352" i="33"/>
  <c r="CN352" i="33" s="1"/>
  <c r="CM351" i="33"/>
  <c r="CN351" i="33" s="1"/>
  <c r="CM350" i="33"/>
  <c r="CN350" i="33" s="1"/>
  <c r="CM349" i="33"/>
  <c r="CN349" i="33" s="1"/>
  <c r="CM348" i="33"/>
  <c r="CN348" i="33" s="1"/>
  <c r="CM347" i="33"/>
  <c r="CN347" i="33" s="1"/>
  <c r="CM346" i="33"/>
  <c r="CN346" i="33" s="1"/>
  <c r="CM345" i="33"/>
  <c r="CN345" i="33" s="1"/>
  <c r="CM344" i="33"/>
  <c r="CN344" i="33" s="1"/>
  <c r="CM343" i="33"/>
  <c r="CN343" i="33" s="1"/>
  <c r="CM342" i="33"/>
  <c r="CN342" i="33" s="1"/>
  <c r="CM341" i="33"/>
  <c r="CN341" i="33" s="1"/>
  <c r="CM340" i="33"/>
  <c r="CN340" i="33" s="1"/>
  <c r="CM339" i="33"/>
  <c r="CN339" i="33" s="1"/>
  <c r="CM338" i="33"/>
  <c r="CN338" i="33" s="1"/>
  <c r="CM337" i="33"/>
  <c r="CN337" i="33" s="1"/>
  <c r="CM336" i="33"/>
  <c r="CN336" i="33" s="1"/>
  <c r="CM335" i="33"/>
  <c r="CN335" i="33" s="1"/>
  <c r="CM334" i="33"/>
  <c r="CN334" i="33" s="1"/>
  <c r="CM333" i="33"/>
  <c r="CN333" i="33" s="1"/>
  <c r="CM332" i="33"/>
  <c r="CN332" i="33" s="1"/>
  <c r="CM331" i="33"/>
  <c r="CN331" i="33" s="1"/>
  <c r="CM330" i="33"/>
  <c r="CN330" i="33" s="1"/>
  <c r="CM329" i="33"/>
  <c r="CN329" i="33" s="1"/>
  <c r="CM328" i="33"/>
  <c r="CN328" i="33" s="1"/>
  <c r="CM327" i="33"/>
  <c r="CN327" i="33" s="1"/>
  <c r="CM326" i="33"/>
  <c r="CN326" i="33" s="1"/>
  <c r="CM325" i="33"/>
  <c r="CN325" i="33" s="1"/>
  <c r="CM324" i="33"/>
  <c r="CN324" i="33" s="1"/>
  <c r="CM323" i="33"/>
  <c r="CN323" i="33" s="1"/>
  <c r="CM322" i="33"/>
  <c r="CN322" i="33" s="1"/>
  <c r="CM321" i="33"/>
  <c r="CN321" i="33" s="1"/>
  <c r="CM320" i="33"/>
  <c r="CN320" i="33" s="1"/>
  <c r="CM319" i="33"/>
  <c r="CN319" i="33" s="1"/>
  <c r="CM318" i="33"/>
  <c r="CN318" i="33" s="1"/>
  <c r="CM317" i="33"/>
  <c r="CN317" i="33" s="1"/>
  <c r="CM316" i="33"/>
  <c r="CN316" i="33" s="1"/>
  <c r="CM315" i="33"/>
  <c r="CN315" i="33" s="1"/>
  <c r="CM314" i="33"/>
  <c r="CN314" i="33" s="1"/>
  <c r="CM313" i="33"/>
  <c r="CN313" i="33" s="1"/>
  <c r="CM312" i="33"/>
  <c r="CN312" i="33" s="1"/>
  <c r="CM311" i="33"/>
  <c r="CN311" i="33" s="1"/>
  <c r="CM310" i="33"/>
  <c r="CN310" i="33" s="1"/>
  <c r="CM309" i="33"/>
  <c r="CN309" i="33" s="1"/>
  <c r="CM308" i="33"/>
  <c r="CN308" i="33" s="1"/>
  <c r="CM307" i="33"/>
  <c r="CN307" i="33" s="1"/>
  <c r="CM306" i="33"/>
  <c r="CN306" i="33" s="1"/>
  <c r="CM305" i="33"/>
  <c r="CN305" i="33" s="1"/>
  <c r="CM304" i="33"/>
  <c r="CN304" i="33" s="1"/>
  <c r="CM303" i="33"/>
  <c r="CN303" i="33" s="1"/>
  <c r="CM302" i="33"/>
  <c r="CN302" i="33" s="1"/>
  <c r="CM301" i="33"/>
  <c r="CN301" i="33" s="1"/>
  <c r="CM300" i="33"/>
  <c r="CN300" i="33" s="1"/>
  <c r="CM299" i="33"/>
  <c r="CN299" i="33" s="1"/>
  <c r="CM298" i="33"/>
  <c r="CN298" i="33" s="1"/>
  <c r="CM297" i="33"/>
  <c r="CN297" i="33" s="1"/>
  <c r="CM296" i="33"/>
  <c r="CN296" i="33" s="1"/>
  <c r="CM295" i="33"/>
  <c r="CN295" i="33" s="1"/>
  <c r="CM294" i="33"/>
  <c r="CN294" i="33" s="1"/>
  <c r="CM293" i="33"/>
  <c r="CN293" i="33" s="1"/>
  <c r="CM292" i="33"/>
  <c r="CN292" i="33" s="1"/>
  <c r="CM291" i="33"/>
  <c r="CN291" i="33" s="1"/>
  <c r="CM290" i="33"/>
  <c r="CN290" i="33" s="1"/>
  <c r="CM289" i="33"/>
  <c r="CN289" i="33" s="1"/>
  <c r="CM288" i="33"/>
  <c r="CN288" i="33" s="1"/>
  <c r="CM287" i="33"/>
  <c r="CN287" i="33" s="1"/>
  <c r="CM286" i="33"/>
  <c r="CN286" i="33" s="1"/>
  <c r="CM285" i="33"/>
  <c r="CN285" i="33" s="1"/>
  <c r="CM284" i="33"/>
  <c r="CN284" i="33" s="1"/>
  <c r="CM283" i="33"/>
  <c r="CN283" i="33" s="1"/>
  <c r="CM282" i="33"/>
  <c r="CN282" i="33" s="1"/>
  <c r="CM281" i="33"/>
  <c r="CN281" i="33" s="1"/>
  <c r="CM280" i="33"/>
  <c r="CN280" i="33" s="1"/>
  <c r="CM279" i="33"/>
  <c r="CN279" i="33" s="1"/>
  <c r="CM278" i="33"/>
  <c r="CN278" i="33" s="1"/>
  <c r="CM277" i="33"/>
  <c r="CN277" i="33" s="1"/>
  <c r="CM276" i="33"/>
  <c r="CN276" i="33" s="1"/>
  <c r="CM275" i="33"/>
  <c r="CN275" i="33" s="1"/>
  <c r="CM274" i="33"/>
  <c r="CN274" i="33" s="1"/>
  <c r="CM273" i="33"/>
  <c r="CN273" i="33" s="1"/>
  <c r="CM272" i="33"/>
  <c r="CN272" i="33" s="1"/>
  <c r="CM271" i="33"/>
  <c r="CN271" i="33" s="1"/>
  <c r="CM270" i="33"/>
  <c r="CN270" i="33" s="1"/>
  <c r="CM269" i="33"/>
  <c r="CN269" i="33" s="1"/>
  <c r="CM268" i="33"/>
  <c r="CN268" i="33" s="1"/>
  <c r="CM267" i="33"/>
  <c r="CN267" i="33" s="1"/>
  <c r="CM266" i="33"/>
  <c r="CN266" i="33" s="1"/>
  <c r="CM265" i="33"/>
  <c r="CN265" i="33" s="1"/>
  <c r="CM264" i="33"/>
  <c r="CN264" i="33" s="1"/>
  <c r="CM263" i="33"/>
  <c r="CN263" i="33" s="1"/>
  <c r="CM262" i="33"/>
  <c r="CN262" i="33" s="1"/>
  <c r="CM261" i="33"/>
  <c r="CN261" i="33" s="1"/>
  <c r="CM260" i="33"/>
  <c r="CN260" i="33" s="1"/>
  <c r="CM259" i="33"/>
  <c r="CN259" i="33" s="1"/>
  <c r="CM258" i="33"/>
  <c r="CN258" i="33" s="1"/>
  <c r="CM257" i="33"/>
  <c r="CN257" i="33" s="1"/>
  <c r="CM256" i="33"/>
  <c r="CN256" i="33" s="1"/>
  <c r="CM255" i="33"/>
  <c r="CN255" i="33" s="1"/>
  <c r="CM254" i="33"/>
  <c r="CN254" i="33" s="1"/>
  <c r="CM253" i="33"/>
  <c r="CN253" i="33" s="1"/>
  <c r="CM252" i="33"/>
  <c r="CN252" i="33" s="1"/>
  <c r="CM251" i="33"/>
  <c r="CN251" i="33" s="1"/>
  <c r="CM250" i="33"/>
  <c r="CN250" i="33" s="1"/>
  <c r="CM249" i="33"/>
  <c r="CN249" i="33" s="1"/>
  <c r="CM248" i="33"/>
  <c r="CN248" i="33" s="1"/>
  <c r="CM247" i="33"/>
  <c r="CN247" i="33" s="1"/>
  <c r="CM246" i="33"/>
  <c r="CN246" i="33" s="1"/>
  <c r="CM245" i="33"/>
  <c r="CN245" i="33" s="1"/>
  <c r="CM244" i="33"/>
  <c r="CN244" i="33" s="1"/>
  <c r="CM243" i="33"/>
  <c r="CN243" i="33" s="1"/>
  <c r="CM242" i="33"/>
  <c r="CN242" i="33" s="1"/>
  <c r="CM241" i="33"/>
  <c r="CN241" i="33" s="1"/>
  <c r="CM240" i="33"/>
  <c r="CN240" i="33" s="1"/>
  <c r="CM239" i="33"/>
  <c r="CN239" i="33" s="1"/>
  <c r="CM238" i="33"/>
  <c r="CN238" i="33" s="1"/>
  <c r="CM237" i="33"/>
  <c r="CN237" i="33" s="1"/>
  <c r="CM236" i="33"/>
  <c r="CN236" i="33" s="1"/>
  <c r="CM235" i="33"/>
  <c r="CN235" i="33" s="1"/>
  <c r="CM234" i="33"/>
  <c r="CN234" i="33" s="1"/>
  <c r="CM233" i="33"/>
  <c r="CN233" i="33" s="1"/>
  <c r="CM232" i="33"/>
  <c r="CN232" i="33" s="1"/>
  <c r="CM231" i="33"/>
  <c r="CN231" i="33" s="1"/>
  <c r="CM230" i="33"/>
  <c r="CN230" i="33" s="1"/>
  <c r="CM229" i="33"/>
  <c r="CN229" i="33" s="1"/>
  <c r="CM228" i="33"/>
  <c r="CN228" i="33" s="1"/>
  <c r="CM227" i="33"/>
  <c r="CN227" i="33" s="1"/>
  <c r="CM226" i="33"/>
  <c r="CN226" i="33" s="1"/>
  <c r="CM225" i="33"/>
  <c r="CN225" i="33" s="1"/>
  <c r="CM224" i="33"/>
  <c r="CN224" i="33" s="1"/>
  <c r="CM223" i="33"/>
  <c r="CN223" i="33" s="1"/>
  <c r="CM222" i="33"/>
  <c r="CN222" i="33" s="1"/>
  <c r="CM221" i="33"/>
  <c r="CN221" i="33" s="1"/>
  <c r="CM220" i="33"/>
  <c r="CN220" i="33" s="1"/>
  <c r="CM219" i="33"/>
  <c r="CN219" i="33" s="1"/>
  <c r="CM218" i="33"/>
  <c r="CN218" i="33" s="1"/>
  <c r="CM217" i="33"/>
  <c r="CN217" i="33" s="1"/>
  <c r="CM216" i="33"/>
  <c r="CN216" i="33" s="1"/>
  <c r="CM215" i="33"/>
  <c r="CN215" i="33" s="1"/>
  <c r="CM214" i="33"/>
  <c r="CN214" i="33" s="1"/>
  <c r="CM213" i="33"/>
  <c r="CN213" i="33" s="1"/>
  <c r="CM212" i="33"/>
  <c r="CN212" i="33" s="1"/>
  <c r="CM211" i="33"/>
  <c r="CN211" i="33" s="1"/>
  <c r="CM210" i="33"/>
  <c r="CN210" i="33" s="1"/>
  <c r="CM209" i="33"/>
  <c r="CN209" i="33" s="1"/>
  <c r="CM208" i="33"/>
  <c r="CN208" i="33" s="1"/>
  <c r="CM207" i="33"/>
  <c r="CN207" i="33" s="1"/>
  <c r="CM206" i="33"/>
  <c r="CN206" i="33" s="1"/>
  <c r="CM205" i="33"/>
  <c r="CN205" i="33" s="1"/>
  <c r="CM204" i="33"/>
  <c r="CN204" i="33" s="1"/>
  <c r="CM203" i="33"/>
  <c r="CN203" i="33" s="1"/>
  <c r="CM202" i="33"/>
  <c r="CN202" i="33" s="1"/>
  <c r="CM201" i="33"/>
  <c r="CN201" i="33" s="1"/>
  <c r="CM200" i="33"/>
  <c r="CN200" i="33" s="1"/>
  <c r="CM199" i="33"/>
  <c r="CN199" i="33" s="1"/>
  <c r="CM198" i="33"/>
  <c r="CN198" i="33" s="1"/>
  <c r="CM197" i="33"/>
  <c r="CN197" i="33" s="1"/>
  <c r="CM196" i="33"/>
  <c r="CN196" i="33" s="1"/>
  <c r="CM195" i="33"/>
  <c r="CN195" i="33" s="1"/>
  <c r="CM194" i="33"/>
  <c r="CN194" i="33" s="1"/>
  <c r="CM193" i="33"/>
  <c r="CN193" i="33" s="1"/>
  <c r="CM192" i="33"/>
  <c r="CN192" i="33" s="1"/>
  <c r="CM191" i="33"/>
  <c r="CN191" i="33" s="1"/>
  <c r="CM190" i="33"/>
  <c r="CN190" i="33" s="1"/>
  <c r="CM189" i="33"/>
  <c r="CN189" i="33" s="1"/>
  <c r="CM188" i="33"/>
  <c r="CN188" i="33" s="1"/>
  <c r="CM187" i="33"/>
  <c r="CN187" i="33" s="1"/>
  <c r="CM186" i="33"/>
  <c r="CN186" i="33" s="1"/>
  <c r="CM185" i="33"/>
  <c r="CN185" i="33" s="1"/>
  <c r="CM184" i="33"/>
  <c r="CN184" i="33" s="1"/>
  <c r="CM183" i="33"/>
  <c r="CN183" i="33" s="1"/>
  <c r="CM182" i="33"/>
  <c r="CN182" i="33" s="1"/>
  <c r="CM181" i="33"/>
  <c r="CN181" i="33" s="1"/>
  <c r="CM180" i="33"/>
  <c r="CN180" i="33" s="1"/>
  <c r="CM179" i="33"/>
  <c r="CN179" i="33" s="1"/>
  <c r="CM178" i="33"/>
  <c r="CN178" i="33" s="1"/>
  <c r="CM177" i="33"/>
  <c r="CN177" i="33" s="1"/>
  <c r="CM176" i="33"/>
  <c r="CN176" i="33" s="1"/>
  <c r="CM175" i="33"/>
  <c r="CN175" i="33" s="1"/>
  <c r="CM174" i="33"/>
  <c r="CN174" i="33" s="1"/>
  <c r="CM173" i="33"/>
  <c r="CN173" i="33" s="1"/>
  <c r="CM172" i="33"/>
  <c r="CN172" i="33" s="1"/>
  <c r="CM171" i="33"/>
  <c r="CN171" i="33" s="1"/>
  <c r="CM170" i="33"/>
  <c r="CN170" i="33" s="1"/>
  <c r="CM169" i="33"/>
  <c r="CN169" i="33" s="1"/>
  <c r="CM168" i="33"/>
  <c r="CN168" i="33" s="1"/>
  <c r="CM167" i="33"/>
  <c r="CN167" i="33" s="1"/>
  <c r="CM166" i="33"/>
  <c r="CN166" i="33" s="1"/>
  <c r="CM165" i="33"/>
  <c r="CN165" i="33" s="1"/>
  <c r="CM164" i="33"/>
  <c r="CN164" i="33" s="1"/>
  <c r="CM163" i="33"/>
  <c r="CN163" i="33" s="1"/>
  <c r="CM162" i="33"/>
  <c r="CN162" i="33" s="1"/>
  <c r="CM161" i="33"/>
  <c r="CN161" i="33" s="1"/>
  <c r="CM160" i="33"/>
  <c r="CN160" i="33" s="1"/>
  <c r="CM159" i="33"/>
  <c r="CN159" i="33" s="1"/>
  <c r="CM158" i="33"/>
  <c r="CN158" i="33" s="1"/>
  <c r="CM157" i="33"/>
  <c r="CN157" i="33" s="1"/>
  <c r="CM156" i="33"/>
  <c r="CN156" i="33" s="1"/>
  <c r="CM155" i="33"/>
  <c r="CN155" i="33" s="1"/>
  <c r="CM154" i="33"/>
  <c r="CN154" i="33" s="1"/>
  <c r="CM153" i="33"/>
  <c r="CN153" i="33" s="1"/>
  <c r="CM152" i="33"/>
  <c r="CN152" i="33" s="1"/>
  <c r="CM151" i="33"/>
  <c r="CN151" i="33" s="1"/>
  <c r="CM150" i="33"/>
  <c r="CN150" i="33" s="1"/>
  <c r="CM149" i="33"/>
  <c r="CN149" i="33" s="1"/>
  <c r="CM148" i="33"/>
  <c r="CN148" i="33" s="1"/>
  <c r="CM147" i="33"/>
  <c r="CN147" i="33" s="1"/>
  <c r="CM146" i="33"/>
  <c r="CN146" i="33" s="1"/>
  <c r="CM145" i="33"/>
  <c r="CN145" i="33" s="1"/>
  <c r="CM144" i="33"/>
  <c r="CN144" i="33" s="1"/>
  <c r="DK143" i="33"/>
  <c r="DG143" i="33"/>
  <c r="DF143" i="33"/>
  <c r="DE143" i="33"/>
  <c r="DC143" i="33"/>
  <c r="CZ143" i="33"/>
  <c r="CI143" i="33"/>
  <c r="BK143" i="33"/>
  <c r="BJ143" i="33"/>
  <c r="AF143" i="33"/>
  <c r="Y143" i="33"/>
  <c r="X143" i="33"/>
  <c r="DM142" i="33"/>
  <c r="DL142" i="33"/>
  <c r="DJ142" i="33"/>
  <c r="DD142" i="33"/>
  <c r="CV142" i="33"/>
  <c r="CG142" i="33"/>
  <c r="CH142" i="33" s="1"/>
  <c r="CA142" i="33"/>
  <c r="CD142" i="33" s="1"/>
  <c r="BZ142" i="33"/>
  <c r="BW142" i="33"/>
  <c r="BX142" i="33" s="1"/>
  <c r="BY142" i="33" s="1"/>
  <c r="AL142" i="33"/>
  <c r="AQ142" i="33" s="1"/>
  <c r="AG142" i="33"/>
  <c r="Z142" i="33"/>
  <c r="CJ142" i="33" s="1"/>
  <c r="R142" i="33"/>
  <c r="DL141" i="33"/>
  <c r="DJ141" i="33"/>
  <c r="BP141" i="33"/>
  <c r="BN141" i="33"/>
  <c r="BM141" i="33"/>
  <c r="BL141" i="33"/>
  <c r="BI141" i="33"/>
  <c r="AK141" i="33"/>
  <c r="AU141" i="33" s="1"/>
  <c r="AJ141" i="33"/>
  <c r="AT141" i="33" s="1"/>
  <c r="AI141" i="33"/>
  <c r="AS141" i="33" s="1"/>
  <c r="AE141" i="33"/>
  <c r="W141" i="33"/>
  <c r="CR141" i="33" s="1"/>
  <c r="S141" i="33"/>
  <c r="R141" i="33"/>
  <c r="Q141" i="33"/>
  <c r="P141" i="33"/>
  <c r="BT141" i="33" s="1"/>
  <c r="O141" i="33"/>
  <c r="N141" i="33"/>
  <c r="DD141" i="33" s="1"/>
  <c r="DM140" i="33"/>
  <c r="DL140" i="33"/>
  <c r="DD140" i="33"/>
  <c r="BW140" i="33"/>
  <c r="BP140" i="33"/>
  <c r="BO140" i="33"/>
  <c r="BN140" i="33"/>
  <c r="BL140" i="33"/>
  <c r="BI140" i="33"/>
  <c r="AM140" i="33"/>
  <c r="AW140" i="33" s="1"/>
  <c r="AL140" i="33"/>
  <c r="AV140" i="33" s="1"/>
  <c r="AK140" i="33"/>
  <c r="AU140" i="33" s="1"/>
  <c r="AI140" i="33"/>
  <c r="AB140" i="33"/>
  <c r="AG140" i="33" s="1"/>
  <c r="CK140" i="33" s="1"/>
  <c r="U140" i="33"/>
  <c r="O140" i="33"/>
  <c r="P140" i="33" s="1"/>
  <c r="DM139" i="33"/>
  <c r="DL139" i="33"/>
  <c r="DJ139" i="33"/>
  <c r="DD139" i="33"/>
  <c r="CU139" i="33"/>
  <c r="CR139" i="33"/>
  <c r="CG139" i="33"/>
  <c r="BW139" i="33"/>
  <c r="BV139" i="33"/>
  <c r="BU139" i="33"/>
  <c r="BT139" i="33"/>
  <c r="BS139" i="33"/>
  <c r="BP139" i="33"/>
  <c r="BO139" i="33"/>
  <c r="BN139" i="33"/>
  <c r="BM139" i="33"/>
  <c r="BL139" i="33"/>
  <c r="AM139" i="33"/>
  <c r="AL139" i="33"/>
  <c r="AV139" i="33" s="1"/>
  <c r="AK139" i="33"/>
  <c r="AJ139" i="33"/>
  <c r="AI139" i="33"/>
  <c r="AS139" i="33" s="1"/>
  <c r="AG139" i="33"/>
  <c r="CK139" i="33" s="1"/>
  <c r="Z139" i="33"/>
  <c r="DD138" i="33"/>
  <c r="CU138" i="33"/>
  <c r="CR138" i="33"/>
  <c r="CG138" i="33"/>
  <c r="BW138" i="33"/>
  <c r="BV138" i="33"/>
  <c r="BU138" i="33"/>
  <c r="BT138" i="33"/>
  <c r="BS138" i="33"/>
  <c r="BP138" i="33"/>
  <c r="BO138" i="33"/>
  <c r="BN138" i="33"/>
  <c r="BM138" i="33"/>
  <c r="BL138" i="33"/>
  <c r="AN138" i="33"/>
  <c r="AL138" i="33"/>
  <c r="BC138" i="33" s="1"/>
  <c r="AK138" i="33"/>
  <c r="AJ138" i="33"/>
  <c r="AG138" i="33"/>
  <c r="CK138" i="33" s="1"/>
  <c r="Z138" i="33"/>
  <c r="DM137" i="33"/>
  <c r="DL137" i="33"/>
  <c r="DJ137" i="33"/>
  <c r="CU137" i="33"/>
  <c r="CR137" i="33"/>
  <c r="CG137" i="33"/>
  <c r="BW137" i="33"/>
  <c r="BV137" i="33"/>
  <c r="BU137" i="33"/>
  <c r="BT137" i="33"/>
  <c r="BS137" i="33"/>
  <c r="BP137" i="33"/>
  <c r="BO137" i="33"/>
  <c r="BN137" i="33"/>
  <c r="BM137" i="33"/>
  <c r="BL137" i="33"/>
  <c r="AN137" i="33"/>
  <c r="AM137" i="33"/>
  <c r="BD137" i="33" s="1"/>
  <c r="AL137" i="33"/>
  <c r="BC137" i="33" s="1"/>
  <c r="AK137" i="33"/>
  <c r="AJ137" i="33"/>
  <c r="AI137" i="33"/>
  <c r="AZ137" i="33" s="1"/>
  <c r="AG137" i="33"/>
  <c r="Z137" i="33"/>
  <c r="N137" i="33"/>
  <c r="DD137" i="33" s="1"/>
  <c r="H137" i="33"/>
  <c r="DL136" i="33"/>
  <c r="BT136" i="33"/>
  <c r="BP136" i="33"/>
  <c r="BM136" i="33"/>
  <c r="BL136" i="33"/>
  <c r="BI136" i="33"/>
  <c r="AM136" i="33"/>
  <c r="AW136" i="33" s="1"/>
  <c r="AJ136" i="33"/>
  <c r="AI136" i="33"/>
  <c r="AD136" i="33"/>
  <c r="AC136" i="33"/>
  <c r="W136" i="33"/>
  <c r="BO136" i="33" s="1"/>
  <c r="V136" i="33"/>
  <c r="Q136" i="33"/>
  <c r="N136" i="33"/>
  <c r="O136" i="33" s="1"/>
  <c r="DM135" i="33"/>
  <c r="DL135" i="33"/>
  <c r="BW135" i="33"/>
  <c r="BU135" i="33"/>
  <c r="BT135" i="33"/>
  <c r="BP135" i="33"/>
  <c r="BO135" i="33"/>
  <c r="BN135" i="33"/>
  <c r="BM135" i="33"/>
  <c r="BG135" i="33"/>
  <c r="AM135" i="33"/>
  <c r="BD135" i="33" s="1"/>
  <c r="AL135" i="33"/>
  <c r="AV135" i="33" s="1"/>
  <c r="AK135" i="33"/>
  <c r="AJ135" i="33"/>
  <c r="AT135" i="33" s="1"/>
  <c r="AA135" i="33"/>
  <c r="AG135" i="33" s="1"/>
  <c r="T135" i="33"/>
  <c r="N135" i="33"/>
  <c r="O135" i="33" s="1"/>
  <c r="I135" i="33"/>
  <c r="DM134" i="33"/>
  <c r="DL134" i="33"/>
  <c r="DJ134" i="33"/>
  <c r="DD134" i="33"/>
  <c r="CU134" i="33"/>
  <c r="CR134" i="33"/>
  <c r="CG134" i="33"/>
  <c r="BW134" i="33"/>
  <c r="BV134" i="33"/>
  <c r="BU134" i="33"/>
  <c r="BT134" i="33"/>
  <c r="BS134" i="33"/>
  <c r="BP134" i="33"/>
  <c r="BO134" i="33"/>
  <c r="BN134" i="33"/>
  <c r="BM134" i="33"/>
  <c r="BL134" i="33"/>
  <c r="AM134" i="33"/>
  <c r="AW134" i="33" s="1"/>
  <c r="AL134" i="33"/>
  <c r="BC134" i="33" s="1"/>
  <c r="AK134" i="33"/>
  <c r="AU134" i="33" s="1"/>
  <c r="AJ134" i="33"/>
  <c r="AI134" i="33"/>
  <c r="AG134" i="33"/>
  <c r="CK134" i="33" s="1"/>
  <c r="Z134" i="33"/>
  <c r="CJ134" i="33" s="1"/>
  <c r="DM133" i="33"/>
  <c r="DL133" i="33"/>
  <c r="DJ133" i="33"/>
  <c r="DD133" i="33"/>
  <c r="CU133" i="33"/>
  <c r="CR133" i="33"/>
  <c r="CG133" i="33"/>
  <c r="BW133" i="33"/>
  <c r="BV133" i="33"/>
  <c r="BU133" i="33"/>
  <c r="BT133" i="33"/>
  <c r="BS133" i="33"/>
  <c r="BP133" i="33"/>
  <c r="BO133" i="33"/>
  <c r="BN133" i="33"/>
  <c r="BM133" i="33"/>
  <c r="BL133" i="33"/>
  <c r="BI133" i="33"/>
  <c r="AM133" i="33"/>
  <c r="AW133" i="33" s="1"/>
  <c r="AL133" i="33"/>
  <c r="BC133" i="33" s="1"/>
  <c r="AK133" i="33"/>
  <c r="AU133" i="33" s="1"/>
  <c r="AJ133" i="33"/>
  <c r="AI133" i="33"/>
  <c r="AG133" i="33"/>
  <c r="Z133" i="33"/>
  <c r="CJ133" i="33" s="1"/>
  <c r="DM132" i="33"/>
  <c r="DL132" i="33"/>
  <c r="DJ132" i="33"/>
  <c r="DD132" i="33"/>
  <c r="CU132" i="33"/>
  <c r="CR132" i="33"/>
  <c r="CG132" i="33"/>
  <c r="BW132" i="33"/>
  <c r="BV132" i="33"/>
  <c r="BU132" i="33"/>
  <c r="BT132" i="33"/>
  <c r="BS132" i="33"/>
  <c r="BP132" i="33"/>
  <c r="BO132" i="33"/>
  <c r="BN132" i="33"/>
  <c r="BM132" i="33"/>
  <c r="BZ132" i="33" s="1"/>
  <c r="BL132" i="33"/>
  <c r="BI132" i="33"/>
  <c r="AM132" i="33"/>
  <c r="AW132" i="33" s="1"/>
  <c r="AL132" i="33"/>
  <c r="BC132" i="33" s="1"/>
  <c r="AK132" i="33"/>
  <c r="AU132" i="33" s="1"/>
  <c r="AJ132" i="33"/>
  <c r="AT132" i="33" s="1"/>
  <c r="AI132" i="33"/>
  <c r="AG132" i="33"/>
  <c r="Z132" i="33"/>
  <c r="DM131" i="33"/>
  <c r="DL131" i="33"/>
  <c r="DJ131" i="33"/>
  <c r="CU131" i="33"/>
  <c r="CR131" i="33"/>
  <c r="CJ131" i="33"/>
  <c r="CG131" i="33"/>
  <c r="BV131" i="33"/>
  <c r="BU131" i="33"/>
  <c r="BT131" i="33"/>
  <c r="BS131" i="33"/>
  <c r="BO131" i="33"/>
  <c r="BN131" i="33"/>
  <c r="CA131" i="33" s="1"/>
  <c r="BM131" i="33"/>
  <c r="BL131" i="33"/>
  <c r="BI131" i="33"/>
  <c r="AM131" i="33"/>
  <c r="AW131" i="33" s="1"/>
  <c r="AL131" i="33"/>
  <c r="AK131" i="33"/>
  <c r="AJ131" i="33"/>
  <c r="AI131" i="33"/>
  <c r="AH131" i="33"/>
  <c r="N131" i="33"/>
  <c r="CK131" i="33" s="1"/>
  <c r="DM130" i="33"/>
  <c r="DL130" i="33"/>
  <c r="DJ130" i="33"/>
  <c r="DD130" i="33"/>
  <c r="CU130" i="33"/>
  <c r="CR130" i="33"/>
  <c r="CG130" i="33"/>
  <c r="BW130" i="33"/>
  <c r="BV130" i="33"/>
  <c r="BU130" i="33"/>
  <c r="BT130" i="33"/>
  <c r="BS130" i="33"/>
  <c r="BP130" i="33"/>
  <c r="BO130" i="33"/>
  <c r="BN130" i="33"/>
  <c r="BM130" i="33"/>
  <c r="BZ130" i="33" s="1"/>
  <c r="BL130" i="33"/>
  <c r="BI130" i="33"/>
  <c r="AN130" i="33"/>
  <c r="AM130" i="33"/>
  <c r="AL130" i="33"/>
  <c r="AV130" i="33" s="1"/>
  <c r="AK130" i="33"/>
  <c r="BB130" i="33" s="1"/>
  <c r="AJ130" i="33"/>
  <c r="BA130" i="33" s="1"/>
  <c r="AI130" i="33"/>
  <c r="AG130" i="33"/>
  <c r="CK130" i="33" s="1"/>
  <c r="Z130" i="33"/>
  <c r="DM129" i="33"/>
  <c r="DL129" i="33"/>
  <c r="DJ129" i="33"/>
  <c r="CR129" i="33"/>
  <c r="BW129" i="33"/>
  <c r="BV129" i="33"/>
  <c r="BU129" i="33"/>
  <c r="BT129" i="33"/>
  <c r="BP129" i="33"/>
  <c r="BO129" i="33"/>
  <c r="BN129" i="33"/>
  <c r="BM129" i="33"/>
  <c r="BL129" i="33"/>
  <c r="BG129" i="33"/>
  <c r="AM129" i="33"/>
  <c r="AL129" i="33"/>
  <c r="AK129" i="33"/>
  <c r="AU129" i="33" s="1"/>
  <c r="AJ129" i="33"/>
  <c r="AI129" i="33"/>
  <c r="AG129" i="33"/>
  <c r="Z129" i="33"/>
  <c r="O129" i="33"/>
  <c r="CU129" i="33" s="1"/>
  <c r="N129" i="33"/>
  <c r="DD129" i="33" s="1"/>
  <c r="DL128" i="33"/>
  <c r="CR128" i="33"/>
  <c r="BU128" i="33"/>
  <c r="BT128" i="33"/>
  <c r="BP128" i="33"/>
  <c r="BO128" i="33"/>
  <c r="BN128" i="33"/>
  <c r="BM128" i="33"/>
  <c r="BL128" i="33"/>
  <c r="BI128" i="33"/>
  <c r="AM128" i="33"/>
  <c r="AW128" i="33" s="1"/>
  <c r="AL128" i="33"/>
  <c r="AV128" i="33" s="1"/>
  <c r="AK128" i="33"/>
  <c r="AJ128" i="33"/>
  <c r="AT128" i="33" s="1"/>
  <c r="AI128" i="33"/>
  <c r="AG128" i="33"/>
  <c r="Z128" i="33"/>
  <c r="S128" i="33"/>
  <c r="N128" i="33"/>
  <c r="DD128" i="33" s="1"/>
  <c r="DM127" i="33"/>
  <c r="DL127" i="33"/>
  <c r="DJ127" i="33"/>
  <c r="DD127" i="33"/>
  <c r="CU127" i="33"/>
  <c r="CR127" i="33"/>
  <c r="CG127" i="33"/>
  <c r="BW127" i="33"/>
  <c r="BV127" i="33"/>
  <c r="BU127" i="33"/>
  <c r="BT127" i="33"/>
  <c r="BS127" i="33"/>
  <c r="BP127" i="33"/>
  <c r="BO127" i="33"/>
  <c r="BN127" i="33"/>
  <c r="BM127" i="33"/>
  <c r="BL127" i="33"/>
  <c r="BI127" i="33"/>
  <c r="AN127" i="33"/>
  <c r="AM127" i="33"/>
  <c r="AW127" i="33" s="1"/>
  <c r="AL127" i="33"/>
  <c r="BC127" i="33" s="1"/>
  <c r="AK127" i="33"/>
  <c r="AU127" i="33" s="1"/>
  <c r="AJ127" i="33"/>
  <c r="AI127" i="33"/>
  <c r="AZ127" i="33" s="1"/>
  <c r="AG127" i="33"/>
  <c r="CK127" i="33" s="1"/>
  <c r="Z127" i="33"/>
  <c r="DM126" i="33"/>
  <c r="DL126" i="33"/>
  <c r="DJ126" i="33"/>
  <c r="DD126" i="33"/>
  <c r="CU126" i="33"/>
  <c r="CR126" i="33"/>
  <c r="CG126" i="33"/>
  <c r="BW126" i="33"/>
  <c r="BV126" i="33"/>
  <c r="BU126" i="33"/>
  <c r="BT126" i="33"/>
  <c r="BS126" i="33"/>
  <c r="BP126" i="33"/>
  <c r="BO126" i="33"/>
  <c r="BN126" i="33"/>
  <c r="BM126" i="33"/>
  <c r="BL126" i="33"/>
  <c r="BI126" i="33"/>
  <c r="AM126" i="33"/>
  <c r="AL126" i="33"/>
  <c r="AV126" i="33" s="1"/>
  <c r="AK126" i="33"/>
  <c r="BB126" i="33" s="1"/>
  <c r="AJ126" i="33"/>
  <c r="AI126" i="33"/>
  <c r="AG126" i="33"/>
  <c r="CK126" i="33" s="1"/>
  <c r="Z126" i="33"/>
  <c r="DM125" i="33"/>
  <c r="DL125" i="33"/>
  <c r="DJ125" i="33"/>
  <c r="DD125" i="33"/>
  <c r="CU125" i="33"/>
  <c r="CR125" i="33"/>
  <c r="CG125" i="33"/>
  <c r="BW125" i="33"/>
  <c r="BV125" i="33"/>
  <c r="BU125" i="33"/>
  <c r="BT125" i="33"/>
  <c r="BS125" i="33"/>
  <c r="BP125" i="33"/>
  <c r="BO125" i="33"/>
  <c r="BN125" i="33"/>
  <c r="BM125" i="33"/>
  <c r="BL125" i="33"/>
  <c r="BI125" i="33"/>
  <c r="AM125" i="33"/>
  <c r="AL125" i="33"/>
  <c r="AV125" i="33" s="1"/>
  <c r="AK125" i="33"/>
  <c r="AJ125" i="33"/>
  <c r="AI125" i="33"/>
  <c r="AG125" i="33"/>
  <c r="CK125" i="33" s="1"/>
  <c r="Z125" i="33"/>
  <c r="DM124" i="33"/>
  <c r="DL124" i="33"/>
  <c r="DJ124" i="33"/>
  <c r="DD124" i="33"/>
  <c r="CU124" i="33"/>
  <c r="CR124" i="33"/>
  <c r="CG124" i="33"/>
  <c r="BW124" i="33"/>
  <c r="BV124" i="33"/>
  <c r="BU124" i="33"/>
  <c r="BT124" i="33"/>
  <c r="BS124" i="33"/>
  <c r="BP124" i="33"/>
  <c r="BO124" i="33"/>
  <c r="BN124" i="33"/>
  <c r="BM124" i="33"/>
  <c r="BL124" i="33"/>
  <c r="BI124" i="33"/>
  <c r="AM124" i="33"/>
  <c r="BD124" i="33" s="1"/>
  <c r="AL124" i="33"/>
  <c r="AV124" i="33" s="1"/>
  <c r="AK124" i="33"/>
  <c r="AJ124" i="33"/>
  <c r="AI124" i="33"/>
  <c r="AG124" i="33"/>
  <c r="CK124" i="33" s="1"/>
  <c r="Z124" i="33"/>
  <c r="DM123" i="33"/>
  <c r="DL123" i="33"/>
  <c r="DJ123" i="33"/>
  <c r="DD123" i="33"/>
  <c r="CU123" i="33"/>
  <c r="BW123" i="33"/>
  <c r="BV123" i="33"/>
  <c r="BU123" i="33"/>
  <c r="BT123" i="33"/>
  <c r="BS123" i="33"/>
  <c r="BP123" i="33"/>
  <c r="BO123" i="33"/>
  <c r="BN123" i="33"/>
  <c r="BL123" i="33"/>
  <c r="BI123" i="33"/>
  <c r="AM123" i="33"/>
  <c r="AL123" i="33"/>
  <c r="AV123" i="33" s="1"/>
  <c r="AK123" i="33"/>
  <c r="AI123" i="33"/>
  <c r="AS123" i="33" s="1"/>
  <c r="AG123" i="33"/>
  <c r="CK123" i="33" s="1"/>
  <c r="U123" i="33"/>
  <c r="DM122" i="33"/>
  <c r="DL122" i="33"/>
  <c r="DJ122" i="33"/>
  <c r="CU122" i="33"/>
  <c r="CR122" i="33"/>
  <c r="CG122" i="33"/>
  <c r="BW122" i="33"/>
  <c r="BV122" i="33"/>
  <c r="BU122" i="33"/>
  <c r="BT122" i="33"/>
  <c r="BS122" i="33"/>
  <c r="BP122" i="33"/>
  <c r="BO122" i="33"/>
  <c r="BN122" i="33"/>
  <c r="BM122" i="33"/>
  <c r="BL122" i="33"/>
  <c r="BI122" i="33"/>
  <c r="AM122" i="33"/>
  <c r="AW122" i="33" s="1"/>
  <c r="AL122" i="33"/>
  <c r="BC122" i="33" s="1"/>
  <c r="AK122" i="33"/>
  <c r="AU122" i="33" s="1"/>
  <c r="AJ122" i="33"/>
  <c r="AI122" i="33"/>
  <c r="Z122" i="33"/>
  <c r="AH122" i="33" s="1"/>
  <c r="N122" i="33"/>
  <c r="DD122" i="33" s="1"/>
  <c r="H122" i="33"/>
  <c r="DM121" i="33"/>
  <c r="DL121" i="33"/>
  <c r="DJ121" i="33"/>
  <c r="DD121" i="33"/>
  <c r="CU121" i="33"/>
  <c r="CR121" i="33"/>
  <c r="CK121" i="33"/>
  <c r="CG121" i="33"/>
  <c r="BW121" i="33"/>
  <c r="BU121" i="33"/>
  <c r="BT121" i="33"/>
  <c r="BS121" i="33"/>
  <c r="BP121" i="33"/>
  <c r="BN121" i="33"/>
  <c r="BM121" i="33"/>
  <c r="BL121" i="33"/>
  <c r="BI121" i="33"/>
  <c r="AM121" i="33"/>
  <c r="AL121" i="33"/>
  <c r="AV121" i="33" s="1"/>
  <c r="AK121" i="33"/>
  <c r="BB121" i="33" s="1"/>
  <c r="AJ121" i="33"/>
  <c r="AI121" i="33"/>
  <c r="AS121" i="33" s="1"/>
  <c r="Z121" i="33"/>
  <c r="AH121" i="33" s="1"/>
  <c r="CM121" i="33" s="1"/>
  <c r="H121" i="33"/>
  <c r="DM120" i="33"/>
  <c r="DL120" i="33"/>
  <c r="DJ120" i="33"/>
  <c r="CU120" i="33"/>
  <c r="CR120" i="33"/>
  <c r="CG120" i="33"/>
  <c r="BW120" i="33"/>
  <c r="BV120" i="33"/>
  <c r="BU120" i="33"/>
  <c r="BT120" i="33"/>
  <c r="BS120" i="33"/>
  <c r="BP120" i="33"/>
  <c r="BO120" i="33"/>
  <c r="BN120" i="33"/>
  <c r="BM120" i="33"/>
  <c r="BL120" i="33"/>
  <c r="BI120" i="33"/>
  <c r="AM120" i="33"/>
  <c r="BD120" i="33" s="1"/>
  <c r="AL120" i="33"/>
  <c r="AK120" i="33"/>
  <c r="BB120" i="33" s="1"/>
  <c r="AJ120" i="33"/>
  <c r="AI120" i="33"/>
  <c r="AS120" i="33" s="1"/>
  <c r="AG120" i="33"/>
  <c r="Z120" i="33"/>
  <c r="N120" i="33"/>
  <c r="DD120" i="33" s="1"/>
  <c r="DM119" i="33"/>
  <c r="DL119" i="33"/>
  <c r="DJ119" i="33"/>
  <c r="CY119" i="33"/>
  <c r="CF119" i="33"/>
  <c r="CE119" i="33"/>
  <c r="CD119" i="33"/>
  <c r="R119" i="33"/>
  <c r="O119" i="33"/>
  <c r="N119" i="33"/>
  <c r="L119" i="33"/>
  <c r="J119" i="33"/>
  <c r="CX119" i="33" s="1"/>
  <c r="I119" i="33"/>
  <c r="H119" i="33"/>
  <c r="DA119" i="33" s="1"/>
  <c r="DM118" i="33"/>
  <c r="DL118" i="33"/>
  <c r="BW118" i="33"/>
  <c r="BU118" i="33"/>
  <c r="BT118" i="33"/>
  <c r="BP118" i="33"/>
  <c r="BO118" i="33"/>
  <c r="BN118" i="33"/>
  <c r="BM118" i="33"/>
  <c r="BG118" i="33"/>
  <c r="AM118" i="33"/>
  <c r="AL118" i="33"/>
  <c r="AV118" i="33" s="1"/>
  <c r="AK118" i="33"/>
  <c r="BB118" i="33" s="1"/>
  <c r="AJ118" i="33"/>
  <c r="BA118" i="33" s="1"/>
  <c r="AI118" i="33"/>
  <c r="AG118" i="33"/>
  <c r="Z118" i="33"/>
  <c r="N118" i="33"/>
  <c r="I118" i="33"/>
  <c r="DM117" i="33"/>
  <c r="DL117" i="33"/>
  <c r="BW117" i="33"/>
  <c r="BU117" i="33"/>
  <c r="BT117" i="33"/>
  <c r="BP117" i="33"/>
  <c r="BO117" i="33"/>
  <c r="BN117" i="33"/>
  <c r="BM117" i="33"/>
  <c r="BG117" i="33"/>
  <c r="AM117" i="33"/>
  <c r="AW117" i="33" s="1"/>
  <c r="AL117" i="33"/>
  <c r="AK117" i="33"/>
  <c r="AU117" i="33" s="1"/>
  <c r="AJ117" i="33"/>
  <c r="AT117" i="33" s="1"/>
  <c r="AI117" i="33"/>
  <c r="AG117" i="33"/>
  <c r="Z117" i="33"/>
  <c r="CJ117" i="33" s="1"/>
  <c r="N117" i="33"/>
  <c r="I117" i="33"/>
  <c r="BL117" i="33" s="1"/>
  <c r="DM116" i="33"/>
  <c r="DL116" i="33"/>
  <c r="BW116" i="33"/>
  <c r="BU116" i="33"/>
  <c r="BT116" i="33"/>
  <c r="BP116" i="33"/>
  <c r="BO116" i="33"/>
  <c r="BN116" i="33"/>
  <c r="BM116" i="33"/>
  <c r="BG116" i="33"/>
  <c r="AM116" i="33"/>
  <c r="BD116" i="33" s="1"/>
  <c r="AL116" i="33"/>
  <c r="AV116" i="33" s="1"/>
  <c r="AK116" i="33"/>
  <c r="BB116" i="33" s="1"/>
  <c r="AJ116" i="33"/>
  <c r="AI116" i="33"/>
  <c r="AG116" i="33"/>
  <c r="Z116" i="33"/>
  <c r="N116" i="33"/>
  <c r="I116" i="33"/>
  <c r="CR116" i="33" s="1"/>
  <c r="DM115" i="33"/>
  <c r="DL115" i="33"/>
  <c r="BW115" i="33"/>
  <c r="BU115" i="33"/>
  <c r="BT115" i="33"/>
  <c r="BP115" i="33"/>
  <c r="BO115" i="33"/>
  <c r="BN115" i="33"/>
  <c r="BM115" i="33"/>
  <c r="BG115" i="33"/>
  <c r="AM115" i="33"/>
  <c r="AW115" i="33" s="1"/>
  <c r="AL115" i="33"/>
  <c r="AK115" i="33"/>
  <c r="BB115" i="33" s="1"/>
  <c r="AJ115" i="33"/>
  <c r="BA115" i="33" s="1"/>
  <c r="AI115" i="33"/>
  <c r="AG115" i="33"/>
  <c r="Z115" i="33"/>
  <c r="CJ115" i="33" s="1"/>
  <c r="N115" i="33"/>
  <c r="I115" i="33"/>
  <c r="CR115" i="33" s="1"/>
  <c r="DM114" i="33"/>
  <c r="DL114" i="33"/>
  <c r="BW114" i="33"/>
  <c r="BU114" i="33"/>
  <c r="BT114" i="33"/>
  <c r="BP114" i="33"/>
  <c r="BO114" i="33"/>
  <c r="BN114" i="33"/>
  <c r="BM114" i="33"/>
  <c r="BG114" i="33"/>
  <c r="AM114" i="33"/>
  <c r="BD114" i="33" s="1"/>
  <c r="AL114" i="33"/>
  <c r="AV114" i="33" s="1"/>
  <c r="AK114" i="33"/>
  <c r="BB114" i="33" s="1"/>
  <c r="AJ114" i="33"/>
  <c r="AI114" i="33"/>
  <c r="AG114" i="33"/>
  <c r="Z114" i="33"/>
  <c r="N114" i="33"/>
  <c r="DD114" i="33" s="1"/>
  <c r="I114" i="33"/>
  <c r="CR114" i="33" s="1"/>
  <c r="DM113" i="33"/>
  <c r="DL113" i="33"/>
  <c r="BW113" i="33"/>
  <c r="BU113" i="33"/>
  <c r="BT113" i="33"/>
  <c r="BP113" i="33"/>
  <c r="BO113" i="33"/>
  <c r="BN113" i="33"/>
  <c r="BM113" i="33"/>
  <c r="BG113" i="33"/>
  <c r="AM113" i="33"/>
  <c r="AL113" i="33"/>
  <c r="AV113" i="33" s="1"/>
  <c r="AK113" i="33"/>
  <c r="AU113" i="33" s="1"/>
  <c r="AJ113" i="33"/>
  <c r="AI113" i="33"/>
  <c r="AG113" i="33"/>
  <c r="Z113" i="33"/>
  <c r="N113" i="33"/>
  <c r="DD113" i="33" s="1"/>
  <c r="I113" i="33"/>
  <c r="BL113" i="33" s="1"/>
  <c r="DM112" i="33"/>
  <c r="DL112" i="33"/>
  <c r="BW112" i="33"/>
  <c r="BU112" i="33"/>
  <c r="BT112" i="33"/>
  <c r="BP112" i="33"/>
  <c r="BO112" i="33"/>
  <c r="BN112" i="33"/>
  <c r="BM112" i="33"/>
  <c r="BG112" i="33"/>
  <c r="AM112" i="33"/>
  <c r="AL112" i="33"/>
  <c r="AK112" i="33"/>
  <c r="AJ112" i="33"/>
  <c r="AI112" i="33"/>
  <c r="AG112" i="33"/>
  <c r="Z112" i="33"/>
  <c r="N112" i="33"/>
  <c r="DD112" i="33" s="1"/>
  <c r="I112" i="33"/>
  <c r="BL112" i="33" s="1"/>
  <c r="DM111" i="33"/>
  <c r="DL111" i="33"/>
  <c r="BW111" i="33"/>
  <c r="BU111" i="33"/>
  <c r="BT111" i="33"/>
  <c r="BP111" i="33"/>
  <c r="BO111" i="33"/>
  <c r="BN111" i="33"/>
  <c r="BM111" i="33"/>
  <c r="BG111" i="33"/>
  <c r="AM111" i="33"/>
  <c r="AW111" i="33" s="1"/>
  <c r="AL111" i="33"/>
  <c r="AV111" i="33" s="1"/>
  <c r="AK111" i="33"/>
  <c r="BB111" i="33" s="1"/>
  <c r="AJ111" i="33"/>
  <c r="AI111" i="33"/>
  <c r="AG111" i="33"/>
  <c r="Z111" i="33"/>
  <c r="CJ111" i="33" s="1"/>
  <c r="N111" i="33"/>
  <c r="I111" i="33"/>
  <c r="CR111" i="33" s="1"/>
  <c r="DM110" i="33"/>
  <c r="DL110" i="33"/>
  <c r="BW110" i="33"/>
  <c r="BU110" i="33"/>
  <c r="BT110" i="33"/>
  <c r="BP110" i="33"/>
  <c r="BO110" i="33"/>
  <c r="BN110" i="33"/>
  <c r="BM110" i="33"/>
  <c r="BG110" i="33"/>
  <c r="AM110" i="33"/>
  <c r="AL110" i="33"/>
  <c r="AV110" i="33" s="1"/>
  <c r="AK110" i="33"/>
  <c r="BB110" i="33" s="1"/>
  <c r="AJ110" i="33"/>
  <c r="AA110" i="33"/>
  <c r="AG110" i="33" s="1"/>
  <c r="T110" i="33"/>
  <c r="N110" i="33"/>
  <c r="O110" i="33" s="1"/>
  <c r="I110" i="33"/>
  <c r="DM109" i="33"/>
  <c r="DL109" i="33"/>
  <c r="BW109" i="33"/>
  <c r="BU109" i="33"/>
  <c r="BT109" i="33"/>
  <c r="BP109" i="33"/>
  <c r="BO109" i="33"/>
  <c r="BN109" i="33"/>
  <c r="BM109" i="33"/>
  <c r="BG109" i="33"/>
  <c r="AM109" i="33"/>
  <c r="AW109" i="33" s="1"/>
  <c r="AL109" i="33"/>
  <c r="AV109" i="33" s="1"/>
  <c r="AK109" i="33"/>
  <c r="AJ109" i="33"/>
  <c r="BA109" i="33" s="1"/>
  <c r="AI109" i="33"/>
  <c r="AG109" i="33"/>
  <c r="Z109" i="33"/>
  <c r="CJ109" i="33" s="1"/>
  <c r="N109" i="33"/>
  <c r="I109" i="33"/>
  <c r="CR109" i="33" s="1"/>
  <c r="DM108" i="33"/>
  <c r="DL108" i="33"/>
  <c r="BW108" i="33"/>
  <c r="BU108" i="33"/>
  <c r="BT108" i="33"/>
  <c r="BP108" i="33"/>
  <c r="BO108" i="33"/>
  <c r="BN108" i="33"/>
  <c r="BM108" i="33"/>
  <c r="BG108" i="33"/>
  <c r="AM108" i="33"/>
  <c r="BD108" i="33" s="1"/>
  <c r="AL108" i="33"/>
  <c r="AV108" i="33" s="1"/>
  <c r="AK108" i="33"/>
  <c r="BB108" i="33" s="1"/>
  <c r="AJ108" i="33"/>
  <c r="BA108" i="33" s="1"/>
  <c r="AI108" i="33"/>
  <c r="AG108" i="33"/>
  <c r="Z108" i="33"/>
  <c r="CJ108" i="33" s="1"/>
  <c r="N108" i="33"/>
  <c r="O108" i="33" s="1"/>
  <c r="BS108" i="33" s="1"/>
  <c r="I108" i="33"/>
  <c r="DM107" i="33"/>
  <c r="DL107" i="33"/>
  <c r="BW107" i="33"/>
  <c r="BU107" i="33"/>
  <c r="BT107" i="33"/>
  <c r="BP107" i="33"/>
  <c r="BO107" i="33"/>
  <c r="BN107" i="33"/>
  <c r="BM107" i="33"/>
  <c r="BG107" i="33"/>
  <c r="AM107" i="33"/>
  <c r="AW107" i="33" s="1"/>
  <c r="AL107" i="33"/>
  <c r="AV107" i="33" s="1"/>
  <c r="AK107" i="33"/>
  <c r="AU107" i="33" s="1"/>
  <c r="AJ107" i="33"/>
  <c r="AI107" i="33"/>
  <c r="AG107" i="33"/>
  <c r="Z107" i="33"/>
  <c r="CJ107" i="33" s="1"/>
  <c r="N107" i="33"/>
  <c r="DD107" i="33" s="1"/>
  <c r="I107" i="33"/>
  <c r="BL107" i="33" s="1"/>
  <c r="DM106" i="33"/>
  <c r="DL106" i="33"/>
  <c r="BW106" i="33"/>
  <c r="BU106" i="33"/>
  <c r="BT106" i="33"/>
  <c r="BP106" i="33"/>
  <c r="BO106" i="33"/>
  <c r="BN106" i="33"/>
  <c r="BM106" i="33"/>
  <c r="BG106" i="33"/>
  <c r="AM106" i="33"/>
  <c r="AL106" i="33"/>
  <c r="AV106" i="33" s="1"/>
  <c r="AK106" i="33"/>
  <c r="AJ106" i="33"/>
  <c r="BA106" i="33" s="1"/>
  <c r="AI106" i="33"/>
  <c r="AG106" i="33"/>
  <c r="Z106" i="33"/>
  <c r="N106" i="33"/>
  <c r="I106" i="33"/>
  <c r="DM105" i="33"/>
  <c r="DL105" i="33"/>
  <c r="DJ105" i="33"/>
  <c r="DD105" i="33"/>
  <c r="CU105" i="33"/>
  <c r="CR105" i="33"/>
  <c r="CG105" i="33"/>
  <c r="BW105" i="33"/>
  <c r="BV105" i="33"/>
  <c r="BU105" i="33"/>
  <c r="BT105" i="33"/>
  <c r="BS105" i="33"/>
  <c r="BP105" i="33"/>
  <c r="BO105" i="33"/>
  <c r="BN105" i="33"/>
  <c r="BM105" i="33"/>
  <c r="BL105" i="33"/>
  <c r="AM105" i="33"/>
  <c r="AW105" i="33" s="1"/>
  <c r="AL105" i="33"/>
  <c r="AK105" i="33"/>
  <c r="AU105" i="33" s="1"/>
  <c r="AJ105" i="33"/>
  <c r="AI105" i="33"/>
  <c r="AZ105" i="33" s="1"/>
  <c r="AG105" i="33"/>
  <c r="CK105" i="33" s="1"/>
  <c r="Z105" i="33"/>
  <c r="CJ105" i="33" s="1"/>
  <c r="DM104" i="33"/>
  <c r="DL104" i="33"/>
  <c r="DJ104" i="33"/>
  <c r="DD104" i="33"/>
  <c r="CU104" i="33"/>
  <c r="CR104" i="33"/>
  <c r="CO104" i="33"/>
  <c r="CK104" i="33"/>
  <c r="CJ104" i="33"/>
  <c r="CG104" i="33"/>
  <c r="BW104" i="33"/>
  <c r="BV104" i="33"/>
  <c r="BU104" i="33"/>
  <c r="BT104" i="33"/>
  <c r="BS104" i="33"/>
  <c r="BP104" i="33"/>
  <c r="BO104" i="33"/>
  <c r="BN104" i="33"/>
  <c r="BM104" i="33"/>
  <c r="BL104" i="33"/>
  <c r="BI104" i="33"/>
  <c r="AM104" i="33"/>
  <c r="AW104" i="33" s="1"/>
  <c r="AL104" i="33"/>
  <c r="BC104" i="33" s="1"/>
  <c r="AK104" i="33"/>
  <c r="AU104" i="33" s="1"/>
  <c r="AJ104" i="33"/>
  <c r="AI104" i="33"/>
  <c r="AH104" i="33"/>
  <c r="CM104" i="33" s="1"/>
  <c r="DM103" i="33"/>
  <c r="DL103" i="33"/>
  <c r="DJ103" i="33"/>
  <c r="DD103" i="33"/>
  <c r="CU103" i="33"/>
  <c r="CR103" i="33"/>
  <c r="CG103" i="33"/>
  <c r="BW103" i="33"/>
  <c r="BV103" i="33"/>
  <c r="BU103" i="33"/>
  <c r="BT103" i="33"/>
  <c r="BS103" i="33"/>
  <c r="BP103" i="33"/>
  <c r="BO103" i="33"/>
  <c r="BN103" i="33"/>
  <c r="BM103" i="33"/>
  <c r="BL103" i="33"/>
  <c r="AM103" i="33"/>
  <c r="BD103" i="33" s="1"/>
  <c r="AL103" i="33"/>
  <c r="AV103" i="33" s="1"/>
  <c r="AK103" i="33"/>
  <c r="BB103" i="33" s="1"/>
  <c r="AJ103" i="33"/>
  <c r="AI103" i="33"/>
  <c r="AS103" i="33" s="1"/>
  <c r="AG103" i="33"/>
  <c r="CK103" i="33" s="1"/>
  <c r="Z103" i="33"/>
  <c r="CJ103" i="33" s="1"/>
  <c r="DM102" i="33"/>
  <c r="DL102" i="33"/>
  <c r="DJ102" i="33"/>
  <c r="DD102" i="33"/>
  <c r="CU102" i="33"/>
  <c r="CR102" i="33"/>
  <c r="CG102" i="33"/>
  <c r="BW102" i="33"/>
  <c r="BV102" i="33"/>
  <c r="BU102" i="33"/>
  <c r="BT102" i="33"/>
  <c r="BS102" i="33"/>
  <c r="BP102" i="33"/>
  <c r="BO102" i="33"/>
  <c r="BN102" i="33"/>
  <c r="BM102" i="33"/>
  <c r="BL102" i="33"/>
  <c r="AM102" i="33"/>
  <c r="AW102" i="33" s="1"/>
  <c r="AL102" i="33"/>
  <c r="BC102" i="33" s="1"/>
  <c r="AK102" i="33"/>
  <c r="AJ102" i="33"/>
  <c r="AT102" i="33" s="1"/>
  <c r="AI102" i="33"/>
  <c r="AG102" i="33"/>
  <c r="Z102" i="33"/>
  <c r="CJ102" i="33" s="1"/>
  <c r="DM101" i="33"/>
  <c r="DL101" i="33"/>
  <c r="BW101" i="33"/>
  <c r="BU101" i="33"/>
  <c r="BT101" i="33"/>
  <c r="BP101" i="33"/>
  <c r="BO101" i="33"/>
  <c r="BN101" i="33"/>
  <c r="BM101" i="33"/>
  <c r="BG101" i="33"/>
  <c r="AM101" i="33"/>
  <c r="BD101" i="33" s="1"/>
  <c r="AL101" i="33"/>
  <c r="AV101" i="33" s="1"/>
  <c r="AK101" i="33"/>
  <c r="BB101" i="33" s="1"/>
  <c r="AJ101" i="33"/>
  <c r="AI101" i="33"/>
  <c r="AG101" i="33"/>
  <c r="Z101" i="33"/>
  <c r="CJ101" i="33" s="1"/>
  <c r="N101" i="33"/>
  <c r="DD101" i="33" s="1"/>
  <c r="I101" i="33"/>
  <c r="DM100" i="33"/>
  <c r="DL100" i="33"/>
  <c r="BW100" i="33"/>
  <c r="BU100" i="33"/>
  <c r="BT100" i="33"/>
  <c r="BP100" i="33"/>
  <c r="BO100" i="33"/>
  <c r="BN100" i="33"/>
  <c r="BM100" i="33"/>
  <c r="BG100" i="33"/>
  <c r="AM100" i="33"/>
  <c r="AW100" i="33" s="1"/>
  <c r="AL100" i="33"/>
  <c r="AV100" i="33" s="1"/>
  <c r="AK100" i="33"/>
  <c r="AU100" i="33" s="1"/>
  <c r="AJ100" i="33"/>
  <c r="AI100" i="33"/>
  <c r="AG100" i="33"/>
  <c r="Z100" i="33"/>
  <c r="N100" i="33"/>
  <c r="DD100" i="33" s="1"/>
  <c r="I100" i="33"/>
  <c r="DJ99" i="33"/>
  <c r="AM99" i="33"/>
  <c r="AL99" i="33"/>
  <c r="AK99" i="33"/>
  <c r="AJ99" i="33"/>
  <c r="AI99" i="33"/>
  <c r="AG99" i="33"/>
  <c r="CK99" i="33" s="1"/>
  <c r="Z99" i="33"/>
  <c r="CJ99" i="33" s="1"/>
  <c r="DJ98" i="33"/>
  <c r="BS98" i="33"/>
  <c r="BL98" i="33"/>
  <c r="AM98" i="33"/>
  <c r="AL98" i="33"/>
  <c r="AK98" i="33"/>
  <c r="AJ98" i="33"/>
  <c r="AI98" i="33"/>
  <c r="AZ98" i="33" s="1"/>
  <c r="AG98" i="33"/>
  <c r="Z98" i="33"/>
  <c r="CJ98" i="33" s="1"/>
  <c r="DM97" i="33"/>
  <c r="DL97" i="33"/>
  <c r="DJ97" i="33"/>
  <c r="DD97" i="33"/>
  <c r="CU97" i="33"/>
  <c r="CR97" i="33"/>
  <c r="CG97" i="33"/>
  <c r="BW97" i="33"/>
  <c r="BV97" i="33"/>
  <c r="BU97" i="33"/>
  <c r="BT97" i="33"/>
  <c r="BS97" i="33"/>
  <c r="BP97" i="33"/>
  <c r="BO97" i="33"/>
  <c r="BN97" i="33"/>
  <c r="BM97" i="33"/>
  <c r="BL97" i="33"/>
  <c r="BI97" i="33"/>
  <c r="AM97" i="33"/>
  <c r="AW97" i="33" s="1"/>
  <c r="AL97" i="33"/>
  <c r="BC97" i="33" s="1"/>
  <c r="AK97" i="33"/>
  <c r="AU97" i="33" s="1"/>
  <c r="AJ97" i="33"/>
  <c r="AI97" i="33"/>
  <c r="AG97" i="33"/>
  <c r="CK97" i="33" s="1"/>
  <c r="Z97" i="33"/>
  <c r="CJ97" i="33" s="1"/>
  <c r="DM96" i="33"/>
  <c r="DL96" i="33"/>
  <c r="DJ96" i="33"/>
  <c r="DD96" i="33"/>
  <c r="CU96" i="33"/>
  <c r="CR96" i="33"/>
  <c r="CG96" i="33"/>
  <c r="BW96" i="33"/>
  <c r="BV96" i="33"/>
  <c r="BU96" i="33"/>
  <c r="BT96" i="33"/>
  <c r="BS96" i="33"/>
  <c r="BP96" i="33"/>
  <c r="BO96" i="33"/>
  <c r="BN96" i="33"/>
  <c r="BM96" i="33"/>
  <c r="BL96" i="33"/>
  <c r="BI96" i="33"/>
  <c r="AM96" i="33"/>
  <c r="AW96" i="33" s="1"/>
  <c r="AL96" i="33"/>
  <c r="BC96" i="33" s="1"/>
  <c r="AK96" i="33"/>
  <c r="AJ96" i="33"/>
  <c r="AT96" i="33" s="1"/>
  <c r="AI96" i="33"/>
  <c r="AG96" i="33"/>
  <c r="Z96" i="33"/>
  <c r="CJ96" i="33" s="1"/>
  <c r="DM95" i="33"/>
  <c r="DL95" i="33"/>
  <c r="BW95" i="33"/>
  <c r="BU95" i="33"/>
  <c r="BT95" i="33"/>
  <c r="BP95" i="33"/>
  <c r="BO95" i="33"/>
  <c r="BN95" i="33"/>
  <c r="BM95" i="33"/>
  <c r="BG95" i="33"/>
  <c r="AM95" i="33"/>
  <c r="AL95" i="33"/>
  <c r="AV95" i="33" s="1"/>
  <c r="AK95" i="33"/>
  <c r="BB95" i="33" s="1"/>
  <c r="AJ95" i="33"/>
  <c r="AI95" i="33"/>
  <c r="AG95" i="33"/>
  <c r="Z95" i="33"/>
  <c r="CJ95" i="33" s="1"/>
  <c r="N95" i="33"/>
  <c r="DD95" i="33" s="1"/>
  <c r="I95" i="33"/>
  <c r="DM94" i="33"/>
  <c r="DL94" i="33"/>
  <c r="BW94" i="33"/>
  <c r="BU94" i="33"/>
  <c r="BT94" i="33"/>
  <c r="BP94" i="33"/>
  <c r="BO94" i="33"/>
  <c r="BN94" i="33"/>
  <c r="BM94" i="33"/>
  <c r="BG94" i="33"/>
  <c r="AM94" i="33"/>
  <c r="AW94" i="33" s="1"/>
  <c r="AL94" i="33"/>
  <c r="AV94" i="33" s="1"/>
  <c r="AK94" i="33"/>
  <c r="AU94" i="33" s="1"/>
  <c r="AJ94" i="33"/>
  <c r="AI94" i="33"/>
  <c r="AG94" i="33"/>
  <c r="Z94" i="33"/>
  <c r="N94" i="33"/>
  <c r="DD94" i="33" s="1"/>
  <c r="I94" i="33"/>
  <c r="BL94" i="33" s="1"/>
  <c r="DM93" i="33"/>
  <c r="DL93" i="33"/>
  <c r="BW93" i="33"/>
  <c r="BU93" i="33"/>
  <c r="BT93" i="33"/>
  <c r="BP93" i="33"/>
  <c r="BO93" i="33"/>
  <c r="BN93" i="33"/>
  <c r="BM93" i="33"/>
  <c r="BG93" i="33"/>
  <c r="AM93" i="33"/>
  <c r="BD93" i="33" s="1"/>
  <c r="AL93" i="33"/>
  <c r="AV93" i="33" s="1"/>
  <c r="AK93" i="33"/>
  <c r="BB93" i="33" s="1"/>
  <c r="AJ93" i="33"/>
  <c r="AT93" i="33" s="1"/>
  <c r="AI93" i="33"/>
  <c r="AG93" i="33"/>
  <c r="Z93" i="33"/>
  <c r="N93" i="33"/>
  <c r="O93" i="33" s="1"/>
  <c r="I93" i="33"/>
  <c r="BL93" i="33" s="1"/>
  <c r="DM92" i="33"/>
  <c r="DL92" i="33"/>
  <c r="BW92" i="33"/>
  <c r="BU92" i="33"/>
  <c r="BT92" i="33"/>
  <c r="BP92" i="33"/>
  <c r="BO92" i="33"/>
  <c r="BN92" i="33"/>
  <c r="BM92" i="33"/>
  <c r="BG92" i="33"/>
  <c r="AM92" i="33"/>
  <c r="AW92" i="33" s="1"/>
  <c r="AL92" i="33"/>
  <c r="AV92" i="33" s="1"/>
  <c r="AK92" i="33"/>
  <c r="BB92" i="33" s="1"/>
  <c r="AJ92" i="33"/>
  <c r="AI92" i="33"/>
  <c r="AG92" i="33"/>
  <c r="Z92" i="33"/>
  <c r="CJ92" i="33" s="1"/>
  <c r="N92" i="33"/>
  <c r="I92" i="33"/>
  <c r="CR92" i="33" s="1"/>
  <c r="DM91" i="33"/>
  <c r="DL91" i="33"/>
  <c r="BW91" i="33"/>
  <c r="BU91" i="33"/>
  <c r="BT91" i="33"/>
  <c r="BP91" i="33"/>
  <c r="BO91" i="33"/>
  <c r="BN91" i="33"/>
  <c r="BM91" i="33"/>
  <c r="BG91" i="33"/>
  <c r="AM91" i="33"/>
  <c r="AL91" i="33"/>
  <c r="AV91" i="33" s="1"/>
  <c r="AK91" i="33"/>
  <c r="AJ91" i="33"/>
  <c r="AI91" i="33"/>
  <c r="AG91" i="33"/>
  <c r="Z91" i="33"/>
  <c r="N91" i="33"/>
  <c r="O91" i="33" s="1"/>
  <c r="BS91" i="33" s="1"/>
  <c r="I91" i="33"/>
  <c r="DM90" i="33"/>
  <c r="DL90" i="33"/>
  <c r="CU90" i="33"/>
  <c r="CR90" i="33"/>
  <c r="CG90" i="33"/>
  <c r="BW90" i="33"/>
  <c r="BV90" i="33"/>
  <c r="BU90" i="33"/>
  <c r="BT90" i="33"/>
  <c r="BS90" i="33"/>
  <c r="BP90" i="33"/>
  <c r="BO90" i="33"/>
  <c r="BN90" i="33"/>
  <c r="BM90" i="33"/>
  <c r="BL90" i="33"/>
  <c r="AM90" i="33"/>
  <c r="AW90" i="33" s="1"/>
  <c r="AL90" i="33"/>
  <c r="BC90" i="33" s="1"/>
  <c r="AK90" i="33"/>
  <c r="AU90" i="33" s="1"/>
  <c r="AJ90" i="33"/>
  <c r="AI90" i="33"/>
  <c r="AG90" i="33"/>
  <c r="Z90" i="33"/>
  <c r="N90" i="33"/>
  <c r="H90" i="33"/>
  <c r="DM89" i="33"/>
  <c r="DL89" i="33"/>
  <c r="BW89" i="33"/>
  <c r="BU89" i="33"/>
  <c r="BT89" i="33"/>
  <c r="BP89" i="33"/>
  <c r="BO89" i="33"/>
  <c r="BN89" i="33"/>
  <c r="CA89" i="33" s="1"/>
  <c r="BM89" i="33"/>
  <c r="BG89" i="33"/>
  <c r="AM89" i="33"/>
  <c r="BD89" i="33" s="1"/>
  <c r="AL89" i="33"/>
  <c r="AV89" i="33" s="1"/>
  <c r="AK89" i="33"/>
  <c r="BB89" i="33" s="1"/>
  <c r="AJ89" i="33"/>
  <c r="AI89" i="33"/>
  <c r="AG89" i="33"/>
  <c r="Z89" i="33"/>
  <c r="N89" i="33"/>
  <c r="DD89" i="33" s="1"/>
  <c r="I89" i="33"/>
  <c r="CR89" i="33" s="1"/>
  <c r="DM88" i="33"/>
  <c r="DL88" i="33"/>
  <c r="DJ88" i="33"/>
  <c r="DD88" i="33"/>
  <c r="CU88" i="33"/>
  <c r="CR88" i="33"/>
  <c r="CG88" i="33"/>
  <c r="BW88" i="33"/>
  <c r="BV88" i="33"/>
  <c r="BU88" i="33"/>
  <c r="BT88" i="33"/>
  <c r="BS88" i="33"/>
  <c r="BP88" i="33"/>
  <c r="BO88" i="33"/>
  <c r="BN88" i="33"/>
  <c r="BM88" i="33"/>
  <c r="BL88" i="33"/>
  <c r="AM88" i="33"/>
  <c r="AW88" i="33" s="1"/>
  <c r="AL88" i="33"/>
  <c r="BC88" i="33" s="1"/>
  <c r="AK88" i="33"/>
  <c r="AJ88" i="33"/>
  <c r="AT88" i="33" s="1"/>
  <c r="AI88" i="33"/>
  <c r="AG88" i="33"/>
  <c r="CK88" i="33" s="1"/>
  <c r="Z88" i="33"/>
  <c r="CJ88" i="33" s="1"/>
  <c r="DM87" i="33"/>
  <c r="DL87" i="33"/>
  <c r="DJ87" i="33"/>
  <c r="CU87" i="33"/>
  <c r="CR87" i="33"/>
  <c r="CG87" i="33"/>
  <c r="BW87" i="33"/>
  <c r="BV87" i="33"/>
  <c r="BU87" i="33"/>
  <c r="BT87" i="33"/>
  <c r="BS87" i="33"/>
  <c r="BP87" i="33"/>
  <c r="BO87" i="33"/>
  <c r="BN87" i="33"/>
  <c r="BM87" i="33"/>
  <c r="BL87" i="33"/>
  <c r="AM87" i="33"/>
  <c r="AW87" i="33" s="1"/>
  <c r="AL87" i="33"/>
  <c r="AV87" i="33" s="1"/>
  <c r="AK87" i="33"/>
  <c r="AJ87" i="33"/>
  <c r="AI87" i="33"/>
  <c r="AZ87" i="33" s="1"/>
  <c r="AG87" i="33"/>
  <c r="CK87" i="33" s="1"/>
  <c r="Z87" i="33"/>
  <c r="CJ87" i="33" s="1"/>
  <c r="DM86" i="33"/>
  <c r="DL86" i="33"/>
  <c r="BW86" i="33"/>
  <c r="BU86" i="33"/>
  <c r="BT86" i="33"/>
  <c r="BP86" i="33"/>
  <c r="BO86" i="33"/>
  <c r="BN86" i="33"/>
  <c r="BM86" i="33"/>
  <c r="BG86" i="33"/>
  <c r="AM86" i="33"/>
  <c r="AL86" i="33"/>
  <c r="AV86" i="33" s="1"/>
  <c r="AK86" i="33"/>
  <c r="AU86" i="33" s="1"/>
  <c r="AJ86" i="33"/>
  <c r="AI86" i="33"/>
  <c r="AG86" i="33"/>
  <c r="Z86" i="33"/>
  <c r="N86" i="33"/>
  <c r="DD86" i="33" s="1"/>
  <c r="I86" i="33"/>
  <c r="BL86" i="33" s="1"/>
  <c r="DM85" i="33"/>
  <c r="DL85" i="33"/>
  <c r="CR85" i="33"/>
  <c r="BW85" i="33"/>
  <c r="BP85" i="33"/>
  <c r="BO85" i="33"/>
  <c r="BN85" i="33"/>
  <c r="BM85" i="33"/>
  <c r="BL85" i="33"/>
  <c r="BI85" i="33"/>
  <c r="AN85" i="33"/>
  <c r="AM85" i="33"/>
  <c r="AW85" i="33" s="1"/>
  <c r="AL85" i="33"/>
  <c r="AV85" i="33" s="1"/>
  <c r="AK85" i="33"/>
  <c r="AU85" i="33" s="1"/>
  <c r="AJ85" i="33"/>
  <c r="AT85" i="33" s="1"/>
  <c r="AI85" i="33"/>
  <c r="AG85" i="33"/>
  <c r="Z85" i="33"/>
  <c r="CJ85" i="33" s="1"/>
  <c r="P85" i="33"/>
  <c r="N85" i="33"/>
  <c r="DM84" i="33"/>
  <c r="DL84" i="33"/>
  <c r="DJ84" i="33"/>
  <c r="DD84" i="33"/>
  <c r="CU84" i="33"/>
  <c r="CR84" i="33"/>
  <c r="CG84" i="33"/>
  <c r="BW84" i="33"/>
  <c r="BV84" i="33"/>
  <c r="BU84" i="33"/>
  <c r="BT84" i="33"/>
  <c r="BS84" i="33"/>
  <c r="BP84" i="33"/>
  <c r="BO84" i="33"/>
  <c r="BN84" i="33"/>
  <c r="BM84" i="33"/>
  <c r="BL84" i="33"/>
  <c r="AM84" i="33"/>
  <c r="BD84" i="33" s="1"/>
  <c r="AL84" i="33"/>
  <c r="AV84" i="33" s="1"/>
  <c r="AK84" i="33"/>
  <c r="BB84" i="33" s="1"/>
  <c r="AJ84" i="33"/>
  <c r="AI84" i="33"/>
  <c r="AS84" i="33" s="1"/>
  <c r="AG84" i="33"/>
  <c r="CK84" i="33" s="1"/>
  <c r="Z84" i="33"/>
  <c r="DM83" i="33"/>
  <c r="DL83" i="33"/>
  <c r="BW83" i="33"/>
  <c r="BU83" i="33"/>
  <c r="BT83" i="33"/>
  <c r="BP83" i="33"/>
  <c r="BO83" i="33"/>
  <c r="BN83" i="33"/>
  <c r="BM83" i="33"/>
  <c r="BG83" i="33"/>
  <c r="AM83" i="33"/>
  <c r="AW83" i="33" s="1"/>
  <c r="AL83" i="33"/>
  <c r="AV83" i="33" s="1"/>
  <c r="AK83" i="33"/>
  <c r="AU83" i="33" s="1"/>
  <c r="AJ83" i="33"/>
  <c r="BA83" i="33" s="1"/>
  <c r="AI83" i="33"/>
  <c r="AG83" i="33"/>
  <c r="Z83" i="33"/>
  <c r="CJ83" i="33" s="1"/>
  <c r="N83" i="33"/>
  <c r="CK83" i="33" s="1"/>
  <c r="I83" i="33"/>
  <c r="CR83" i="33" s="1"/>
  <c r="DM82" i="33"/>
  <c r="DL82" i="33"/>
  <c r="BW82" i="33"/>
  <c r="BU82" i="33"/>
  <c r="BT82" i="33"/>
  <c r="BP82" i="33"/>
  <c r="BO82" i="33"/>
  <c r="BN82" i="33"/>
  <c r="BM82" i="33"/>
  <c r="BG82" i="33"/>
  <c r="AM82" i="33"/>
  <c r="BD82" i="33" s="1"/>
  <c r="AL82" i="33"/>
  <c r="AV82" i="33" s="1"/>
  <c r="AK82" i="33"/>
  <c r="BB82" i="33" s="1"/>
  <c r="AJ82" i="33"/>
  <c r="AI82" i="33"/>
  <c r="AG82" i="33"/>
  <c r="Z82" i="33"/>
  <c r="CJ82" i="33" s="1"/>
  <c r="N82" i="33"/>
  <c r="I82" i="33"/>
  <c r="CR82" i="33" s="1"/>
  <c r="DM81" i="33"/>
  <c r="DL81" i="33"/>
  <c r="DJ81" i="33"/>
  <c r="DD81" i="33"/>
  <c r="CU81" i="33"/>
  <c r="CR81" i="33"/>
  <c r="CG81" i="33"/>
  <c r="BW81" i="33"/>
  <c r="BV81" i="33"/>
  <c r="BU81" i="33"/>
  <c r="BT81" i="33"/>
  <c r="BS81" i="33"/>
  <c r="BP81" i="33"/>
  <c r="BO81" i="33"/>
  <c r="BN81" i="33"/>
  <c r="BM81" i="33"/>
  <c r="BL81" i="33"/>
  <c r="BI81" i="33"/>
  <c r="AM81" i="33"/>
  <c r="AW81" i="33" s="1"/>
  <c r="AL81" i="33"/>
  <c r="BC81" i="33" s="1"/>
  <c r="AK81" i="33"/>
  <c r="AU81" i="33" s="1"/>
  <c r="AJ81" i="33"/>
  <c r="AI81" i="33"/>
  <c r="AG81" i="33"/>
  <c r="Z81" i="33"/>
  <c r="CJ81" i="33" s="1"/>
  <c r="DM80" i="33"/>
  <c r="DL80" i="33"/>
  <c r="BW80" i="33"/>
  <c r="BU80" i="33"/>
  <c r="BT80" i="33"/>
  <c r="BP80" i="33"/>
  <c r="BO80" i="33"/>
  <c r="BN80" i="33"/>
  <c r="BM80" i="33"/>
  <c r="BG80" i="33"/>
  <c r="AM80" i="33"/>
  <c r="BD80" i="33" s="1"/>
  <c r="AL80" i="33"/>
  <c r="AV80" i="33" s="1"/>
  <c r="AK80" i="33"/>
  <c r="BB80" i="33" s="1"/>
  <c r="AJ80" i="33"/>
  <c r="AI80" i="33"/>
  <c r="AG80" i="33"/>
  <c r="Z80" i="33"/>
  <c r="N80" i="33"/>
  <c r="O80" i="33" s="1"/>
  <c r="BS80" i="33" s="1"/>
  <c r="I80" i="33"/>
  <c r="DM79" i="33"/>
  <c r="DL79" i="33"/>
  <c r="BW79" i="33"/>
  <c r="BU79" i="33"/>
  <c r="BT79" i="33"/>
  <c r="BP79" i="33"/>
  <c r="BO79" i="33"/>
  <c r="BN79" i="33"/>
  <c r="BM79" i="33"/>
  <c r="BZ79" i="33" s="1"/>
  <c r="BG79" i="33"/>
  <c r="AM79" i="33"/>
  <c r="AW79" i="33" s="1"/>
  <c r="AL79" i="33"/>
  <c r="AV79" i="33" s="1"/>
  <c r="AK79" i="33"/>
  <c r="AU79" i="33" s="1"/>
  <c r="AJ79" i="33"/>
  <c r="AI79" i="33"/>
  <c r="AG79" i="33"/>
  <c r="Z79" i="33"/>
  <c r="CJ79" i="33" s="1"/>
  <c r="N79" i="33"/>
  <c r="DD79" i="33" s="1"/>
  <c r="I79" i="33"/>
  <c r="DM78" i="33"/>
  <c r="DL78" i="33"/>
  <c r="DJ78" i="33"/>
  <c r="DD78" i="33"/>
  <c r="CU78" i="33"/>
  <c r="CR78" i="33"/>
  <c r="CG78" i="33"/>
  <c r="BW78" i="33"/>
  <c r="BV78" i="33"/>
  <c r="BU78" i="33"/>
  <c r="BT78" i="33"/>
  <c r="BS78" i="33"/>
  <c r="BP78" i="33"/>
  <c r="BO78" i="33"/>
  <c r="BN78" i="33"/>
  <c r="BM78" i="33"/>
  <c r="BL78" i="33"/>
  <c r="AM78" i="33"/>
  <c r="BD78" i="33" s="1"/>
  <c r="AL78" i="33"/>
  <c r="AV78" i="33" s="1"/>
  <c r="AK78" i="33"/>
  <c r="BB78" i="33" s="1"/>
  <c r="AJ78" i="33"/>
  <c r="AI78" i="33"/>
  <c r="AG78" i="33"/>
  <c r="CK78" i="33" s="1"/>
  <c r="Z78" i="33"/>
  <c r="DM77" i="33"/>
  <c r="DL77" i="33"/>
  <c r="DJ77" i="33"/>
  <c r="DD77" i="33"/>
  <c r="CG77" i="33"/>
  <c r="BW77" i="33"/>
  <c r="BV77" i="33"/>
  <c r="BU77" i="33"/>
  <c r="BT77" i="33"/>
  <c r="BP77" i="33"/>
  <c r="BO77" i="33"/>
  <c r="BN77" i="33"/>
  <c r="BM77" i="33"/>
  <c r="BI77" i="33"/>
  <c r="AM77" i="33"/>
  <c r="BD77" i="33" s="1"/>
  <c r="AL77" i="33"/>
  <c r="AV77" i="33" s="1"/>
  <c r="AK77" i="33"/>
  <c r="BB77" i="33" s="1"/>
  <c r="AJ77" i="33"/>
  <c r="AA77" i="33"/>
  <c r="CU77" i="33" s="1"/>
  <c r="T77" i="33"/>
  <c r="DM76" i="33"/>
  <c r="DL76" i="33"/>
  <c r="DJ76" i="33"/>
  <c r="DD76" i="33"/>
  <c r="CG76" i="33"/>
  <c r="BW76" i="33"/>
  <c r="BV76" i="33"/>
  <c r="BU76" i="33"/>
  <c r="BT76" i="33"/>
  <c r="BP76" i="33"/>
  <c r="BO76" i="33"/>
  <c r="BN76" i="33"/>
  <c r="BM76" i="33"/>
  <c r="BI76" i="33"/>
  <c r="AM76" i="33"/>
  <c r="AW76" i="33" s="1"/>
  <c r="AL76" i="33"/>
  <c r="BC76" i="33" s="1"/>
  <c r="AK76" i="33"/>
  <c r="AU76" i="33" s="1"/>
  <c r="AJ76" i="33"/>
  <c r="AA76" i="33"/>
  <c r="BS76" i="33" s="1"/>
  <c r="T76" i="33"/>
  <c r="CR76" i="33" s="1"/>
  <c r="DM75" i="33"/>
  <c r="DL75" i="33"/>
  <c r="DJ75" i="33"/>
  <c r="DD75" i="33"/>
  <c r="CG75" i="33"/>
  <c r="BW75" i="33"/>
  <c r="BV75" i="33"/>
  <c r="BU75" i="33"/>
  <c r="BT75" i="33"/>
  <c r="BP75" i="33"/>
  <c r="BO75" i="33"/>
  <c r="BN75" i="33"/>
  <c r="BM75" i="33"/>
  <c r="BI75" i="33"/>
  <c r="AM75" i="33"/>
  <c r="BD75" i="33" s="1"/>
  <c r="AL75" i="33"/>
  <c r="AV75" i="33" s="1"/>
  <c r="AK75" i="33"/>
  <c r="BB75" i="33" s="1"/>
  <c r="AJ75" i="33"/>
  <c r="AA75" i="33"/>
  <c r="T75" i="33"/>
  <c r="BL75" i="33" s="1"/>
  <c r="DM74" i="33"/>
  <c r="DL74" i="33"/>
  <c r="DJ74" i="33"/>
  <c r="DD74" i="33"/>
  <c r="CG74" i="33"/>
  <c r="BW74" i="33"/>
  <c r="BV74" i="33"/>
  <c r="BU74" i="33"/>
  <c r="BT74" i="33"/>
  <c r="BP74" i="33"/>
  <c r="BO74" i="33"/>
  <c r="BN74" i="33"/>
  <c r="BM74" i="33"/>
  <c r="BI74" i="33"/>
  <c r="AM74" i="33"/>
  <c r="AW74" i="33" s="1"/>
  <c r="AL74" i="33"/>
  <c r="BC74" i="33" s="1"/>
  <c r="AK74" i="33"/>
  <c r="AU74" i="33" s="1"/>
  <c r="AJ74" i="33"/>
  <c r="AT74" i="33" s="1"/>
  <c r="AA74" i="33"/>
  <c r="BS74" i="33" s="1"/>
  <c r="T74" i="33"/>
  <c r="CR74" i="33" s="1"/>
  <c r="DM73" i="33"/>
  <c r="DL73" i="33"/>
  <c r="DJ73" i="33"/>
  <c r="DD73" i="33"/>
  <c r="CG73" i="33"/>
  <c r="BW73" i="33"/>
  <c r="BV73" i="33"/>
  <c r="BU73" i="33"/>
  <c r="BT73" i="33"/>
  <c r="BP73" i="33"/>
  <c r="BO73" i="33"/>
  <c r="BN73" i="33"/>
  <c r="BM73" i="33"/>
  <c r="BI73" i="33"/>
  <c r="AM73" i="33"/>
  <c r="BD73" i="33" s="1"/>
  <c r="AL73" i="33"/>
  <c r="AV73" i="33" s="1"/>
  <c r="AK73" i="33"/>
  <c r="BB73" i="33" s="1"/>
  <c r="AJ73" i="33"/>
  <c r="AA73" i="33"/>
  <c r="CU73" i="33" s="1"/>
  <c r="T73" i="33"/>
  <c r="CR73" i="33" s="1"/>
  <c r="DM72" i="33"/>
  <c r="DL72" i="33"/>
  <c r="DJ72" i="33"/>
  <c r="DD72" i="33"/>
  <c r="CG72" i="33"/>
  <c r="BW72" i="33"/>
  <c r="BV72" i="33"/>
  <c r="BU72" i="33"/>
  <c r="BT72" i="33"/>
  <c r="BP72" i="33"/>
  <c r="BO72" i="33"/>
  <c r="BN72" i="33"/>
  <c r="BM72" i="33"/>
  <c r="BI72" i="33"/>
  <c r="AM72" i="33"/>
  <c r="AL72" i="33"/>
  <c r="BC72" i="33" s="1"/>
  <c r="AK72" i="33"/>
  <c r="AU72" i="33" s="1"/>
  <c r="AJ72" i="33"/>
  <c r="AA72" i="33"/>
  <c r="BS72" i="33" s="1"/>
  <c r="T72" i="33"/>
  <c r="CR72" i="33" s="1"/>
  <c r="DM71" i="33"/>
  <c r="DL71" i="33"/>
  <c r="DJ71" i="33"/>
  <c r="DD71" i="33"/>
  <c r="CG71" i="33"/>
  <c r="BW71" i="33"/>
  <c r="BV71" i="33"/>
  <c r="BU71" i="33"/>
  <c r="BT71" i="33"/>
  <c r="BP71" i="33"/>
  <c r="BO71" i="33"/>
  <c r="BN71" i="33"/>
  <c r="BM71" i="33"/>
  <c r="BI71" i="33"/>
  <c r="AM71" i="33"/>
  <c r="BD71" i="33" s="1"/>
  <c r="AL71" i="33"/>
  <c r="AV71" i="33" s="1"/>
  <c r="AK71" i="33"/>
  <c r="BB71" i="33" s="1"/>
  <c r="AJ71" i="33"/>
  <c r="AA71" i="33"/>
  <c r="T71" i="33"/>
  <c r="BL71" i="33" s="1"/>
  <c r="B71" i="33"/>
  <c r="B72" i="33" s="1"/>
  <c r="B73" i="33" s="1"/>
  <c r="B74" i="33" s="1"/>
  <c r="B75" i="33" s="1"/>
  <c r="B76" i="33" s="1"/>
  <c r="B77" i="33" s="1"/>
  <c r="DM70" i="33"/>
  <c r="DL70" i="33"/>
  <c r="DN70" i="33" s="1"/>
  <c r="BW70" i="33"/>
  <c r="BU70" i="33"/>
  <c r="BT70" i="33"/>
  <c r="BP70" i="33"/>
  <c r="BO70" i="33"/>
  <c r="BN70" i="33"/>
  <c r="BM70" i="33"/>
  <c r="BG70" i="33"/>
  <c r="AM70" i="33"/>
  <c r="BD70" i="33" s="1"/>
  <c r="AL70" i="33"/>
  <c r="AV70" i="33" s="1"/>
  <c r="AK70" i="33"/>
  <c r="BB70" i="33" s="1"/>
  <c r="AJ70" i="33"/>
  <c r="AT70" i="33" s="1"/>
  <c r="AI70" i="33"/>
  <c r="AG70" i="33"/>
  <c r="Z70" i="33"/>
  <c r="N70" i="33"/>
  <c r="I70" i="33"/>
  <c r="BL70" i="33" s="1"/>
  <c r="DM69" i="33"/>
  <c r="DL69" i="33"/>
  <c r="DJ69" i="33"/>
  <c r="DD69" i="33"/>
  <c r="CU69" i="33"/>
  <c r="CR69" i="33"/>
  <c r="CG69" i="33"/>
  <c r="BW69" i="33"/>
  <c r="BV69" i="33"/>
  <c r="BU69" i="33"/>
  <c r="BT69" i="33"/>
  <c r="BS69" i="33"/>
  <c r="BP69" i="33"/>
  <c r="BO69" i="33"/>
  <c r="BN69" i="33"/>
  <c r="BM69" i="33"/>
  <c r="BL69" i="33"/>
  <c r="BI69" i="33"/>
  <c r="AM69" i="33"/>
  <c r="BD69" i="33" s="1"/>
  <c r="AL69" i="33"/>
  <c r="AV69" i="33" s="1"/>
  <c r="AK69" i="33"/>
  <c r="BB69" i="33" s="1"/>
  <c r="AJ69" i="33"/>
  <c r="AI69" i="33"/>
  <c r="AS69" i="33" s="1"/>
  <c r="AG69" i="33"/>
  <c r="CK69" i="33" s="1"/>
  <c r="Z69" i="33"/>
  <c r="DM68" i="33"/>
  <c r="DL68" i="33"/>
  <c r="BW68" i="33"/>
  <c r="BU68" i="33"/>
  <c r="BT68" i="33"/>
  <c r="BP68" i="33"/>
  <c r="BO68" i="33"/>
  <c r="BN68" i="33"/>
  <c r="BM68" i="33"/>
  <c r="BZ68" i="33" s="1"/>
  <c r="BG68" i="33"/>
  <c r="AM68" i="33"/>
  <c r="AW68" i="33" s="1"/>
  <c r="AL68" i="33"/>
  <c r="AV68" i="33" s="1"/>
  <c r="AK68" i="33"/>
  <c r="AU68" i="33" s="1"/>
  <c r="AJ68" i="33"/>
  <c r="AI68" i="33"/>
  <c r="AG68" i="33"/>
  <c r="Z68" i="33"/>
  <c r="N68" i="33"/>
  <c r="DD68" i="33" s="1"/>
  <c r="I68" i="33"/>
  <c r="BL68" i="33" s="1"/>
  <c r="DM67" i="33"/>
  <c r="DL67" i="33"/>
  <c r="BW67" i="33"/>
  <c r="BU67" i="33"/>
  <c r="BT67" i="33"/>
  <c r="BP67" i="33"/>
  <c r="BO67" i="33"/>
  <c r="BN67" i="33"/>
  <c r="BM67" i="33"/>
  <c r="BG67" i="33"/>
  <c r="AM67" i="33"/>
  <c r="BD67" i="33" s="1"/>
  <c r="AL67" i="33"/>
  <c r="AV67" i="33" s="1"/>
  <c r="AK67" i="33"/>
  <c r="BB67" i="33" s="1"/>
  <c r="AJ67" i="33"/>
  <c r="AI67" i="33"/>
  <c r="AG67" i="33"/>
  <c r="Z67" i="33"/>
  <c r="N67" i="33"/>
  <c r="O67" i="33" s="1"/>
  <c r="I67" i="33"/>
  <c r="DM66" i="33"/>
  <c r="DL66" i="33"/>
  <c r="DJ66" i="33"/>
  <c r="DD66" i="33"/>
  <c r="CU66" i="33"/>
  <c r="CR66" i="33"/>
  <c r="CG66" i="33"/>
  <c r="BW66" i="33"/>
  <c r="BV66" i="33"/>
  <c r="BU66" i="33"/>
  <c r="BT66" i="33"/>
  <c r="BS66" i="33"/>
  <c r="BP66" i="33"/>
  <c r="BO66" i="33"/>
  <c r="BN66" i="33"/>
  <c r="BM66" i="33"/>
  <c r="BL66" i="33"/>
  <c r="BI66" i="33"/>
  <c r="AM66" i="33"/>
  <c r="BD66" i="33" s="1"/>
  <c r="AL66" i="33"/>
  <c r="AV66" i="33" s="1"/>
  <c r="AK66" i="33"/>
  <c r="BB66" i="33" s="1"/>
  <c r="AJ66" i="33"/>
  <c r="AI66" i="33"/>
  <c r="AS66" i="33" s="1"/>
  <c r="AG66" i="33"/>
  <c r="CK66" i="33" s="1"/>
  <c r="Z66" i="33"/>
  <c r="DM65" i="33"/>
  <c r="DL65" i="33"/>
  <c r="BW65" i="33"/>
  <c r="BU65" i="33"/>
  <c r="BT65" i="33"/>
  <c r="BP65" i="33"/>
  <c r="BO65" i="33"/>
  <c r="BN65" i="33"/>
  <c r="BM65" i="33"/>
  <c r="BG65" i="33"/>
  <c r="AM65" i="33"/>
  <c r="AW65" i="33" s="1"/>
  <c r="AL65" i="33"/>
  <c r="AV65" i="33" s="1"/>
  <c r="AK65" i="33"/>
  <c r="AU65" i="33" s="1"/>
  <c r="AJ65" i="33"/>
  <c r="AT65" i="33" s="1"/>
  <c r="AI65" i="33"/>
  <c r="AG65" i="33"/>
  <c r="Z65" i="33"/>
  <c r="N65" i="33"/>
  <c r="I65" i="33"/>
  <c r="BL65" i="33" s="1"/>
  <c r="DM64" i="33"/>
  <c r="DL64" i="33"/>
  <c r="BW64" i="33"/>
  <c r="BU64" i="33"/>
  <c r="BT64" i="33"/>
  <c r="BP64" i="33"/>
  <c r="BO64" i="33"/>
  <c r="BN64" i="33"/>
  <c r="BM64" i="33"/>
  <c r="BG64" i="33"/>
  <c r="AM64" i="33"/>
  <c r="BD64" i="33" s="1"/>
  <c r="AL64" i="33"/>
  <c r="AV64" i="33" s="1"/>
  <c r="AK64" i="33"/>
  <c r="BB64" i="33" s="1"/>
  <c r="AJ64" i="33"/>
  <c r="AI64" i="33"/>
  <c r="AG64" i="33"/>
  <c r="Z64" i="33"/>
  <c r="N64" i="33"/>
  <c r="O64" i="33" s="1"/>
  <c r="BS64" i="33" s="1"/>
  <c r="I64" i="33"/>
  <c r="DM63" i="33"/>
  <c r="DL63" i="33"/>
  <c r="BW63" i="33"/>
  <c r="BU63" i="33"/>
  <c r="BT63" i="33"/>
  <c r="BP63" i="33"/>
  <c r="BO63" i="33"/>
  <c r="BN63" i="33"/>
  <c r="BM63" i="33"/>
  <c r="BZ63" i="33" s="1"/>
  <c r="BG63" i="33"/>
  <c r="AM63" i="33"/>
  <c r="AW63" i="33" s="1"/>
  <c r="AL63" i="33"/>
  <c r="AV63" i="33" s="1"/>
  <c r="AK63" i="33"/>
  <c r="AU63" i="33" s="1"/>
  <c r="AJ63" i="33"/>
  <c r="AI63" i="33"/>
  <c r="AG63" i="33"/>
  <c r="Z63" i="33"/>
  <c r="N63" i="33"/>
  <c r="DD63" i="33" s="1"/>
  <c r="I63" i="33"/>
  <c r="DM62" i="33"/>
  <c r="DL62" i="33"/>
  <c r="BW62" i="33"/>
  <c r="BU62" i="33"/>
  <c r="BT62" i="33"/>
  <c r="BP62" i="33"/>
  <c r="BO62" i="33"/>
  <c r="BN62" i="33"/>
  <c r="BM62" i="33"/>
  <c r="BZ62" i="33" s="1"/>
  <c r="BG62" i="33"/>
  <c r="AM62" i="33"/>
  <c r="BD62" i="33" s="1"/>
  <c r="AL62" i="33"/>
  <c r="AV62" i="33" s="1"/>
  <c r="AK62" i="33"/>
  <c r="BB62" i="33" s="1"/>
  <c r="AJ62" i="33"/>
  <c r="AT62" i="33" s="1"/>
  <c r="AI62" i="33"/>
  <c r="AG62" i="33"/>
  <c r="Z62" i="33"/>
  <c r="N62" i="33"/>
  <c r="I62" i="33"/>
  <c r="BL62" i="33" s="1"/>
  <c r="DM61" i="33"/>
  <c r="DL61" i="33"/>
  <c r="BW61" i="33"/>
  <c r="BU61" i="33"/>
  <c r="BT61" i="33"/>
  <c r="BP61" i="33"/>
  <c r="BO61" i="33"/>
  <c r="BN61" i="33"/>
  <c r="BM61" i="33"/>
  <c r="BG61" i="33"/>
  <c r="AM61" i="33"/>
  <c r="AW61" i="33" s="1"/>
  <c r="AL61" i="33"/>
  <c r="AV61" i="33" s="1"/>
  <c r="AK61" i="33"/>
  <c r="BB61" i="33" s="1"/>
  <c r="AJ61" i="33"/>
  <c r="BA61" i="33" s="1"/>
  <c r="AI61" i="33"/>
  <c r="AG61" i="33"/>
  <c r="Z61" i="33"/>
  <c r="CJ61" i="33" s="1"/>
  <c r="N61" i="33"/>
  <c r="I61" i="33"/>
  <c r="CR61" i="33" s="1"/>
  <c r="DM60" i="33"/>
  <c r="DL60" i="33"/>
  <c r="BW60" i="33"/>
  <c r="BU60" i="33"/>
  <c r="BT60" i="33"/>
  <c r="BP60" i="33"/>
  <c r="BO60" i="33"/>
  <c r="BN60" i="33"/>
  <c r="BM60" i="33"/>
  <c r="BG60" i="33"/>
  <c r="AM60" i="33"/>
  <c r="BD60" i="33" s="1"/>
  <c r="AL60" i="33"/>
  <c r="AV60" i="33" s="1"/>
  <c r="AK60" i="33"/>
  <c r="BB60" i="33" s="1"/>
  <c r="AJ60" i="33"/>
  <c r="AA60" i="33"/>
  <c r="AG60" i="33" s="1"/>
  <c r="T60" i="33"/>
  <c r="N60" i="33"/>
  <c r="O60" i="33" s="1"/>
  <c r="I60" i="33"/>
  <c r="DM59" i="33"/>
  <c r="DL59" i="33"/>
  <c r="BW59" i="33"/>
  <c r="BU59" i="33"/>
  <c r="BT59" i="33"/>
  <c r="BP59" i="33"/>
  <c r="BO59" i="33"/>
  <c r="BN59" i="33"/>
  <c r="BM59" i="33"/>
  <c r="BG59" i="33"/>
  <c r="AM59" i="33"/>
  <c r="AW59" i="33" s="1"/>
  <c r="AL59" i="33"/>
  <c r="AV59" i="33" s="1"/>
  <c r="AK59" i="33"/>
  <c r="BB59" i="33" s="1"/>
  <c r="AJ59" i="33"/>
  <c r="BA59" i="33" s="1"/>
  <c r="AI59" i="33"/>
  <c r="AG59" i="33"/>
  <c r="Z59" i="33"/>
  <c r="CJ59" i="33" s="1"/>
  <c r="N59" i="33"/>
  <c r="I59" i="33"/>
  <c r="CR59" i="33" s="1"/>
  <c r="AM58" i="33"/>
  <c r="BD58" i="33" s="1"/>
  <c r="AL58" i="33"/>
  <c r="AK58" i="33"/>
  <c r="BB58" i="33" s="1"/>
  <c r="AJ58" i="33"/>
  <c r="AT58" i="33" s="1"/>
  <c r="AA58" i="33"/>
  <c r="AG58" i="33" s="1"/>
  <c r="T58" i="33"/>
  <c r="N58" i="33"/>
  <c r="O58" i="33" s="1"/>
  <c r="R58" i="33" s="1"/>
  <c r="BC58" i="33" s="1"/>
  <c r="H58" i="33"/>
  <c r="BG58" i="33" s="1"/>
  <c r="DM57" i="33"/>
  <c r="DL57" i="33"/>
  <c r="BW57" i="33"/>
  <c r="BU57" i="33"/>
  <c r="BT57" i="33"/>
  <c r="BP57" i="33"/>
  <c r="BN57" i="33"/>
  <c r="BM57" i="33"/>
  <c r="AM57" i="33"/>
  <c r="AW57" i="33" s="1"/>
  <c r="AL57" i="33"/>
  <c r="AK57" i="33"/>
  <c r="AJ57" i="33"/>
  <c r="BA57" i="33" s="1"/>
  <c r="AA57" i="33"/>
  <c r="AG57" i="33" s="1"/>
  <c r="T57" i="33"/>
  <c r="Z57" i="33" s="1"/>
  <c r="N57" i="33"/>
  <c r="O57" i="33" s="1"/>
  <c r="R57" i="33" s="1"/>
  <c r="H57" i="33"/>
  <c r="DM56" i="33"/>
  <c r="DL56" i="33"/>
  <c r="DD56" i="33"/>
  <c r="CU56" i="33"/>
  <c r="CR56" i="33"/>
  <c r="CG56" i="33"/>
  <c r="BW56" i="33"/>
  <c r="BV56" i="33"/>
  <c r="BU56" i="33"/>
  <c r="BT56" i="33"/>
  <c r="BS56" i="33"/>
  <c r="BP56" i="33"/>
  <c r="BO56" i="33"/>
  <c r="BN56" i="33"/>
  <c r="BM56" i="33"/>
  <c r="BL56" i="33"/>
  <c r="AM56" i="33"/>
  <c r="AW56" i="33" s="1"/>
  <c r="AL56" i="33"/>
  <c r="BC56" i="33" s="1"/>
  <c r="AK56" i="33"/>
  <c r="BB56" i="33" s="1"/>
  <c r="AJ56" i="33"/>
  <c r="AI56" i="33"/>
  <c r="AG56" i="33"/>
  <c r="CK56" i="33" s="1"/>
  <c r="Z56" i="33"/>
  <c r="DM55" i="33"/>
  <c r="DL55" i="33"/>
  <c r="BW55" i="33"/>
  <c r="BU55" i="33"/>
  <c r="BT55" i="33"/>
  <c r="BP55" i="33"/>
  <c r="BO55" i="33"/>
  <c r="BN55" i="33"/>
  <c r="BM55" i="33"/>
  <c r="BG55" i="33"/>
  <c r="AM55" i="33"/>
  <c r="BD55" i="33" s="1"/>
  <c r="AL55" i="33"/>
  <c r="AV55" i="33" s="1"/>
  <c r="AK55" i="33"/>
  <c r="BB55" i="33" s="1"/>
  <c r="AJ55" i="33"/>
  <c r="AI55" i="33"/>
  <c r="AG55" i="33"/>
  <c r="Z55" i="33"/>
  <c r="N55" i="33"/>
  <c r="O55" i="33" s="1"/>
  <c r="BS55" i="33" s="1"/>
  <c r="I55" i="33"/>
  <c r="CR55" i="33" s="1"/>
  <c r="DM54" i="33"/>
  <c r="DL54" i="33"/>
  <c r="BW54" i="33"/>
  <c r="BU54" i="33"/>
  <c r="BT54" i="33"/>
  <c r="BP54" i="33"/>
  <c r="BO54" i="33"/>
  <c r="BN54" i="33"/>
  <c r="BM54" i="33"/>
  <c r="BG54" i="33"/>
  <c r="AM54" i="33"/>
  <c r="AW54" i="33" s="1"/>
  <c r="AL54" i="33"/>
  <c r="AV54" i="33" s="1"/>
  <c r="AK54" i="33"/>
  <c r="AU54" i="33" s="1"/>
  <c r="AJ54" i="33"/>
  <c r="AI54" i="33"/>
  <c r="AG54" i="33"/>
  <c r="Z54" i="33"/>
  <c r="N54" i="33"/>
  <c r="DD54" i="33" s="1"/>
  <c r="I54" i="33"/>
  <c r="DM53" i="33"/>
  <c r="DL53" i="33"/>
  <c r="DJ53" i="33"/>
  <c r="DD53" i="33"/>
  <c r="CU53" i="33"/>
  <c r="CR53" i="33"/>
  <c r="CG53" i="33"/>
  <c r="BW53" i="33"/>
  <c r="BV53" i="33"/>
  <c r="BU53" i="33"/>
  <c r="BT53" i="33"/>
  <c r="BS53" i="33"/>
  <c r="BP53" i="33"/>
  <c r="BO53" i="33"/>
  <c r="BN53" i="33"/>
  <c r="BM53" i="33"/>
  <c r="BL53" i="33"/>
  <c r="AM53" i="33"/>
  <c r="BD53" i="33" s="1"/>
  <c r="AL53" i="33"/>
  <c r="AV53" i="33" s="1"/>
  <c r="AK53" i="33"/>
  <c r="BB53" i="33" s="1"/>
  <c r="AJ53" i="33"/>
  <c r="AI53" i="33"/>
  <c r="AS53" i="33" s="1"/>
  <c r="AG53" i="33"/>
  <c r="CK53" i="33" s="1"/>
  <c r="Z53" i="33"/>
  <c r="DM52" i="33"/>
  <c r="DL52" i="33"/>
  <c r="DJ52" i="33"/>
  <c r="DD52" i="33"/>
  <c r="CU52" i="33"/>
  <c r="CR52" i="33"/>
  <c r="CG52" i="33"/>
  <c r="BW52" i="33"/>
  <c r="BV52" i="33"/>
  <c r="BU52" i="33"/>
  <c r="BT52" i="33"/>
  <c r="BS52" i="33"/>
  <c r="BP52" i="33"/>
  <c r="BO52" i="33"/>
  <c r="BN52" i="33"/>
  <c r="BM52" i="33"/>
  <c r="BL52" i="33"/>
  <c r="AM52" i="33"/>
  <c r="AW52" i="33" s="1"/>
  <c r="AL52" i="33"/>
  <c r="BC52" i="33" s="1"/>
  <c r="AK52" i="33"/>
  <c r="AU52" i="33" s="1"/>
  <c r="AJ52" i="33"/>
  <c r="AT52" i="33" s="1"/>
  <c r="AI52" i="33"/>
  <c r="AG52" i="33"/>
  <c r="CK52" i="33" s="1"/>
  <c r="Z52" i="33"/>
  <c r="CJ52" i="33" s="1"/>
  <c r="DM51" i="33"/>
  <c r="DL51" i="33"/>
  <c r="BW51" i="33"/>
  <c r="BU51" i="33"/>
  <c r="BT51" i="33"/>
  <c r="BP51" i="33"/>
  <c r="BO51" i="33"/>
  <c r="BN51" i="33"/>
  <c r="BM51" i="33"/>
  <c r="BG51" i="33"/>
  <c r="AM51" i="33"/>
  <c r="BD51" i="33" s="1"/>
  <c r="AL51" i="33"/>
  <c r="AV51" i="33" s="1"/>
  <c r="AK51" i="33"/>
  <c r="BB51" i="33" s="1"/>
  <c r="AJ51" i="33"/>
  <c r="AI51" i="33"/>
  <c r="AG51" i="33"/>
  <c r="Z51" i="33"/>
  <c r="CJ51" i="33" s="1"/>
  <c r="N51" i="33"/>
  <c r="O51" i="33" s="1"/>
  <c r="BS51" i="33" s="1"/>
  <c r="I51" i="33"/>
  <c r="CR51" i="33" s="1"/>
  <c r="DM50" i="33"/>
  <c r="DL50" i="33"/>
  <c r="BW50" i="33"/>
  <c r="BT50" i="33"/>
  <c r="BP50" i="33"/>
  <c r="BO50" i="33"/>
  <c r="BM50" i="33"/>
  <c r="BL50" i="33"/>
  <c r="AM50" i="33"/>
  <c r="AW50" i="33" s="1"/>
  <c r="AL50" i="33"/>
  <c r="AV50" i="33" s="1"/>
  <c r="AJ50" i="33"/>
  <c r="AT50" i="33" s="1"/>
  <c r="AI50" i="33"/>
  <c r="AC50" i="33"/>
  <c r="AC8" i="33" s="1"/>
  <c r="V50" i="33"/>
  <c r="Q50" i="33"/>
  <c r="N50" i="33"/>
  <c r="O50" i="33" s="1"/>
  <c r="AM49" i="33"/>
  <c r="AW49" i="33" s="1"/>
  <c r="AL49" i="33"/>
  <c r="AV49" i="33" s="1"/>
  <c r="AK49" i="33"/>
  <c r="AU49" i="33" s="1"/>
  <c r="AJ49" i="33"/>
  <c r="AI49" i="33"/>
  <c r="AS49" i="33" s="1"/>
  <c r="AG49" i="33"/>
  <c r="Z49" i="33"/>
  <c r="CJ49" i="33" s="1"/>
  <c r="BW48" i="33"/>
  <c r="BV48" i="33"/>
  <c r="BU48" i="33"/>
  <c r="BT48" i="33"/>
  <c r="BS48" i="33"/>
  <c r="BP48" i="33"/>
  <c r="BO48" i="33"/>
  <c r="BN48" i="33"/>
  <c r="BM48" i="33"/>
  <c r="BL48" i="33"/>
  <c r="BH48" i="33"/>
  <c r="BG48" i="33"/>
  <c r="AM48" i="33"/>
  <c r="AW48" i="33" s="1"/>
  <c r="AL48" i="33"/>
  <c r="BC48" i="33" s="1"/>
  <c r="AK48" i="33"/>
  <c r="AU48" i="33" s="1"/>
  <c r="AJ48" i="33"/>
  <c r="AT48" i="33" s="1"/>
  <c r="AI48" i="33"/>
  <c r="AZ48" i="33" s="1"/>
  <c r="AG48" i="33"/>
  <c r="CK48" i="33" s="1"/>
  <c r="Z48" i="33"/>
  <c r="CJ48" i="33" s="1"/>
  <c r="DM47" i="33"/>
  <c r="DL47" i="33"/>
  <c r="DJ47" i="33"/>
  <c r="BW47" i="33"/>
  <c r="BU47" i="33"/>
  <c r="BP47" i="33"/>
  <c r="BO47" i="33"/>
  <c r="BN47" i="33"/>
  <c r="BM47" i="33"/>
  <c r="BG47" i="33"/>
  <c r="AM47" i="33"/>
  <c r="AW47" i="33" s="1"/>
  <c r="AL47" i="33"/>
  <c r="AV47" i="33" s="1"/>
  <c r="AK47" i="33"/>
  <c r="AU47" i="33" s="1"/>
  <c r="AJ47" i="33"/>
  <c r="AA47" i="33"/>
  <c r="AG47" i="33" s="1"/>
  <c r="T47" i="33"/>
  <c r="BL47" i="33" s="1"/>
  <c r="R47" i="33"/>
  <c r="P47" i="33"/>
  <c r="BT47" i="33" s="1"/>
  <c r="O47" i="33"/>
  <c r="N47" i="33"/>
  <c r="DD47" i="33" s="1"/>
  <c r="DM46" i="33"/>
  <c r="DL46" i="33"/>
  <c r="DJ46" i="33"/>
  <c r="CR46" i="33"/>
  <c r="BW46" i="33"/>
  <c r="BU46" i="33"/>
  <c r="BT46" i="33"/>
  <c r="BP46" i="33"/>
  <c r="BO46" i="33"/>
  <c r="BN46" i="33"/>
  <c r="BM46" i="33"/>
  <c r="BL46" i="33"/>
  <c r="BG46" i="33"/>
  <c r="AM46" i="33"/>
  <c r="BD46" i="33" s="1"/>
  <c r="AL46" i="33"/>
  <c r="AV46" i="33" s="1"/>
  <c r="AK46" i="33"/>
  <c r="AU46" i="33" s="1"/>
  <c r="AJ46" i="33"/>
  <c r="BA46" i="33" s="1"/>
  <c r="AI46" i="33"/>
  <c r="AG46" i="33"/>
  <c r="Z46" i="33"/>
  <c r="CJ46" i="33" s="1"/>
  <c r="R46" i="33"/>
  <c r="BV46" i="33" s="1"/>
  <c r="O46" i="33"/>
  <c r="BS46" i="33" s="1"/>
  <c r="N46" i="33"/>
  <c r="DM45" i="33"/>
  <c r="DL45" i="33"/>
  <c r="CR45" i="33"/>
  <c r="BW45" i="33"/>
  <c r="BT45" i="33"/>
  <c r="BP45" i="33"/>
  <c r="BO45" i="33"/>
  <c r="BN45" i="33"/>
  <c r="BM45" i="33"/>
  <c r="BL45" i="33"/>
  <c r="AM45" i="33"/>
  <c r="AW45" i="33" s="1"/>
  <c r="AL45" i="33"/>
  <c r="AV45" i="33" s="1"/>
  <c r="AK45" i="33"/>
  <c r="AU45" i="33" s="1"/>
  <c r="AJ45" i="33"/>
  <c r="AI45" i="33"/>
  <c r="AG45" i="33"/>
  <c r="Z45" i="33"/>
  <c r="Q45" i="33"/>
  <c r="N45" i="33"/>
  <c r="DD45" i="33" s="1"/>
  <c r="DM44" i="33"/>
  <c r="DL44" i="33"/>
  <c r="CR44" i="33"/>
  <c r="BW44" i="33"/>
  <c r="BP44" i="33"/>
  <c r="BO44" i="33"/>
  <c r="BN44" i="33"/>
  <c r="BM44" i="33"/>
  <c r="BL44" i="33"/>
  <c r="BI44" i="33"/>
  <c r="AM44" i="33"/>
  <c r="AW44" i="33" s="1"/>
  <c r="AL44" i="33"/>
  <c r="AV44" i="33" s="1"/>
  <c r="AK44" i="33"/>
  <c r="AU44" i="33" s="1"/>
  <c r="AJ44" i="33"/>
  <c r="AI44" i="33"/>
  <c r="AG44" i="33"/>
  <c r="Z44" i="33"/>
  <c r="CJ44" i="33" s="1"/>
  <c r="P44" i="33"/>
  <c r="BT44" i="33" s="1"/>
  <c r="N44" i="33"/>
  <c r="A44" i="33"/>
  <c r="A45" i="33" s="1"/>
  <c r="A46" i="33" s="1"/>
  <c r="A47" i="33" s="1"/>
  <c r="A48" i="33" s="1"/>
  <c r="A50" i="33" s="1"/>
  <c r="A51" i="33" s="1"/>
  <c r="A52" i="33" s="1"/>
  <c r="A53" i="33" s="1"/>
  <c r="A54" i="33" s="1"/>
  <c r="A55" i="33" s="1"/>
  <c r="A56" i="33" s="1"/>
  <c r="A57" i="33" s="1"/>
  <c r="A58" i="33" s="1"/>
  <c r="A59" i="33" s="1"/>
  <c r="A60" i="33" s="1"/>
  <c r="A61" i="33" s="1"/>
  <c r="A62" i="33" s="1"/>
  <c r="A63" i="33" s="1"/>
  <c r="A64" i="33" s="1"/>
  <c r="A65" i="33" s="1"/>
  <c r="A66" i="33" s="1"/>
  <c r="A67" i="33" s="1"/>
  <c r="A68" i="33" s="1"/>
  <c r="A69" i="33" s="1"/>
  <c r="A70" i="33" s="1"/>
  <c r="A71" i="33" s="1"/>
  <c r="A72" i="33" s="1"/>
  <c r="A73" i="33" s="1"/>
  <c r="A74" i="33" s="1"/>
  <c r="A75" i="33" s="1"/>
  <c r="A76" i="33" s="1"/>
  <c r="A77" i="33" s="1"/>
  <c r="A78" i="33" s="1"/>
  <c r="A79" i="33" s="1"/>
  <c r="A80" i="33" s="1"/>
  <c r="A81" i="33" s="1"/>
  <c r="A82" i="33" s="1"/>
  <c r="A83" i="33" s="1"/>
  <c r="A84" i="33" s="1"/>
  <c r="A85" i="33" s="1"/>
  <c r="A86" i="33" s="1"/>
  <c r="A87" i="33" s="1"/>
  <c r="A88" i="33" s="1"/>
  <c r="A89" i="33" s="1"/>
  <c r="A90" i="33" s="1"/>
  <c r="A91" i="33" s="1"/>
  <c r="A92" i="33" s="1"/>
  <c r="A93" i="33" s="1"/>
  <c r="A94" i="33" s="1"/>
  <c r="A95" i="33" s="1"/>
  <c r="A96" i="33" s="1"/>
  <c r="A97" i="33" s="1"/>
  <c r="A98" i="33" s="1"/>
  <c r="A99" i="33" s="1"/>
  <c r="A100" i="33" s="1"/>
  <c r="A101" i="33" s="1"/>
  <c r="A102" i="33" s="1"/>
  <c r="A103" i="33" s="1"/>
  <c r="A104" i="33" s="1"/>
  <c r="A105" i="33" s="1"/>
  <c r="A106" i="33" s="1"/>
  <c r="A107" i="33" s="1"/>
  <c r="A108" i="33" s="1"/>
  <c r="A109" i="33" s="1"/>
  <c r="A110" i="33" s="1"/>
  <c r="A111" i="33" s="1"/>
  <c r="A112" i="33" s="1"/>
  <c r="A113" i="33" s="1"/>
  <c r="A114" i="33" s="1"/>
  <c r="A115" i="33" s="1"/>
  <c r="A116" i="33" s="1"/>
  <c r="A117" i="33" s="1"/>
  <c r="A118" i="33" s="1"/>
  <c r="A119" i="33" s="1"/>
  <c r="A120" i="33" s="1"/>
  <c r="A121" i="33" s="1"/>
  <c r="A122" i="33" s="1"/>
  <c r="A123" i="33" s="1"/>
  <c r="A124" i="33" s="1"/>
  <c r="A125" i="33" s="1"/>
  <c r="A126" i="33" s="1"/>
  <c r="A127" i="33" s="1"/>
  <c r="A128" i="33" s="1"/>
  <c r="A129" i="33" s="1"/>
  <c r="A130" i="33" s="1"/>
  <c r="A131" i="33" s="1"/>
  <c r="A132" i="33" s="1"/>
  <c r="A133" i="33" s="1"/>
  <c r="A134" i="33" s="1"/>
  <c r="A135" i="33" s="1"/>
  <c r="A136" i="33" s="1"/>
  <c r="A137" i="33" s="1"/>
  <c r="A138" i="33" s="1"/>
  <c r="A139" i="33" s="1"/>
  <c r="A140" i="33" s="1"/>
  <c r="A141" i="33" s="1"/>
  <c r="A142" i="33" s="1"/>
  <c r="DM43" i="33"/>
  <c r="DL43" i="33"/>
  <c r="BW43" i="33"/>
  <c r="BU43" i="33"/>
  <c r="BT43" i="33"/>
  <c r="BP43" i="33"/>
  <c r="BO43" i="33"/>
  <c r="BN43" i="33"/>
  <c r="CA43" i="33" s="1"/>
  <c r="BM43" i="33"/>
  <c r="BG43" i="33"/>
  <c r="AM43" i="33"/>
  <c r="AW43" i="33" s="1"/>
  <c r="AL43" i="33"/>
  <c r="AK43" i="33"/>
  <c r="BB43" i="33" s="1"/>
  <c r="AJ43" i="33"/>
  <c r="AT43" i="33" s="1"/>
  <c r="AI43" i="33"/>
  <c r="AG43" i="33"/>
  <c r="Z43" i="33"/>
  <c r="N43" i="33"/>
  <c r="O43" i="33" s="1"/>
  <c r="I43" i="33"/>
  <c r="BL43" i="33" s="1"/>
  <c r="DM42" i="33"/>
  <c r="DL42" i="33"/>
  <c r="DJ42" i="33"/>
  <c r="DD42" i="33"/>
  <c r="CU42" i="33"/>
  <c r="CR42" i="33"/>
  <c r="CG42" i="33"/>
  <c r="BW42" i="33"/>
  <c r="BV42" i="33"/>
  <c r="BU42" i="33"/>
  <c r="BT42" i="33"/>
  <c r="BS42" i="33"/>
  <c r="BP42" i="33"/>
  <c r="BO42" i="33"/>
  <c r="BN42" i="33"/>
  <c r="CA42" i="33" s="1"/>
  <c r="BM42" i="33"/>
  <c r="BL42" i="33"/>
  <c r="AM42" i="33"/>
  <c r="BD42" i="33" s="1"/>
  <c r="AL42" i="33"/>
  <c r="BC42" i="33" s="1"/>
  <c r="AK42" i="33"/>
  <c r="AU42" i="33" s="1"/>
  <c r="AJ42" i="33"/>
  <c r="AT42" i="33" s="1"/>
  <c r="AI42" i="33"/>
  <c r="AG42" i="33"/>
  <c r="CK42" i="33" s="1"/>
  <c r="Z42" i="33"/>
  <c r="B42" i="33"/>
  <c r="DM41" i="33"/>
  <c r="DL41" i="33"/>
  <c r="BW41" i="33"/>
  <c r="BU41" i="33"/>
  <c r="BT41" i="33"/>
  <c r="BP41" i="33"/>
  <c r="BO41" i="33"/>
  <c r="BN41" i="33"/>
  <c r="BM41" i="33"/>
  <c r="BG41" i="33"/>
  <c r="AM41" i="33"/>
  <c r="BD41" i="33" s="1"/>
  <c r="AL41" i="33"/>
  <c r="AV41" i="33" s="1"/>
  <c r="AK41" i="33"/>
  <c r="AU41" i="33" s="1"/>
  <c r="AJ41" i="33"/>
  <c r="AI41" i="33"/>
  <c r="AG41" i="33"/>
  <c r="Z41" i="33"/>
  <c r="N41" i="33"/>
  <c r="DD41" i="33" s="1"/>
  <c r="I41" i="33"/>
  <c r="DM40" i="33"/>
  <c r="DL40" i="33"/>
  <c r="BW40" i="33"/>
  <c r="BU40" i="33"/>
  <c r="BT40" i="33"/>
  <c r="BP40" i="33"/>
  <c r="BO40" i="33"/>
  <c r="BN40" i="33"/>
  <c r="CA40" i="33" s="1"/>
  <c r="BM40" i="33"/>
  <c r="BG40" i="33"/>
  <c r="AM40" i="33"/>
  <c r="AW40" i="33" s="1"/>
  <c r="AL40" i="33"/>
  <c r="AK40" i="33"/>
  <c r="BB40" i="33" s="1"/>
  <c r="AJ40" i="33"/>
  <c r="AT40" i="33" s="1"/>
  <c r="AI40" i="33"/>
  <c r="AG40" i="33"/>
  <c r="Z40" i="33"/>
  <c r="N40" i="33"/>
  <c r="DD40" i="33" s="1"/>
  <c r="I40" i="33"/>
  <c r="BL40" i="33" s="1"/>
  <c r="DM39" i="33"/>
  <c r="DL39" i="33"/>
  <c r="BW39" i="33"/>
  <c r="BU39" i="33"/>
  <c r="BT39" i="33"/>
  <c r="BP39" i="33"/>
  <c r="BO39" i="33"/>
  <c r="BN39" i="33"/>
  <c r="BM39" i="33"/>
  <c r="BG39" i="33"/>
  <c r="AM39" i="33"/>
  <c r="AW39" i="33" s="1"/>
  <c r="AL39" i="33"/>
  <c r="AV39" i="33" s="1"/>
  <c r="AK39" i="33"/>
  <c r="AJ39" i="33"/>
  <c r="BA39" i="33" s="1"/>
  <c r="AI39" i="33"/>
  <c r="AG39" i="33"/>
  <c r="Z39" i="33"/>
  <c r="CJ39" i="33" s="1"/>
  <c r="N39" i="33"/>
  <c r="I39" i="33"/>
  <c r="CR39" i="33" s="1"/>
  <c r="DM38" i="33"/>
  <c r="DL38" i="33"/>
  <c r="BW38" i="33"/>
  <c r="BU38" i="33"/>
  <c r="BT38" i="33"/>
  <c r="BP38" i="33"/>
  <c r="BO38" i="33"/>
  <c r="BN38" i="33"/>
  <c r="BM38" i="33"/>
  <c r="BG38" i="33"/>
  <c r="AM38" i="33"/>
  <c r="BD38" i="33" s="1"/>
  <c r="AL38" i="33"/>
  <c r="AV38" i="33" s="1"/>
  <c r="AK38" i="33"/>
  <c r="AU38" i="33" s="1"/>
  <c r="AJ38" i="33"/>
  <c r="AI38" i="33"/>
  <c r="AG38" i="33"/>
  <c r="Z38" i="33"/>
  <c r="N38" i="33"/>
  <c r="I38" i="33"/>
  <c r="DM37" i="33"/>
  <c r="DL37" i="33"/>
  <c r="BW37" i="33"/>
  <c r="BU37" i="33"/>
  <c r="BT37" i="33"/>
  <c r="BP37" i="33"/>
  <c r="BO37" i="33"/>
  <c r="BN37" i="33"/>
  <c r="BM37" i="33"/>
  <c r="BG37" i="33"/>
  <c r="AM37" i="33"/>
  <c r="BD37" i="33" s="1"/>
  <c r="AL37" i="33"/>
  <c r="AV37" i="33" s="1"/>
  <c r="AK37" i="33"/>
  <c r="AU37" i="33" s="1"/>
  <c r="AJ37" i="33"/>
  <c r="AI37" i="33"/>
  <c r="AG37" i="33"/>
  <c r="Z37" i="33"/>
  <c r="N37" i="33"/>
  <c r="DD37" i="33" s="1"/>
  <c r="I37" i="33"/>
  <c r="DM36" i="33"/>
  <c r="DL36" i="33"/>
  <c r="BW36" i="33"/>
  <c r="BU36" i="33"/>
  <c r="BT36" i="33"/>
  <c r="BP36" i="33"/>
  <c r="BO36" i="33"/>
  <c r="BN36" i="33"/>
  <c r="BM36" i="33"/>
  <c r="BG36" i="33"/>
  <c r="AM36" i="33"/>
  <c r="AW36" i="33" s="1"/>
  <c r="AL36" i="33"/>
  <c r="AV36" i="33" s="1"/>
  <c r="AK36" i="33"/>
  <c r="BB36" i="33" s="1"/>
  <c r="AJ36" i="33"/>
  <c r="AT36" i="33" s="1"/>
  <c r="AI36" i="33"/>
  <c r="AG36" i="33"/>
  <c r="Z36" i="33"/>
  <c r="N36" i="33"/>
  <c r="O36" i="33" s="1"/>
  <c r="I36" i="33"/>
  <c r="BL36" i="33" s="1"/>
  <c r="A36" i="33"/>
  <c r="A37" i="33" s="1"/>
  <c r="A38" i="33" s="1"/>
  <c r="A39" i="33" s="1"/>
  <c r="A40" i="33" s="1"/>
  <c r="A41" i="33" s="1"/>
  <c r="A42" i="33" s="1"/>
  <c r="A43" i="33" s="1"/>
  <c r="DM35" i="33"/>
  <c r="DL35" i="33"/>
  <c r="DJ35" i="33"/>
  <c r="DD35" i="33"/>
  <c r="CU35" i="33"/>
  <c r="CR35" i="33"/>
  <c r="CG35" i="33"/>
  <c r="BW35" i="33"/>
  <c r="BV35" i="33"/>
  <c r="BU35" i="33"/>
  <c r="BT35" i="33"/>
  <c r="BS35" i="33"/>
  <c r="BP35" i="33"/>
  <c r="BO35" i="33"/>
  <c r="BN35" i="33"/>
  <c r="BM35" i="33"/>
  <c r="BL35" i="33"/>
  <c r="BI35" i="33"/>
  <c r="AN35" i="33"/>
  <c r="AM35" i="33"/>
  <c r="BD35" i="33" s="1"/>
  <c r="AL35" i="33"/>
  <c r="AV35" i="33" s="1"/>
  <c r="AK35" i="33"/>
  <c r="AJ35" i="33"/>
  <c r="BA35" i="33" s="1"/>
  <c r="AI35" i="33"/>
  <c r="AG35" i="33"/>
  <c r="CK35" i="33" s="1"/>
  <c r="Z35" i="33"/>
  <c r="DM34" i="33"/>
  <c r="DL34" i="33"/>
  <c r="BW34" i="33"/>
  <c r="BU34" i="33"/>
  <c r="BT34" i="33"/>
  <c r="BP34" i="33"/>
  <c r="BO34" i="33"/>
  <c r="BN34" i="33"/>
  <c r="BM34" i="33"/>
  <c r="BG34" i="33"/>
  <c r="AM34" i="33"/>
  <c r="BD34" i="33" s="1"/>
  <c r="AL34" i="33"/>
  <c r="AV34" i="33" s="1"/>
  <c r="AK34" i="33"/>
  <c r="AU34" i="33" s="1"/>
  <c r="AJ34" i="33"/>
  <c r="AI34" i="33"/>
  <c r="AG34" i="33"/>
  <c r="Z34" i="33"/>
  <c r="CJ34" i="33" s="1"/>
  <c r="N34" i="33"/>
  <c r="O34" i="33" s="1"/>
  <c r="BS34" i="33" s="1"/>
  <c r="I34" i="33"/>
  <c r="DM33" i="33"/>
  <c r="DL33" i="33"/>
  <c r="BW33" i="33"/>
  <c r="BU33" i="33"/>
  <c r="BT33" i="33"/>
  <c r="BP33" i="33"/>
  <c r="BO33" i="33"/>
  <c r="BN33" i="33"/>
  <c r="CA33" i="33" s="1"/>
  <c r="BM33" i="33"/>
  <c r="BG33" i="33"/>
  <c r="AM33" i="33"/>
  <c r="BD33" i="33" s="1"/>
  <c r="AL33" i="33"/>
  <c r="AV33" i="33" s="1"/>
  <c r="AK33" i="33"/>
  <c r="AU33" i="33" s="1"/>
  <c r="AJ33" i="33"/>
  <c r="AI33" i="33"/>
  <c r="AG33" i="33"/>
  <c r="Z33" i="33"/>
  <c r="N33" i="33"/>
  <c r="DD33" i="33" s="1"/>
  <c r="I33" i="33"/>
  <c r="DM32" i="33"/>
  <c r="DL32" i="33"/>
  <c r="DJ32" i="33"/>
  <c r="DD32" i="33"/>
  <c r="CU32" i="33"/>
  <c r="CR32" i="33"/>
  <c r="CG32" i="33"/>
  <c r="BW32" i="33"/>
  <c r="BV32" i="33"/>
  <c r="BU32" i="33"/>
  <c r="BT32" i="33"/>
  <c r="BS32" i="33"/>
  <c r="BP32" i="33"/>
  <c r="BO32" i="33"/>
  <c r="BN32" i="33"/>
  <c r="BM32" i="33"/>
  <c r="BL32" i="33"/>
  <c r="BH32" i="33"/>
  <c r="BG32" i="33"/>
  <c r="AM32" i="33"/>
  <c r="BD32" i="33" s="1"/>
  <c r="AL32" i="33"/>
  <c r="BC32" i="33" s="1"/>
  <c r="AK32" i="33"/>
  <c r="AU32" i="33" s="1"/>
  <c r="AJ32" i="33"/>
  <c r="AI32" i="33"/>
  <c r="AG32" i="33"/>
  <c r="CK32" i="33" s="1"/>
  <c r="Z32" i="33"/>
  <c r="DM31" i="33"/>
  <c r="DL31" i="33"/>
  <c r="DJ31" i="33"/>
  <c r="DD31" i="33"/>
  <c r="CU31" i="33"/>
  <c r="CR31" i="33"/>
  <c r="CG31" i="33"/>
  <c r="BW31" i="33"/>
  <c r="BV31" i="33"/>
  <c r="BU31" i="33"/>
  <c r="BT31" i="33"/>
  <c r="BS31" i="33"/>
  <c r="BP31" i="33"/>
  <c r="BO31" i="33"/>
  <c r="BN31" i="33"/>
  <c r="BM31" i="33"/>
  <c r="BL31" i="33"/>
  <c r="BH31" i="33"/>
  <c r="BG31" i="33"/>
  <c r="AM31" i="33"/>
  <c r="BD31" i="33" s="1"/>
  <c r="AL31" i="33"/>
  <c r="BC31" i="33" s="1"/>
  <c r="AK31" i="33"/>
  <c r="BB31" i="33" s="1"/>
  <c r="AJ31" i="33"/>
  <c r="AI31" i="33"/>
  <c r="AG31" i="33"/>
  <c r="CK31" i="33" s="1"/>
  <c r="Z31" i="33"/>
  <c r="DM30" i="33"/>
  <c r="DL30" i="33"/>
  <c r="DJ30" i="33"/>
  <c r="DD30" i="33"/>
  <c r="CU30" i="33"/>
  <c r="CR30" i="33"/>
  <c r="CG30" i="33"/>
  <c r="BW30" i="33"/>
  <c r="BV30" i="33"/>
  <c r="BU30" i="33"/>
  <c r="BT30" i="33"/>
  <c r="BS30" i="33"/>
  <c r="BP30" i="33"/>
  <c r="BO30" i="33"/>
  <c r="BN30" i="33"/>
  <c r="BM30" i="33"/>
  <c r="BL30" i="33"/>
  <c r="BH30" i="33"/>
  <c r="BG30" i="33"/>
  <c r="AM30" i="33"/>
  <c r="BD30" i="33" s="1"/>
  <c r="AL30" i="33"/>
  <c r="BC30" i="33" s="1"/>
  <c r="AK30" i="33"/>
  <c r="AU30" i="33" s="1"/>
  <c r="AJ30" i="33"/>
  <c r="AI30" i="33"/>
  <c r="AG30" i="33"/>
  <c r="CK30" i="33" s="1"/>
  <c r="Z30" i="33"/>
  <c r="DM29" i="33"/>
  <c r="DL29" i="33"/>
  <c r="DJ29" i="33"/>
  <c r="DD29" i="33"/>
  <c r="CU29" i="33"/>
  <c r="CR29" i="33"/>
  <c r="CG29" i="33"/>
  <c r="BW29" i="33"/>
  <c r="BV29" i="33"/>
  <c r="BU29" i="33"/>
  <c r="BT29" i="33"/>
  <c r="BS29" i="33"/>
  <c r="BP29" i="33"/>
  <c r="BO29" i="33"/>
  <c r="BN29" i="33"/>
  <c r="BM29" i="33"/>
  <c r="BL29" i="33"/>
  <c r="BH29" i="33"/>
  <c r="BG29" i="33"/>
  <c r="AM29" i="33"/>
  <c r="BD29" i="33" s="1"/>
  <c r="AL29" i="33"/>
  <c r="BC29" i="33" s="1"/>
  <c r="AK29" i="33"/>
  <c r="AU29" i="33" s="1"/>
  <c r="AJ29" i="33"/>
  <c r="AI29" i="33"/>
  <c r="AG29" i="33"/>
  <c r="CK29" i="33" s="1"/>
  <c r="Z29" i="33"/>
  <c r="DM28" i="33"/>
  <c r="DL28" i="33"/>
  <c r="BW28" i="33"/>
  <c r="BU28" i="33"/>
  <c r="BT28" i="33"/>
  <c r="BP28" i="33"/>
  <c r="BO28" i="33"/>
  <c r="BN28" i="33"/>
  <c r="BM28" i="33"/>
  <c r="BG28" i="33"/>
  <c r="AM28" i="33"/>
  <c r="AW28" i="33" s="1"/>
  <c r="AL28" i="33"/>
  <c r="AK28" i="33"/>
  <c r="BB28" i="33" s="1"/>
  <c r="AJ28" i="33"/>
  <c r="AT28" i="33" s="1"/>
  <c r="AI28" i="33"/>
  <c r="AG28" i="33"/>
  <c r="Z28" i="33"/>
  <c r="N28" i="33"/>
  <c r="DD28" i="33" s="1"/>
  <c r="I28" i="33"/>
  <c r="BL28" i="33" s="1"/>
  <c r="DM27" i="33"/>
  <c r="DL27" i="33"/>
  <c r="BW27" i="33"/>
  <c r="BU27" i="33"/>
  <c r="BT27" i="33"/>
  <c r="BP27" i="33"/>
  <c r="BO27" i="33"/>
  <c r="BN27" i="33"/>
  <c r="BM27" i="33"/>
  <c r="BG27" i="33"/>
  <c r="AM27" i="33"/>
  <c r="AW27" i="33" s="1"/>
  <c r="AL27" i="33"/>
  <c r="AV27" i="33" s="1"/>
  <c r="AK27" i="33"/>
  <c r="AJ27" i="33"/>
  <c r="BA27" i="33" s="1"/>
  <c r="AI27" i="33"/>
  <c r="AG27" i="33"/>
  <c r="Z27" i="33"/>
  <c r="CJ27" i="33" s="1"/>
  <c r="N27" i="33"/>
  <c r="I27" i="33"/>
  <c r="CR27" i="33" s="1"/>
  <c r="DM26" i="33"/>
  <c r="DL26" i="33"/>
  <c r="BW26" i="33"/>
  <c r="BU26" i="33"/>
  <c r="BT26" i="33"/>
  <c r="BP26" i="33"/>
  <c r="BO26" i="33"/>
  <c r="BN26" i="33"/>
  <c r="BM26" i="33"/>
  <c r="BG26" i="33"/>
  <c r="AM26" i="33"/>
  <c r="BD26" i="33" s="1"/>
  <c r="AL26" i="33"/>
  <c r="AV26" i="33" s="1"/>
  <c r="AK26" i="33"/>
  <c r="AU26" i="33" s="1"/>
  <c r="AJ26" i="33"/>
  <c r="AI26" i="33"/>
  <c r="AG26" i="33"/>
  <c r="Z26" i="33"/>
  <c r="N26" i="33"/>
  <c r="O26" i="33" s="1"/>
  <c r="BS26" i="33" s="1"/>
  <c r="I26" i="33"/>
  <c r="DM25" i="33"/>
  <c r="DL25" i="33"/>
  <c r="BW25" i="33"/>
  <c r="BU25" i="33"/>
  <c r="BT25" i="33"/>
  <c r="BP25" i="33"/>
  <c r="BO25" i="33"/>
  <c r="BN25" i="33"/>
  <c r="CA25" i="33" s="1"/>
  <c r="BM25" i="33"/>
  <c r="BG25" i="33"/>
  <c r="AM25" i="33"/>
  <c r="BD25" i="33" s="1"/>
  <c r="AL25" i="33"/>
  <c r="AV25" i="33" s="1"/>
  <c r="AK25" i="33"/>
  <c r="AU25" i="33" s="1"/>
  <c r="AJ25" i="33"/>
  <c r="AI25" i="33"/>
  <c r="AG25" i="33"/>
  <c r="Z25" i="33"/>
  <c r="N25" i="33"/>
  <c r="DD25" i="33" s="1"/>
  <c r="I25" i="33"/>
  <c r="DM24" i="33"/>
  <c r="DL24" i="33"/>
  <c r="BW24" i="33"/>
  <c r="BU24" i="33"/>
  <c r="BT24" i="33"/>
  <c r="BP24" i="33"/>
  <c r="BO24" i="33"/>
  <c r="BN24" i="33"/>
  <c r="BM24" i="33"/>
  <c r="BG24" i="33"/>
  <c r="AM24" i="33"/>
  <c r="BD24" i="33" s="1"/>
  <c r="AL24" i="33"/>
  <c r="AK24" i="33"/>
  <c r="BB24" i="33" s="1"/>
  <c r="AJ24" i="33"/>
  <c r="AT24" i="33" s="1"/>
  <c r="AI24" i="33"/>
  <c r="AG24" i="33"/>
  <c r="Z24" i="33"/>
  <c r="N24" i="33"/>
  <c r="I24" i="33"/>
  <c r="BL24" i="33" s="1"/>
  <c r="DM23" i="33"/>
  <c r="DL23" i="33"/>
  <c r="BW23" i="33"/>
  <c r="BU23" i="33"/>
  <c r="BT23" i="33"/>
  <c r="BP23" i="33"/>
  <c r="BO23" i="33"/>
  <c r="BN23" i="33"/>
  <c r="BM23" i="33"/>
  <c r="BZ23" i="33" s="1"/>
  <c r="BG23" i="33"/>
  <c r="AM23" i="33"/>
  <c r="AW23" i="33" s="1"/>
  <c r="AL23" i="33"/>
  <c r="AV23" i="33" s="1"/>
  <c r="AK23" i="33"/>
  <c r="AU23" i="33" s="1"/>
  <c r="AJ23" i="33"/>
  <c r="BA23" i="33" s="1"/>
  <c r="AI23" i="33"/>
  <c r="AG23" i="33"/>
  <c r="Z23" i="33"/>
  <c r="CJ23" i="33" s="1"/>
  <c r="N23" i="33"/>
  <c r="I23" i="33"/>
  <c r="CR23" i="33" s="1"/>
  <c r="DM22" i="33"/>
  <c r="DL22" i="33"/>
  <c r="BW22" i="33"/>
  <c r="BU22" i="33"/>
  <c r="BT22" i="33"/>
  <c r="BP22" i="33"/>
  <c r="BO22" i="33"/>
  <c r="BN22" i="33"/>
  <c r="BM22" i="33"/>
  <c r="BG22" i="33"/>
  <c r="AM22" i="33"/>
  <c r="BD22" i="33" s="1"/>
  <c r="AL22" i="33"/>
  <c r="AV22" i="33" s="1"/>
  <c r="AK22" i="33"/>
  <c r="BB22" i="33" s="1"/>
  <c r="AJ22" i="33"/>
  <c r="AI22" i="33"/>
  <c r="AG22" i="33"/>
  <c r="Z22" i="33"/>
  <c r="N22" i="33"/>
  <c r="O22" i="33" s="1"/>
  <c r="BS22" i="33" s="1"/>
  <c r="I22" i="33"/>
  <c r="CR22" i="33" s="1"/>
  <c r="DM21" i="33"/>
  <c r="DL21" i="33"/>
  <c r="BW21" i="33"/>
  <c r="BU21" i="33"/>
  <c r="BT21" i="33"/>
  <c r="BP21" i="33"/>
  <c r="BO21" i="33"/>
  <c r="BN21" i="33"/>
  <c r="BM21" i="33"/>
  <c r="BG21" i="33"/>
  <c r="AM21" i="33"/>
  <c r="AW21" i="33" s="1"/>
  <c r="AL21" i="33"/>
  <c r="AV21" i="33" s="1"/>
  <c r="AK21" i="33"/>
  <c r="AU21" i="33" s="1"/>
  <c r="AJ21" i="33"/>
  <c r="AI21" i="33"/>
  <c r="AG21" i="33"/>
  <c r="Z21" i="33"/>
  <c r="N21" i="33"/>
  <c r="DD21" i="33" s="1"/>
  <c r="I21" i="33"/>
  <c r="DM20" i="33"/>
  <c r="DL20" i="33"/>
  <c r="BW20" i="33"/>
  <c r="BU20" i="33"/>
  <c r="BT20" i="33"/>
  <c r="BP20" i="33"/>
  <c r="BO20" i="33"/>
  <c r="BN20" i="33"/>
  <c r="BM20" i="33"/>
  <c r="BG20" i="33"/>
  <c r="AM20" i="33"/>
  <c r="BD20" i="33" s="1"/>
  <c r="AL20" i="33"/>
  <c r="AV20" i="33" s="1"/>
  <c r="AK20" i="33"/>
  <c r="BB20" i="33" s="1"/>
  <c r="AJ20" i="33"/>
  <c r="AT20" i="33" s="1"/>
  <c r="AI20" i="33"/>
  <c r="AG20" i="33"/>
  <c r="Z20" i="33"/>
  <c r="N20" i="33"/>
  <c r="I20" i="33"/>
  <c r="BL20" i="33" s="1"/>
  <c r="DM19" i="33"/>
  <c r="DL19" i="33"/>
  <c r="DJ19" i="33"/>
  <c r="DD19" i="33"/>
  <c r="CU19" i="33"/>
  <c r="CR19" i="33"/>
  <c r="CG19" i="33"/>
  <c r="BW19" i="33"/>
  <c r="BV19" i="33"/>
  <c r="BU19" i="33"/>
  <c r="BT19" i="33"/>
  <c r="BS19" i="33"/>
  <c r="BP19" i="33"/>
  <c r="BO19" i="33"/>
  <c r="BN19" i="33"/>
  <c r="BM19" i="33"/>
  <c r="BL19" i="33"/>
  <c r="BI19" i="33"/>
  <c r="AM19" i="33"/>
  <c r="BD19" i="33" s="1"/>
  <c r="AL19" i="33"/>
  <c r="AV19" i="33" s="1"/>
  <c r="AK19" i="33"/>
  <c r="BB19" i="33" s="1"/>
  <c r="AJ19" i="33"/>
  <c r="AI19" i="33"/>
  <c r="AS19" i="33" s="1"/>
  <c r="AG19" i="33"/>
  <c r="CK19" i="33" s="1"/>
  <c r="Z19" i="33"/>
  <c r="DM18" i="33"/>
  <c r="DL18" i="33"/>
  <c r="DJ18" i="33"/>
  <c r="DD18" i="33"/>
  <c r="CU18" i="33"/>
  <c r="CR18" i="33"/>
  <c r="CG18" i="33"/>
  <c r="BW18" i="33"/>
  <c r="BV18" i="33"/>
  <c r="BU18" i="33"/>
  <c r="BT18" i="33"/>
  <c r="BS18" i="33"/>
  <c r="BP18" i="33"/>
  <c r="BO18" i="33"/>
  <c r="BN18" i="33"/>
  <c r="BM18" i="33"/>
  <c r="BL18" i="33"/>
  <c r="BH18" i="33"/>
  <c r="BG18" i="33"/>
  <c r="AM18" i="33"/>
  <c r="BD18" i="33" s="1"/>
  <c r="AL18" i="33"/>
  <c r="AV18" i="33" s="1"/>
  <c r="AK18" i="33"/>
  <c r="BB18" i="33" s="1"/>
  <c r="AJ18" i="33"/>
  <c r="AI18" i="33"/>
  <c r="AS18" i="33" s="1"/>
  <c r="AG18" i="33"/>
  <c r="CK18" i="33" s="1"/>
  <c r="Z18" i="33"/>
  <c r="CJ18" i="33" s="1"/>
  <c r="DM17" i="33"/>
  <c r="DL17" i="33"/>
  <c r="BW17" i="33"/>
  <c r="BU17" i="33"/>
  <c r="BT17" i="33"/>
  <c r="BP17" i="33"/>
  <c r="BO17" i="33"/>
  <c r="BN17" i="33"/>
  <c r="BM17" i="33"/>
  <c r="BG17" i="33"/>
  <c r="AM17" i="33"/>
  <c r="BD17" i="33" s="1"/>
  <c r="AL17" i="33"/>
  <c r="AV17" i="33" s="1"/>
  <c r="AK17" i="33"/>
  <c r="AU17" i="33" s="1"/>
  <c r="AJ17" i="33"/>
  <c r="AI17" i="33"/>
  <c r="AG17" i="33"/>
  <c r="Z17" i="33"/>
  <c r="N17" i="33"/>
  <c r="DD17" i="33" s="1"/>
  <c r="I17" i="33"/>
  <c r="DM16" i="33"/>
  <c r="DL16" i="33"/>
  <c r="BW16" i="33"/>
  <c r="BU16" i="33"/>
  <c r="BT16" i="33"/>
  <c r="BP16" i="33"/>
  <c r="BO16" i="33"/>
  <c r="BN16" i="33"/>
  <c r="BM16" i="33"/>
  <c r="BG16" i="33"/>
  <c r="AM16" i="33"/>
  <c r="BD16" i="33" s="1"/>
  <c r="AL16" i="33"/>
  <c r="AK16" i="33"/>
  <c r="BB16" i="33" s="1"/>
  <c r="AJ16" i="33"/>
  <c r="AT16" i="33" s="1"/>
  <c r="AI16" i="33"/>
  <c r="AG16" i="33"/>
  <c r="Z16" i="33"/>
  <c r="N16" i="33"/>
  <c r="DD16" i="33" s="1"/>
  <c r="I16" i="33"/>
  <c r="BL16" i="33" s="1"/>
  <c r="DM15" i="33"/>
  <c r="DL15" i="33"/>
  <c r="BW15" i="33"/>
  <c r="BU15" i="33"/>
  <c r="BT15" i="33"/>
  <c r="BP15" i="33"/>
  <c r="BO15" i="33"/>
  <c r="BN15" i="33"/>
  <c r="BM15" i="33"/>
  <c r="BG15" i="33"/>
  <c r="AM15" i="33"/>
  <c r="AW15" i="33" s="1"/>
  <c r="AL15" i="33"/>
  <c r="AV15" i="33" s="1"/>
  <c r="AK15" i="33"/>
  <c r="BB15" i="33" s="1"/>
  <c r="AJ15" i="33"/>
  <c r="BA15" i="33" s="1"/>
  <c r="AI15" i="33"/>
  <c r="AG15" i="33"/>
  <c r="Z15" i="33"/>
  <c r="CJ15" i="33" s="1"/>
  <c r="N15" i="33"/>
  <c r="I15" i="33"/>
  <c r="CR15" i="33" s="1"/>
  <c r="A15" i="33"/>
  <c r="A16" i="33" s="1"/>
  <c r="A17" i="33" s="1"/>
  <c r="A18" i="33" s="1"/>
  <c r="A19" i="33" s="1"/>
  <c r="A20" i="33" s="1"/>
  <c r="A21" i="33" s="1"/>
  <c r="A22" i="33" s="1"/>
  <c r="A23" i="33" s="1"/>
  <c r="A24" i="33" s="1"/>
  <c r="A25" i="33" s="1"/>
  <c r="A26" i="33" s="1"/>
  <c r="A27" i="33" s="1"/>
  <c r="A28" i="33" s="1"/>
  <c r="A29" i="33" s="1"/>
  <c r="A30" i="33" s="1"/>
  <c r="A31" i="33" s="1"/>
  <c r="A32" i="33" s="1"/>
  <c r="A33" i="33" s="1"/>
  <c r="A34" i="33" s="1"/>
  <c r="A35" i="33" s="1"/>
  <c r="DM14" i="33"/>
  <c r="DL14" i="33"/>
  <c r="BW14" i="33"/>
  <c r="BU14" i="33"/>
  <c r="BT14" i="33"/>
  <c r="BP14" i="33"/>
  <c r="BO14" i="33"/>
  <c r="BN14" i="33"/>
  <c r="BM14" i="33"/>
  <c r="BG14" i="33"/>
  <c r="AM14" i="33"/>
  <c r="AW14" i="33" s="1"/>
  <c r="AL14" i="33"/>
  <c r="AK14" i="33"/>
  <c r="AU14" i="33" s="1"/>
  <c r="AJ14" i="33"/>
  <c r="AI14" i="33"/>
  <c r="AG14" i="33"/>
  <c r="Z14" i="33"/>
  <c r="N14" i="33"/>
  <c r="O14" i="33" s="1"/>
  <c r="BS14" i="33" s="1"/>
  <c r="I14" i="33"/>
  <c r="BI13" i="33"/>
  <c r="BI12" i="33"/>
  <c r="D9" i="33"/>
  <c r="E9" i="33" s="1"/>
  <c r="F9" i="33" s="1"/>
  <c r="G9" i="33" s="1"/>
  <c r="H9" i="33" s="1"/>
  <c r="I9" i="33" s="1"/>
  <c r="J9" i="33" s="1"/>
  <c r="K9" i="33" s="1"/>
  <c r="L9" i="33" s="1"/>
  <c r="M9" i="33" s="1"/>
  <c r="N9" i="33" s="1"/>
  <c r="O9" i="33" s="1"/>
  <c r="P9" i="33" s="1"/>
  <c r="Q9" i="33" s="1"/>
  <c r="R9" i="33" s="1"/>
  <c r="S9" i="33" s="1"/>
  <c r="T9" i="33" s="1"/>
  <c r="U9" i="33" s="1"/>
  <c r="V9" i="33" s="1"/>
  <c r="W9" i="33" s="1"/>
  <c r="X9" i="33" s="1"/>
  <c r="Y9" i="33" s="1"/>
  <c r="Z9" i="33" s="1"/>
  <c r="AA9" i="33" s="1"/>
  <c r="AB9" i="33" s="1"/>
  <c r="AC9" i="33" s="1"/>
  <c r="AD9" i="33" s="1"/>
  <c r="AE9" i="33" s="1"/>
  <c r="AF9" i="33" s="1"/>
  <c r="AG9" i="33" s="1"/>
  <c r="AH9" i="33" s="1"/>
  <c r="AI9" i="33" s="1"/>
  <c r="AJ9" i="33" s="1"/>
  <c r="AK9" i="33" s="1"/>
  <c r="AL9" i="33" s="1"/>
  <c r="AM9" i="33" s="1"/>
  <c r="AN9" i="33" s="1"/>
  <c r="AO9" i="33" s="1"/>
  <c r="AP9" i="33" s="1"/>
  <c r="AQ9" i="33" s="1"/>
  <c r="AR9" i="33" s="1"/>
  <c r="AS9" i="33" s="1"/>
  <c r="AT9" i="33" s="1"/>
  <c r="AU9" i="33" s="1"/>
  <c r="AV9" i="33" s="1"/>
  <c r="AW9" i="33" s="1"/>
  <c r="AX9" i="33" s="1"/>
  <c r="AY9" i="33" s="1"/>
  <c r="AZ9" i="33" s="1"/>
  <c r="BA9" i="33" s="1"/>
  <c r="BB9" i="33" s="1"/>
  <c r="BC9" i="33" s="1"/>
  <c r="BD9" i="33" s="1"/>
  <c r="BE9" i="33" s="1"/>
  <c r="BF9" i="33" s="1"/>
  <c r="BG9" i="33" s="1"/>
  <c r="BH9" i="33" s="1"/>
  <c r="BI9" i="33" s="1"/>
  <c r="BL9" i="33" s="1"/>
  <c r="BM9" i="33" s="1"/>
  <c r="BN9" i="33" s="1"/>
  <c r="BO9" i="33" s="1"/>
  <c r="BP9" i="33" s="1"/>
  <c r="BQ9" i="33" s="1"/>
  <c r="BR9" i="33" s="1"/>
  <c r="BS9" i="33" s="1"/>
  <c r="BT9" i="33" s="1"/>
  <c r="BU9" i="33" s="1"/>
  <c r="BV9" i="33" s="1"/>
  <c r="BW9" i="33" s="1"/>
  <c r="BX9" i="33" s="1"/>
  <c r="BY9" i="33" s="1"/>
  <c r="BZ9" i="33" s="1"/>
  <c r="CA9" i="33" s="1"/>
  <c r="CB9" i="33" s="1"/>
  <c r="CC9" i="33" s="1"/>
  <c r="CD9" i="33" s="1"/>
  <c r="CE9" i="33" s="1"/>
  <c r="CF9" i="33" s="1"/>
  <c r="CG9" i="33" s="1"/>
  <c r="CH9" i="33" s="1"/>
  <c r="CI9" i="33" s="1"/>
  <c r="CJ9" i="33" s="1"/>
  <c r="CK9" i="33" s="1"/>
  <c r="CL9" i="33" s="1"/>
  <c r="CO9" i="33" s="1"/>
  <c r="CP9" i="33" s="1"/>
  <c r="CQ9" i="33" s="1"/>
  <c r="CR9" i="33" s="1"/>
  <c r="CS9" i="33" s="1"/>
  <c r="CT9" i="33" s="1"/>
  <c r="CU9" i="33" s="1"/>
  <c r="CV9" i="33" s="1"/>
  <c r="CW9" i="33" s="1"/>
  <c r="CX9" i="33" s="1"/>
  <c r="CY9" i="33" s="1"/>
  <c r="CZ9" i="33" s="1"/>
  <c r="DA9" i="33" s="1"/>
  <c r="DB9" i="33" s="1"/>
  <c r="CQ8" i="33"/>
  <c r="CI8" i="33"/>
  <c r="AB8" i="33"/>
  <c r="Y8" i="33"/>
  <c r="X8" i="33"/>
  <c r="BG7" i="33"/>
  <c r="BE7" i="33"/>
  <c r="R7" i="33"/>
  <c r="O7" i="33"/>
  <c r="N7" i="33"/>
  <c r="M7" i="33"/>
  <c r="H7" i="33"/>
  <c r="CK5" i="33"/>
  <c r="CJ5" i="33"/>
  <c r="D1" i="33"/>
  <c r="E1" i="33" s="1"/>
  <c r="F1" i="33" s="1"/>
  <c r="G1" i="33" s="1"/>
  <c r="H1" i="33" s="1"/>
  <c r="I1" i="33" s="1"/>
  <c r="J1" i="33" s="1"/>
  <c r="K1" i="33" s="1"/>
  <c r="L1" i="33" s="1"/>
  <c r="M1" i="33" s="1"/>
  <c r="N1" i="33" s="1"/>
  <c r="O1" i="33" s="1"/>
  <c r="P1" i="33" s="1"/>
  <c r="Q1" i="33" s="1"/>
  <c r="R1" i="33" s="1"/>
  <c r="S1" i="33" s="1"/>
  <c r="T1" i="33" s="1"/>
  <c r="U1" i="33" s="1"/>
  <c r="V1" i="33" s="1"/>
  <c r="W1" i="33" s="1"/>
  <c r="X1" i="33" s="1"/>
  <c r="Y1" i="33" s="1"/>
  <c r="Z1" i="33" s="1"/>
  <c r="AA1" i="33" s="1"/>
  <c r="AB1" i="33" s="1"/>
  <c r="AC1" i="33" s="1"/>
  <c r="AD1" i="33" s="1"/>
  <c r="AE1" i="33" s="1"/>
  <c r="AF1" i="33" s="1"/>
  <c r="AG1" i="33" s="1"/>
  <c r="AH1" i="33" s="1"/>
  <c r="AI1" i="33" s="1"/>
  <c r="AJ1" i="33" s="1"/>
  <c r="AK1" i="33" s="1"/>
  <c r="AL1" i="33" s="1"/>
  <c r="AM1" i="33" s="1"/>
  <c r="AN1" i="33" s="1"/>
  <c r="AO1" i="33" s="1"/>
  <c r="AP1" i="33" s="1"/>
  <c r="AQ1" i="33" s="1"/>
  <c r="AR1" i="33" s="1"/>
  <c r="AS1" i="33" s="1"/>
  <c r="AT1" i="33" s="1"/>
  <c r="AU1" i="33" s="1"/>
  <c r="AV1" i="33" s="1"/>
  <c r="AW1" i="33" s="1"/>
  <c r="AX1" i="33" s="1"/>
  <c r="AY1" i="33" s="1"/>
  <c r="AZ1" i="33" s="1"/>
  <c r="BA1" i="33" s="1"/>
  <c r="BB1" i="33" s="1"/>
  <c r="BC1" i="33" s="1"/>
  <c r="BD1" i="33" s="1"/>
  <c r="BE1" i="33" s="1"/>
  <c r="BF1" i="33" s="1"/>
  <c r="BG1" i="33" s="1"/>
  <c r="BH1" i="33" s="1"/>
  <c r="BI1" i="33" s="1"/>
  <c r="BL1" i="33" s="1"/>
  <c r="BM1" i="33" s="1"/>
  <c r="BN1" i="33" s="1"/>
  <c r="BO1" i="33" s="1"/>
  <c r="BP1" i="33" s="1"/>
  <c r="BQ1" i="33" s="1"/>
  <c r="BR1" i="33" s="1"/>
  <c r="BS1" i="33" s="1"/>
  <c r="BT1" i="33" s="1"/>
  <c r="BU1" i="33" s="1"/>
  <c r="BV1" i="33" s="1"/>
  <c r="BW1" i="33" s="1"/>
  <c r="BX1" i="33" s="1"/>
  <c r="BY1" i="33" s="1"/>
  <c r="BZ1" i="33" s="1"/>
  <c r="CA1" i="33" s="1"/>
  <c r="CB1" i="33" s="1"/>
  <c r="CC1" i="33" s="1"/>
  <c r="CD1" i="33" s="1"/>
  <c r="CE1" i="33" s="1"/>
  <c r="CF1" i="33" s="1"/>
  <c r="CG1" i="33" s="1"/>
  <c r="CH1" i="33" s="1"/>
  <c r="CI1" i="33" s="1"/>
  <c r="CJ1" i="33" s="1"/>
  <c r="CK1" i="33" s="1"/>
  <c r="CL1" i="33" s="1"/>
  <c r="CO1" i="33" s="1"/>
  <c r="CP1" i="33" s="1"/>
  <c r="CQ1" i="33" s="1"/>
  <c r="CR1" i="33" s="1"/>
  <c r="CS1" i="33" s="1"/>
  <c r="CT1" i="33" s="1"/>
  <c r="CU1" i="33" s="1"/>
  <c r="CV1" i="33" s="1"/>
  <c r="CW1" i="33" s="1"/>
  <c r="CX1" i="33" s="1"/>
  <c r="CY1" i="33" s="1"/>
  <c r="CZ1" i="33" s="1"/>
  <c r="DA1" i="33" s="1"/>
  <c r="DB1" i="33" s="1"/>
  <c r="BZ77" i="33" l="1"/>
  <c r="CX37" i="33"/>
  <c r="CX100" i="33"/>
  <c r="BZ30" i="33"/>
  <c r="V8" i="33"/>
  <c r="CA30" i="33"/>
  <c r="CA26" i="33"/>
  <c r="CA34" i="33"/>
  <c r="CY53" i="33"/>
  <c r="CA56" i="33"/>
  <c r="DN92" i="33"/>
  <c r="CA130" i="33"/>
  <c r="CB130" i="33" s="1"/>
  <c r="DN18" i="33"/>
  <c r="BQ117" i="33"/>
  <c r="BR117" i="33" s="1"/>
  <c r="CA79" i="33"/>
  <c r="CA52" i="33"/>
  <c r="CD52" i="33" s="1"/>
  <c r="CA14" i="33"/>
  <c r="CA24" i="33"/>
  <c r="CD24" i="33" s="1"/>
  <c r="BZ54" i="33"/>
  <c r="BZ128" i="33"/>
  <c r="CG67" i="33"/>
  <c r="W8" i="33"/>
  <c r="CA21" i="33"/>
  <c r="CD21" i="33" s="1"/>
  <c r="CA73" i="33"/>
  <c r="CD73" i="33" s="1"/>
  <c r="CY94" i="33"/>
  <c r="DN17" i="33"/>
  <c r="CY81" i="33"/>
  <c r="CO16" i="33"/>
  <c r="BZ43" i="33"/>
  <c r="CK46" i="33"/>
  <c r="BZ46" i="33"/>
  <c r="CA51" i="33"/>
  <c r="CD51" i="33" s="1"/>
  <c r="AS80" i="33"/>
  <c r="BZ114" i="33"/>
  <c r="CC114" i="33" s="1"/>
  <c r="AN8" i="33"/>
  <c r="BZ131" i="33"/>
  <c r="CB131" i="33" s="1"/>
  <c r="CA104" i="33"/>
  <c r="CD104" i="33" s="1"/>
  <c r="AI110" i="33"/>
  <c r="AS110" i="33" s="1"/>
  <c r="BZ121" i="33"/>
  <c r="CA134" i="33"/>
  <c r="CD134" i="33" s="1"/>
  <c r="CY26" i="33"/>
  <c r="DN26" i="33"/>
  <c r="BZ27" i="33"/>
  <c r="BZ39" i="33"/>
  <c r="CA83" i="33"/>
  <c r="BZ94" i="33"/>
  <c r="CC94" i="33" s="1"/>
  <c r="DN125" i="33"/>
  <c r="CA129" i="33"/>
  <c r="CD129" i="33" s="1"/>
  <c r="CO25" i="33"/>
  <c r="BZ81" i="33"/>
  <c r="CC81" i="33" s="1"/>
  <c r="CA127" i="33"/>
  <c r="BZ64" i="33"/>
  <c r="CC64" i="33" s="1"/>
  <c r="CA74" i="33"/>
  <c r="CD74" i="33" s="1"/>
  <c r="CA77" i="33"/>
  <c r="CA86" i="33"/>
  <c r="CD86" i="33" s="1"/>
  <c r="DN104" i="33"/>
  <c r="AS14" i="33"/>
  <c r="AH68" i="33"/>
  <c r="CM68" i="33" s="1"/>
  <c r="CA82" i="33"/>
  <c r="CD82" i="33" s="1"/>
  <c r="CJ90" i="33"/>
  <c r="AS91" i="33"/>
  <c r="BZ93" i="33"/>
  <c r="CC93" i="33" s="1"/>
  <c r="BQ113" i="33"/>
  <c r="BR113" i="33" s="1"/>
  <c r="CD26" i="33"/>
  <c r="CO30" i="33"/>
  <c r="AH86" i="33"/>
  <c r="BZ110" i="33"/>
  <c r="AW66" i="33"/>
  <c r="DN67" i="33"/>
  <c r="DB70" i="33"/>
  <c r="AP82" i="33"/>
  <c r="CY90" i="33"/>
  <c r="BZ100" i="33"/>
  <c r="CC100" i="33" s="1"/>
  <c r="BS110" i="33"/>
  <c r="BZ120" i="33"/>
  <c r="Z72" i="33"/>
  <c r="CJ72" i="33" s="1"/>
  <c r="BZ86" i="33"/>
  <c r="CA96" i="33"/>
  <c r="CD96" i="33" s="1"/>
  <c r="CA111" i="33"/>
  <c r="DN115" i="33"/>
  <c r="BX76" i="33"/>
  <c r="BY76" i="33" s="1"/>
  <c r="AN143" i="33"/>
  <c r="CA47" i="33"/>
  <c r="CD47" i="33" s="1"/>
  <c r="BZ113" i="33"/>
  <c r="CC113" i="33" s="1"/>
  <c r="DN24" i="33"/>
  <c r="BZ37" i="33"/>
  <c r="CC37" i="33" s="1"/>
  <c r="CX72" i="33"/>
  <c r="CO111" i="33"/>
  <c r="AH126" i="33"/>
  <c r="CM126" i="33" s="1"/>
  <c r="AS67" i="33"/>
  <c r="CP25" i="33"/>
  <c r="BL115" i="33"/>
  <c r="BQ115" i="33" s="1"/>
  <c r="BR115" i="33" s="1"/>
  <c r="CY133" i="33"/>
  <c r="BZ17" i="33"/>
  <c r="CC17" i="33" s="1"/>
  <c r="BZ22" i="33"/>
  <c r="CC22" i="33" s="1"/>
  <c r="CA39" i="33"/>
  <c r="CD39" i="33" s="1"/>
  <c r="BZ45" i="33"/>
  <c r="CC45" i="33" s="1"/>
  <c r="CA55" i="33"/>
  <c r="CD55" i="33" s="1"/>
  <c r="BZ70" i="33"/>
  <c r="AS108" i="33"/>
  <c r="DA134" i="33"/>
  <c r="DB20" i="33"/>
  <c r="BZ29" i="33"/>
  <c r="CC29" i="33" s="1"/>
  <c r="AG74" i="33"/>
  <c r="CK74" i="33" s="1"/>
  <c r="BZ80" i="33"/>
  <c r="DN88" i="33"/>
  <c r="BZ89" i="33"/>
  <c r="CC89" i="33" s="1"/>
  <c r="BZ112" i="33"/>
  <c r="BZ24" i="33"/>
  <c r="CC24" i="33" s="1"/>
  <c r="DN16" i="33"/>
  <c r="DN19" i="33"/>
  <c r="CO20" i="33"/>
  <c r="CX21" i="33"/>
  <c r="DN21" i="33"/>
  <c r="DN23" i="33"/>
  <c r="CC30" i="33"/>
  <c r="CM86" i="33"/>
  <c r="BZ103" i="33"/>
  <c r="CC103" i="33" s="1"/>
  <c r="AV127" i="33"/>
  <c r="DN135" i="33"/>
  <c r="CA138" i="33"/>
  <c r="CD138" i="33" s="1"/>
  <c r="CH138" i="33"/>
  <c r="BB141" i="33"/>
  <c r="DN30" i="33"/>
  <c r="BZ32" i="33"/>
  <c r="CC32" i="33" s="1"/>
  <c r="CO35" i="33"/>
  <c r="DB35" i="33"/>
  <c r="DN35" i="33"/>
  <c r="AH41" i="33"/>
  <c r="CM41" i="33" s="1"/>
  <c r="BB45" i="33"/>
  <c r="BZ52" i="33"/>
  <c r="CC52" i="33" s="1"/>
  <c r="DN55" i="33"/>
  <c r="DB61" i="33"/>
  <c r="DN61" i="33"/>
  <c r="AH62" i="33"/>
  <c r="CM62" i="33" s="1"/>
  <c r="DN64" i="33"/>
  <c r="CX71" i="33"/>
  <c r="DN71" i="33"/>
  <c r="DN75" i="33"/>
  <c r="CY77" i="33"/>
  <c r="CT78" i="33"/>
  <c r="DN82" i="33"/>
  <c r="DN90" i="33"/>
  <c r="AU101" i="33"/>
  <c r="DN105" i="33"/>
  <c r="AH106" i="33"/>
  <c r="CM106" i="33" s="1"/>
  <c r="DN108" i="33"/>
  <c r="CM122" i="33"/>
  <c r="BZ20" i="33"/>
  <c r="CK23" i="33"/>
  <c r="BZ25" i="33"/>
  <c r="BZ40" i="33"/>
  <c r="CB40" i="33" s="1"/>
  <c r="CA65" i="33"/>
  <c r="CD65" i="33" s="1"/>
  <c r="CX75" i="33"/>
  <c r="DN81" i="33"/>
  <c r="BQ86" i="33"/>
  <c r="BR86" i="33" s="1"/>
  <c r="CA91" i="33"/>
  <c r="CD91" i="33" s="1"/>
  <c r="CA94" i="33"/>
  <c r="CD94" i="33" s="1"/>
  <c r="DA95" i="33"/>
  <c r="BZ107" i="33"/>
  <c r="CR110" i="33"/>
  <c r="AU114" i="33"/>
  <c r="DN117" i="33"/>
  <c r="BZ118" i="33"/>
  <c r="CC118" i="33" s="1"/>
  <c r="CA122" i="33"/>
  <c r="CD122" i="33" s="1"/>
  <c r="DN122" i="33"/>
  <c r="DN126" i="33"/>
  <c r="CA15" i="33"/>
  <c r="CD15" i="33" s="1"/>
  <c r="BX18" i="33"/>
  <c r="BY18" i="33" s="1"/>
  <c r="CO28" i="33"/>
  <c r="DN32" i="33"/>
  <c r="BZ33" i="33"/>
  <c r="BQ44" i="33"/>
  <c r="BR44" i="33" s="1"/>
  <c r="DA51" i="33"/>
  <c r="CA107" i="33"/>
  <c r="CD107" i="33" s="1"/>
  <c r="BX123" i="33"/>
  <c r="BY123" i="33" s="1"/>
  <c r="AQ124" i="33"/>
  <c r="AO34" i="33"/>
  <c r="CR60" i="33"/>
  <c r="DN69" i="33"/>
  <c r="CA76" i="33"/>
  <c r="AU80" i="33"/>
  <c r="BZ88" i="33"/>
  <c r="DN95" i="33"/>
  <c r="DN102" i="33"/>
  <c r="CY116" i="33"/>
  <c r="CP116" i="33"/>
  <c r="AS118" i="33"/>
  <c r="AV137" i="33"/>
  <c r="DB15" i="33"/>
  <c r="CA22" i="33"/>
  <c r="CD22" i="33" s="1"/>
  <c r="AU24" i="33"/>
  <c r="CA27" i="33"/>
  <c r="BI30" i="33"/>
  <c r="CT32" i="33"/>
  <c r="BX32" i="33"/>
  <c r="BY32" i="33" s="1"/>
  <c r="DN34" i="33"/>
  <c r="CY38" i="33"/>
  <c r="DN42" i="33"/>
  <c r="AU43" i="33"/>
  <c r="DI45" i="33"/>
  <c r="DN51" i="33"/>
  <c r="DN52" i="33"/>
  <c r="DN53" i="33"/>
  <c r="CX63" i="33"/>
  <c r="CX79" i="33"/>
  <c r="CA114" i="33"/>
  <c r="CD114" i="33" s="1"/>
  <c r="CA123" i="33"/>
  <c r="CO132" i="33"/>
  <c r="DN142" i="33"/>
  <c r="CQ17" i="33"/>
  <c r="AU31" i="33"/>
  <c r="CO33" i="33"/>
  <c r="CP54" i="33"/>
  <c r="AW71" i="33"/>
  <c r="CA80" i="33"/>
  <c r="CB80" i="33" s="1"/>
  <c r="BZ84" i="33"/>
  <c r="CC84" i="33" s="1"/>
  <c r="DN110" i="33"/>
  <c r="CX122" i="33"/>
  <c r="CO133" i="33"/>
  <c r="AH17" i="33"/>
  <c r="AQ20" i="33"/>
  <c r="AH29" i="33"/>
  <c r="CM29" i="33" s="1"/>
  <c r="DN29" i="33"/>
  <c r="AC143" i="33"/>
  <c r="DN50" i="33"/>
  <c r="AU51" i="33"/>
  <c r="BZ78" i="33"/>
  <c r="AH93" i="33"/>
  <c r="CM93" i="33" s="1"/>
  <c r="BZ95" i="33"/>
  <c r="CC95" i="33" s="1"/>
  <c r="CY103" i="33"/>
  <c r="AU108" i="33"/>
  <c r="O128" i="33"/>
  <c r="BZ133" i="33"/>
  <c r="CC133" i="33" s="1"/>
  <c r="BZ16" i="33"/>
  <c r="CC16" i="33" s="1"/>
  <c r="BZ21" i="33"/>
  <c r="DB24" i="33"/>
  <c r="BZ26" i="33"/>
  <c r="CA36" i="33"/>
  <c r="CD36" i="33" s="1"/>
  <c r="AW38" i="33"/>
  <c r="BZ41" i="33"/>
  <c r="CC41" i="33" s="1"/>
  <c r="CA61" i="33"/>
  <c r="CD61" i="33" s="1"/>
  <c r="BZ71" i="33"/>
  <c r="CA101" i="33"/>
  <c r="AU121" i="33"/>
  <c r="AP22" i="33"/>
  <c r="BX29" i="33"/>
  <c r="BY29" i="33" s="1"/>
  <c r="BZ34" i="33"/>
  <c r="CB34" i="33" s="1"/>
  <c r="BQ47" i="33"/>
  <c r="BR47" i="33" s="1"/>
  <c r="BD94" i="33"/>
  <c r="BZ18" i="33"/>
  <c r="CC18" i="33" s="1"/>
  <c r="CD34" i="33"/>
  <c r="CQ56" i="33"/>
  <c r="DN57" i="33"/>
  <c r="CA63" i="33"/>
  <c r="BD65" i="33"/>
  <c r="BZ67" i="33"/>
  <c r="BZ74" i="33"/>
  <c r="CB74" i="33" s="1"/>
  <c r="DA80" i="33"/>
  <c r="CA105" i="33"/>
  <c r="CD105" i="33" s="1"/>
  <c r="CA108" i="33"/>
  <c r="CD108" i="33" s="1"/>
  <c r="AP117" i="33"/>
  <c r="AP14" i="33"/>
  <c r="CA23" i="33"/>
  <c r="CB23" i="33" s="1"/>
  <c r="CA28" i="33"/>
  <c r="CD28" i="33" s="1"/>
  <c r="CT30" i="33"/>
  <c r="AU40" i="33"/>
  <c r="AP46" i="33"/>
  <c r="CX47" i="33"/>
  <c r="CX54" i="33"/>
  <c r="DN54" i="33"/>
  <c r="CY56" i="33"/>
  <c r="CD77" i="33"/>
  <c r="CQ79" i="33"/>
  <c r="AP89" i="33"/>
  <c r="DN109" i="33"/>
  <c r="AH113" i="33"/>
  <c r="CM113" i="33" s="1"/>
  <c r="DN124" i="33"/>
  <c r="DN129" i="33"/>
  <c r="CH134" i="33"/>
  <c r="CK15" i="33"/>
  <c r="BL23" i="33"/>
  <c r="BQ23" i="33" s="1"/>
  <c r="BR23" i="33" s="1"/>
  <c r="CD25" i="33"/>
  <c r="CD33" i="33"/>
  <c r="CY33" i="33"/>
  <c r="AW34" i="33"/>
  <c r="CP35" i="33"/>
  <c r="AW35" i="33"/>
  <c r="CO36" i="33"/>
  <c r="DD36" i="33"/>
  <c r="AT39" i="33"/>
  <c r="CP40" i="33"/>
  <c r="CH42" i="33"/>
  <c r="AS46" i="33"/>
  <c r="AW46" i="33"/>
  <c r="CA46" i="33"/>
  <c r="CD46" i="33" s="1"/>
  <c r="AV48" i="33"/>
  <c r="BA49" i="33"/>
  <c r="AT49" i="33"/>
  <c r="AX49" i="33" s="1"/>
  <c r="V143" i="33"/>
  <c r="Z50" i="33"/>
  <c r="CJ50" i="33" s="1"/>
  <c r="AP15" i="33"/>
  <c r="AU19" i="33"/>
  <c r="AW20" i="33"/>
  <c r="CY25" i="33"/>
  <c r="AT15" i="33"/>
  <c r="BZ15" i="33"/>
  <c r="DN15" i="33"/>
  <c r="BQ16" i="33"/>
  <c r="BR16" i="33" s="1"/>
  <c r="O16" i="33"/>
  <c r="CA16" i="33"/>
  <c r="BI18" i="33"/>
  <c r="CA18" i="33"/>
  <c r="CD18" i="33" s="1"/>
  <c r="AW19" i="33"/>
  <c r="O20" i="33"/>
  <c r="AW22" i="33"/>
  <c r="CC23" i="33"/>
  <c r="BQ24" i="33"/>
  <c r="BR24" i="33" s="1"/>
  <c r="AW24" i="33"/>
  <c r="CX25" i="33"/>
  <c r="CC25" i="33"/>
  <c r="CQ26" i="33"/>
  <c r="DB27" i="33"/>
  <c r="DN27" i="33"/>
  <c r="O28" i="33"/>
  <c r="R28" i="33" s="1"/>
  <c r="CT28" i="33" s="1"/>
  <c r="AU28" i="33"/>
  <c r="CX29" i="33"/>
  <c r="CH29" i="33"/>
  <c r="CY30" i="33"/>
  <c r="AV30" i="33"/>
  <c r="BQ30" i="33"/>
  <c r="BR30" i="33" s="1"/>
  <c r="CH30" i="33"/>
  <c r="CO31" i="33"/>
  <c r="CT31" i="33"/>
  <c r="CA31" i="33"/>
  <c r="CD31" i="33" s="1"/>
  <c r="CH31" i="33"/>
  <c r="CX32" i="33"/>
  <c r="CA32" i="33"/>
  <c r="CH32" i="33"/>
  <c r="AH33" i="33"/>
  <c r="CM33" i="33" s="1"/>
  <c r="CX33" i="33"/>
  <c r="CC33" i="33"/>
  <c r="DN33" i="33"/>
  <c r="CQ34" i="33"/>
  <c r="CH35" i="33"/>
  <c r="AU36" i="33"/>
  <c r="DN36" i="33"/>
  <c r="AH37" i="33"/>
  <c r="CM37" i="33" s="1"/>
  <c r="AQ37" i="33"/>
  <c r="DN37" i="33"/>
  <c r="CA38" i="33"/>
  <c r="CD38" i="33" s="1"/>
  <c r="DN39" i="33"/>
  <c r="BQ40" i="33"/>
  <c r="BR40" i="33" s="1"/>
  <c r="CO40" i="33"/>
  <c r="CY40" i="33"/>
  <c r="DN40" i="33"/>
  <c r="O41" i="33"/>
  <c r="BH41" i="33" s="1"/>
  <c r="BI41" i="33" s="1"/>
  <c r="CO42" i="33"/>
  <c r="DB43" i="33"/>
  <c r="CO43" i="33"/>
  <c r="CD43" i="33"/>
  <c r="DN43" i="33"/>
  <c r="CO45" i="33"/>
  <c r="DN45" i="33"/>
  <c r="AT46" i="33"/>
  <c r="CU47" i="33"/>
  <c r="BC47" i="33"/>
  <c r="BZ47" i="33"/>
  <c r="CC47" i="33" s="1"/>
  <c r="CY47" i="33"/>
  <c r="DN47" i="33"/>
  <c r="AH48" i="33"/>
  <c r="CH52" i="33"/>
  <c r="BZ53" i="33"/>
  <c r="CC53" i="33" s="1"/>
  <c r="AT54" i="33"/>
  <c r="AV56" i="33"/>
  <c r="DN59" i="33"/>
  <c r="CA60" i="33"/>
  <c r="CD60" i="33" s="1"/>
  <c r="DA61" i="33"/>
  <c r="DB62" i="33"/>
  <c r="AW62" i="33"/>
  <c r="CP63" i="33"/>
  <c r="AH63" i="33"/>
  <c r="CM63" i="33" s="1"/>
  <c r="CD63" i="33"/>
  <c r="DN63" i="33"/>
  <c r="AU64" i="33"/>
  <c r="BQ65" i="33"/>
  <c r="BR65" i="33" s="1"/>
  <c r="DN65" i="33"/>
  <c r="BZ66" i="33"/>
  <c r="BX66" i="33"/>
  <c r="BY66" i="33" s="1"/>
  <c r="DN66" i="33"/>
  <c r="CA67" i="33"/>
  <c r="CD67" i="33" s="1"/>
  <c r="DD67" i="33"/>
  <c r="CX68" i="33"/>
  <c r="DN68" i="33"/>
  <c r="BX69" i="33"/>
  <c r="BY69" i="33" s="1"/>
  <c r="CA69" i="33"/>
  <c r="CD69" i="33" s="1"/>
  <c r="BQ70" i="33"/>
  <c r="BR70" i="33" s="1"/>
  <c r="O70" i="33"/>
  <c r="CG70" i="33" s="1"/>
  <c r="CH70" i="33" s="1"/>
  <c r="AU70" i="33"/>
  <c r="CC70" i="33"/>
  <c r="DD70" i="33"/>
  <c r="CC71" i="33"/>
  <c r="BL72" i="33"/>
  <c r="BQ72" i="33" s="1"/>
  <c r="BR72" i="33" s="1"/>
  <c r="DN72" i="33"/>
  <c r="CY73" i="33"/>
  <c r="BC73" i="33"/>
  <c r="BB74" i="33"/>
  <c r="AW75" i="33"/>
  <c r="CX76" i="33"/>
  <c r="AU77" i="33"/>
  <c r="CH77" i="33"/>
  <c r="AS78" i="33"/>
  <c r="DN78" i="33"/>
  <c r="CD79" i="33"/>
  <c r="AW80" i="33"/>
  <c r="DD80" i="33"/>
  <c r="AT81" i="33"/>
  <c r="BB81" i="33"/>
  <c r="AW82" i="33"/>
  <c r="AP88" i="33"/>
  <c r="BB88" i="33"/>
  <c r="CA95" i="33"/>
  <c r="CD95" i="33" s="1"/>
  <c r="AT100" i="33"/>
  <c r="BC103" i="33"/>
  <c r="BD104" i="33"/>
  <c r="BB105" i="33"/>
  <c r="BD106" i="33"/>
  <c r="AW106" i="33"/>
  <c r="CA110" i="33"/>
  <c r="CD110" i="33" s="1"/>
  <c r="CA112" i="33"/>
  <c r="CD112" i="33" s="1"/>
  <c r="CA116" i="33"/>
  <c r="CD116" i="33" s="1"/>
  <c r="BD118" i="33"/>
  <c r="AW118" i="33"/>
  <c r="AT122" i="33"/>
  <c r="BD125" i="33"/>
  <c r="AW125" i="33"/>
  <c r="AS126" i="33"/>
  <c r="AQ126" i="33"/>
  <c r="BD126" i="33"/>
  <c r="AW126" i="33"/>
  <c r="CD127" i="33"/>
  <c r="AH130" i="33"/>
  <c r="CM130" i="33" s="1"/>
  <c r="CJ130" i="33"/>
  <c r="CL130" i="33" s="1"/>
  <c r="CD130" i="33"/>
  <c r="BZ50" i="33"/>
  <c r="CC50" i="33" s="1"/>
  <c r="AW51" i="33"/>
  <c r="AV52" i="33"/>
  <c r="CY54" i="33"/>
  <c r="CD56" i="33"/>
  <c r="AI57" i="33"/>
  <c r="AO57" i="33" s="1"/>
  <c r="L58" i="33"/>
  <c r="AV58" i="33" s="1"/>
  <c r="BZ59" i="33"/>
  <c r="CC59" i="33" s="1"/>
  <c r="CK61" i="33"/>
  <c r="CX62" i="33"/>
  <c r="AT63" i="33"/>
  <c r="AW64" i="33"/>
  <c r="CX70" i="33"/>
  <c r="BZ72" i="33"/>
  <c r="CC72" i="33" s="1"/>
  <c r="AV74" i="33"/>
  <c r="AU75" i="33"/>
  <c r="CA75" i="33"/>
  <c r="CD75" i="33" s="1"/>
  <c r="BL76" i="33"/>
  <c r="BQ76" i="33" s="1"/>
  <c r="BR76" i="33" s="1"/>
  <c r="CD76" i="33"/>
  <c r="CU76" i="33"/>
  <c r="AW77" i="33"/>
  <c r="AU78" i="33"/>
  <c r="AV81" i="33"/>
  <c r="AU82" i="33"/>
  <c r="AT83" i="33"/>
  <c r="CD83" i="33"/>
  <c r="DN83" i="33"/>
  <c r="AH85" i="33"/>
  <c r="CM85" i="33" s="1"/>
  <c r="BD87" i="33"/>
  <c r="CA88" i="33"/>
  <c r="CD88" i="33" s="1"/>
  <c r="CH88" i="33"/>
  <c r="CD89" i="33"/>
  <c r="CP90" i="33"/>
  <c r="BZ90" i="33"/>
  <c r="CC90" i="33" s="1"/>
  <c r="CX90" i="33"/>
  <c r="AP92" i="33"/>
  <c r="BZ92" i="33"/>
  <c r="CC92" i="33" s="1"/>
  <c r="DB93" i="33"/>
  <c r="CP94" i="33"/>
  <c r="AH94" i="33"/>
  <c r="DN94" i="33"/>
  <c r="O95" i="33"/>
  <c r="BS95" i="33" s="1"/>
  <c r="AU95" i="33"/>
  <c r="CH96" i="33"/>
  <c r="DB97" i="33"/>
  <c r="CA97" i="33"/>
  <c r="CD97" i="33" s="1"/>
  <c r="AQ99" i="33"/>
  <c r="AH100" i="33"/>
  <c r="CM100" i="33" s="1"/>
  <c r="DN100" i="33"/>
  <c r="DA101" i="33"/>
  <c r="CD101" i="33"/>
  <c r="BX102" i="33"/>
  <c r="BY102" i="33" s="1"/>
  <c r="CA102" i="33"/>
  <c r="AQ103" i="33"/>
  <c r="AW103" i="33"/>
  <c r="CA103" i="33"/>
  <c r="CD103" i="33" s="1"/>
  <c r="AV104" i="33"/>
  <c r="AT109" i="33"/>
  <c r="AH112" i="33"/>
  <c r="CM112" i="33" s="1"/>
  <c r="BD112" i="33"/>
  <c r="AW112" i="33"/>
  <c r="AP115" i="33"/>
  <c r="O116" i="33"/>
  <c r="DD116" i="33"/>
  <c r="AQ116" i="33"/>
  <c r="CA118" i="33"/>
  <c r="CD118" i="33" s="1"/>
  <c r="DD119" i="33"/>
  <c r="CK119" i="33"/>
  <c r="DB122" i="33"/>
  <c r="CG123" i="33"/>
  <c r="Z123" i="33"/>
  <c r="CO123" i="33" s="1"/>
  <c r="BM123" i="33"/>
  <c r="BZ123" i="33" s="1"/>
  <c r="BB124" i="33"/>
  <c r="AU124" i="33"/>
  <c r="AU126" i="33"/>
  <c r="CO129" i="33"/>
  <c r="AV133" i="33"/>
  <c r="AT134" i="33"/>
  <c r="U8" i="33"/>
  <c r="CA106" i="33"/>
  <c r="CD106" i="33" s="1"/>
  <c r="DN106" i="33"/>
  <c r="BD107" i="33"/>
  <c r="DN107" i="33"/>
  <c r="CO109" i="33"/>
  <c r="BZ111" i="33"/>
  <c r="CC111" i="33" s="1"/>
  <c r="DN111" i="33"/>
  <c r="DN113" i="33"/>
  <c r="AW114" i="33"/>
  <c r="DN114" i="33"/>
  <c r="AP116" i="33"/>
  <c r="AW116" i="33"/>
  <c r="CX117" i="33"/>
  <c r="BZ117" i="33"/>
  <c r="CC117" i="33" s="1"/>
  <c r="CY117" i="33"/>
  <c r="DN118" i="33"/>
  <c r="CT119" i="33"/>
  <c r="DN119" i="33"/>
  <c r="AH120" i="33"/>
  <c r="CY120" i="33"/>
  <c r="CA120" i="33"/>
  <c r="CD120" i="33" s="1"/>
  <c r="CH120" i="33"/>
  <c r="CK122" i="33"/>
  <c r="CA124" i="33"/>
  <c r="CD124" i="33" s="1"/>
  <c r="CH124" i="33"/>
  <c r="CA126" i="33"/>
  <c r="CD126" i="33" s="1"/>
  <c r="BD128" i="33"/>
  <c r="BZ129" i="33"/>
  <c r="CC129" i="33" s="1"/>
  <c r="CY130" i="33"/>
  <c r="BC130" i="33"/>
  <c r="AV132" i="33"/>
  <c r="CA132" i="33"/>
  <c r="CD132" i="33" s="1"/>
  <c r="DB133" i="33"/>
  <c r="BB134" i="33"/>
  <c r="BZ134" i="33"/>
  <c r="CC134" i="33" s="1"/>
  <c r="CG135" i="33"/>
  <c r="CH135" i="33" s="1"/>
  <c r="BZ136" i="33"/>
  <c r="CC136" i="33" s="1"/>
  <c r="BZ137" i="33"/>
  <c r="BX137" i="33"/>
  <c r="BY137" i="33" s="1"/>
  <c r="CO138" i="33"/>
  <c r="CY138" i="33"/>
  <c r="CJ138" i="33"/>
  <c r="CL138" i="33" s="1"/>
  <c r="CA139" i="33"/>
  <c r="BX139" i="33"/>
  <c r="BY139" i="33" s="1"/>
  <c r="BA141" i="33"/>
  <c r="BU141" i="33"/>
  <c r="CA141" i="33" s="1"/>
  <c r="CD141" i="33" s="1"/>
  <c r="CO142" i="33"/>
  <c r="BL79" i="33"/>
  <c r="BQ79" i="33" s="1"/>
  <c r="BR79" i="33" s="1"/>
  <c r="BB106" i="33"/>
  <c r="AU106" i="33"/>
  <c r="DA55" i="33"/>
  <c r="DA56" i="33"/>
  <c r="O62" i="33"/>
  <c r="BS62" i="33" s="1"/>
  <c r="CH104" i="33"/>
  <c r="AT104" i="33"/>
  <c r="BD121" i="33"/>
  <c r="AW121" i="33"/>
  <c r="O24" i="33"/>
  <c r="BS24" i="33" s="1"/>
  <c r="BQ31" i="33"/>
  <c r="BR31" i="33" s="1"/>
  <c r="Z47" i="33"/>
  <c r="AH47" i="33" s="1"/>
  <c r="CM47" i="33" s="1"/>
  <c r="DB57" i="33"/>
  <c r="DN14" i="33"/>
  <c r="CD16" i="33"/>
  <c r="CX17" i="33"/>
  <c r="DA18" i="33"/>
  <c r="DN20" i="33"/>
  <c r="DN22" i="33"/>
  <c r="DD24" i="33"/>
  <c r="CT29" i="33"/>
  <c r="BI31" i="33"/>
  <c r="BZ31" i="33"/>
  <c r="CC31" i="33" s="1"/>
  <c r="CY32" i="33"/>
  <c r="AP39" i="33"/>
  <c r="CX40" i="33"/>
  <c r="CX41" i="33"/>
  <c r="O45" i="33"/>
  <c r="DD50" i="33"/>
  <c r="CO56" i="33"/>
  <c r="BZ56" i="33"/>
  <c r="BZ57" i="33"/>
  <c r="CC57" i="33" s="1"/>
  <c r="CK58" i="33"/>
  <c r="CA59" i="33"/>
  <c r="CD59" i="33" s="1"/>
  <c r="AI60" i="33"/>
  <c r="DA60" i="33" s="1"/>
  <c r="BL61" i="33"/>
  <c r="BQ61" i="33" s="1"/>
  <c r="BR61" i="33" s="1"/>
  <c r="BQ62" i="33"/>
  <c r="BR62" i="33" s="1"/>
  <c r="CY63" i="33"/>
  <c r="AU71" i="33"/>
  <c r="CH71" i="33"/>
  <c r="AI72" i="33"/>
  <c r="AZ72" i="33" s="1"/>
  <c r="DN73" i="33"/>
  <c r="DN74" i="33"/>
  <c r="AV76" i="33"/>
  <c r="DN79" i="33"/>
  <c r="AP81" i="33"/>
  <c r="BZ82" i="33"/>
  <c r="BL83" i="33"/>
  <c r="BQ83" i="33" s="1"/>
  <c r="BR83" i="33" s="1"/>
  <c r="CX106" i="33"/>
  <c r="AP114" i="33"/>
  <c r="AS114" i="33"/>
  <c r="CQ117" i="33"/>
  <c r="AV117" i="33"/>
  <c r="BA131" i="33"/>
  <c r="AT131" i="33"/>
  <c r="BB135" i="33"/>
  <c r="CX135" i="33"/>
  <c r="AU135" i="33"/>
  <c r="BA92" i="33"/>
  <c r="AT92" i="33"/>
  <c r="CO15" i="33"/>
  <c r="AU16" i="33"/>
  <c r="AT17" i="33"/>
  <c r="CM17" i="33"/>
  <c r="AH20" i="33"/>
  <c r="AH21" i="33"/>
  <c r="CM21" i="33" s="1"/>
  <c r="CL23" i="33"/>
  <c r="CO24" i="33"/>
  <c r="AH26" i="33"/>
  <c r="CM26" i="33" s="1"/>
  <c r="DA27" i="33"/>
  <c r="AP28" i="33"/>
  <c r="AH31" i="33"/>
  <c r="CM31" i="33" s="1"/>
  <c r="BQ35" i="33"/>
  <c r="BR35" i="33" s="1"/>
  <c r="AP36" i="33"/>
  <c r="CY41" i="33"/>
  <c r="AH43" i="33"/>
  <c r="CM43" i="33" s="1"/>
  <c r="BZ51" i="33"/>
  <c r="BD54" i="33"/>
  <c r="CQ54" i="33"/>
  <c r="BX56" i="33"/>
  <c r="BY56" i="33" s="1"/>
  <c r="AP57" i="33"/>
  <c r="AH65" i="33"/>
  <c r="CX67" i="33"/>
  <c r="Z74" i="33"/>
  <c r="CJ74" i="33" s="1"/>
  <c r="AW78" i="33"/>
  <c r="AH79" i="33"/>
  <c r="CM79" i="33" s="1"/>
  <c r="DD85" i="33"/>
  <c r="CK85" i="33"/>
  <c r="CL85" i="33" s="1"/>
  <c r="BL63" i="33"/>
  <c r="BQ63" i="33" s="1"/>
  <c r="BR63" i="33" s="1"/>
  <c r="BB137" i="33"/>
  <c r="AU137" i="33"/>
  <c r="BQ75" i="33"/>
  <c r="BR75" i="33" s="1"/>
  <c r="AH28" i="33"/>
  <c r="CM28" i="33" s="1"/>
  <c r="BS73" i="33"/>
  <c r="BX73" i="33" s="1"/>
  <c r="BY73" i="33" s="1"/>
  <c r="BL15" i="33"/>
  <c r="BQ15" i="33" s="1"/>
  <c r="BR15" i="33" s="1"/>
  <c r="AW16" i="33"/>
  <c r="AU18" i="33"/>
  <c r="BZ19" i="33"/>
  <c r="CC19" i="33" s="1"/>
  <c r="CO23" i="33"/>
  <c r="AV29" i="33"/>
  <c r="CP33" i="33"/>
  <c r="CA35" i="33"/>
  <c r="CD35" i="33" s="1"/>
  <c r="DN38" i="33"/>
  <c r="BL39" i="33"/>
  <c r="BQ39" i="33" s="1"/>
  <c r="BR39" i="33" s="1"/>
  <c r="DB40" i="33"/>
  <c r="CP41" i="33"/>
  <c r="DN41" i="33"/>
  <c r="BQ42" i="33"/>
  <c r="BR42" i="33" s="1"/>
  <c r="CX42" i="33"/>
  <c r="AP43" i="33"/>
  <c r="BX46" i="33"/>
  <c r="BY46" i="33" s="1"/>
  <c r="CO46" i="33"/>
  <c r="BQ48" i="33"/>
  <c r="BR48" i="33" s="1"/>
  <c r="AU53" i="33"/>
  <c r="AU58" i="33"/>
  <c r="AP59" i="33"/>
  <c r="BZ61" i="33"/>
  <c r="CC61" i="33" s="1"/>
  <c r="AU67" i="33"/>
  <c r="AT68" i="33"/>
  <c r="CQ68" i="33"/>
  <c r="AU69" i="33"/>
  <c r="AT72" i="33"/>
  <c r="BL74" i="33"/>
  <c r="BQ74" i="33" s="1"/>
  <c r="BR74" i="33" s="1"/>
  <c r="AG76" i="33"/>
  <c r="CK76" i="33" s="1"/>
  <c r="DN76" i="33"/>
  <c r="DN77" i="33"/>
  <c r="BZ83" i="33"/>
  <c r="CC83" i="33" s="1"/>
  <c r="O85" i="33"/>
  <c r="AZ85" i="33" s="1"/>
  <c r="AU87" i="33"/>
  <c r="BB87" i="33"/>
  <c r="BB123" i="33"/>
  <c r="AU123" i="33"/>
  <c r="CD123" i="33"/>
  <c r="CQ134" i="33"/>
  <c r="AP134" i="33"/>
  <c r="BN136" i="33"/>
  <c r="CR136" i="33"/>
  <c r="Z136" i="33"/>
  <c r="BD139" i="33"/>
  <c r="AW139" i="33"/>
  <c r="CO57" i="33"/>
  <c r="AA8" i="33"/>
  <c r="BC131" i="33"/>
  <c r="AV131" i="33"/>
  <c r="Q44" i="33"/>
  <c r="BU44" i="33" s="1"/>
  <c r="CA44" i="33" s="1"/>
  <c r="CD44" i="33" s="1"/>
  <c r="CO62" i="33"/>
  <c r="Z76" i="33"/>
  <c r="CJ76" i="33" s="1"/>
  <c r="CL76" i="33" s="1"/>
  <c r="DB16" i="33"/>
  <c r="CY17" i="33"/>
  <c r="AW18" i="33"/>
  <c r="AH24" i="33"/>
  <c r="CM24" i="33" s="1"/>
  <c r="AH25" i="33"/>
  <c r="CM25" i="33" s="1"/>
  <c r="AP26" i="33"/>
  <c r="AP27" i="33"/>
  <c r="CX28" i="33"/>
  <c r="BI29" i="33"/>
  <c r="CD30" i="33"/>
  <c r="CX31" i="33"/>
  <c r="CY31" i="33"/>
  <c r="AV32" i="33"/>
  <c r="CY35" i="33"/>
  <c r="CX36" i="33"/>
  <c r="CY37" i="33"/>
  <c r="O40" i="33"/>
  <c r="BS40" i="33" s="1"/>
  <c r="CD40" i="33"/>
  <c r="CD42" i="33"/>
  <c r="AH44" i="33"/>
  <c r="BU45" i="33"/>
  <c r="CA45" i="33" s="1"/>
  <c r="AI47" i="33"/>
  <c r="CQ47" i="33" s="1"/>
  <c r="AW53" i="33"/>
  <c r="BL54" i="33"/>
  <c r="BQ54" i="33" s="1"/>
  <c r="BR54" i="33" s="1"/>
  <c r="AS55" i="33"/>
  <c r="DA57" i="33"/>
  <c r="AW58" i="33"/>
  <c r="AT59" i="33"/>
  <c r="AW67" i="33"/>
  <c r="CY68" i="33"/>
  <c r="AW69" i="33"/>
  <c r="CO70" i="33"/>
  <c r="AV72" i="33"/>
  <c r="CH74" i="33"/>
  <c r="AI76" i="33"/>
  <c r="CS76" i="33" s="1"/>
  <c r="CQ78" i="33"/>
  <c r="BA85" i="33"/>
  <c r="BT85" i="33"/>
  <c r="BZ85" i="33" s="1"/>
  <c r="CC85" i="33" s="1"/>
  <c r="BD85" i="33"/>
  <c r="BB91" i="33"/>
  <c r="AU91" i="33"/>
  <c r="BD110" i="33"/>
  <c r="AW110" i="33"/>
  <c r="DD118" i="33"/>
  <c r="O118" i="33"/>
  <c r="BH118" i="33" s="1"/>
  <c r="BI118" i="33" s="1"/>
  <c r="DB125" i="33"/>
  <c r="AS125" i="33"/>
  <c r="W143" i="33"/>
  <c r="AL136" i="33"/>
  <c r="AV136" i="33" s="1"/>
  <c r="BZ44" i="33"/>
  <c r="CC44" i="33" s="1"/>
  <c r="AH36" i="33"/>
  <c r="CM36" i="33" s="1"/>
  <c r="AV42" i="33"/>
  <c r="CS127" i="33"/>
  <c r="BB139" i="33"/>
  <c r="CY139" i="33"/>
  <c r="AU139" i="33"/>
  <c r="AB7" i="33"/>
  <c r="BH7" i="33" s="1"/>
  <c r="BI7" i="33" s="1"/>
  <c r="DA15" i="33"/>
  <c r="CP17" i="33"/>
  <c r="DB19" i="33"/>
  <c r="CA20" i="33"/>
  <c r="CD20" i="33" s="1"/>
  <c r="AP24" i="33"/>
  <c r="AQ25" i="33"/>
  <c r="AQ28" i="33"/>
  <c r="AH30" i="33"/>
  <c r="CM30" i="33" s="1"/>
  <c r="BX31" i="33"/>
  <c r="BY31" i="33" s="1"/>
  <c r="BI32" i="33"/>
  <c r="DB39" i="33"/>
  <c r="CX43" i="33"/>
  <c r="BQ46" i="33"/>
  <c r="BR46" i="33" s="1"/>
  <c r="AG50" i="33"/>
  <c r="CK50" i="33" s="1"/>
  <c r="CQ52" i="33"/>
  <c r="BX52" i="33"/>
  <c r="BY52" i="33" s="1"/>
  <c r="BQ53" i="33"/>
  <c r="BR53" i="33" s="1"/>
  <c r="AH54" i="33"/>
  <c r="CM54" i="33" s="1"/>
  <c r="AU55" i="33"/>
  <c r="AP56" i="33"/>
  <c r="I57" i="33"/>
  <c r="AS57" i="33" s="1"/>
  <c r="AT57" i="33"/>
  <c r="AU60" i="33"/>
  <c r="DD60" i="33"/>
  <c r="AP61" i="33"/>
  <c r="CA62" i="33"/>
  <c r="CD62" i="33" s="1"/>
  <c r="CA66" i="33"/>
  <c r="CD66" i="33" s="1"/>
  <c r="AU73" i="33"/>
  <c r="AI74" i="33"/>
  <c r="CH75" i="33"/>
  <c r="BZ76" i="33"/>
  <c r="CC76" i="33" s="1"/>
  <c r="CA78" i="33"/>
  <c r="CD78" i="33" s="1"/>
  <c r="AP80" i="33"/>
  <c r="CA81" i="33"/>
  <c r="CD81" i="33" s="1"/>
  <c r="AU84" i="33"/>
  <c r="Q85" i="33"/>
  <c r="CY85" i="33" s="1"/>
  <c r="CP105" i="33"/>
  <c r="AU110" i="33"/>
  <c r="CO118" i="33"/>
  <c r="AH118" i="33"/>
  <c r="CM118" i="33" s="1"/>
  <c r="CA121" i="33"/>
  <c r="CD121" i="33" s="1"/>
  <c r="BD123" i="33"/>
  <c r="AW123" i="33"/>
  <c r="CX129" i="33"/>
  <c r="CY129" i="33"/>
  <c r="AT129" i="33"/>
  <c r="AW70" i="33"/>
  <c r="T8" i="33"/>
  <c r="DN28" i="33"/>
  <c r="AQ34" i="33"/>
  <c r="BX35" i="33"/>
  <c r="BY35" i="33" s="1"/>
  <c r="BZ38" i="33"/>
  <c r="CC38" i="33" s="1"/>
  <c r="CA41" i="33"/>
  <c r="CD41" i="33" s="1"/>
  <c r="CP43" i="33"/>
  <c r="CY43" i="33"/>
  <c r="CC46" i="33"/>
  <c r="BV47" i="33"/>
  <c r="BU50" i="33"/>
  <c r="AP51" i="33"/>
  <c r="CA54" i="33"/>
  <c r="CD54" i="33" s="1"/>
  <c r="AW55" i="33"/>
  <c r="AT56" i="33"/>
  <c r="BB57" i="33"/>
  <c r="AW60" i="33"/>
  <c r="AT61" i="33"/>
  <c r="BZ65" i="33"/>
  <c r="CC65" i="33" s="1"/>
  <c r="AH70" i="33"/>
  <c r="CM70" i="33" s="1"/>
  <c r="CA71" i="33"/>
  <c r="CD71" i="33" s="1"/>
  <c r="CU72" i="33"/>
  <c r="AW73" i="33"/>
  <c r="CX74" i="33"/>
  <c r="CU74" i="33"/>
  <c r="BS77" i="33"/>
  <c r="BX77" i="33" s="1"/>
  <c r="BY77" i="33" s="1"/>
  <c r="CX81" i="33"/>
  <c r="AW84" i="33"/>
  <c r="BQ85" i="33"/>
  <c r="BR85" i="33" s="1"/>
  <c r="BD91" i="33"/>
  <c r="AW91" i="33"/>
  <c r="CM94" i="33"/>
  <c r="CO97" i="33"/>
  <c r="CY105" i="33"/>
  <c r="AT105" i="33"/>
  <c r="AP105" i="33"/>
  <c r="BB125" i="33"/>
  <c r="AU125" i="33"/>
  <c r="BD133" i="33"/>
  <c r="BZ139" i="33"/>
  <c r="CC139" i="33" s="1"/>
  <c r="CC142" i="33"/>
  <c r="CB142" i="33"/>
  <c r="BA111" i="33"/>
  <c r="AT111" i="33"/>
  <c r="CO124" i="33"/>
  <c r="AH124" i="33"/>
  <c r="CM124" i="33" s="1"/>
  <c r="CA17" i="33"/>
  <c r="CD17" i="33" s="1"/>
  <c r="CG20" i="33"/>
  <c r="CH20" i="33" s="1"/>
  <c r="CY21" i="33"/>
  <c r="AT27" i="33"/>
  <c r="BQ29" i="33"/>
  <c r="BR29" i="33" s="1"/>
  <c r="CX30" i="33"/>
  <c r="BX30" i="33"/>
  <c r="BY30" i="33" s="1"/>
  <c r="DN31" i="33"/>
  <c r="BQ32" i="33"/>
  <c r="BR32" i="33" s="1"/>
  <c r="AQ33" i="33"/>
  <c r="CY34" i="33"/>
  <c r="CQ38" i="33"/>
  <c r="AH39" i="33"/>
  <c r="AH40" i="33"/>
  <c r="CM40" i="33" s="1"/>
  <c r="BX42" i="33"/>
  <c r="BY42" i="33" s="1"/>
  <c r="DD43" i="33"/>
  <c r="DN44" i="33"/>
  <c r="CA53" i="33"/>
  <c r="CD53" i="33" s="1"/>
  <c r="CQ53" i="33"/>
  <c r="BA55" i="33"/>
  <c r="DD55" i="33"/>
  <c r="DB59" i="33"/>
  <c r="AU66" i="33"/>
  <c r="BZ69" i="33"/>
  <c r="CC69" i="33" s="1"/>
  <c r="AP70" i="33"/>
  <c r="CH73" i="33"/>
  <c r="CY74" i="33"/>
  <c r="BQ84" i="33"/>
  <c r="BR84" i="33" s="1"/>
  <c r="BD95" i="33"/>
  <c r="AW95" i="33"/>
  <c r="BZ96" i="33"/>
  <c r="CX107" i="33"/>
  <c r="AT107" i="33"/>
  <c r="CY107" i="33"/>
  <c r="BX121" i="33"/>
  <c r="BY121" i="33" s="1"/>
  <c r="CJ124" i="33"/>
  <c r="CL124" i="33" s="1"/>
  <c r="BC129" i="33"/>
  <c r="AV129" i="33"/>
  <c r="AH16" i="33"/>
  <c r="CX20" i="33"/>
  <c r="AS22" i="33"/>
  <c r="BQ28" i="33"/>
  <c r="BR28" i="33" s="1"/>
  <c r="CA29" i="33"/>
  <c r="CD29" i="33" s="1"/>
  <c r="BQ36" i="33"/>
  <c r="BR36" i="33" s="1"/>
  <c r="DA39" i="33"/>
  <c r="AP40" i="33"/>
  <c r="DB42" i="33"/>
  <c r="AK50" i="33"/>
  <c r="AU50" i="33" s="1"/>
  <c r="CG50" i="33"/>
  <c r="CA57" i="33"/>
  <c r="CD57" i="33" s="1"/>
  <c r="BL59" i="33"/>
  <c r="BQ59" i="33" s="1"/>
  <c r="BR59" i="33" s="1"/>
  <c r="BZ60" i="33"/>
  <c r="CC60" i="33" s="1"/>
  <c r="DD62" i="33"/>
  <c r="CA64" i="33"/>
  <c r="CD64" i="33" s="1"/>
  <c r="CA68" i="33"/>
  <c r="CD68" i="33" s="1"/>
  <c r="CA70" i="33"/>
  <c r="CD70" i="33" s="1"/>
  <c r="AT79" i="33"/>
  <c r="CX86" i="33"/>
  <c r="CY86" i="33"/>
  <c r="AT86" i="33"/>
  <c r="DB92" i="33"/>
  <c r="BC105" i="33"/>
  <c r="AV105" i="33"/>
  <c r="CR108" i="33"/>
  <c r="AT112" i="33"/>
  <c r="CX112" i="33"/>
  <c r="AH115" i="33"/>
  <c r="CM115" i="33" s="1"/>
  <c r="BQ127" i="33"/>
  <c r="BR127" i="33" s="1"/>
  <c r="AW129" i="33"/>
  <c r="BD129" i="33"/>
  <c r="DN137" i="33"/>
  <c r="CG140" i="33"/>
  <c r="Z140" i="33"/>
  <c r="CO140" i="33" s="1"/>
  <c r="CX16" i="33"/>
  <c r="DA14" i="33"/>
  <c r="AP16" i="33"/>
  <c r="CA19" i="33"/>
  <c r="CD19" i="33" s="1"/>
  <c r="AU20" i="33"/>
  <c r="DD20" i="33"/>
  <c r="AU22" i="33"/>
  <c r="AT23" i="33"/>
  <c r="CX24" i="33"/>
  <c r="DN25" i="33"/>
  <c r="AW26" i="33"/>
  <c r="BL27" i="33"/>
  <c r="BQ27" i="33" s="1"/>
  <c r="BR27" i="33" s="1"/>
  <c r="DB28" i="33"/>
  <c r="BZ28" i="33"/>
  <c r="CC28" i="33" s="1"/>
  <c r="CY29" i="33"/>
  <c r="AV31" i="33"/>
  <c r="AH32" i="33"/>
  <c r="CM32" i="33" s="1"/>
  <c r="CD32" i="33"/>
  <c r="AS35" i="33"/>
  <c r="DB36" i="33"/>
  <c r="BZ36" i="33"/>
  <c r="CC36" i="33" s="1"/>
  <c r="CP37" i="33"/>
  <c r="CA37" i="33"/>
  <c r="CD37" i="33" s="1"/>
  <c r="AH38" i="33"/>
  <c r="CM38" i="33" s="1"/>
  <c r="AQ41" i="33"/>
  <c r="BS41" i="33"/>
  <c r="BQ43" i="33"/>
  <c r="BR43" i="33" s="1"/>
  <c r="CX45" i="33"/>
  <c r="AP49" i="33"/>
  <c r="CT53" i="33"/>
  <c r="BZ55" i="33"/>
  <c r="CJ56" i="33"/>
  <c r="CL56" i="33" s="1"/>
  <c r="AU62" i="33"/>
  <c r="DN62" i="33"/>
  <c r="AG72" i="33"/>
  <c r="CK72" i="33" s="1"/>
  <c r="CA72" i="33"/>
  <c r="CD72" i="33" s="1"/>
  <c r="BZ73" i="33"/>
  <c r="CC73" i="33" s="1"/>
  <c r="BZ75" i="33"/>
  <c r="CC75" i="33" s="1"/>
  <c r="AT76" i="33"/>
  <c r="CY79" i="33"/>
  <c r="CA84" i="33"/>
  <c r="CD84" i="33" s="1"/>
  <c r="CA87" i="33"/>
  <c r="CD87" i="33" s="1"/>
  <c r="AP106" i="33"/>
  <c r="AQ106" i="33"/>
  <c r="DD108" i="33"/>
  <c r="BB112" i="33"/>
  <c r="AU112" i="33"/>
  <c r="DN123" i="33"/>
  <c r="DB127" i="33"/>
  <c r="CT132" i="33"/>
  <c r="CQ132" i="33"/>
  <c r="AV88" i="33"/>
  <c r="O89" i="33"/>
  <c r="BS89" i="33" s="1"/>
  <c r="DA91" i="33"/>
  <c r="CA92" i="33"/>
  <c r="CD92" i="33" s="1"/>
  <c r="AW93" i="33"/>
  <c r="DN93" i="33"/>
  <c r="DN96" i="33"/>
  <c r="BQ97" i="33"/>
  <c r="BR97" i="33" s="1"/>
  <c r="AP98" i="33"/>
  <c r="O101" i="33"/>
  <c r="BS101" i="33" s="1"/>
  <c r="DN101" i="33"/>
  <c r="DN103" i="33"/>
  <c r="CT105" i="33"/>
  <c r="BZ109" i="33"/>
  <c r="CC109" i="33" s="1"/>
  <c r="DA111" i="33"/>
  <c r="O114" i="33"/>
  <c r="BS114" i="33" s="1"/>
  <c r="AV115" i="33"/>
  <c r="AU118" i="33"/>
  <c r="BG119" i="33"/>
  <c r="BI119" i="33" s="1"/>
  <c r="AW120" i="33"/>
  <c r="DN121" i="33"/>
  <c r="BD122" i="33"/>
  <c r="AJ123" i="33"/>
  <c r="CX123" i="33" s="1"/>
  <c r="AS124" i="33"/>
  <c r="BX126" i="33"/>
  <c r="BY126" i="33" s="1"/>
  <c r="BX131" i="33"/>
  <c r="BY131" i="33" s="1"/>
  <c r="DN133" i="33"/>
  <c r="AH137" i="33"/>
  <c r="CM137" i="33" s="1"/>
  <c r="CQ139" i="33"/>
  <c r="DN139" i="33"/>
  <c r="AV142" i="33"/>
  <c r="BX87" i="33"/>
  <c r="BY87" i="33" s="1"/>
  <c r="AH90" i="33"/>
  <c r="CO93" i="33"/>
  <c r="CQ94" i="33"/>
  <c r="CL97" i="33"/>
  <c r="AU103" i="33"/>
  <c r="DA105" i="33"/>
  <c r="AH107" i="33"/>
  <c r="CM107" i="33" s="1"/>
  <c r="AW108" i="33"/>
  <c r="CX113" i="33"/>
  <c r="AU116" i="33"/>
  <c r="CX116" i="33"/>
  <c r="CO120" i="33"/>
  <c r="CJ120" i="33"/>
  <c r="BQ122" i="33"/>
  <c r="BR122" i="33" s="1"/>
  <c r="AW124" i="33"/>
  <c r="CH130" i="33"/>
  <c r="AT133" i="33"/>
  <c r="CA135" i="33"/>
  <c r="CD135" i="33" s="1"/>
  <c r="R136" i="33"/>
  <c r="BA138" i="33"/>
  <c r="CQ88" i="33"/>
  <c r="DA88" i="33"/>
  <c r="BX90" i="33"/>
  <c r="BY90" i="33" s="1"/>
  <c r="DD91" i="33"/>
  <c r="AP93" i="33"/>
  <c r="AV96" i="33"/>
  <c r="CX97" i="33"/>
  <c r="BD100" i="33"/>
  <c r="CD102" i="33"/>
  <c r="BZ108" i="33"/>
  <c r="CC108" i="33" s="1"/>
  <c r="DD110" i="33"/>
  <c r="CP112" i="33"/>
  <c r="CA115" i="33"/>
  <c r="CO116" i="33"/>
  <c r="BZ116" i="33"/>
  <c r="CC116" i="33" s="1"/>
  <c r="DN116" i="33"/>
  <c r="CM119" i="33"/>
  <c r="BZ124" i="33"/>
  <c r="CC124" i="33" s="1"/>
  <c r="CA125" i="33"/>
  <c r="CD125" i="33" s="1"/>
  <c r="CO126" i="33"/>
  <c r="BC126" i="33"/>
  <c r="DN132" i="33"/>
  <c r="CK133" i="33"/>
  <c r="CY134" i="33"/>
  <c r="BZ138" i="33"/>
  <c r="CB138" i="33" s="1"/>
  <c r="AB143" i="33"/>
  <c r="CY88" i="33"/>
  <c r="CK92" i="33"/>
  <c r="BZ97" i="33"/>
  <c r="CP100" i="33"/>
  <c r="CQ100" i="33"/>
  <c r="CO103" i="33"/>
  <c r="BZ104" i="33"/>
  <c r="CC104" i="33" s="1"/>
  <c r="AT113" i="33"/>
  <c r="CP117" i="33"/>
  <c r="BB117" i="33"/>
  <c r="CO119" i="33"/>
  <c r="CH126" i="33"/>
  <c r="BQ133" i="33"/>
  <c r="BR133" i="33" s="1"/>
  <c r="BX134" i="33"/>
  <c r="BY134" i="33" s="1"/>
  <c r="BS136" i="33"/>
  <c r="CA137" i="33"/>
  <c r="CD137" i="33" s="1"/>
  <c r="BX88" i="33"/>
  <c r="BY88" i="33" s="1"/>
  <c r="CA90" i="33"/>
  <c r="CD90" i="33" s="1"/>
  <c r="CA93" i="33"/>
  <c r="CD93" i="33" s="1"/>
  <c r="CX94" i="33"/>
  <c r="DN97" i="33"/>
  <c r="CL99" i="33"/>
  <c r="BL100" i="33"/>
  <c r="CY100" i="33"/>
  <c r="CT103" i="33"/>
  <c r="BL109" i="33"/>
  <c r="BQ109" i="33" s="1"/>
  <c r="BR109" i="33" s="1"/>
  <c r="DN112" i="33"/>
  <c r="CY113" i="33"/>
  <c r="AH116" i="33"/>
  <c r="AR116" i="33" s="1"/>
  <c r="CO117" i="33"/>
  <c r="CS119" i="33"/>
  <c r="BX120" i="33"/>
  <c r="BY120" i="33" s="1"/>
  <c r="DN120" i="33"/>
  <c r="CY124" i="33"/>
  <c r="BX127" i="33"/>
  <c r="BY127" i="33" s="1"/>
  <c r="DM128" i="33"/>
  <c r="DN128" i="33" s="1"/>
  <c r="DN134" i="33"/>
  <c r="AW135" i="33"/>
  <c r="DD135" i="33"/>
  <c r="DA138" i="33"/>
  <c r="BC142" i="33"/>
  <c r="AS89" i="33"/>
  <c r="BZ91" i="33"/>
  <c r="CC91" i="33" s="1"/>
  <c r="CH105" i="33"/>
  <c r="DB106" i="33"/>
  <c r="DD106" i="33"/>
  <c r="BL111" i="33"/>
  <c r="BQ111" i="33" s="1"/>
  <c r="BR111" i="33" s="1"/>
  <c r="BZ115" i="33"/>
  <c r="CC115" i="33" s="1"/>
  <c r="BZ122" i="33"/>
  <c r="CC122" i="33" s="1"/>
  <c r="U143" i="33"/>
  <c r="CR123" i="33"/>
  <c r="BZ126" i="33"/>
  <c r="CC126" i="33" s="1"/>
  <c r="BQ128" i="33"/>
  <c r="BR128" i="33" s="1"/>
  <c r="BX130" i="33"/>
  <c r="BY130" i="33" s="1"/>
  <c r="DN130" i="33"/>
  <c r="CA133" i="33"/>
  <c r="CD133" i="33" s="1"/>
  <c r="AH138" i="33"/>
  <c r="CM138" i="33" s="1"/>
  <c r="DN85" i="33"/>
  <c r="DN86" i="33"/>
  <c r="AU89" i="33"/>
  <c r="AT90" i="33"/>
  <c r="AT97" i="33"/>
  <c r="AH99" i="33"/>
  <c r="CW99" i="33" s="1"/>
  <c r="CA100" i="33"/>
  <c r="CD100" i="33" s="1"/>
  <c r="AW101" i="33"/>
  <c r="AV102" i="33"/>
  <c r="O106" i="33"/>
  <c r="CG106" i="33" s="1"/>
  <c r="CH106" i="33" s="1"/>
  <c r="CA109" i="33"/>
  <c r="DB112" i="33"/>
  <c r="AH117" i="33"/>
  <c r="CM117" i="33" s="1"/>
  <c r="DB119" i="33"/>
  <c r="BX124" i="33"/>
  <c r="BY124" i="33" s="1"/>
  <c r="BH129" i="33"/>
  <c r="BZ135" i="33"/>
  <c r="CC135" i="33" s="1"/>
  <c r="BX138" i="33"/>
  <c r="BY138" i="33" s="1"/>
  <c r="CD139" i="33"/>
  <c r="BZ87" i="33"/>
  <c r="CC87" i="33" s="1"/>
  <c r="AW89" i="33"/>
  <c r="AV90" i="33"/>
  <c r="BL92" i="33"/>
  <c r="BQ92" i="33" s="1"/>
  <c r="BR92" i="33" s="1"/>
  <c r="AQ93" i="33"/>
  <c r="CX93" i="33"/>
  <c r="AV97" i="33"/>
  <c r="AP99" i="33"/>
  <c r="AH109" i="33"/>
  <c r="O112" i="33"/>
  <c r="CA117" i="33"/>
  <c r="CD117" i="33" s="1"/>
  <c r="CA128" i="33"/>
  <c r="CD128" i="33" s="1"/>
  <c r="BQ129" i="33"/>
  <c r="BR129" i="33" s="1"/>
  <c r="AQ138" i="33"/>
  <c r="BD90" i="33"/>
  <c r="CH90" i="33"/>
  <c r="BQ93" i="33"/>
  <c r="BR93" i="33" s="1"/>
  <c r="AU93" i="33"/>
  <c r="DD93" i="33"/>
  <c r="AT94" i="33"/>
  <c r="AO99" i="33"/>
  <c r="BZ101" i="33"/>
  <c r="CC101" i="33" s="1"/>
  <c r="BZ102" i="33"/>
  <c r="CB102" i="33" s="1"/>
  <c r="BX103" i="33"/>
  <c r="BY103" i="33" s="1"/>
  <c r="CL105" i="33"/>
  <c r="BZ105" i="33"/>
  <c r="CC105" i="33" s="1"/>
  <c r="BZ106" i="33"/>
  <c r="CP107" i="33"/>
  <c r="CQ107" i="33"/>
  <c r="AH111" i="33"/>
  <c r="CO112" i="33"/>
  <c r="CA113" i="33"/>
  <c r="CD113" i="33" s="1"/>
  <c r="AT115" i="33"/>
  <c r="AU120" i="33"/>
  <c r="AV122" i="33"/>
  <c r="BZ125" i="33"/>
  <c r="CC125" i="33" s="1"/>
  <c r="BD127" i="33"/>
  <c r="CO128" i="33"/>
  <c r="AH129" i="33"/>
  <c r="CM129" i="33" s="1"/>
  <c r="AU130" i="33"/>
  <c r="DN131" i="33"/>
  <c r="BQ132" i="33"/>
  <c r="BR132" i="33" s="1"/>
  <c r="AV134" i="33"/>
  <c r="AH14" i="33"/>
  <c r="CM14" i="33" s="1"/>
  <c r="CO14" i="33"/>
  <c r="DB23" i="33"/>
  <c r="CC27" i="33"/>
  <c r="CQ14" i="33"/>
  <c r="CP14" i="33"/>
  <c r="CG14" i="33"/>
  <c r="BL14" i="33"/>
  <c r="CJ14" i="33"/>
  <c r="AV16" i="33"/>
  <c r="CP16" i="33"/>
  <c r="AQ17" i="33"/>
  <c r="AR17" i="33" s="1"/>
  <c r="AP17" i="33"/>
  <c r="DA17" i="33"/>
  <c r="AO17" i="33"/>
  <c r="AW17" i="33"/>
  <c r="CQ18" i="33"/>
  <c r="AQ19" i="33"/>
  <c r="CY19" i="33"/>
  <c r="AT19" i="33"/>
  <c r="AO19" i="33"/>
  <c r="BA19" i="33"/>
  <c r="BQ19" i="33"/>
  <c r="BR19" i="33" s="1"/>
  <c r="CH19" i="33"/>
  <c r="CT19" i="33"/>
  <c r="CP21" i="33"/>
  <c r="CY22" i="33"/>
  <c r="CX22" i="33"/>
  <c r="AQ22" i="33"/>
  <c r="AT22" i="33"/>
  <c r="AO22" i="33"/>
  <c r="BA22" i="33"/>
  <c r="CP24" i="33"/>
  <c r="AV24" i="33"/>
  <c r="CC26" i="33"/>
  <c r="CB26" i="33"/>
  <c r="CL18" i="33"/>
  <c r="CB43" i="33"/>
  <c r="CC43" i="33"/>
  <c r="DD15" i="33"/>
  <c r="O15" i="33"/>
  <c r="CG15" i="33" s="1"/>
  <c r="CH15" i="33" s="1"/>
  <c r="CY18" i="33"/>
  <c r="CX18" i="33"/>
  <c r="AQ18" i="33"/>
  <c r="AT18" i="33"/>
  <c r="AO18" i="33"/>
  <c r="BA18" i="33"/>
  <c r="CO19" i="33"/>
  <c r="CJ19" i="33"/>
  <c r="CL19" i="33" s="1"/>
  <c r="AH19" i="33"/>
  <c r="CM19" i="33" s="1"/>
  <c r="BX19" i="33"/>
  <c r="BY19" i="33" s="1"/>
  <c r="BQ20" i="33"/>
  <c r="BR20" i="33" s="1"/>
  <c r="CP20" i="33"/>
  <c r="AQ21" i="33"/>
  <c r="AR21" i="33" s="1"/>
  <c r="AP21" i="33"/>
  <c r="DA21" i="33"/>
  <c r="AO21" i="33"/>
  <c r="BD21" i="33"/>
  <c r="CQ21" i="33"/>
  <c r="AH22" i="33"/>
  <c r="CM22" i="33" s="1"/>
  <c r="CO22" i="33"/>
  <c r="DA23" i="33"/>
  <c r="BB23" i="33"/>
  <c r="CC39" i="33"/>
  <c r="BS16" i="33"/>
  <c r="BH16" i="33"/>
  <c r="BI16" i="33" s="1"/>
  <c r="AZ16" i="33"/>
  <c r="R16" i="33"/>
  <c r="CS16" i="33" s="1"/>
  <c r="CY14" i="33"/>
  <c r="CX14" i="33"/>
  <c r="AQ14" i="33"/>
  <c r="AT14" i="33"/>
  <c r="AO14" i="33"/>
  <c r="BA14" i="33"/>
  <c r="CD14" i="33"/>
  <c r="CD143" i="33" s="1"/>
  <c r="CR14" i="33"/>
  <c r="CL15" i="33"/>
  <c r="AU15" i="33"/>
  <c r="AQ16" i="33"/>
  <c r="CG16" i="33"/>
  <c r="CH16" i="33" s="1"/>
  <c r="AH18" i="33"/>
  <c r="CM18" i="33" s="1"/>
  <c r="CO18" i="33"/>
  <c r="CH18" i="33"/>
  <c r="CP19" i="33"/>
  <c r="CX19" i="33"/>
  <c r="BS20" i="33"/>
  <c r="BH20" i="33"/>
  <c r="BI20" i="33" s="1"/>
  <c r="AZ20" i="33"/>
  <c r="R20" i="33"/>
  <c r="CS20" i="33" s="1"/>
  <c r="AP20" i="33"/>
  <c r="CC20" i="33"/>
  <c r="CQ22" i="33"/>
  <c r="CP22" i="33"/>
  <c r="CG22" i="33"/>
  <c r="CH22" i="33" s="1"/>
  <c r="BL22" i="33"/>
  <c r="BQ22" i="33" s="1"/>
  <c r="BR22" i="33" s="1"/>
  <c r="CJ22" i="33"/>
  <c r="DA22" i="33"/>
  <c r="DD23" i="33"/>
  <c r="O23" i="33"/>
  <c r="CG23" i="33" s="1"/>
  <c r="CH23" i="33" s="1"/>
  <c r="AP23" i="33"/>
  <c r="AQ24" i="33"/>
  <c r="CQ25" i="33"/>
  <c r="CR26" i="33"/>
  <c r="BB27" i="33"/>
  <c r="CO27" i="33"/>
  <c r="AZ29" i="33"/>
  <c r="AZ30" i="33"/>
  <c r="AZ31" i="33"/>
  <c r="AS34" i="33"/>
  <c r="AO35" i="33"/>
  <c r="CX35" i="33"/>
  <c r="AQ36" i="33"/>
  <c r="CP36" i="33"/>
  <c r="CQ37" i="33"/>
  <c r="AO38" i="33"/>
  <c r="CR38" i="33"/>
  <c r="BB39" i="33"/>
  <c r="CO39" i="33"/>
  <c r="AQ40" i="33"/>
  <c r="CQ41" i="33"/>
  <c r="AQ43" i="33"/>
  <c r="CG43" i="33"/>
  <c r="CH43" i="33" s="1"/>
  <c r="AO55" i="33"/>
  <c r="CC56" i="33"/>
  <c r="CB56" i="33"/>
  <c r="BV57" i="33"/>
  <c r="BC57" i="33"/>
  <c r="CQ64" i="33"/>
  <c r="CR64" i="33"/>
  <c r="CP64" i="33"/>
  <c r="CG64" i="33"/>
  <c r="CH64" i="33" s="1"/>
  <c r="BL64" i="33"/>
  <c r="BQ64" i="33" s="1"/>
  <c r="BR64" i="33" s="1"/>
  <c r="DD65" i="33"/>
  <c r="O65" i="33"/>
  <c r="CG65" i="33" s="1"/>
  <c r="CH65" i="33" s="1"/>
  <c r="CO65" i="33"/>
  <c r="CM65" i="33"/>
  <c r="DB65" i="33"/>
  <c r="BB14" i="33"/>
  <c r="BP143" i="33"/>
  <c r="CK14" i="33"/>
  <c r="DB14" i="33"/>
  <c r="AH15" i="33"/>
  <c r="CM15" i="33" s="1"/>
  <c r="AQ15" i="33"/>
  <c r="CP15" i="33"/>
  <c r="CX15" i="33"/>
  <c r="CM16" i="33"/>
  <c r="CQ16" i="33"/>
  <c r="CY16" i="33"/>
  <c r="AS17" i="33"/>
  <c r="BA17" i="33"/>
  <c r="CJ17" i="33"/>
  <c r="CR17" i="33"/>
  <c r="AP18" i="33"/>
  <c r="CS18" i="33"/>
  <c r="DB18" i="33"/>
  <c r="AP19" i="33"/>
  <c r="CQ19" i="33"/>
  <c r="CM20" i="33"/>
  <c r="CQ20" i="33"/>
  <c r="CY20" i="33"/>
  <c r="AS21" i="33"/>
  <c r="BA21" i="33"/>
  <c r="CJ21" i="33"/>
  <c r="CR21" i="33"/>
  <c r="CK22" i="33"/>
  <c r="DB22" i="33"/>
  <c r="AH23" i="33"/>
  <c r="CM23" i="33" s="1"/>
  <c r="AQ23" i="33"/>
  <c r="CP23" i="33"/>
  <c r="CX23" i="33"/>
  <c r="CQ24" i="33"/>
  <c r="CY24" i="33"/>
  <c r="AO25" i="33"/>
  <c r="AS25" i="33"/>
  <c r="AW25" i="33"/>
  <c r="BA25" i="33"/>
  <c r="CJ25" i="33"/>
  <c r="CR25" i="33"/>
  <c r="DA25" i="33"/>
  <c r="AT26" i="33"/>
  <c r="BB26" i="33"/>
  <c r="BL26" i="33"/>
  <c r="BQ26" i="33" s="1"/>
  <c r="BR26" i="33" s="1"/>
  <c r="CK26" i="33"/>
  <c r="CO26" i="33"/>
  <c r="DB26" i="33"/>
  <c r="O27" i="33"/>
  <c r="CG27" i="33" s="1"/>
  <c r="CH27" i="33" s="1"/>
  <c r="AH27" i="33"/>
  <c r="CM27" i="33" s="1"/>
  <c r="AQ27" i="33"/>
  <c r="AU27" i="33"/>
  <c r="CP27" i="33"/>
  <c r="CX27" i="33"/>
  <c r="DD27" i="33"/>
  <c r="AV28" i="33"/>
  <c r="BD28" i="33"/>
  <c r="CQ28" i="33"/>
  <c r="CY28" i="33"/>
  <c r="AO29" i="33"/>
  <c r="AS29" i="33"/>
  <c r="AW29" i="33"/>
  <c r="BA29" i="33"/>
  <c r="CJ29" i="33"/>
  <c r="CL29" i="33" s="1"/>
  <c r="DA29" i="33"/>
  <c r="AO30" i="33"/>
  <c r="AS30" i="33"/>
  <c r="AW30" i="33"/>
  <c r="BA30" i="33"/>
  <c r="CJ30" i="33"/>
  <c r="CL30" i="33" s="1"/>
  <c r="CN30" i="33" s="1"/>
  <c r="DA30" i="33"/>
  <c r="AO31" i="33"/>
  <c r="AS31" i="33"/>
  <c r="AW31" i="33"/>
  <c r="BA31" i="33"/>
  <c r="CJ31" i="33"/>
  <c r="CL31" i="33" s="1"/>
  <c r="DA31" i="33"/>
  <c r="AO32" i="33"/>
  <c r="AS32" i="33"/>
  <c r="AW32" i="33"/>
  <c r="BA32" i="33"/>
  <c r="CJ32" i="33"/>
  <c r="CL32" i="33" s="1"/>
  <c r="DA32" i="33"/>
  <c r="AO33" i="33"/>
  <c r="AS33" i="33"/>
  <c r="AW33" i="33"/>
  <c r="BA33" i="33"/>
  <c r="CJ33" i="33"/>
  <c r="CR33" i="33"/>
  <c r="DA33" i="33"/>
  <c r="AP34" i="33"/>
  <c r="AT34" i="33"/>
  <c r="BB34" i="33"/>
  <c r="BL34" i="33"/>
  <c r="BQ34" i="33" s="1"/>
  <c r="BR34" i="33" s="1"/>
  <c r="CK34" i="33"/>
  <c r="CL34" i="33" s="1"/>
  <c r="CO34" i="33"/>
  <c r="DB34" i="33"/>
  <c r="AH35" i="33"/>
  <c r="CM35" i="33" s="1"/>
  <c r="AP35" i="33"/>
  <c r="AT35" i="33"/>
  <c r="BB35" i="33"/>
  <c r="BZ35" i="33"/>
  <c r="CQ35" i="33"/>
  <c r="R36" i="33"/>
  <c r="CU36" i="33" s="1"/>
  <c r="AZ36" i="33"/>
  <c r="BD36" i="33"/>
  <c r="BH36" i="33"/>
  <c r="BI36" i="33" s="1"/>
  <c r="CQ36" i="33"/>
  <c r="CY36" i="33"/>
  <c r="AO37" i="33"/>
  <c r="AS37" i="33"/>
  <c r="AW37" i="33"/>
  <c r="BA37" i="33"/>
  <c r="CJ37" i="33"/>
  <c r="CR37" i="33"/>
  <c r="DA37" i="33"/>
  <c r="AP38" i="33"/>
  <c r="AT38" i="33"/>
  <c r="BB38" i="33"/>
  <c r="BL38" i="33"/>
  <c r="BQ38" i="33" s="1"/>
  <c r="BR38" i="33" s="1"/>
  <c r="CK38" i="33"/>
  <c r="CO38" i="33"/>
  <c r="DB38" i="33"/>
  <c r="O39" i="33"/>
  <c r="AQ39" i="33"/>
  <c r="AU39" i="33"/>
  <c r="CP39" i="33"/>
  <c r="CX39" i="33"/>
  <c r="DD39" i="33"/>
  <c r="AV40" i="33"/>
  <c r="BD40" i="33"/>
  <c r="CQ40" i="33"/>
  <c r="AO41" i="33"/>
  <c r="AS41" i="33"/>
  <c r="AW41" i="33"/>
  <c r="BA41" i="33"/>
  <c r="CJ41" i="33"/>
  <c r="CR41" i="33"/>
  <c r="DA41" i="33"/>
  <c r="AO42" i="33"/>
  <c r="AS42" i="33"/>
  <c r="AW42" i="33"/>
  <c r="BA42" i="33"/>
  <c r="BZ42" i="33"/>
  <c r="CQ42" i="33"/>
  <c r="CY42" i="33"/>
  <c r="R43" i="33"/>
  <c r="AV43" i="33"/>
  <c r="AZ43" i="33"/>
  <c r="BD43" i="33"/>
  <c r="BH43" i="33"/>
  <c r="BI43" i="33" s="1"/>
  <c r="CQ43" i="33"/>
  <c r="CM44" i="33"/>
  <c r="DD44" i="33"/>
  <c r="DA44" i="33"/>
  <c r="AQ44" i="33"/>
  <c r="CQ44" i="33"/>
  <c r="AP44" i="33"/>
  <c r="CP44" i="33"/>
  <c r="AS44" i="33"/>
  <c r="AO44" i="33"/>
  <c r="BD44" i="33"/>
  <c r="CK44" i="33"/>
  <c r="CL44" i="33" s="1"/>
  <c r="AQ45" i="33"/>
  <c r="DA45" i="33"/>
  <c r="AP45" i="33"/>
  <c r="CQ45" i="33"/>
  <c r="AS45" i="33"/>
  <c r="AO45" i="33"/>
  <c r="BD45" i="33"/>
  <c r="CL46" i="33"/>
  <c r="BB46" i="33"/>
  <c r="DB46" i="33"/>
  <c r="BD47" i="33"/>
  <c r="BD50" i="33"/>
  <c r="CL52" i="33"/>
  <c r="CC54" i="33"/>
  <c r="AH55" i="33"/>
  <c r="CM55" i="33" s="1"/>
  <c r="CO55" i="33"/>
  <c r="CK57" i="33"/>
  <c r="AI58" i="33"/>
  <c r="AZ58" i="33" s="1"/>
  <c r="Z58" i="33"/>
  <c r="AH58" i="33" s="1"/>
  <c r="CY59" i="33"/>
  <c r="AU59" i="33"/>
  <c r="AQ60" i="33"/>
  <c r="CO61" i="33"/>
  <c r="CP62" i="33"/>
  <c r="AQ63" i="33"/>
  <c r="AR63" i="33" s="1"/>
  <c r="AP63" i="33"/>
  <c r="DA63" i="33"/>
  <c r="AO63" i="33"/>
  <c r="CC68" i="33"/>
  <c r="DA69" i="33"/>
  <c r="AQ69" i="33"/>
  <c r="CY69" i="33"/>
  <c r="AT69" i="33"/>
  <c r="AP69" i="33"/>
  <c r="CX69" i="33"/>
  <c r="CP69" i="33"/>
  <c r="AO69" i="33"/>
  <c r="BA69" i="33"/>
  <c r="CT69" i="33"/>
  <c r="AW72" i="33"/>
  <c r="BD72" i="33"/>
  <c r="CQ101" i="33"/>
  <c r="CP101" i="33"/>
  <c r="BL101" i="33"/>
  <c r="BQ101" i="33" s="1"/>
  <c r="BR101" i="33" s="1"/>
  <c r="AS101" i="33"/>
  <c r="CR101" i="33"/>
  <c r="AO26" i="33"/>
  <c r="CJ26" i="33"/>
  <c r="CK27" i="33"/>
  <c r="CL27" i="33" s="1"/>
  <c r="CP28" i="33"/>
  <c r="CQ31" i="33"/>
  <c r="AZ32" i="33"/>
  <c r="BA34" i="33"/>
  <c r="CT35" i="33"/>
  <c r="CG36" i="33"/>
  <c r="CH36" i="33" s="1"/>
  <c r="BA38" i="33"/>
  <c r="CJ38" i="33"/>
  <c r="CK39" i="33"/>
  <c r="CL39" i="33" s="1"/>
  <c r="CP42" i="33"/>
  <c r="CT42" i="33"/>
  <c r="CL48" i="33"/>
  <c r="AS50" i="33"/>
  <c r="AZ50" i="33"/>
  <c r="BH60" i="33"/>
  <c r="BI60" i="33" s="1"/>
  <c r="R60" i="33"/>
  <c r="BQ69" i="33"/>
  <c r="BR69" i="33" s="1"/>
  <c r="DD14" i="33"/>
  <c r="DD143" i="33" s="1"/>
  <c r="BD15" i="33"/>
  <c r="CQ15" i="33"/>
  <c r="CY15" i="33"/>
  <c r="AO16" i="33"/>
  <c r="AS16" i="33"/>
  <c r="BA16" i="33"/>
  <c r="CJ16" i="33"/>
  <c r="CR16" i="33"/>
  <c r="DA16" i="33"/>
  <c r="BB17" i="33"/>
  <c r="BL17" i="33"/>
  <c r="BQ17" i="33" s="1"/>
  <c r="BR17" i="33" s="1"/>
  <c r="CK17" i="33"/>
  <c r="CO17" i="33"/>
  <c r="DB17" i="33"/>
  <c r="BC18" i="33"/>
  <c r="BQ18" i="33"/>
  <c r="BR18" i="33" s="1"/>
  <c r="CP18" i="33"/>
  <c r="CT18" i="33"/>
  <c r="BC19" i="33"/>
  <c r="DA19" i="33"/>
  <c r="AO20" i="33"/>
  <c r="AS20" i="33"/>
  <c r="BA20" i="33"/>
  <c r="CJ20" i="33"/>
  <c r="CR20" i="33"/>
  <c r="DA20" i="33"/>
  <c r="AT21" i="33"/>
  <c r="BB21" i="33"/>
  <c r="BL21" i="33"/>
  <c r="BQ21" i="33" s="1"/>
  <c r="BR21" i="33" s="1"/>
  <c r="CK21" i="33"/>
  <c r="CO21" i="33"/>
  <c r="DB21" i="33"/>
  <c r="DD22" i="33"/>
  <c r="BD23" i="33"/>
  <c r="CQ23" i="33"/>
  <c r="CY23" i="33"/>
  <c r="AO24" i="33"/>
  <c r="AS24" i="33"/>
  <c r="BA24" i="33"/>
  <c r="CJ24" i="33"/>
  <c r="CR24" i="33"/>
  <c r="DA24" i="33"/>
  <c r="AP25" i="33"/>
  <c r="AT25" i="33"/>
  <c r="BB25" i="33"/>
  <c r="BL25" i="33"/>
  <c r="BQ25" i="33" s="1"/>
  <c r="BR25" i="33" s="1"/>
  <c r="CB25" i="33"/>
  <c r="CK25" i="33"/>
  <c r="DB25" i="33"/>
  <c r="AQ26" i="33"/>
  <c r="CG26" i="33"/>
  <c r="CH26" i="33" s="1"/>
  <c r="CP26" i="33"/>
  <c r="CX26" i="33"/>
  <c r="DD26" i="33"/>
  <c r="BD27" i="33"/>
  <c r="CQ27" i="33"/>
  <c r="CY27" i="33"/>
  <c r="AO28" i="33"/>
  <c r="AS28" i="33"/>
  <c r="BA28" i="33"/>
  <c r="CJ28" i="33"/>
  <c r="CR28" i="33"/>
  <c r="DA28" i="33"/>
  <c r="AP29" i="33"/>
  <c r="AT29" i="33"/>
  <c r="BB29" i="33"/>
  <c r="CO29" i="33"/>
  <c r="CS29" i="33"/>
  <c r="DB29" i="33"/>
  <c r="AP30" i="33"/>
  <c r="AT30" i="33"/>
  <c r="BB30" i="33"/>
  <c r="CB30" i="33"/>
  <c r="CS30" i="33"/>
  <c r="DB30" i="33"/>
  <c r="AP31" i="33"/>
  <c r="AT31" i="33"/>
  <c r="CS31" i="33"/>
  <c r="DB31" i="33"/>
  <c r="AP32" i="33"/>
  <c r="AT32" i="33"/>
  <c r="BB32" i="33"/>
  <c r="CB32" i="33"/>
  <c r="CO32" i="33"/>
  <c r="CS32" i="33"/>
  <c r="DB32" i="33"/>
  <c r="AP33" i="33"/>
  <c r="AT33" i="33"/>
  <c r="BB33" i="33"/>
  <c r="BL33" i="33"/>
  <c r="BQ33" i="33" s="1"/>
  <c r="BR33" i="33" s="1"/>
  <c r="CB33" i="33"/>
  <c r="CK33" i="33"/>
  <c r="DB33" i="33"/>
  <c r="AH34" i="33"/>
  <c r="CM34" i="33" s="1"/>
  <c r="CG34" i="33"/>
  <c r="CH34" i="33" s="1"/>
  <c r="CP34" i="33"/>
  <c r="CX34" i="33"/>
  <c r="DD34" i="33"/>
  <c r="AQ35" i="33"/>
  <c r="AU35" i="33"/>
  <c r="BC35" i="33"/>
  <c r="CJ35" i="33"/>
  <c r="CL35" i="33" s="1"/>
  <c r="DA35" i="33"/>
  <c r="AO36" i="33"/>
  <c r="AS36" i="33"/>
  <c r="BA36" i="33"/>
  <c r="BS36" i="33"/>
  <c r="CJ36" i="33"/>
  <c r="CR36" i="33"/>
  <c r="DA36" i="33"/>
  <c r="AP37" i="33"/>
  <c r="AT37" i="33"/>
  <c r="BB37" i="33"/>
  <c r="BL37" i="33"/>
  <c r="BQ37" i="33" s="1"/>
  <c r="BR37" i="33" s="1"/>
  <c r="CB37" i="33"/>
  <c r="CK37" i="33"/>
  <c r="CO37" i="33"/>
  <c r="DB37" i="33"/>
  <c r="O38" i="33"/>
  <c r="AQ38" i="33"/>
  <c r="CP38" i="33"/>
  <c r="CX38" i="33"/>
  <c r="DD38" i="33"/>
  <c r="BD39" i="33"/>
  <c r="CM39" i="33"/>
  <c r="CQ39" i="33"/>
  <c r="CY39" i="33"/>
  <c r="AO40" i="33"/>
  <c r="AS40" i="33"/>
  <c r="BA40" i="33"/>
  <c r="CJ40" i="33"/>
  <c r="CR40" i="33"/>
  <c r="DA40" i="33"/>
  <c r="AP41" i="33"/>
  <c r="AT41" i="33"/>
  <c r="BB41" i="33"/>
  <c r="BL41" i="33"/>
  <c r="BQ41" i="33" s="1"/>
  <c r="BR41" i="33" s="1"/>
  <c r="CK41" i="33"/>
  <c r="CO41" i="33"/>
  <c r="DB41" i="33"/>
  <c r="AP42" i="33"/>
  <c r="BB42" i="33"/>
  <c r="CJ42" i="33"/>
  <c r="CL42" i="33" s="1"/>
  <c r="DA42" i="33"/>
  <c r="AO43" i="33"/>
  <c r="AS43" i="33"/>
  <c r="BA43" i="33"/>
  <c r="BS43" i="33"/>
  <c r="CJ43" i="33"/>
  <c r="CR43" i="33"/>
  <c r="DA43" i="33"/>
  <c r="O44" i="33"/>
  <c r="DI44" i="33"/>
  <c r="AT44" i="33"/>
  <c r="CX44" i="33"/>
  <c r="CO44" i="33"/>
  <c r="DB44" i="33"/>
  <c r="DD46" i="33"/>
  <c r="CG47" i="33"/>
  <c r="CH47" i="33" s="1"/>
  <c r="BS47" i="33"/>
  <c r="AQ48" i="33"/>
  <c r="AP48" i="33"/>
  <c r="AS48" i="33"/>
  <c r="AO48" i="33"/>
  <c r="BD48" i="33"/>
  <c r="BS50" i="33"/>
  <c r="R50" i="33"/>
  <c r="CY51" i="33"/>
  <c r="CX51" i="33"/>
  <c r="AQ51" i="33"/>
  <c r="AT51" i="33"/>
  <c r="AO51" i="33"/>
  <c r="BA51" i="33"/>
  <c r="CC51" i="33"/>
  <c r="CB51" i="33"/>
  <c r="CY52" i="33"/>
  <c r="AP52" i="33"/>
  <c r="BB52" i="33"/>
  <c r="DA52" i="33"/>
  <c r="CX53" i="33"/>
  <c r="CS53" i="33"/>
  <c r="AQ53" i="33"/>
  <c r="AT53" i="33"/>
  <c r="AO53" i="33"/>
  <c r="BA53" i="33"/>
  <c r="CH53" i="33"/>
  <c r="CQ55" i="33"/>
  <c r="CP55" i="33"/>
  <c r="CG55" i="33"/>
  <c r="CH55" i="33" s="1"/>
  <c r="BL55" i="33"/>
  <c r="BQ55" i="33" s="1"/>
  <c r="BR55" i="33" s="1"/>
  <c r="CJ55" i="33"/>
  <c r="CX56" i="33"/>
  <c r="AU56" i="33"/>
  <c r="AH57" i="33"/>
  <c r="CK59" i="33"/>
  <c r="CL59" i="33" s="1"/>
  <c r="DD61" i="33"/>
  <c r="O61" i="33"/>
  <c r="R62" i="33"/>
  <c r="CS62" i="33" s="1"/>
  <c r="AP62" i="33"/>
  <c r="CC62" i="33"/>
  <c r="BD63" i="33"/>
  <c r="CY64" i="33"/>
  <c r="DA64" i="33"/>
  <c r="AQ64" i="33"/>
  <c r="CX64" i="33"/>
  <c r="AT64" i="33"/>
  <c r="AP64" i="33"/>
  <c r="AO64" i="33"/>
  <c r="BA64" i="33"/>
  <c r="CK65" i="33"/>
  <c r="CY66" i="33"/>
  <c r="AT66" i="33"/>
  <c r="AP66" i="33"/>
  <c r="DA66" i="33"/>
  <c r="CT66" i="33"/>
  <c r="CX66" i="33"/>
  <c r="BA66" i="33"/>
  <c r="CP66" i="33"/>
  <c r="AQ66" i="33"/>
  <c r="AO66" i="33"/>
  <c r="AT67" i="33"/>
  <c r="DA67" i="33"/>
  <c r="CY67" i="33"/>
  <c r="CP67" i="33"/>
  <c r="BA67" i="33"/>
  <c r="AQ67" i="33"/>
  <c r="AO67" i="33"/>
  <c r="BL77" i="33"/>
  <c r="BQ77" i="33" s="1"/>
  <c r="BR77" i="33" s="1"/>
  <c r="AI77" i="33"/>
  <c r="Z77" i="33"/>
  <c r="CR77" i="33"/>
  <c r="AH91" i="33"/>
  <c r="CO91" i="33"/>
  <c r="CJ91" i="33"/>
  <c r="AQ110" i="33"/>
  <c r="DD115" i="33"/>
  <c r="O115" i="33"/>
  <c r="CO115" i="33"/>
  <c r="DB115" i="33"/>
  <c r="CK115" i="33"/>
  <c r="CL115" i="33" s="1"/>
  <c r="AS26" i="33"/>
  <c r="BA26" i="33"/>
  <c r="DA26" i="33"/>
  <c r="CQ29" i="33"/>
  <c r="CQ30" i="33"/>
  <c r="CQ32" i="33"/>
  <c r="CQ33" i="33"/>
  <c r="CR34" i="33"/>
  <c r="DA34" i="33"/>
  <c r="AS38" i="33"/>
  <c r="DA38" i="33"/>
  <c r="AZ41" i="33"/>
  <c r="AZ42" i="33"/>
  <c r="CQ51" i="33"/>
  <c r="CP51" i="33"/>
  <c r="CG51" i="33"/>
  <c r="CH51" i="33" s="1"/>
  <c r="BL51" i="33"/>
  <c r="BQ51" i="33" s="1"/>
  <c r="BR51" i="33" s="1"/>
  <c r="CY55" i="33"/>
  <c r="CX55" i="33"/>
  <c r="AQ55" i="33"/>
  <c r="AT55" i="33"/>
  <c r="CC55" i="33"/>
  <c r="DD59" i="33"/>
  <c r="O59" i="33"/>
  <c r="CG59" i="33" s="1"/>
  <c r="CH59" i="33" s="1"/>
  <c r="R14" i="33"/>
  <c r="AV14" i="33"/>
  <c r="AY14" i="33" s="1"/>
  <c r="AZ14" i="33"/>
  <c r="BD14" i="33"/>
  <c r="BH14" i="33"/>
  <c r="BZ14" i="33"/>
  <c r="DL143" i="33"/>
  <c r="AO15" i="33"/>
  <c r="AS15" i="33"/>
  <c r="CK16" i="33"/>
  <c r="O17" i="33"/>
  <c r="CG17" i="33" s="1"/>
  <c r="CH17" i="33" s="1"/>
  <c r="AZ18" i="33"/>
  <c r="AZ19" i="33"/>
  <c r="CS19" i="33"/>
  <c r="CK20" i="33"/>
  <c r="O21" i="33"/>
  <c r="R22" i="33"/>
  <c r="CU22" i="33" s="1"/>
  <c r="AZ22" i="33"/>
  <c r="BH22" i="33"/>
  <c r="BI22" i="33" s="1"/>
  <c r="AO23" i="33"/>
  <c r="AS23" i="33"/>
  <c r="CK24" i="33"/>
  <c r="O25" i="33"/>
  <c r="R26" i="33"/>
  <c r="CT26" i="33" s="1"/>
  <c r="AZ26" i="33"/>
  <c r="BH26" i="33"/>
  <c r="BI26" i="33" s="1"/>
  <c r="AO27" i="33"/>
  <c r="AS27" i="33"/>
  <c r="CK28" i="33"/>
  <c r="AQ29" i="33"/>
  <c r="CP29" i="33"/>
  <c r="AQ30" i="33"/>
  <c r="AR30" i="33" s="1"/>
  <c r="CP30" i="33"/>
  <c r="CV30" i="33" s="1"/>
  <c r="CW30" i="33" s="1"/>
  <c r="AQ31" i="33"/>
  <c r="CP31" i="33"/>
  <c r="AQ32" i="33"/>
  <c r="CP32" i="33"/>
  <c r="CV32" i="33" s="1"/>
  <c r="CW32" i="33" s="1"/>
  <c r="O33" i="33"/>
  <c r="R34" i="33"/>
  <c r="CU34" i="33" s="1"/>
  <c r="AZ34" i="33"/>
  <c r="BH34" i="33"/>
  <c r="BI34" i="33" s="1"/>
  <c r="AZ35" i="33"/>
  <c r="CS35" i="33"/>
  <c r="CK36" i="33"/>
  <c r="O37" i="33"/>
  <c r="AO39" i="33"/>
  <c r="AS39" i="33"/>
  <c r="CK40" i="33"/>
  <c r="CG41" i="33"/>
  <c r="CH41" i="33" s="1"/>
  <c r="AH42" i="33"/>
  <c r="CM42" i="33" s="1"/>
  <c r="AQ42" i="33"/>
  <c r="CS42" i="33"/>
  <c r="CK43" i="33"/>
  <c r="BA44" i="33"/>
  <c r="DB45" i="33"/>
  <c r="BQ45" i="33"/>
  <c r="BR45" i="33" s="1"/>
  <c r="CP45" i="33"/>
  <c r="DA46" i="33"/>
  <c r="CS46" i="33"/>
  <c r="DN46" i="33"/>
  <c r="BH47" i="33"/>
  <c r="BI47" i="33" s="1"/>
  <c r="BI48" i="33"/>
  <c r="BX48" i="33"/>
  <c r="BY48" i="33" s="1"/>
  <c r="BB49" i="33"/>
  <c r="AH51" i="33"/>
  <c r="CM51" i="33" s="1"/>
  <c r="CO51" i="33"/>
  <c r="AS51" i="33"/>
  <c r="CO52" i="33"/>
  <c r="CO53" i="33"/>
  <c r="AH53" i="33"/>
  <c r="CM53" i="33" s="1"/>
  <c r="CJ53" i="33"/>
  <c r="CL53" i="33" s="1"/>
  <c r="BX53" i="33"/>
  <c r="BY53" i="33" s="1"/>
  <c r="CB53" i="33"/>
  <c r="AQ54" i="33"/>
  <c r="AR54" i="33" s="1"/>
  <c r="AP54" i="33"/>
  <c r="DA54" i="33"/>
  <c r="AO54" i="33"/>
  <c r="AP55" i="33"/>
  <c r="CH56" i="33"/>
  <c r="DN56" i="33"/>
  <c r="BS57" i="33"/>
  <c r="CU57" i="33"/>
  <c r="BH57" i="33"/>
  <c r="AZ57" i="33"/>
  <c r="CT57" i="33"/>
  <c r="CY57" i="33"/>
  <c r="AU57" i="33"/>
  <c r="CS57" i="33"/>
  <c r="DA59" i="33"/>
  <c r="CO59" i="33"/>
  <c r="CY60" i="33"/>
  <c r="CX60" i="33"/>
  <c r="AT60" i="33"/>
  <c r="BA60" i="33"/>
  <c r="BS60" i="33"/>
  <c r="DN60" i="33"/>
  <c r="CL61" i="33"/>
  <c r="CY61" i="33"/>
  <c r="AU61" i="33"/>
  <c r="AQ62" i="33"/>
  <c r="CC63" i="33"/>
  <c r="CB63" i="33"/>
  <c r="CQ63" i="33"/>
  <c r="CO64" i="33"/>
  <c r="CJ64" i="33"/>
  <c r="AH64" i="33"/>
  <c r="CM64" i="33" s="1"/>
  <c r="AS64" i="33"/>
  <c r="AQ65" i="33"/>
  <c r="DA65" i="33"/>
  <c r="AO65" i="33"/>
  <c r="CQ65" i="33"/>
  <c r="AP65" i="33"/>
  <c r="CO66" i="33"/>
  <c r="CJ66" i="33"/>
  <c r="CL66" i="33" s="1"/>
  <c r="AH66" i="33"/>
  <c r="CM66" i="33" s="1"/>
  <c r="CO67" i="33"/>
  <c r="CJ67" i="33"/>
  <c r="AH67" i="33"/>
  <c r="CM67" i="33" s="1"/>
  <c r="CH67" i="33"/>
  <c r="CH69" i="33"/>
  <c r="BX72" i="33"/>
  <c r="BY72" i="33" s="1"/>
  <c r="CC79" i="33"/>
  <c r="CB79" i="33"/>
  <c r="AH80" i="33"/>
  <c r="CM80" i="33" s="1"/>
  <c r="CO80" i="33"/>
  <c r="CJ80" i="33"/>
  <c r="AQ86" i="33"/>
  <c r="AR86" i="33" s="1"/>
  <c r="AP86" i="33"/>
  <c r="DA86" i="33"/>
  <c r="AO86" i="33"/>
  <c r="CQ86" i="33"/>
  <c r="AW86" i="33"/>
  <c r="BD86" i="33"/>
  <c r="BA45" i="33"/>
  <c r="CY45" i="33"/>
  <c r="AH46" i="33"/>
  <c r="CM46" i="33" s="1"/>
  <c r="AQ46" i="33"/>
  <c r="BC46" i="33"/>
  <c r="CG46" i="33"/>
  <c r="CH46" i="33" s="1"/>
  <c r="CP46" i="33"/>
  <c r="CT46" i="33"/>
  <c r="CX46" i="33"/>
  <c r="AA143" i="33"/>
  <c r="BA47" i="33"/>
  <c r="CR47" i="33"/>
  <c r="BA48" i="33"/>
  <c r="AH49" i="33"/>
  <c r="AQ49" i="33"/>
  <c r="BC49" i="33"/>
  <c r="BA50" i="33"/>
  <c r="BN50" i="33"/>
  <c r="BN143" i="33" s="1"/>
  <c r="CK51" i="33"/>
  <c r="CL51" i="33" s="1"/>
  <c r="DB51" i="33"/>
  <c r="AH52" i="33"/>
  <c r="CM52" i="33" s="1"/>
  <c r="AQ52" i="33"/>
  <c r="CS52" i="33"/>
  <c r="DB52" i="33"/>
  <c r="AP53" i="33"/>
  <c r="DA53" i="33"/>
  <c r="AS54" i="33"/>
  <c r="BA54" i="33"/>
  <c r="CJ54" i="33"/>
  <c r="CR54" i="33"/>
  <c r="CK55" i="33"/>
  <c r="DB55" i="33"/>
  <c r="AH56" i="33"/>
  <c r="CM56" i="33" s="1"/>
  <c r="CN56" i="33" s="1"/>
  <c r="AQ56" i="33"/>
  <c r="CS56" i="33"/>
  <c r="DB56" i="33"/>
  <c r="L57" i="33"/>
  <c r="AQ57" i="33"/>
  <c r="BG57" i="33"/>
  <c r="CX57" i="33"/>
  <c r="DD57" i="33"/>
  <c r="BH58" i="33"/>
  <c r="BI58" i="33" s="1"/>
  <c r="AH59" i="33"/>
  <c r="CM59" i="33" s="1"/>
  <c r="AQ59" i="33"/>
  <c r="CP59" i="33"/>
  <c r="CX59" i="33"/>
  <c r="BL60" i="33"/>
  <c r="BQ60" i="33" s="1"/>
  <c r="BR60" i="33" s="1"/>
  <c r="CK60" i="33"/>
  <c r="AH61" i="33"/>
  <c r="CM61" i="33" s="1"/>
  <c r="AQ61" i="33"/>
  <c r="CP61" i="33"/>
  <c r="CX61" i="33"/>
  <c r="CQ62" i="33"/>
  <c r="CY62" i="33"/>
  <c r="AS63" i="33"/>
  <c r="BA63" i="33"/>
  <c r="CJ63" i="33"/>
  <c r="CR63" i="33"/>
  <c r="DB64" i="33"/>
  <c r="CK64" i="33"/>
  <c r="CX65" i="33"/>
  <c r="CH66" i="33"/>
  <c r="BL67" i="33"/>
  <c r="BQ67" i="33" s="1"/>
  <c r="BR67" i="33" s="1"/>
  <c r="CR67" i="33"/>
  <c r="CQ67" i="33"/>
  <c r="CP68" i="33"/>
  <c r="CO69" i="33"/>
  <c r="CJ69" i="33"/>
  <c r="CL69" i="33" s="1"/>
  <c r="AH69" i="33"/>
  <c r="CM69" i="33" s="1"/>
  <c r="CP70" i="33"/>
  <c r="BS75" i="33"/>
  <c r="BX75" i="33" s="1"/>
  <c r="BY75" i="33" s="1"/>
  <c r="CU75" i="33"/>
  <c r="AG75" i="33"/>
  <c r="CK75" i="33" s="1"/>
  <c r="CC77" i="33"/>
  <c r="CB77" i="33"/>
  <c r="CX78" i="33"/>
  <c r="DB78" i="33"/>
  <c r="CS78" i="33"/>
  <c r="AQ78" i="33"/>
  <c r="AT78" i="33"/>
  <c r="AO78" i="33"/>
  <c r="BA78" i="33"/>
  <c r="CH78" i="33"/>
  <c r="CP79" i="33"/>
  <c r="CQ80" i="33"/>
  <c r="CP80" i="33"/>
  <c r="CG80" i="33"/>
  <c r="CH80" i="33" s="1"/>
  <c r="BL80" i="33"/>
  <c r="BQ80" i="33" s="1"/>
  <c r="BR80" i="33" s="1"/>
  <c r="CH81" i="33"/>
  <c r="BD83" i="33"/>
  <c r="AT84" i="33"/>
  <c r="CX84" i="33"/>
  <c r="CY84" i="33"/>
  <c r="CQ84" i="33"/>
  <c r="CH84" i="33"/>
  <c r="BA84" i="33"/>
  <c r="AQ84" i="33"/>
  <c r="AO84" i="33"/>
  <c r="BX84" i="33"/>
  <c r="BY84" i="33" s="1"/>
  <c r="DB84" i="33"/>
  <c r="BQ112" i="33"/>
  <c r="BR112" i="33" s="1"/>
  <c r="AT45" i="33"/>
  <c r="CJ45" i="33"/>
  <c r="AZ46" i="33"/>
  <c r="BH46" i="33"/>
  <c r="BI46" i="33" s="1"/>
  <c r="CQ46" i="33"/>
  <c r="CU46" i="33"/>
  <c r="CY46" i="33"/>
  <c r="AT47" i="33"/>
  <c r="BB47" i="33"/>
  <c r="CK47" i="33"/>
  <c r="DB47" i="33"/>
  <c r="BB48" i="33"/>
  <c r="AZ49" i="33"/>
  <c r="BD49" i="33"/>
  <c r="CR50" i="33"/>
  <c r="DD51" i="33"/>
  <c r="AZ52" i="33"/>
  <c r="BD52" i="33"/>
  <c r="BQ52" i="33"/>
  <c r="BR52" i="33" s="1"/>
  <c r="CP52" i="33"/>
  <c r="CT52" i="33"/>
  <c r="CX52" i="33"/>
  <c r="BC53" i="33"/>
  <c r="DB53" i="33"/>
  <c r="BB54" i="33"/>
  <c r="CK54" i="33"/>
  <c r="CO54" i="33"/>
  <c r="DB54" i="33"/>
  <c r="AZ56" i="33"/>
  <c r="BD56" i="33"/>
  <c r="BQ56" i="33"/>
  <c r="BR56" i="33" s="1"/>
  <c r="CP56" i="33"/>
  <c r="CT56" i="33"/>
  <c r="BD57" i="33"/>
  <c r="CM57" i="33"/>
  <c r="BA58" i="33"/>
  <c r="BD59" i="33"/>
  <c r="CQ59" i="33"/>
  <c r="CG60" i="33"/>
  <c r="CH60" i="33" s="1"/>
  <c r="BD61" i="33"/>
  <c r="CQ61" i="33"/>
  <c r="AO62" i="33"/>
  <c r="AS62" i="33"/>
  <c r="BA62" i="33"/>
  <c r="CJ62" i="33"/>
  <c r="CR62" i="33"/>
  <c r="DA62" i="33"/>
  <c r="BB63" i="33"/>
  <c r="CK63" i="33"/>
  <c r="CO63" i="33"/>
  <c r="DB63" i="33"/>
  <c r="DB67" i="33"/>
  <c r="CB67" i="33"/>
  <c r="AQ68" i="33"/>
  <c r="AR68" i="33" s="1"/>
  <c r="AP68" i="33"/>
  <c r="DA68" i="33"/>
  <c r="AO68" i="33"/>
  <c r="BQ68" i="33"/>
  <c r="BR68" i="33" s="1"/>
  <c r="BS71" i="33"/>
  <c r="BX71" i="33" s="1"/>
  <c r="BY71" i="33" s="1"/>
  <c r="CU71" i="33"/>
  <c r="AG71" i="33"/>
  <c r="CK71" i="33" s="1"/>
  <c r="BQ71" i="33"/>
  <c r="BR71" i="33" s="1"/>
  <c r="BL73" i="33"/>
  <c r="BQ73" i="33" s="1"/>
  <c r="BR73" i="33" s="1"/>
  <c r="AI73" i="33"/>
  <c r="Z73" i="33"/>
  <c r="CY75" i="33"/>
  <c r="AT75" i="33"/>
  <c r="BA75" i="33"/>
  <c r="CO78" i="33"/>
  <c r="AH78" i="33"/>
  <c r="CM78" i="33" s="1"/>
  <c r="CJ78" i="33"/>
  <c r="CL78" i="33" s="1"/>
  <c r="BX78" i="33"/>
  <c r="BY78" i="33" s="1"/>
  <c r="AQ79" i="33"/>
  <c r="AP79" i="33"/>
  <c r="DA79" i="33"/>
  <c r="AO79" i="33"/>
  <c r="CO81" i="33"/>
  <c r="CK81" i="33"/>
  <c r="CL81" i="33" s="1"/>
  <c r="BX81" i="33"/>
  <c r="BY81" i="33" s="1"/>
  <c r="DA83" i="33"/>
  <c r="AO83" i="33"/>
  <c r="AQ83" i="33"/>
  <c r="CQ83" i="33"/>
  <c r="AP83" i="33"/>
  <c r="CJ84" i="33"/>
  <c r="CL84" i="33" s="1"/>
  <c r="AH84" i="33"/>
  <c r="CM84" i="33" s="1"/>
  <c r="CO84" i="33"/>
  <c r="DB90" i="33"/>
  <c r="CK90" i="33"/>
  <c r="CM90" i="33"/>
  <c r="DD90" i="33"/>
  <c r="AU96" i="33"/>
  <c r="CQ96" i="33"/>
  <c r="BB96" i="33"/>
  <c r="AP96" i="33"/>
  <c r="CY96" i="33"/>
  <c r="BS116" i="33"/>
  <c r="BH116" i="33"/>
  <c r="BI116" i="33" s="1"/>
  <c r="AZ116" i="33"/>
  <c r="R116" i="33"/>
  <c r="CS116" i="33" s="1"/>
  <c r="CG116" i="33"/>
  <c r="CH116" i="33" s="1"/>
  <c r="AH45" i="33"/>
  <c r="DH45" i="33" s="1"/>
  <c r="DJ45" i="33" s="1"/>
  <c r="CK45" i="33"/>
  <c r="AO46" i="33"/>
  <c r="T143" i="33"/>
  <c r="AO49" i="33"/>
  <c r="R51" i="33"/>
  <c r="CU51" i="33" s="1"/>
  <c r="AZ51" i="33"/>
  <c r="BH51" i="33"/>
  <c r="BI51" i="33" s="1"/>
  <c r="AO52" i="33"/>
  <c r="AS52" i="33"/>
  <c r="BA52" i="33"/>
  <c r="AZ53" i="33"/>
  <c r="CP53" i="33"/>
  <c r="O54" i="33"/>
  <c r="CG54" i="33" s="1"/>
  <c r="CH54" i="33" s="1"/>
  <c r="R55" i="33"/>
  <c r="CT55" i="33" s="1"/>
  <c r="AZ55" i="33"/>
  <c r="BH55" i="33"/>
  <c r="BI55" i="33" s="1"/>
  <c r="AO56" i="33"/>
  <c r="AS56" i="33"/>
  <c r="BA56" i="33"/>
  <c r="CJ57" i="33"/>
  <c r="CL57" i="33" s="1"/>
  <c r="I58" i="33"/>
  <c r="AO59" i="33"/>
  <c r="AS59" i="33"/>
  <c r="Z60" i="33"/>
  <c r="AO61" i="33"/>
  <c r="AS61" i="33"/>
  <c r="CK62" i="33"/>
  <c r="O63" i="33"/>
  <c r="CG63" i="33" s="1"/>
  <c r="CH63" i="33" s="1"/>
  <c r="R64" i="33"/>
  <c r="CU64" i="33" s="1"/>
  <c r="AZ64" i="33"/>
  <c r="BH64" i="33"/>
  <c r="BI64" i="33" s="1"/>
  <c r="DD64" i="33"/>
  <c r="CP65" i="33"/>
  <c r="BB65" i="33"/>
  <c r="CY65" i="33"/>
  <c r="DB66" i="33"/>
  <c r="BC66" i="33"/>
  <c r="BQ66" i="33"/>
  <c r="BR66" i="33" s="1"/>
  <c r="BS67" i="33"/>
  <c r="BH67" i="33"/>
  <c r="BI67" i="33" s="1"/>
  <c r="AZ67" i="33"/>
  <c r="R67" i="33"/>
  <c r="CU67" i="33" s="1"/>
  <c r="AP67" i="33"/>
  <c r="CC67" i="33"/>
  <c r="BD68" i="33"/>
  <c r="DB69" i="33"/>
  <c r="AQ70" i="33"/>
  <c r="CY71" i="33"/>
  <c r="AT71" i="33"/>
  <c r="BA71" i="33"/>
  <c r="BX74" i="33"/>
  <c r="BY74" i="33" s="1"/>
  <c r="BD76" i="33"/>
  <c r="CB76" i="33"/>
  <c r="BC77" i="33"/>
  <c r="BQ78" i="33"/>
  <c r="BR78" i="33" s="1"/>
  <c r="CY78" i="33"/>
  <c r="BD79" i="33"/>
  <c r="CY80" i="33"/>
  <c r="CX80" i="33"/>
  <c r="AQ80" i="33"/>
  <c r="AT80" i="33"/>
  <c r="AO80" i="33"/>
  <c r="BA80" i="33"/>
  <c r="CC80" i="33"/>
  <c r="CR80" i="33"/>
  <c r="DN80" i="33"/>
  <c r="CT81" i="33"/>
  <c r="BQ81" i="33"/>
  <c r="BR81" i="33" s="1"/>
  <c r="CQ81" i="33"/>
  <c r="DD83" i="33"/>
  <c r="O83" i="33"/>
  <c r="CO83" i="33"/>
  <c r="DB83" i="33"/>
  <c r="CS84" i="33"/>
  <c r="CO92" i="33"/>
  <c r="CQ95" i="33"/>
  <c r="CP95" i="33"/>
  <c r="BL95" i="33"/>
  <c r="BQ95" i="33" s="1"/>
  <c r="BR95" i="33" s="1"/>
  <c r="AS95" i="33"/>
  <c r="CR95" i="33"/>
  <c r="CX102" i="33"/>
  <c r="AU102" i="33"/>
  <c r="BB102" i="33"/>
  <c r="AP102" i="33"/>
  <c r="BL106" i="33"/>
  <c r="BQ106" i="33" s="1"/>
  <c r="BR106" i="33" s="1"/>
  <c r="CR106" i="33"/>
  <c r="CQ106" i="33"/>
  <c r="CP106" i="33"/>
  <c r="AS106" i="33"/>
  <c r="CY109" i="33"/>
  <c r="AU109" i="33"/>
  <c r="BB109" i="33"/>
  <c r="AP109" i="33"/>
  <c r="DB109" i="33"/>
  <c r="AS65" i="33"/>
  <c r="BA65" i="33"/>
  <c r="CJ65" i="33"/>
  <c r="CR65" i="33"/>
  <c r="CQ66" i="33"/>
  <c r="AS68" i="33"/>
  <c r="BA68" i="33"/>
  <c r="CJ68" i="33"/>
  <c r="CR68" i="33"/>
  <c r="CQ69" i="33"/>
  <c r="CQ70" i="33"/>
  <c r="CY70" i="33"/>
  <c r="BA72" i="33"/>
  <c r="AQ74" i="33"/>
  <c r="DA74" i="33"/>
  <c r="BA76" i="33"/>
  <c r="AP78" i="33"/>
  <c r="DA78" i="33"/>
  <c r="AS79" i="33"/>
  <c r="BA79" i="33"/>
  <c r="CR79" i="33"/>
  <c r="CK80" i="33"/>
  <c r="DB80" i="33"/>
  <c r="AH81" i="33"/>
  <c r="CM81" i="33" s="1"/>
  <c r="AQ81" i="33"/>
  <c r="DA81" i="33"/>
  <c r="CQ82" i="33"/>
  <c r="BL82" i="33"/>
  <c r="BQ82" i="33" s="1"/>
  <c r="BR82" i="33" s="1"/>
  <c r="CO82" i="33"/>
  <c r="CY82" i="33"/>
  <c r="AT82" i="33"/>
  <c r="AO82" i="33"/>
  <c r="CP82" i="33"/>
  <c r="CX82" i="33"/>
  <c r="BU85" i="33"/>
  <c r="CA85" i="33" s="1"/>
  <c r="CD85" i="33" s="1"/>
  <c r="DA85" i="33"/>
  <c r="CQ87" i="33"/>
  <c r="CH87" i="33"/>
  <c r="DN87" i="33"/>
  <c r="CL88" i="33"/>
  <c r="CY89" i="33"/>
  <c r="CX89" i="33"/>
  <c r="AQ89" i="33"/>
  <c r="AT89" i="33"/>
  <c r="AO89" i="33"/>
  <c r="BA89" i="33"/>
  <c r="DN89" i="33"/>
  <c r="DI90" i="33"/>
  <c r="DH90" i="33"/>
  <c r="CQ91" i="33"/>
  <c r="CP91" i="33"/>
  <c r="CG91" i="33"/>
  <c r="CH91" i="33" s="1"/>
  <c r="BL91" i="33"/>
  <c r="BQ91" i="33" s="1"/>
  <c r="BR91" i="33" s="1"/>
  <c r="DA92" i="33"/>
  <c r="CP93" i="33"/>
  <c r="AQ94" i="33"/>
  <c r="AR94" i="33" s="1"/>
  <c r="AP94" i="33"/>
  <c r="DA94" i="33"/>
  <c r="AO94" i="33"/>
  <c r="BQ94" i="33"/>
  <c r="BR94" i="33" s="1"/>
  <c r="CO96" i="33"/>
  <c r="CK96" i="33"/>
  <c r="CL96" i="33" s="1"/>
  <c r="AH96" i="33"/>
  <c r="CM96" i="33" s="1"/>
  <c r="BX96" i="33"/>
  <c r="BY96" i="33" s="1"/>
  <c r="CC96" i="33"/>
  <c r="AQ100" i="33"/>
  <c r="AP100" i="33"/>
  <c r="DA100" i="33"/>
  <c r="AO100" i="33"/>
  <c r="BQ100" i="33"/>
  <c r="BR100" i="33" s="1"/>
  <c r="CK102" i="33"/>
  <c r="CL102" i="33" s="1"/>
  <c r="AH102" i="33"/>
  <c r="CM102" i="33" s="1"/>
  <c r="CT104" i="33"/>
  <c r="CP104" i="33"/>
  <c r="AS104" i="33"/>
  <c r="AO104" i="33"/>
  <c r="DA104" i="33"/>
  <c r="AQ104" i="33"/>
  <c r="AR104" i="33" s="1"/>
  <c r="DB104" i="33"/>
  <c r="CS104" i="33"/>
  <c r="AZ104" i="33"/>
  <c r="CQ104" i="33"/>
  <c r="AP104" i="33"/>
  <c r="BB68" i="33"/>
  <c r="CK68" i="33"/>
  <c r="CO68" i="33"/>
  <c r="DB68" i="33"/>
  <c r="BC69" i="33"/>
  <c r="AO70" i="33"/>
  <c r="AS70" i="33"/>
  <c r="BA70" i="33"/>
  <c r="CJ70" i="33"/>
  <c r="CR70" i="33"/>
  <c r="DA70" i="33"/>
  <c r="BC71" i="33"/>
  <c r="CR71" i="33"/>
  <c r="BB72" i="33"/>
  <c r="CH72" i="33"/>
  <c r="CY72" i="33"/>
  <c r="BA73" i="33"/>
  <c r="CX73" i="33"/>
  <c r="AZ74" i="33"/>
  <c r="BD74" i="33"/>
  <c r="CS74" i="33"/>
  <c r="DB74" i="33"/>
  <c r="BC75" i="33"/>
  <c r="CR75" i="33"/>
  <c r="BB76" i="33"/>
  <c r="CH76" i="33"/>
  <c r="CY76" i="33"/>
  <c r="BA77" i="33"/>
  <c r="CX77" i="33"/>
  <c r="BC78" i="33"/>
  <c r="BB79" i="33"/>
  <c r="CK79" i="33"/>
  <c r="CL79" i="33" s="1"/>
  <c r="CO79" i="33"/>
  <c r="DB79" i="33"/>
  <c r="AZ81" i="33"/>
  <c r="BD81" i="33"/>
  <c r="CS81" i="33"/>
  <c r="DB81" i="33"/>
  <c r="DB82" i="33"/>
  <c r="CK82" i="33"/>
  <c r="CL82" i="33" s="1"/>
  <c r="AQ82" i="33"/>
  <c r="DA82" i="33"/>
  <c r="CL83" i="33"/>
  <c r="DI85" i="33"/>
  <c r="CQ85" i="33"/>
  <c r="CX85" i="33"/>
  <c r="CO85" i="33"/>
  <c r="DB85" i="33"/>
  <c r="CC86" i="33"/>
  <c r="CB86" i="33"/>
  <c r="CY87" i="33"/>
  <c r="BA87" i="33"/>
  <c r="CX87" i="33"/>
  <c r="CT87" i="33"/>
  <c r="CP87" i="33"/>
  <c r="AQ87" i="33"/>
  <c r="AO87" i="33"/>
  <c r="CL87" i="33"/>
  <c r="AH89" i="33"/>
  <c r="CM89" i="33" s="1"/>
  <c r="CO89" i="33"/>
  <c r="BQ90" i="33"/>
  <c r="BR90" i="33" s="1"/>
  <c r="CM91" i="33"/>
  <c r="DD92" i="33"/>
  <c r="O92" i="33"/>
  <c r="CG92" i="33" s="1"/>
  <c r="CH92" i="33" s="1"/>
  <c r="BS93" i="33"/>
  <c r="BH93" i="33"/>
  <c r="BI93" i="33" s="1"/>
  <c r="AZ93" i="33"/>
  <c r="R93" i="33"/>
  <c r="CU93" i="33" s="1"/>
  <c r="CY95" i="33"/>
  <c r="CX95" i="33"/>
  <c r="AQ95" i="33"/>
  <c r="AT95" i="33"/>
  <c r="AP95" i="33"/>
  <c r="AO95" i="33"/>
  <c r="BA95" i="33"/>
  <c r="CT96" i="33"/>
  <c r="BQ96" i="33"/>
  <c r="BR96" i="33" s="1"/>
  <c r="DA97" i="33"/>
  <c r="AQ97" i="33"/>
  <c r="CQ97" i="33"/>
  <c r="AP97" i="33"/>
  <c r="CT97" i="33"/>
  <c r="CP97" i="33"/>
  <c r="AS97" i="33"/>
  <c r="AO97" i="33"/>
  <c r="AZ97" i="33"/>
  <c r="CS97" i="33"/>
  <c r="CY101" i="33"/>
  <c r="CX101" i="33"/>
  <c r="AQ101" i="33"/>
  <c r="AT101" i="33"/>
  <c r="AP101" i="33"/>
  <c r="AO101" i="33"/>
  <c r="BA101" i="33"/>
  <c r="CP102" i="33"/>
  <c r="AQ113" i="33"/>
  <c r="AP113" i="33"/>
  <c r="DA113" i="33"/>
  <c r="AO113" i="33"/>
  <c r="CQ113" i="33"/>
  <c r="AW113" i="33"/>
  <c r="BD113" i="33"/>
  <c r="CD131" i="33"/>
  <c r="AZ66" i="33"/>
  <c r="CS66" i="33"/>
  <c r="CK67" i="33"/>
  <c r="O68" i="33"/>
  <c r="CG68" i="33" s="1"/>
  <c r="CH68" i="33" s="1"/>
  <c r="AZ69" i="33"/>
  <c r="CS69" i="33"/>
  <c r="CK70" i="33"/>
  <c r="Z71" i="33"/>
  <c r="AI71" i="33"/>
  <c r="AG73" i="33"/>
  <c r="CK73" i="33" s="1"/>
  <c r="AT73" i="33"/>
  <c r="AO74" i="33"/>
  <c r="AS74" i="33"/>
  <c r="BA74" i="33"/>
  <c r="CP74" i="33"/>
  <c r="Z75" i="33"/>
  <c r="AI75" i="33"/>
  <c r="AG77" i="33"/>
  <c r="CK77" i="33" s="1"/>
  <c r="AT77" i="33"/>
  <c r="AZ78" i="33"/>
  <c r="CP78" i="33"/>
  <c r="CV78" i="33" s="1"/>
  <c r="O79" i="33"/>
  <c r="CG79" i="33" s="1"/>
  <c r="CH79" i="33" s="1"/>
  <c r="R80" i="33"/>
  <c r="CT80" i="33" s="1"/>
  <c r="AZ80" i="33"/>
  <c r="BH80" i="33"/>
  <c r="BI80" i="33" s="1"/>
  <c r="AO81" i="33"/>
  <c r="AS81" i="33"/>
  <c r="BA81" i="33"/>
  <c r="CP81" i="33"/>
  <c r="O82" i="33"/>
  <c r="AH82" i="33"/>
  <c r="CM82" i="33" s="1"/>
  <c r="AS82" i="33"/>
  <c r="BA82" i="33"/>
  <c r="DD82" i="33"/>
  <c r="BB83" i="33"/>
  <c r="CY83" i="33"/>
  <c r="DA84" i="33"/>
  <c r="BC84" i="33"/>
  <c r="DN84" i="33"/>
  <c r="AP85" i="33"/>
  <c r="DH85" i="33" s="1"/>
  <c r="CP86" i="33"/>
  <c r="AH87" i="33"/>
  <c r="CM87" i="33" s="1"/>
  <c r="CO87" i="33"/>
  <c r="AT87" i="33"/>
  <c r="DA87" i="33"/>
  <c r="CO88" i="33"/>
  <c r="CX88" i="33"/>
  <c r="AU88" i="33"/>
  <c r="CQ89" i="33"/>
  <c r="CP89" i="33"/>
  <c r="BL89" i="33"/>
  <c r="BQ89" i="33" s="1"/>
  <c r="BR89" i="33" s="1"/>
  <c r="CJ89" i="33"/>
  <c r="DA89" i="33"/>
  <c r="CO90" i="33"/>
  <c r="CS90" i="33"/>
  <c r="AQ90" i="33"/>
  <c r="AR90" i="33" s="1"/>
  <c r="DA90" i="33"/>
  <c r="AP90" i="33"/>
  <c r="CQ90" i="33"/>
  <c r="AS90" i="33"/>
  <c r="AO90" i="33"/>
  <c r="AZ90" i="33"/>
  <c r="CT90" i="33"/>
  <c r="CY91" i="33"/>
  <c r="CX91" i="33"/>
  <c r="AQ91" i="33"/>
  <c r="AT91" i="33"/>
  <c r="AP91" i="33"/>
  <c r="AO91" i="33"/>
  <c r="BA91" i="33"/>
  <c r="CR91" i="33"/>
  <c r="DN91" i="33"/>
  <c r="CL92" i="33"/>
  <c r="CY92" i="33"/>
  <c r="AU92" i="33"/>
  <c r="CG93" i="33"/>
  <c r="CH93" i="33" s="1"/>
  <c r="AH95" i="33"/>
  <c r="CM95" i="33" s="1"/>
  <c r="CO95" i="33"/>
  <c r="CX96" i="33"/>
  <c r="BD97" i="33"/>
  <c r="BX97" i="33"/>
  <c r="BY97" i="33" s="1"/>
  <c r="CK98" i="33"/>
  <c r="CL98" i="33" s="1"/>
  <c r="AH98" i="33"/>
  <c r="AH101" i="33"/>
  <c r="CM101" i="33" s="1"/>
  <c r="CO101" i="33"/>
  <c r="CY108" i="33"/>
  <c r="CX108" i="33"/>
  <c r="AQ108" i="33"/>
  <c r="AT108" i="33"/>
  <c r="AX108" i="33" s="1"/>
  <c r="DA108" i="33"/>
  <c r="AO108" i="33"/>
  <c r="AV112" i="33"/>
  <c r="AQ112" i="33"/>
  <c r="AH83" i="33"/>
  <c r="CM83" i="33" s="1"/>
  <c r="CG83" i="33"/>
  <c r="CH83" i="33" s="1"/>
  <c r="CP83" i="33"/>
  <c r="CX83" i="33"/>
  <c r="AZ84" i="33"/>
  <c r="CP84" i="33"/>
  <c r="CT84" i="33"/>
  <c r="AO85" i="33"/>
  <c r="AS85" i="33"/>
  <c r="CP85" i="33"/>
  <c r="AS86" i="33"/>
  <c r="BA86" i="33"/>
  <c r="CJ86" i="33"/>
  <c r="CR86" i="33"/>
  <c r="AP87" i="33"/>
  <c r="BC87" i="33"/>
  <c r="CS87" i="33"/>
  <c r="DB87" i="33"/>
  <c r="AH88" i="33"/>
  <c r="CM88" i="33" s="1"/>
  <c r="AQ88" i="33"/>
  <c r="CS88" i="33"/>
  <c r="DB88" i="33"/>
  <c r="CK89" i="33"/>
  <c r="DB89" i="33"/>
  <c r="BA90" i="33"/>
  <c r="CK91" i="33"/>
  <c r="DB91" i="33"/>
  <c r="AH92" i="33"/>
  <c r="CM92" i="33" s="1"/>
  <c r="AQ92" i="33"/>
  <c r="CP92" i="33"/>
  <c r="CX92" i="33"/>
  <c r="CQ93" i="33"/>
  <c r="CY93" i="33"/>
  <c r="AS94" i="33"/>
  <c r="BA94" i="33"/>
  <c r="CJ94" i="33"/>
  <c r="CR94" i="33"/>
  <c r="CK95" i="33"/>
  <c r="CL95" i="33" s="1"/>
  <c r="DB95" i="33"/>
  <c r="AQ96" i="33"/>
  <c r="DA96" i="33"/>
  <c r="BA97" i="33"/>
  <c r="AQ98" i="33"/>
  <c r="AS100" i="33"/>
  <c r="BA100" i="33"/>
  <c r="CJ100" i="33"/>
  <c r="CR100" i="33"/>
  <c r="CK101" i="33"/>
  <c r="CL101" i="33" s="1"/>
  <c r="DB101" i="33"/>
  <c r="AQ102" i="33"/>
  <c r="CH102" i="33"/>
  <c r="CL103" i="33"/>
  <c r="CX103" i="33"/>
  <c r="AT103" i="33"/>
  <c r="AO103" i="33"/>
  <c r="CS103" i="33"/>
  <c r="DB103" i="33"/>
  <c r="CX104" i="33"/>
  <c r="CL104" i="33"/>
  <c r="CN104" i="33" s="1"/>
  <c r="CO105" i="33"/>
  <c r="CX105" i="33"/>
  <c r="CC107" i="33"/>
  <c r="CB107" i="33"/>
  <c r="AH108" i="33"/>
  <c r="CM108" i="33" s="1"/>
  <c r="CO108" i="33"/>
  <c r="CK109" i="33"/>
  <c r="CL109" i="33" s="1"/>
  <c r="CM111" i="33"/>
  <c r="DD111" i="33"/>
  <c r="O111" i="33"/>
  <c r="CG111" i="33" s="1"/>
  <c r="CH111" i="33" s="1"/>
  <c r="AP111" i="33"/>
  <c r="BS112" i="33"/>
  <c r="BH112" i="33"/>
  <c r="BI112" i="33" s="1"/>
  <c r="AZ112" i="33"/>
  <c r="R112" i="33"/>
  <c r="CS112" i="33" s="1"/>
  <c r="CV112" i="33" s="1"/>
  <c r="CY114" i="33"/>
  <c r="CX114" i="33"/>
  <c r="AQ114" i="33"/>
  <c r="AT114" i="33"/>
  <c r="AO114" i="33"/>
  <c r="BA114" i="33"/>
  <c r="CY115" i="33"/>
  <c r="AU115" i="33"/>
  <c r="AV120" i="33"/>
  <c r="DA120" i="33"/>
  <c r="BC120" i="33"/>
  <c r="AQ120" i="33"/>
  <c r="AR120" i="33" s="1"/>
  <c r="CB123" i="33"/>
  <c r="BB86" i="33"/>
  <c r="CK86" i="33"/>
  <c r="CO86" i="33"/>
  <c r="DB86" i="33"/>
  <c r="BQ87" i="33"/>
  <c r="BR87" i="33" s="1"/>
  <c r="AZ88" i="33"/>
  <c r="BD88" i="33"/>
  <c r="BQ88" i="33"/>
  <c r="BR88" i="33" s="1"/>
  <c r="CP88" i="33"/>
  <c r="CT88" i="33"/>
  <c r="BB90" i="33"/>
  <c r="BD92" i="33"/>
  <c r="CQ92" i="33"/>
  <c r="AO93" i="33"/>
  <c r="AS93" i="33"/>
  <c r="BA93" i="33"/>
  <c r="CJ93" i="33"/>
  <c r="CR93" i="33"/>
  <c r="DA93" i="33"/>
  <c r="BB94" i="33"/>
  <c r="CK94" i="33"/>
  <c r="CO94" i="33"/>
  <c r="DB94" i="33"/>
  <c r="AZ96" i="33"/>
  <c r="BD96" i="33"/>
  <c r="CS96" i="33"/>
  <c r="DB96" i="33"/>
  <c r="BB97" i="33"/>
  <c r="CH97" i="33"/>
  <c r="CY97" i="33"/>
  <c r="AS98" i="33"/>
  <c r="BB100" i="33"/>
  <c r="CK100" i="33"/>
  <c r="CO100" i="33"/>
  <c r="DB100" i="33"/>
  <c r="CQ102" i="33"/>
  <c r="DB102" i="33"/>
  <c r="CS102" i="33"/>
  <c r="AZ102" i="33"/>
  <c r="BD102" i="33"/>
  <c r="BQ102" i="33"/>
  <c r="BR102" i="33" s="1"/>
  <c r="BQ103" i="33"/>
  <c r="BR103" i="33" s="1"/>
  <c r="BX104" i="33"/>
  <c r="BY104" i="33" s="1"/>
  <c r="CY104" i="33"/>
  <c r="BQ105" i="33"/>
  <c r="BR105" i="33" s="1"/>
  <c r="CQ108" i="33"/>
  <c r="CP108" i="33"/>
  <c r="CG108" i="33"/>
  <c r="CH108" i="33" s="1"/>
  <c r="BL108" i="33"/>
  <c r="BQ108" i="33" s="1"/>
  <c r="BR108" i="33" s="1"/>
  <c r="DA109" i="33"/>
  <c r="CY110" i="33"/>
  <c r="CX110" i="33"/>
  <c r="AT110" i="33"/>
  <c r="BA110" i="33"/>
  <c r="CC110" i="33"/>
  <c r="CY111" i="33"/>
  <c r="AU111" i="33"/>
  <c r="CD111" i="33"/>
  <c r="CG112" i="33"/>
  <c r="CH112" i="33" s="1"/>
  <c r="AH114" i="33"/>
  <c r="CM114" i="33" s="1"/>
  <c r="CO114" i="33"/>
  <c r="CC121" i="33"/>
  <c r="CB121" i="33"/>
  <c r="AT123" i="33"/>
  <c r="AS83" i="33"/>
  <c r="AP84" i="33"/>
  <c r="AQ85" i="33"/>
  <c r="AR85" i="33" s="1"/>
  <c r="O86" i="33"/>
  <c r="CG86" i="33" s="1"/>
  <c r="CH86" i="33" s="1"/>
  <c r="AS87" i="33"/>
  <c r="AO88" i="33"/>
  <c r="AS88" i="33"/>
  <c r="BA88" i="33"/>
  <c r="R91" i="33"/>
  <c r="CS91" i="33" s="1"/>
  <c r="AZ91" i="33"/>
  <c r="BH91" i="33"/>
  <c r="BI91" i="33" s="1"/>
  <c r="AO92" i="33"/>
  <c r="AS92" i="33"/>
  <c r="CK93" i="33"/>
  <c r="O94" i="33"/>
  <c r="BH95" i="33"/>
  <c r="BI95" i="33" s="1"/>
  <c r="AO96" i="33"/>
  <c r="AS96" i="33"/>
  <c r="BA96" i="33"/>
  <c r="CP96" i="33"/>
  <c r="AH97" i="33"/>
  <c r="CM97" i="33" s="1"/>
  <c r="AO98" i="33"/>
  <c r="O100" i="33"/>
  <c r="CG100" i="33" s="1"/>
  <c r="CH100" i="33" s="1"/>
  <c r="CO102" i="33"/>
  <c r="CY102" i="33"/>
  <c r="AO102" i="33"/>
  <c r="AS102" i="33"/>
  <c r="BA102" i="33"/>
  <c r="CT102" i="33"/>
  <c r="DA102" i="33"/>
  <c r="AH103" i="33"/>
  <c r="CM103" i="33" s="1"/>
  <c r="BA103" i="33"/>
  <c r="CH103" i="33"/>
  <c r="CQ103" i="33"/>
  <c r="BB104" i="33"/>
  <c r="BQ104" i="33"/>
  <c r="BR104" i="33" s="1"/>
  <c r="DB105" i="33"/>
  <c r="CS105" i="33"/>
  <c r="AQ105" i="33"/>
  <c r="CQ105" i="33"/>
  <c r="AS105" i="33"/>
  <c r="AO105" i="33"/>
  <c r="BD105" i="33"/>
  <c r="BX105" i="33"/>
  <c r="BY105" i="33" s="1"/>
  <c r="CO106" i="33"/>
  <c r="CJ106" i="33"/>
  <c r="AT106" i="33"/>
  <c r="DA106" i="33"/>
  <c r="CY106" i="33"/>
  <c r="AO106" i="33"/>
  <c r="AQ107" i="33"/>
  <c r="AP107" i="33"/>
  <c r="DA107" i="33"/>
  <c r="AO107" i="33"/>
  <c r="BQ107" i="33"/>
  <c r="BR107" i="33" s="1"/>
  <c r="AP108" i="33"/>
  <c r="CM109" i="33"/>
  <c r="DD109" i="33"/>
  <c r="O109" i="33"/>
  <c r="CG109" i="33" s="1"/>
  <c r="CH109" i="33" s="1"/>
  <c r="BH110" i="33"/>
  <c r="BI110" i="33" s="1"/>
  <c r="AZ110" i="33"/>
  <c r="R110" i="33"/>
  <c r="CU110" i="33" s="1"/>
  <c r="CK111" i="33"/>
  <c r="CL111" i="33" s="1"/>
  <c r="DB111" i="33"/>
  <c r="CP113" i="33"/>
  <c r="CQ114" i="33"/>
  <c r="CP114" i="33"/>
  <c r="BL114" i="33"/>
  <c r="BQ114" i="33" s="1"/>
  <c r="BR114" i="33" s="1"/>
  <c r="CJ114" i="33"/>
  <c r="DA114" i="33"/>
  <c r="DA115" i="33"/>
  <c r="CO121" i="33"/>
  <c r="CJ121" i="33"/>
  <c r="CL121" i="33" s="1"/>
  <c r="CN121" i="33" s="1"/>
  <c r="DA121" i="33"/>
  <c r="CY121" i="33"/>
  <c r="CX121" i="33"/>
  <c r="CT121" i="33"/>
  <c r="CP121" i="33"/>
  <c r="AQ121" i="33"/>
  <c r="AR121" i="33" s="1"/>
  <c r="AT121" i="33"/>
  <c r="AY121" i="33" s="1"/>
  <c r="AO121" i="33"/>
  <c r="BA121" i="33"/>
  <c r="AP103" i="33"/>
  <c r="DA103" i="33"/>
  <c r="BA105" i="33"/>
  <c r="AS107" i="33"/>
  <c r="BA107" i="33"/>
  <c r="CR107" i="33"/>
  <c r="CK108" i="33"/>
  <c r="CL108" i="33" s="1"/>
  <c r="DB108" i="33"/>
  <c r="AQ109" i="33"/>
  <c r="AR109" i="33" s="1"/>
  <c r="CP109" i="33"/>
  <c r="CX109" i="33"/>
  <c r="BL110" i="33"/>
  <c r="BQ110" i="33" s="1"/>
  <c r="BR110" i="33" s="1"/>
  <c r="CK110" i="33"/>
  <c r="DB110" i="33"/>
  <c r="AQ111" i="33"/>
  <c r="AR111" i="33" s="1"/>
  <c r="CP111" i="33"/>
  <c r="CX111" i="33"/>
  <c r="CQ112" i="33"/>
  <c r="CY112" i="33"/>
  <c r="AS113" i="33"/>
  <c r="BA113" i="33"/>
  <c r="CJ113" i="33"/>
  <c r="CR113" i="33"/>
  <c r="CK114" i="33"/>
  <c r="DB114" i="33"/>
  <c r="AQ115" i="33"/>
  <c r="CG115" i="33"/>
  <c r="CH115" i="33" s="1"/>
  <c r="CP115" i="33"/>
  <c r="CX115" i="33"/>
  <c r="CJ116" i="33"/>
  <c r="DA116" i="33"/>
  <c r="AP118" i="33"/>
  <c r="CP119" i="33"/>
  <c r="CG119" i="33"/>
  <c r="CH119" i="33" s="1"/>
  <c r="CR119" i="33"/>
  <c r="CU119" i="33"/>
  <c r="CM120" i="33"/>
  <c r="CQ120" i="33"/>
  <c r="AQ122" i="33"/>
  <c r="AR122" i="33" s="1"/>
  <c r="CQ122" i="33"/>
  <c r="AP122" i="33"/>
  <c r="CT122" i="33"/>
  <c r="CP122" i="33"/>
  <c r="AS122" i="33"/>
  <c r="AO122" i="33"/>
  <c r="AZ122" i="33"/>
  <c r="CS122" i="33"/>
  <c r="BC124" i="33"/>
  <c r="DA124" i="33"/>
  <c r="DA125" i="33"/>
  <c r="AQ125" i="33"/>
  <c r="CY125" i="33"/>
  <c r="CQ125" i="33"/>
  <c r="AT125" i="33"/>
  <c r="AP125" i="33"/>
  <c r="AO125" i="33"/>
  <c r="BA125" i="33"/>
  <c r="BQ125" i="33"/>
  <c r="BR125" i="33" s="1"/>
  <c r="CH125" i="33"/>
  <c r="CT125" i="33"/>
  <c r="AU128" i="33"/>
  <c r="AP128" i="33"/>
  <c r="CQ128" i="33"/>
  <c r="BB128" i="33"/>
  <c r="CY128" i="33"/>
  <c r="CY137" i="33"/>
  <c r="CX137" i="33"/>
  <c r="AT137" i="33"/>
  <c r="BA137" i="33"/>
  <c r="BB107" i="33"/>
  <c r="CK107" i="33"/>
  <c r="CL107" i="33" s="1"/>
  <c r="CO107" i="33"/>
  <c r="DB107" i="33"/>
  <c r="BD109" i="33"/>
  <c r="CQ109" i="33"/>
  <c r="CG110" i="33"/>
  <c r="CH110" i="33" s="1"/>
  <c r="BD111" i="33"/>
  <c r="CQ111" i="33"/>
  <c r="AO112" i="33"/>
  <c r="AS112" i="33"/>
  <c r="BA112" i="33"/>
  <c r="CJ112" i="33"/>
  <c r="CR112" i="33"/>
  <c r="DA112" i="33"/>
  <c r="BB113" i="33"/>
  <c r="CK113" i="33"/>
  <c r="CO113" i="33"/>
  <c r="DB113" i="33"/>
  <c r="BD115" i="33"/>
  <c r="CQ115" i="33"/>
  <c r="CQ116" i="33"/>
  <c r="AO116" i="33"/>
  <c r="AS116" i="33"/>
  <c r="BA116" i="33"/>
  <c r="CY118" i="33"/>
  <c r="AT118" i="33"/>
  <c r="AO118" i="33"/>
  <c r="CP118" i="33"/>
  <c r="CX118" i="33"/>
  <c r="CC120" i="33"/>
  <c r="CB120" i="33"/>
  <c r="CH121" i="33"/>
  <c r="DA122" i="33"/>
  <c r="CJ122" i="33"/>
  <c r="BX122" i="33"/>
  <c r="BY122" i="33" s="1"/>
  <c r="CO125" i="33"/>
  <c r="CJ125" i="33"/>
  <c r="CL125" i="33" s="1"/>
  <c r="AH125" i="33"/>
  <c r="CM125" i="33" s="1"/>
  <c r="BX125" i="33"/>
  <c r="BY125" i="33" s="1"/>
  <c r="BX133" i="33"/>
  <c r="BY133" i="33" s="1"/>
  <c r="AZ103" i="33"/>
  <c r="CP103" i="33"/>
  <c r="BA104" i="33"/>
  <c r="AH105" i="33"/>
  <c r="CM105" i="33" s="1"/>
  <c r="CK106" i="33"/>
  <c r="O107" i="33"/>
  <c r="CG107" i="33" s="1"/>
  <c r="CH107" i="33" s="1"/>
  <c r="R108" i="33"/>
  <c r="AZ108" i="33"/>
  <c r="BH108" i="33"/>
  <c r="BI108" i="33" s="1"/>
  <c r="AO109" i="33"/>
  <c r="AS109" i="33"/>
  <c r="Z110" i="33"/>
  <c r="AO111" i="33"/>
  <c r="AS111" i="33"/>
  <c r="AP112" i="33"/>
  <c r="CK112" i="33"/>
  <c r="O113" i="33"/>
  <c r="CG113" i="33" s="1"/>
  <c r="CH113" i="33" s="1"/>
  <c r="BH114" i="33"/>
  <c r="BI114" i="33" s="1"/>
  <c r="AO115" i="33"/>
  <c r="AS115" i="33"/>
  <c r="DB116" i="33"/>
  <c r="CK116" i="33"/>
  <c r="AT116" i="33"/>
  <c r="BL116" i="33"/>
  <c r="BQ116" i="33" s="1"/>
  <c r="BR116" i="33" s="1"/>
  <c r="DD117" i="33"/>
  <c r="O117" i="33"/>
  <c r="CG117" i="33" s="1"/>
  <c r="CH117" i="33" s="1"/>
  <c r="AQ117" i="33"/>
  <c r="AR117" i="33" s="1"/>
  <c r="DA117" i="33"/>
  <c r="AO117" i="33"/>
  <c r="BD117" i="33"/>
  <c r="CK117" i="33"/>
  <c r="CL117" i="33" s="1"/>
  <c r="DB117" i="33"/>
  <c r="CQ118" i="33"/>
  <c r="BL118" i="33"/>
  <c r="BQ118" i="33" s="1"/>
  <c r="BR118" i="33" s="1"/>
  <c r="AQ118" i="33"/>
  <c r="CJ118" i="33"/>
  <c r="CR118" i="33"/>
  <c r="DA118" i="33"/>
  <c r="CQ119" i="33"/>
  <c r="CQ121" i="33"/>
  <c r="BQ121" i="33"/>
  <c r="BR121" i="33" s="1"/>
  <c r="CB122" i="33"/>
  <c r="CO122" i="33"/>
  <c r="CQ124" i="33"/>
  <c r="CP125" i="33"/>
  <c r="CX125" i="33"/>
  <c r="CM131" i="33"/>
  <c r="DD131" i="33"/>
  <c r="DB131" i="33"/>
  <c r="CO131" i="33"/>
  <c r="AU131" i="33"/>
  <c r="CS131" i="33"/>
  <c r="BB131" i="33"/>
  <c r="AP131" i="33"/>
  <c r="CO139" i="33"/>
  <c r="AH139" i="33"/>
  <c r="CM139" i="33" s="1"/>
  <c r="CJ139" i="33"/>
  <c r="CL139" i="33" s="1"/>
  <c r="AS117" i="33"/>
  <c r="BA117" i="33"/>
  <c r="CR117" i="33"/>
  <c r="CK118" i="33"/>
  <c r="DB118" i="33"/>
  <c r="CJ119" i="33"/>
  <c r="CL119" i="33" s="1"/>
  <c r="AZ120" i="33"/>
  <c r="CK120" i="33"/>
  <c r="CS120" i="33"/>
  <c r="DB120" i="33"/>
  <c r="AP121" i="33"/>
  <c r="CS121" i="33"/>
  <c r="DB121" i="33"/>
  <c r="BA122" i="33"/>
  <c r="AZ124" i="33"/>
  <c r="CS124" i="33"/>
  <c r="DB124" i="33"/>
  <c r="CQ126" i="33"/>
  <c r="CT126" i="33"/>
  <c r="CP126" i="33"/>
  <c r="DB126" i="33"/>
  <c r="CS126" i="33"/>
  <c r="AZ126" i="33"/>
  <c r="CJ126" i="33"/>
  <c r="CL126" i="33" s="1"/>
  <c r="CN126" i="33" s="1"/>
  <c r="DA127" i="33"/>
  <c r="BZ127" i="33"/>
  <c r="CP129" i="33"/>
  <c r="AQ129" i="33"/>
  <c r="AP129" i="33"/>
  <c r="DA129" i="33"/>
  <c r="AS129" i="33"/>
  <c r="AO129" i="33"/>
  <c r="AZ129" i="33"/>
  <c r="CQ130" i="33"/>
  <c r="AP130" i="33"/>
  <c r="CT130" i="33"/>
  <c r="CP130" i="33"/>
  <c r="AS130" i="33"/>
  <c r="AO130" i="33"/>
  <c r="DB130" i="33"/>
  <c r="CS130" i="33"/>
  <c r="AZ130" i="33"/>
  <c r="AW130" i="33"/>
  <c r="BD130" i="33"/>
  <c r="CX132" i="33"/>
  <c r="AP132" i="33"/>
  <c r="BB132" i="33"/>
  <c r="CL133" i="33"/>
  <c r="CL134" i="33"/>
  <c r="CH137" i="33"/>
  <c r="AO120" i="33"/>
  <c r="BA120" i="33"/>
  <c r="BQ120" i="33"/>
  <c r="BR120" i="33" s="1"/>
  <c r="CP120" i="33"/>
  <c r="CT120" i="33"/>
  <c r="CX120" i="33"/>
  <c r="BC121" i="33"/>
  <c r="BB122" i="33"/>
  <c r="CH122" i="33"/>
  <c r="CY122" i="33"/>
  <c r="BC123" i="33"/>
  <c r="AO124" i="33"/>
  <c r="BA124" i="33"/>
  <c r="BQ124" i="33"/>
  <c r="BR124" i="33" s="1"/>
  <c r="CP124" i="33"/>
  <c r="CT124" i="33"/>
  <c r="CX124" i="33"/>
  <c r="BC125" i="33"/>
  <c r="CY126" i="33"/>
  <c r="CX126" i="33"/>
  <c r="AO126" i="33"/>
  <c r="BA126" i="33"/>
  <c r="BQ126" i="33"/>
  <c r="BR126" i="33" s="1"/>
  <c r="DA126" i="33"/>
  <c r="CY127" i="33"/>
  <c r="CH127" i="33"/>
  <c r="AT127" i="33"/>
  <c r="AP127" i="33"/>
  <c r="CX127" i="33"/>
  <c r="BA127" i="33"/>
  <c r="CG128" i="33"/>
  <c r="CH128" i="33" s="1"/>
  <c r="AZ128" i="33"/>
  <c r="BS128" i="33"/>
  <c r="R128" i="33"/>
  <c r="CS128" i="33" s="1"/>
  <c r="CP128" i="33"/>
  <c r="CC128" i="33"/>
  <c r="CT129" i="33"/>
  <c r="CG129" i="33"/>
  <c r="CH129" i="33" s="1"/>
  <c r="CS129" i="33"/>
  <c r="BS129" i="33"/>
  <c r="BX129" i="33" s="1"/>
  <c r="BY129" i="33" s="1"/>
  <c r="CC130" i="33"/>
  <c r="DA131" i="33"/>
  <c r="BQ131" i="33"/>
  <c r="BR131" i="33" s="1"/>
  <c r="CH132" i="33"/>
  <c r="AI135" i="33"/>
  <c r="CP135" i="33" s="1"/>
  <c r="Z135" i="33"/>
  <c r="BQ136" i="33"/>
  <c r="BR136" i="33" s="1"/>
  <c r="AE143" i="33"/>
  <c r="AM141" i="33"/>
  <c r="AW141" i="33" s="1"/>
  <c r="AD141" i="33"/>
  <c r="AD143" i="33" s="1"/>
  <c r="AP120" i="33"/>
  <c r="AT120" i="33"/>
  <c r="AZ121" i="33"/>
  <c r="AZ123" i="33"/>
  <c r="AP124" i="33"/>
  <c r="AT124" i="33"/>
  <c r="AZ125" i="33"/>
  <c r="CS125" i="33"/>
  <c r="AP126" i="33"/>
  <c r="AT126" i="33"/>
  <c r="AY126" i="33" s="1"/>
  <c r="CJ127" i="33"/>
  <c r="CL127" i="33" s="1"/>
  <c r="AH127" i="33"/>
  <c r="CM127" i="33" s="1"/>
  <c r="CO127" i="33"/>
  <c r="DN127" i="33"/>
  <c r="CX128" i="33"/>
  <c r="BI129" i="33"/>
  <c r="CQ129" i="33"/>
  <c r="AQ130" i="33"/>
  <c r="AR130" i="33" s="1"/>
  <c r="DA130" i="33"/>
  <c r="CL131" i="33"/>
  <c r="CK132" i="33"/>
  <c r="AH132" i="33"/>
  <c r="CM132" i="33" s="1"/>
  <c r="BX132" i="33"/>
  <c r="BY132" i="33" s="1"/>
  <c r="CC132" i="33"/>
  <c r="CB132" i="33"/>
  <c r="CY132" i="33"/>
  <c r="DA133" i="33"/>
  <c r="AQ133" i="33"/>
  <c r="CQ133" i="33"/>
  <c r="AP133" i="33"/>
  <c r="CT133" i="33"/>
  <c r="CP133" i="33"/>
  <c r="AS133" i="33"/>
  <c r="AO133" i="33"/>
  <c r="AZ133" i="33"/>
  <c r="CS133" i="33"/>
  <c r="CO134" i="33"/>
  <c r="BL135" i="33"/>
  <c r="BQ135" i="33" s="1"/>
  <c r="BR135" i="33" s="1"/>
  <c r="CR135" i="33"/>
  <c r="CJ137" i="33"/>
  <c r="AP137" i="33"/>
  <c r="AO127" i="33"/>
  <c r="AS127" i="33"/>
  <c r="CP127" i="33"/>
  <c r="CV127" i="33" s="1"/>
  <c r="CT127" i="33"/>
  <c r="AH128" i="33"/>
  <c r="CM128" i="33" s="1"/>
  <c r="AQ128" i="33"/>
  <c r="BW128" i="33"/>
  <c r="CJ128" i="33"/>
  <c r="DA128" i="33"/>
  <c r="DI128" i="33"/>
  <c r="BA129" i="33"/>
  <c r="CJ129" i="33"/>
  <c r="CO130" i="33"/>
  <c r="AQ131" i="33"/>
  <c r="AR131" i="33" s="1"/>
  <c r="CP131" i="33"/>
  <c r="CT131" i="33"/>
  <c r="CX131" i="33"/>
  <c r="AQ132" i="33"/>
  <c r="CJ132" i="33"/>
  <c r="DA132" i="33"/>
  <c r="BA133" i="33"/>
  <c r="CX133" i="33"/>
  <c r="AH134" i="33"/>
  <c r="CM134" i="33" s="1"/>
  <c r="AQ134" i="33"/>
  <c r="CS134" i="33"/>
  <c r="DB134" i="33"/>
  <c r="BH135" i="33"/>
  <c r="BI135" i="33" s="1"/>
  <c r="CY135" i="33"/>
  <c r="AZ136" i="33"/>
  <c r="AO137" i="33"/>
  <c r="AS137" i="33"/>
  <c r="AW137" i="33"/>
  <c r="CT137" i="33"/>
  <c r="BQ139" i="33"/>
  <c r="BR139" i="33" s="1"/>
  <c r="BB127" i="33"/>
  <c r="CQ127" i="33"/>
  <c r="CK128" i="33"/>
  <c r="DB128" i="33"/>
  <c r="BB129" i="33"/>
  <c r="CK129" i="33"/>
  <c r="DB129" i="33"/>
  <c r="BQ130" i="33"/>
  <c r="BR130" i="33" s="1"/>
  <c r="CX130" i="33"/>
  <c r="AZ131" i="33"/>
  <c r="BD131" i="33"/>
  <c r="CH131" i="33"/>
  <c r="CQ131" i="33"/>
  <c r="CY131" i="33"/>
  <c r="AZ132" i="33"/>
  <c r="BD132" i="33"/>
  <c r="CS132" i="33"/>
  <c r="DB132" i="33"/>
  <c r="BB133" i="33"/>
  <c r="CH133" i="33"/>
  <c r="AZ134" i="33"/>
  <c r="BD134" i="33"/>
  <c r="BQ134" i="33"/>
  <c r="BR134" i="33" s="1"/>
  <c r="CP134" i="33"/>
  <c r="CT134" i="33"/>
  <c r="CX134" i="33"/>
  <c r="BA135" i="33"/>
  <c r="BS135" i="33"/>
  <c r="AS136" i="33"/>
  <c r="BA136" i="33"/>
  <c r="BU136" i="33"/>
  <c r="CG136" i="33"/>
  <c r="DD136" i="33"/>
  <c r="CO137" i="33"/>
  <c r="DA137" i="33"/>
  <c r="BQ137" i="33"/>
  <c r="BR137" i="33" s="1"/>
  <c r="CT139" i="33"/>
  <c r="AZ141" i="33"/>
  <c r="BS141" i="33"/>
  <c r="DM141" i="33"/>
  <c r="DN141" i="33" s="1"/>
  <c r="BW141" i="33"/>
  <c r="CG141" i="33"/>
  <c r="CH141" i="33" s="1"/>
  <c r="CX141" i="33"/>
  <c r="CK142" i="33"/>
  <c r="CL142" i="33" s="1"/>
  <c r="AQ127" i="33"/>
  <c r="AO128" i="33"/>
  <c r="AS128" i="33"/>
  <c r="BA128" i="33"/>
  <c r="AT130" i="33"/>
  <c r="AO131" i="33"/>
  <c r="AS131" i="33"/>
  <c r="AO132" i="33"/>
  <c r="AS132" i="33"/>
  <c r="BA132" i="33"/>
  <c r="CP132" i="33"/>
  <c r="AH133" i="33"/>
  <c r="CM133" i="33" s="1"/>
  <c r="AO134" i="33"/>
  <c r="AS134" i="33"/>
  <c r="BA134" i="33"/>
  <c r="R135" i="33"/>
  <c r="CK135" i="33"/>
  <c r="AG136" i="33"/>
  <c r="AK136" i="33"/>
  <c r="AK8" i="33" s="1"/>
  <c r="AT136" i="33"/>
  <c r="DB137" i="33"/>
  <c r="CK137" i="33"/>
  <c r="CS137" i="33"/>
  <c r="CQ137" i="33"/>
  <c r="AQ137" i="33"/>
  <c r="CP137" i="33"/>
  <c r="CX139" i="33"/>
  <c r="AQ139" i="33"/>
  <c r="AT139" i="33"/>
  <c r="AO139" i="33"/>
  <c r="BA139" i="33"/>
  <c r="CH139" i="33"/>
  <c r="DN140" i="33"/>
  <c r="BZ141" i="33"/>
  <c r="AO138" i="33"/>
  <c r="AT138" i="33"/>
  <c r="BB138" i="33"/>
  <c r="BF138" i="33" s="1"/>
  <c r="CS138" i="33"/>
  <c r="DB138" i="33"/>
  <c r="AP139" i="33"/>
  <c r="DA139" i="33"/>
  <c r="BS140" i="33"/>
  <c r="CJ140" i="33"/>
  <c r="CL140" i="33" s="1"/>
  <c r="CR140" i="33"/>
  <c r="BV141" i="33"/>
  <c r="CY141" i="33"/>
  <c r="AH142" i="33"/>
  <c r="CW142" i="33" s="1"/>
  <c r="AP138" i="33"/>
  <c r="BQ138" i="33"/>
  <c r="BR138" i="33" s="1"/>
  <c r="CP138" i="33"/>
  <c r="CT138" i="33"/>
  <c r="CX138" i="33"/>
  <c r="BC139" i="33"/>
  <c r="CS139" i="33"/>
  <c r="DB139" i="33"/>
  <c r="AZ140" i="33"/>
  <c r="BD140" i="33"/>
  <c r="BT140" i="33"/>
  <c r="Z141" i="33"/>
  <c r="BO141" i="33"/>
  <c r="BQ141" i="33" s="1"/>
  <c r="BR141" i="33" s="1"/>
  <c r="CQ138" i="33"/>
  <c r="AZ139" i="33"/>
  <c r="CP139" i="33"/>
  <c r="Q140" i="33"/>
  <c r="AJ140" i="33"/>
  <c r="CP140" i="33" s="1"/>
  <c r="AS140" i="33"/>
  <c r="BM140" i="33"/>
  <c r="AR32" i="33" l="1"/>
  <c r="CB69" i="33"/>
  <c r="CB139" i="33"/>
  <c r="AX84" i="33"/>
  <c r="CN32" i="33"/>
  <c r="CB129" i="33"/>
  <c r="AR48" i="33"/>
  <c r="CB31" i="33"/>
  <c r="AY49" i="33"/>
  <c r="CB21" i="33"/>
  <c r="DA47" i="33"/>
  <c r="AP47" i="33"/>
  <c r="CP47" i="33"/>
  <c r="AY124" i="33"/>
  <c r="CN97" i="33"/>
  <c r="AP110" i="33"/>
  <c r="AR139" i="33"/>
  <c r="AZ76" i="33"/>
  <c r="BF76" i="33" s="1"/>
  <c r="AO76" i="33"/>
  <c r="CN130" i="33"/>
  <c r="CQ110" i="33"/>
  <c r="AS76" i="33"/>
  <c r="AY103" i="33"/>
  <c r="CP76" i="33"/>
  <c r="CV76" i="33" s="1"/>
  <c r="CT76" i="33"/>
  <c r="AP76" i="33"/>
  <c r="CQ76" i="33"/>
  <c r="CP110" i="33"/>
  <c r="CN79" i="33"/>
  <c r="DB76" i="33"/>
  <c r="AR79" i="33"/>
  <c r="AQ76" i="33"/>
  <c r="DA110" i="33"/>
  <c r="AR106" i="33"/>
  <c r="DA76" i="33"/>
  <c r="CB84" i="33"/>
  <c r="AO110" i="33"/>
  <c r="CB55" i="33"/>
  <c r="CL72" i="33"/>
  <c r="CB134" i="33"/>
  <c r="CF134" i="33" s="1"/>
  <c r="CB18" i="33"/>
  <c r="CF18" i="33" s="1"/>
  <c r="AH74" i="33"/>
  <c r="CM74" i="33" s="1"/>
  <c r="CB73" i="33"/>
  <c r="AZ95" i="33"/>
  <c r="BB85" i="33"/>
  <c r="BX47" i="33"/>
  <c r="BY47" i="33" s="1"/>
  <c r="CB24" i="33"/>
  <c r="CE24" i="33" s="1"/>
  <c r="R95" i="33"/>
  <c r="CB15" i="33"/>
  <c r="CL122" i="33"/>
  <c r="CN122" i="33" s="1"/>
  <c r="AR62" i="33"/>
  <c r="CB52" i="33"/>
  <c r="CF52" i="33" s="1"/>
  <c r="CL120" i="33"/>
  <c r="CN120" i="33" s="1"/>
  <c r="CB116" i="33"/>
  <c r="CF116" i="33" s="1"/>
  <c r="CO72" i="33"/>
  <c r="AR55" i="33"/>
  <c r="AR26" i="33"/>
  <c r="R118" i="33"/>
  <c r="AH72" i="33"/>
  <c r="CM72" i="33" s="1"/>
  <c r="CN72" i="33" s="1"/>
  <c r="CB57" i="33"/>
  <c r="CV35" i="33"/>
  <c r="AZ118" i="33"/>
  <c r="CG95" i="33"/>
  <c r="CH95" i="33" s="1"/>
  <c r="CB71" i="33"/>
  <c r="CF71" i="33" s="1"/>
  <c r="CN138" i="33"/>
  <c r="AR37" i="33"/>
  <c r="AS58" i="33"/>
  <c r="CC123" i="33"/>
  <c r="CY123" i="33"/>
  <c r="AP123" i="33"/>
  <c r="AR100" i="33"/>
  <c r="CC21" i="33"/>
  <c r="CC34" i="33"/>
  <c r="CB66" i="33"/>
  <c r="CF66" i="33" s="1"/>
  <c r="AY46" i="33"/>
  <c r="CB112" i="33"/>
  <c r="AQ123" i="33"/>
  <c r="AZ62" i="33"/>
  <c r="AR41" i="33"/>
  <c r="CB16" i="33"/>
  <c r="CE16" i="33" s="1"/>
  <c r="DA123" i="33"/>
  <c r="BH62" i="33"/>
  <c r="BI62" i="33" s="1"/>
  <c r="CS123" i="33"/>
  <c r="CV103" i="33"/>
  <c r="AX125" i="33"/>
  <c r="CO76" i="33"/>
  <c r="CG62" i="33"/>
  <c r="CH62" i="33" s="1"/>
  <c r="CB22" i="33"/>
  <c r="CF22" i="33" s="1"/>
  <c r="CQ123" i="33"/>
  <c r="CS72" i="33"/>
  <c r="CT123" i="33"/>
  <c r="AY55" i="33"/>
  <c r="CB82" i="33"/>
  <c r="CA136" i="33"/>
  <c r="CD136" i="33" s="1"/>
  <c r="CB103" i="33"/>
  <c r="CE103" i="33" s="1"/>
  <c r="BA123" i="33"/>
  <c r="CB100" i="33"/>
  <c r="CB89" i="33"/>
  <c r="CF89" i="33" s="1"/>
  <c r="AH76" i="33"/>
  <c r="CM76" i="33" s="1"/>
  <c r="CB47" i="33"/>
  <c r="CN29" i="33"/>
  <c r="AO123" i="33"/>
  <c r="CB114" i="33"/>
  <c r="CF114" i="33" s="1"/>
  <c r="CB111" i="33"/>
  <c r="AR29" i="33"/>
  <c r="CP123" i="33"/>
  <c r="CB105" i="33"/>
  <c r="CF105" i="33" s="1"/>
  <c r="DB123" i="33"/>
  <c r="BQ123" i="33"/>
  <c r="BR123" i="33" s="1"/>
  <c r="CT20" i="33"/>
  <c r="AX139" i="33"/>
  <c r="CN103" i="33"/>
  <c r="CM99" i="33"/>
  <c r="CN99" i="33" s="1"/>
  <c r="CC74" i="33"/>
  <c r="CT47" i="33"/>
  <c r="CG101" i="33"/>
  <c r="CH101" i="33" s="1"/>
  <c r="AY69" i="33"/>
  <c r="AR43" i="33"/>
  <c r="R41" i="33"/>
  <c r="CT41" i="33" s="1"/>
  <c r="AR25" i="33"/>
  <c r="CB59" i="33"/>
  <c r="CC112" i="33"/>
  <c r="CB39" i="33"/>
  <c r="CN119" i="33"/>
  <c r="CC102" i="33"/>
  <c r="AO47" i="33"/>
  <c r="AR127" i="33"/>
  <c r="CB118" i="33"/>
  <c r="CB113" i="33"/>
  <c r="BL57" i="33"/>
  <c r="AS47" i="33"/>
  <c r="AX47" i="33" s="1"/>
  <c r="AZ40" i="33"/>
  <c r="CG28" i="33"/>
  <c r="CH28" i="33" s="1"/>
  <c r="CB38" i="33"/>
  <c r="AY19" i="33"/>
  <c r="AR20" i="33"/>
  <c r="AR126" i="33"/>
  <c r="BS28" i="33"/>
  <c r="CG24" i="33"/>
  <c r="CH24" i="33" s="1"/>
  <c r="CC131" i="33"/>
  <c r="BH28" i="33"/>
  <c r="BI28" i="33" s="1"/>
  <c r="R24" i="33"/>
  <c r="CS24" i="33" s="1"/>
  <c r="CY44" i="33"/>
  <c r="AQ47" i="33"/>
  <c r="AZ24" i="33"/>
  <c r="CC40" i="33"/>
  <c r="CB78" i="33"/>
  <c r="CB27" i="33"/>
  <c r="CE27" i="33" s="1"/>
  <c r="CL90" i="33"/>
  <c r="CN90" i="33" s="1"/>
  <c r="CG40" i="33"/>
  <c r="CH40" i="33" s="1"/>
  <c r="AZ28" i="33"/>
  <c r="BH24" i="33"/>
  <c r="BI24" i="33" s="1"/>
  <c r="BH101" i="33"/>
  <c r="BI101" i="33" s="1"/>
  <c r="CV116" i="33"/>
  <c r="CW116" i="33" s="1"/>
  <c r="CG57" i="33"/>
  <c r="CH57" i="33" s="1"/>
  <c r="CL74" i="33"/>
  <c r="CB137" i="33"/>
  <c r="CE137" i="33" s="1"/>
  <c r="AR118" i="33"/>
  <c r="AZ101" i="33"/>
  <c r="CB110" i="33"/>
  <c r="CF110" i="33" s="1"/>
  <c r="CT64" i="33"/>
  <c r="CS47" i="33"/>
  <c r="CV47" i="33" s="1"/>
  <c r="CW47" i="33" s="1"/>
  <c r="CL38" i="33"/>
  <c r="CN38" i="33" s="1"/>
  <c r="AR39" i="33"/>
  <c r="BB44" i="33"/>
  <c r="CB28" i="33"/>
  <c r="CE28" i="33" s="1"/>
  <c r="CB17" i="33"/>
  <c r="CF17" i="33" s="1"/>
  <c r="R101" i="33"/>
  <c r="CT101" i="33" s="1"/>
  <c r="AR115" i="33"/>
  <c r="CC78" i="33"/>
  <c r="CB109" i="33"/>
  <c r="CV96" i="33"/>
  <c r="CW96" i="33" s="1"/>
  <c r="CB46" i="33"/>
  <c r="CE46" i="33" s="1"/>
  <c r="CD80" i="33"/>
  <c r="CN52" i="33"/>
  <c r="AR31" i="33"/>
  <c r="CN31" i="33"/>
  <c r="BH89" i="33"/>
  <c r="BI89" i="33" s="1"/>
  <c r="CW112" i="33"/>
  <c r="AR96" i="33"/>
  <c r="CC137" i="33"/>
  <c r="CB126" i="33"/>
  <c r="AZ89" i="33"/>
  <c r="CB96" i="33"/>
  <c r="CE96" i="33" s="1"/>
  <c r="R89" i="33"/>
  <c r="CU89" i="33" s="1"/>
  <c r="CV81" i="33"/>
  <c r="CW81" i="33" s="1"/>
  <c r="CB60" i="33"/>
  <c r="CF60" i="33" s="1"/>
  <c r="CB68" i="33"/>
  <c r="CN66" i="33"/>
  <c r="AH123" i="33"/>
  <c r="CM123" i="33" s="1"/>
  <c r="CG89" i="33"/>
  <c r="CH89" i="33" s="1"/>
  <c r="CB65" i="33"/>
  <c r="CJ123" i="33"/>
  <c r="CL123" i="33" s="1"/>
  <c r="AX123" i="33"/>
  <c r="CB104" i="33"/>
  <c r="CF104" i="33" s="1"/>
  <c r="CC66" i="33"/>
  <c r="AR129" i="33"/>
  <c r="AR112" i="33"/>
  <c r="AR57" i="33"/>
  <c r="CN61" i="33"/>
  <c r="CB88" i="33"/>
  <c r="CV84" i="33"/>
  <c r="CW84" i="33" s="1"/>
  <c r="CW78" i="33"/>
  <c r="CL65" i="33"/>
  <c r="CN76" i="33"/>
  <c r="CV53" i="33"/>
  <c r="CW53" i="33" s="1"/>
  <c r="CV31" i="33"/>
  <c r="CW31" i="33" s="1"/>
  <c r="CT36" i="33"/>
  <c r="CN15" i="33"/>
  <c r="CB20" i="33"/>
  <c r="CF20" i="33" s="1"/>
  <c r="AX19" i="33"/>
  <c r="AY18" i="33"/>
  <c r="AY22" i="33"/>
  <c r="CB19" i="33"/>
  <c r="BC136" i="33"/>
  <c r="CB75" i="33"/>
  <c r="AR28" i="33"/>
  <c r="AX18" i="33"/>
  <c r="CN85" i="33"/>
  <c r="CV131" i="33"/>
  <c r="CW131" i="33" s="1"/>
  <c r="S136" i="33"/>
  <c r="BW136" i="33" s="1"/>
  <c r="AO60" i="33"/>
  <c r="CB41" i="33"/>
  <c r="AP60" i="33"/>
  <c r="CN23" i="33"/>
  <c r="CB36" i="33"/>
  <c r="CC15" i="33"/>
  <c r="AS60" i="33"/>
  <c r="AX60" i="33" s="1"/>
  <c r="AR24" i="33"/>
  <c r="CP60" i="33"/>
  <c r="CQ60" i="33"/>
  <c r="AZ114" i="33"/>
  <c r="R70" i="33"/>
  <c r="CU70" i="33" s="1"/>
  <c r="CS135" i="33"/>
  <c r="CV135" i="33" s="1"/>
  <c r="R114" i="33"/>
  <c r="BV114" i="33" s="1"/>
  <c r="BX114" i="33" s="1"/>
  <c r="BY114" i="33" s="1"/>
  <c r="CC88" i="33"/>
  <c r="AZ70" i="33"/>
  <c r="AR40" i="33"/>
  <c r="CD23" i="33"/>
  <c r="AZ60" i="33"/>
  <c r="AH136" i="33"/>
  <c r="DH136" i="33" s="1"/>
  <c r="BF137" i="33"/>
  <c r="CB94" i="33"/>
  <c r="CF94" i="33" s="1"/>
  <c r="CV90" i="33"/>
  <c r="CW90" i="33" s="1"/>
  <c r="BH70" i="33"/>
  <c r="BI70" i="33" s="1"/>
  <c r="AY53" i="33"/>
  <c r="AO50" i="33"/>
  <c r="AH50" i="33"/>
  <c r="DH50" i="33" s="1"/>
  <c r="CN88" i="33"/>
  <c r="BF127" i="33"/>
  <c r="CG114" i="33"/>
  <c r="CH114" i="33" s="1"/>
  <c r="CB95" i="33"/>
  <c r="CF95" i="33" s="1"/>
  <c r="BS70" i="33"/>
  <c r="CB124" i="33"/>
  <c r="CJ47" i="33"/>
  <c r="CL47" i="33" s="1"/>
  <c r="CN47" i="33" s="1"/>
  <c r="CO50" i="33"/>
  <c r="CB92" i="33"/>
  <c r="CF92" i="33" s="1"/>
  <c r="CY50" i="33"/>
  <c r="CO47" i="33"/>
  <c r="CQ50" i="33"/>
  <c r="DB50" i="33"/>
  <c r="AR33" i="33"/>
  <c r="CH123" i="33"/>
  <c r="CD27" i="33"/>
  <c r="CN107" i="33"/>
  <c r="CN34" i="33"/>
  <c r="AP50" i="33"/>
  <c r="CC82" i="33"/>
  <c r="AR137" i="33"/>
  <c r="CB135" i="33"/>
  <c r="CF135" i="33" s="1"/>
  <c r="CM116" i="33"/>
  <c r="CN83" i="33"/>
  <c r="AR113" i="33"/>
  <c r="AY78" i="33"/>
  <c r="CB83" i="33"/>
  <c r="CF83" i="33" s="1"/>
  <c r="DA50" i="33"/>
  <c r="CQ135" i="33"/>
  <c r="AY89" i="33"/>
  <c r="AY80" i="33"/>
  <c r="CP50" i="33"/>
  <c r="AQ50" i="33"/>
  <c r="AR50" i="33" s="1"/>
  <c r="CB54" i="33"/>
  <c r="CF54" i="33" s="1"/>
  <c r="AR93" i="33"/>
  <c r="AS135" i="33"/>
  <c r="DB60" i="33"/>
  <c r="AR138" i="33"/>
  <c r="CU116" i="33"/>
  <c r="CT51" i="33"/>
  <c r="AR52" i="33"/>
  <c r="BE48" i="33"/>
  <c r="CV46" i="33"/>
  <c r="CW46" i="33" s="1"/>
  <c r="AX55" i="33"/>
  <c r="CN35" i="33"/>
  <c r="BB50" i="33"/>
  <c r="AY114" i="33"/>
  <c r="AX121" i="33"/>
  <c r="AX46" i="33"/>
  <c r="CT128" i="33"/>
  <c r="DB136" i="33"/>
  <c r="AR132" i="33"/>
  <c r="CN127" i="33"/>
  <c r="CN131" i="33"/>
  <c r="AY123" i="33"/>
  <c r="AX120" i="33"/>
  <c r="AR95" i="33"/>
  <c r="BF87" i="33"/>
  <c r="CL26" i="33"/>
  <c r="CN26" i="33" s="1"/>
  <c r="AR15" i="33"/>
  <c r="CN18" i="33"/>
  <c r="AR16" i="33"/>
  <c r="AX22" i="33"/>
  <c r="CN19" i="33"/>
  <c r="AR22" i="33"/>
  <c r="CB115" i="33"/>
  <c r="CE115" i="33" s="1"/>
  <c r="CX50" i="33"/>
  <c r="CH50" i="33"/>
  <c r="CN124" i="33"/>
  <c r="CO136" i="33"/>
  <c r="AY67" i="33"/>
  <c r="CD45" i="33"/>
  <c r="CB45" i="33"/>
  <c r="CE45" i="33" s="1"/>
  <c r="BF72" i="33"/>
  <c r="AH140" i="33"/>
  <c r="CM140" i="33" s="1"/>
  <c r="CU141" i="33"/>
  <c r="CX136" i="33"/>
  <c r="AZ135" i="33"/>
  <c r="CW127" i="33"/>
  <c r="BE127" i="33"/>
  <c r="AY118" i="33"/>
  <c r="CL106" i="33"/>
  <c r="CN106" i="33" s="1"/>
  <c r="BE137" i="33"/>
  <c r="CD115" i="33"/>
  <c r="CT112" i="33"/>
  <c r="CG85" i="33"/>
  <c r="CH85" i="33" s="1"/>
  <c r="CN82" i="33"/>
  <c r="AX89" i="33"/>
  <c r="AR82" i="33"/>
  <c r="CB81" i="33"/>
  <c r="CF81" i="33" s="1"/>
  <c r="AR78" i="33"/>
  <c r="AR59" i="33"/>
  <c r="CN51" i="33"/>
  <c r="AY66" i="33"/>
  <c r="CT62" i="33"/>
  <c r="AS72" i="33"/>
  <c r="AY72" i="33" s="1"/>
  <c r="CV62" i="33"/>
  <c r="CW62" i="33" s="1"/>
  <c r="R40" i="33"/>
  <c r="BC40" i="33" s="1"/>
  <c r="BF40" i="33" s="1"/>
  <c r="AZ47" i="33"/>
  <c r="BE47" i="33" s="1"/>
  <c r="AI8" i="33"/>
  <c r="CC138" i="33"/>
  <c r="BV136" i="33"/>
  <c r="CL112" i="33"/>
  <c r="CN112" i="33" s="1"/>
  <c r="CV119" i="33"/>
  <c r="CW119" i="33" s="1"/>
  <c r="R106" i="33"/>
  <c r="CU106" i="33" s="1"/>
  <c r="CB91" i="33"/>
  <c r="CF91" i="33" s="1"/>
  <c r="R85" i="33"/>
  <c r="BC85" i="33" s="1"/>
  <c r="BF85" i="33" s="1"/>
  <c r="DJ90" i="33"/>
  <c r="AX78" i="33"/>
  <c r="BS45" i="33"/>
  <c r="CB72" i="33"/>
  <c r="CF72" i="33" s="1"/>
  <c r="CB44" i="33"/>
  <c r="CF44" i="33" s="1"/>
  <c r="CT72" i="33"/>
  <c r="AR27" i="33"/>
  <c r="AM8" i="33"/>
  <c r="CE142" i="33"/>
  <c r="CF142" i="33"/>
  <c r="CB62" i="33"/>
  <c r="AZ45" i="33"/>
  <c r="R45" i="33"/>
  <c r="CS45" i="33" s="1"/>
  <c r="CV45" i="33" s="1"/>
  <c r="CW45" i="33" s="1"/>
  <c r="CG45" i="33"/>
  <c r="CH45" i="33" s="1"/>
  <c r="CV124" i="33"/>
  <c r="CW124" i="33" s="1"/>
  <c r="AZ106" i="33"/>
  <c r="CN108" i="33"/>
  <c r="BS85" i="33"/>
  <c r="BX57" i="33"/>
  <c r="BY57" i="33" s="1"/>
  <c r="CV29" i="33"/>
  <c r="CW29" i="33" s="1"/>
  <c r="CB29" i="33"/>
  <c r="CF29" i="33" s="1"/>
  <c r="AP72" i="33"/>
  <c r="AW143" i="33"/>
  <c r="CS22" i="33"/>
  <c r="CV22" i="33" s="1"/>
  <c r="CW22" i="33" s="1"/>
  <c r="CU136" i="33"/>
  <c r="CB90" i="33"/>
  <c r="CL118" i="33"/>
  <c r="CN118" i="33" s="1"/>
  <c r="CB128" i="33"/>
  <c r="AL141" i="33"/>
  <c r="DA141" i="33" s="1"/>
  <c r="CN134" i="33"/>
  <c r="BF105" i="33"/>
  <c r="BH106" i="33"/>
  <c r="BI106" i="33" s="1"/>
  <c r="CU112" i="33"/>
  <c r="CB87" i="33"/>
  <c r="CF87" i="33" s="1"/>
  <c r="AR70" i="33"/>
  <c r="AR61" i="33"/>
  <c r="CM50" i="33"/>
  <c r="AX53" i="33"/>
  <c r="AR53" i="33"/>
  <c r="CN27" i="33"/>
  <c r="CQ72" i="33"/>
  <c r="AR36" i="33"/>
  <c r="DI50" i="33"/>
  <c r="DJ50" i="33" s="1"/>
  <c r="BS118" i="33"/>
  <c r="CG118" i="33"/>
  <c r="CH118" i="33" s="1"/>
  <c r="AR124" i="33"/>
  <c r="CN105" i="33"/>
  <c r="AY139" i="33"/>
  <c r="CV128" i="33"/>
  <c r="CW128" i="33" s="1"/>
  <c r="CL113" i="33"/>
  <c r="CN113" i="33" s="1"/>
  <c r="AX103" i="33"/>
  <c r="AR92" i="33"/>
  <c r="CV74" i="33"/>
  <c r="AR80" i="33"/>
  <c r="AX67" i="33"/>
  <c r="CV56" i="33"/>
  <c r="CW56" i="33" s="1"/>
  <c r="AR84" i="33"/>
  <c r="AX69" i="33"/>
  <c r="AR65" i="33"/>
  <c r="AR35" i="33"/>
  <c r="AQ72" i="33"/>
  <c r="CU20" i="33"/>
  <c r="AO72" i="33"/>
  <c r="CJ136" i="33"/>
  <c r="CN117" i="33"/>
  <c r="CB133" i="33"/>
  <c r="CE133" i="33" s="1"/>
  <c r="CB125" i="33"/>
  <c r="CF125" i="33" s="1"/>
  <c r="AR107" i="33"/>
  <c r="CN92" i="33"/>
  <c r="CV102" i="33"/>
  <c r="CW102" i="33" s="1"/>
  <c r="AX118" i="33"/>
  <c r="CB108" i="33"/>
  <c r="CV52" i="33"/>
  <c r="CW52" i="33" s="1"/>
  <c r="BI57" i="33"/>
  <c r="CU62" i="33"/>
  <c r="DA72" i="33"/>
  <c r="CU40" i="33"/>
  <c r="CL22" i="33"/>
  <c r="CN22" i="33" s="1"/>
  <c r="CC97" i="33"/>
  <c r="CB97" i="33"/>
  <c r="CT74" i="33"/>
  <c r="CQ74" i="33"/>
  <c r="AP74" i="33"/>
  <c r="CB70" i="33"/>
  <c r="CP72" i="33"/>
  <c r="BT143" i="33"/>
  <c r="CB117" i="33"/>
  <c r="CF117" i="33" s="1"/>
  <c r="BS106" i="33"/>
  <c r="AY91" i="33"/>
  <c r="CB101" i="33"/>
  <c r="CF101" i="33" s="1"/>
  <c r="CB93" i="33"/>
  <c r="CF93" i="33" s="1"/>
  <c r="CO74" i="33"/>
  <c r="CB64" i="33"/>
  <c r="CF64" i="33" s="1"/>
  <c r="AR34" i="33"/>
  <c r="BZ140" i="33"/>
  <c r="CC140" i="33" s="1"/>
  <c r="CK136" i="33"/>
  <c r="CL132" i="33"/>
  <c r="CN132" i="33" s="1"/>
  <c r="CV105" i="33"/>
  <c r="CW105" i="33" s="1"/>
  <c r="AX114" i="33"/>
  <c r="CD109" i="33"/>
  <c r="AR49" i="33"/>
  <c r="CN46" i="33"/>
  <c r="CL80" i="33"/>
  <c r="AR38" i="33"/>
  <c r="BH40" i="33"/>
  <c r="BI40" i="33" s="1"/>
  <c r="AY35" i="33"/>
  <c r="CB106" i="33"/>
  <c r="CC106" i="33"/>
  <c r="CV139" i="33"/>
  <c r="CW139" i="33" s="1"/>
  <c r="AY125" i="33"/>
  <c r="CL86" i="33"/>
  <c r="CN86" i="33" s="1"/>
  <c r="AY108" i="33"/>
  <c r="AR81" i="33"/>
  <c r="CB61" i="33"/>
  <c r="CE61" i="33" s="1"/>
  <c r="DB72" i="33"/>
  <c r="AK143" i="33"/>
  <c r="CV19" i="33"/>
  <c r="CW19" i="33" s="1"/>
  <c r="CN101" i="33"/>
  <c r="BE134" i="33"/>
  <c r="BF134" i="33"/>
  <c r="AX112" i="33"/>
  <c r="AY112" i="33"/>
  <c r="BS94" i="33"/>
  <c r="R94" i="33"/>
  <c r="AZ94" i="33"/>
  <c r="BH94" i="33"/>
  <c r="BI94" i="33" s="1"/>
  <c r="AY100" i="33"/>
  <c r="AX100" i="33"/>
  <c r="AY85" i="33"/>
  <c r="AX85" i="33"/>
  <c r="AX82" i="33"/>
  <c r="AY82" i="33"/>
  <c r="AY74" i="33"/>
  <c r="AX74" i="33"/>
  <c r="AY59" i="33"/>
  <c r="AX59" i="33"/>
  <c r="CO73" i="33"/>
  <c r="CJ73" i="33"/>
  <c r="CL73" i="33" s="1"/>
  <c r="AH73" i="33"/>
  <c r="CM73" i="33" s="1"/>
  <c r="BE52" i="33"/>
  <c r="BF52" i="33"/>
  <c r="BO57" i="33"/>
  <c r="BO143" i="33" s="1"/>
  <c r="AV57" i="33"/>
  <c r="AY57" i="33" s="1"/>
  <c r="CC14" i="33"/>
  <c r="CC143" i="33" s="1"/>
  <c r="CB14" i="33"/>
  <c r="BV14" i="33"/>
  <c r="BC14" i="33"/>
  <c r="BF14" i="33" s="1"/>
  <c r="BS61" i="33"/>
  <c r="BH61" i="33"/>
  <c r="BI61" i="33" s="1"/>
  <c r="AZ61" i="33"/>
  <c r="R61" i="33"/>
  <c r="CU61" i="33" s="1"/>
  <c r="BC50" i="33"/>
  <c r="BV50" i="33"/>
  <c r="BX50" i="33" s="1"/>
  <c r="BY50" i="33" s="1"/>
  <c r="BH38" i="33"/>
  <c r="BI38" i="33" s="1"/>
  <c r="AZ38" i="33"/>
  <c r="R38" i="33"/>
  <c r="CU38" i="33" s="1"/>
  <c r="BS38" i="33"/>
  <c r="CF30" i="33"/>
  <c r="CE30" i="33"/>
  <c r="AX28" i="33"/>
  <c r="AY28" i="33"/>
  <c r="BV60" i="33"/>
  <c r="BX60" i="33" s="1"/>
  <c r="BY60" i="33" s="1"/>
  <c r="BC60" i="33"/>
  <c r="CL50" i="33"/>
  <c r="BV43" i="33"/>
  <c r="BX43" i="33" s="1"/>
  <c r="BY43" i="33" s="1"/>
  <c r="BC43" i="33"/>
  <c r="BE43" i="33" s="1"/>
  <c r="AY32" i="33"/>
  <c r="AX32" i="33"/>
  <c r="AY30" i="33"/>
  <c r="AX30" i="33"/>
  <c r="CT43" i="33"/>
  <c r="BS23" i="33"/>
  <c r="BH23" i="33"/>
  <c r="BI23" i="33" s="1"/>
  <c r="AZ23" i="33"/>
  <c r="R23" i="33"/>
  <c r="CT23" i="33" s="1"/>
  <c r="CF43" i="33"/>
  <c r="CE43" i="33"/>
  <c r="CS28" i="33"/>
  <c r="CV28" i="33" s="1"/>
  <c r="CW28" i="33" s="1"/>
  <c r="CF40" i="33"/>
  <c r="CE40" i="33"/>
  <c r="CL14" i="33"/>
  <c r="CN14" i="33" s="1"/>
  <c r="Z8" i="33"/>
  <c r="AO140" i="33"/>
  <c r="BF139" i="33"/>
  <c r="BE139" i="33"/>
  <c r="CV138" i="33"/>
  <c r="CW138" i="33" s="1"/>
  <c r="AY138" i="33"/>
  <c r="AX138" i="33"/>
  <c r="BQ140" i="33"/>
  <c r="BR140" i="33" s="1"/>
  <c r="CV137" i="33"/>
  <c r="CW137" i="33" s="1"/>
  <c r="AP136" i="33"/>
  <c r="BV135" i="33"/>
  <c r="BX135" i="33" s="1"/>
  <c r="BY135" i="33" s="1"/>
  <c r="BC135" i="33"/>
  <c r="CN133" i="33"/>
  <c r="BD141" i="33"/>
  <c r="CT136" i="33"/>
  <c r="CV134" i="33"/>
  <c r="CW134" i="33" s="1"/>
  <c r="CF138" i="33"/>
  <c r="CE138" i="33"/>
  <c r="CS136" i="33"/>
  <c r="CU135" i="33"/>
  <c r="AR128" i="33"/>
  <c r="DH128" i="33"/>
  <c r="DJ128" i="33" s="1"/>
  <c r="AY127" i="33"/>
  <c r="AX127" i="33"/>
  <c r="CB136" i="33"/>
  <c r="AY120" i="33"/>
  <c r="AG141" i="33"/>
  <c r="CK141" i="33" s="1"/>
  <c r="AD8" i="33"/>
  <c r="BC128" i="33"/>
  <c r="BF128" i="33" s="1"/>
  <c r="BV128" i="33"/>
  <c r="BX128" i="33" s="1"/>
  <c r="BY128" i="33" s="1"/>
  <c r="CU128" i="33"/>
  <c r="CV120" i="33"/>
  <c r="CW120" i="33" s="1"/>
  <c r="CQ136" i="33"/>
  <c r="AY129" i="33"/>
  <c r="AX129" i="33"/>
  <c r="CV129" i="33"/>
  <c r="CW129" i="33" s="1"/>
  <c r="CN139" i="33"/>
  <c r="BS117" i="33"/>
  <c r="BH117" i="33"/>
  <c r="BI117" i="33" s="1"/>
  <c r="AZ117" i="33"/>
  <c r="R117" i="33"/>
  <c r="AY111" i="33"/>
  <c r="AX111" i="33"/>
  <c r="CF126" i="33"/>
  <c r="CE126" i="33"/>
  <c r="AR125" i="33"/>
  <c r="AX124" i="33"/>
  <c r="CF118" i="33"/>
  <c r="CE118" i="33"/>
  <c r="CS110" i="33"/>
  <c r="CV110" i="33" s="1"/>
  <c r="CN109" i="33"/>
  <c r="AR105" i="33"/>
  <c r="AY102" i="33"/>
  <c r="AX102" i="33"/>
  <c r="BS100" i="33"/>
  <c r="R100" i="33"/>
  <c r="CS100" i="33" s="1"/>
  <c r="CV100" i="33" s="1"/>
  <c r="CW100" i="33" s="1"/>
  <c r="AZ100" i="33"/>
  <c r="BH100" i="33"/>
  <c r="BI100" i="33" s="1"/>
  <c r="AY87" i="33"/>
  <c r="AX87" i="33"/>
  <c r="CF113" i="33"/>
  <c r="CE113" i="33"/>
  <c r="AR103" i="33"/>
  <c r="BE102" i="33"/>
  <c r="BF102" i="33"/>
  <c r="BE96" i="33"/>
  <c r="BF96" i="33"/>
  <c r="CL93" i="33"/>
  <c r="CN93" i="33" s="1"/>
  <c r="BV112" i="33"/>
  <c r="BX112" i="33" s="1"/>
  <c r="BY112" i="33" s="1"/>
  <c r="BC112" i="33"/>
  <c r="BF112" i="33" s="1"/>
  <c r="BS111" i="33"/>
  <c r="BH111" i="33"/>
  <c r="BI111" i="33" s="1"/>
  <c r="AZ111" i="33"/>
  <c r="R111" i="33"/>
  <c r="CU111" i="33" s="1"/>
  <c r="CF107" i="33"/>
  <c r="CE107" i="33"/>
  <c r="AR102" i="33"/>
  <c r="CL94" i="33"/>
  <c r="CN94" i="33" s="1"/>
  <c r="AR88" i="33"/>
  <c r="CF100" i="33"/>
  <c r="CE100" i="33"/>
  <c r="CN87" i="33"/>
  <c r="AY81" i="33"/>
  <c r="AX81" i="33"/>
  <c r="BV80" i="33"/>
  <c r="BX80" i="33" s="1"/>
  <c r="BY80" i="33" s="1"/>
  <c r="BC80" i="33"/>
  <c r="BF80" i="33" s="1"/>
  <c r="BF78" i="33"/>
  <c r="BE78" i="33"/>
  <c r="CO75" i="33"/>
  <c r="CJ75" i="33"/>
  <c r="CL75" i="33" s="1"/>
  <c r="AH75" i="33"/>
  <c r="CM75" i="33" s="1"/>
  <c r="CO71" i="33"/>
  <c r="CJ71" i="33"/>
  <c r="CL71" i="33" s="1"/>
  <c r="AH71" i="33"/>
  <c r="CM71" i="33" s="1"/>
  <c r="BF66" i="33"/>
  <c r="BE66" i="33"/>
  <c r="CV97" i="33"/>
  <c r="CW97" i="33" s="1"/>
  <c r="AR97" i="33"/>
  <c r="CT93" i="33"/>
  <c r="BS92" i="33"/>
  <c r="BH92" i="33"/>
  <c r="BI92" i="33" s="1"/>
  <c r="AZ92" i="33"/>
  <c r="R92" i="33"/>
  <c r="CU92" i="33" s="1"/>
  <c r="CV87" i="33"/>
  <c r="CW87" i="33" s="1"/>
  <c r="CE104" i="33"/>
  <c r="CE93" i="33"/>
  <c r="CV91" i="33"/>
  <c r="CW91" i="33" s="1"/>
  <c r="AR89" i="33"/>
  <c r="CS80" i="33"/>
  <c r="CV80" i="33" s="1"/>
  <c r="CW80" i="33" s="1"/>
  <c r="AY79" i="33"/>
  <c r="AX79" i="33"/>
  <c r="AY68" i="33"/>
  <c r="AX68" i="33"/>
  <c r="AX106" i="33"/>
  <c r="AY106" i="33"/>
  <c r="AY95" i="33"/>
  <c r="AX95" i="33"/>
  <c r="AX91" i="33"/>
  <c r="BV64" i="33"/>
  <c r="BX64" i="33" s="1"/>
  <c r="BY64" i="33" s="1"/>
  <c r="BC64" i="33"/>
  <c r="BF64" i="33" s="1"/>
  <c r="AY61" i="33"/>
  <c r="AX61" i="33"/>
  <c r="AY56" i="33"/>
  <c r="AX56" i="33"/>
  <c r="BV55" i="33"/>
  <c r="BX55" i="33" s="1"/>
  <c r="BY55" i="33" s="1"/>
  <c r="BC55" i="33"/>
  <c r="BF55" i="33" s="1"/>
  <c r="BF53" i="33"/>
  <c r="BE53" i="33"/>
  <c r="AY84" i="33"/>
  <c r="CN80" i="33"/>
  <c r="CN78" i="33"/>
  <c r="AY76" i="33"/>
  <c r="AX76" i="33"/>
  <c r="CQ73" i="33"/>
  <c r="AP73" i="33"/>
  <c r="CT73" i="33"/>
  <c r="CP73" i="33"/>
  <c r="AS73" i="33"/>
  <c r="AO73" i="33"/>
  <c r="DB73" i="33"/>
  <c r="CS73" i="33"/>
  <c r="AZ73" i="33"/>
  <c r="DA73" i="33"/>
  <c r="AQ73" i="33"/>
  <c r="CN57" i="33"/>
  <c r="BE49" i="33"/>
  <c r="BF49" i="33"/>
  <c r="CN69" i="33"/>
  <c r="AY63" i="33"/>
  <c r="AX63" i="33"/>
  <c r="CL54" i="33"/>
  <c r="CN54" i="33" s="1"/>
  <c r="AR46" i="33"/>
  <c r="CM45" i="33"/>
  <c r="CL67" i="33"/>
  <c r="CN67" i="33" s="1"/>
  <c r="CF63" i="33"/>
  <c r="CE63" i="33"/>
  <c r="CF53" i="33"/>
  <c r="CE53" i="33"/>
  <c r="CT50" i="33"/>
  <c r="AR42" i="33"/>
  <c r="AX39" i="33"/>
  <c r="AY39" i="33"/>
  <c r="BF18" i="33"/>
  <c r="BE18" i="33"/>
  <c r="AY15" i="33"/>
  <c r="AX15" i="33"/>
  <c r="BE72" i="33"/>
  <c r="AY60" i="33"/>
  <c r="CF55" i="33"/>
  <c r="CE55" i="33"/>
  <c r="AY26" i="33"/>
  <c r="AX26" i="33"/>
  <c r="BS115" i="33"/>
  <c r="BH115" i="33"/>
  <c r="BI115" i="33" s="1"/>
  <c r="AZ115" i="33"/>
  <c r="R115" i="33"/>
  <c r="CS115" i="33" s="1"/>
  <c r="CV115" i="33" s="1"/>
  <c r="CW115" i="33" s="1"/>
  <c r="AX80" i="33"/>
  <c r="AR66" i="33"/>
  <c r="AR64" i="33"/>
  <c r="BV62" i="33"/>
  <c r="BX62" i="33" s="1"/>
  <c r="BY62" i="33" s="1"/>
  <c r="BC62" i="33"/>
  <c r="CQ57" i="33"/>
  <c r="CF51" i="33"/>
  <c r="CE51" i="33"/>
  <c r="AY48" i="33"/>
  <c r="AX48" i="33"/>
  <c r="AX43" i="33"/>
  <c r="AY43" i="33"/>
  <c r="AX40" i="33"/>
  <c r="AY40" i="33"/>
  <c r="CN39" i="33"/>
  <c r="CF33" i="33"/>
  <c r="CE33" i="33"/>
  <c r="CF32" i="33"/>
  <c r="CE32" i="33"/>
  <c r="CL28" i="33"/>
  <c r="CN28" i="33" s="1"/>
  <c r="CL24" i="33"/>
  <c r="CN24" i="33" s="1"/>
  <c r="CT22" i="33"/>
  <c r="CV18" i="33"/>
  <c r="CW18" i="33" s="1"/>
  <c r="AX16" i="33"/>
  <c r="AY16" i="33"/>
  <c r="BM143" i="33"/>
  <c r="CS60" i="33"/>
  <c r="CU60" i="33"/>
  <c r="AY50" i="33"/>
  <c r="AX50" i="33"/>
  <c r="CB85" i="33"/>
  <c r="CF68" i="33"/>
  <c r="CE68" i="33"/>
  <c r="AP58" i="33"/>
  <c r="AO58" i="33"/>
  <c r="AQ58" i="33"/>
  <c r="AR58" i="33" s="1"/>
  <c r="BF48" i="33"/>
  <c r="AY45" i="33"/>
  <c r="AX45" i="33"/>
  <c r="AR45" i="33"/>
  <c r="CN44" i="33"/>
  <c r="AY41" i="33"/>
  <c r="AX41" i="33"/>
  <c r="BV40" i="33"/>
  <c r="BX40" i="33" s="1"/>
  <c r="BY40" i="33" s="1"/>
  <c r="CL37" i="33"/>
  <c r="CN37" i="33" s="1"/>
  <c r="BC36" i="33"/>
  <c r="BE36" i="33" s="1"/>
  <c r="BV36" i="33"/>
  <c r="BX36" i="33" s="1"/>
  <c r="BY36" i="33" s="1"/>
  <c r="AX35" i="33"/>
  <c r="CU28" i="33"/>
  <c r="AY25" i="33"/>
  <c r="AX25" i="33"/>
  <c r="AR23" i="33"/>
  <c r="AY21" i="33"/>
  <c r="AX21" i="33"/>
  <c r="AY17" i="33"/>
  <c r="AX17" i="33"/>
  <c r="BS65" i="33"/>
  <c r="BH65" i="33"/>
  <c r="BI65" i="33" s="1"/>
  <c r="AZ65" i="33"/>
  <c r="R65" i="33"/>
  <c r="CS65" i="33" s="1"/>
  <c r="CV65" i="33" s="1"/>
  <c r="CW65" i="33" s="1"/>
  <c r="CE59" i="33"/>
  <c r="CF59" i="33"/>
  <c r="BF30" i="33"/>
  <c r="BE30" i="33"/>
  <c r="BV20" i="33"/>
  <c r="BX20" i="33" s="1"/>
  <c r="BY20" i="33" s="1"/>
  <c r="BC20" i="33"/>
  <c r="BF20" i="33" s="1"/>
  <c r="AJ143" i="33"/>
  <c r="CE17" i="33"/>
  <c r="CS36" i="33"/>
  <c r="CV36" i="33" s="1"/>
  <c r="CW36" i="33" s="1"/>
  <c r="Z143" i="33"/>
  <c r="AY132" i="33"/>
  <c r="AX132" i="33"/>
  <c r="BX141" i="33"/>
  <c r="BY141" i="33" s="1"/>
  <c r="BF133" i="33"/>
  <c r="BE133" i="33"/>
  <c r="CE117" i="33"/>
  <c r="AY115" i="33"/>
  <c r="AX115" i="33"/>
  <c r="AY109" i="33"/>
  <c r="AX109" i="33"/>
  <c r="BV108" i="33"/>
  <c r="BX108" i="33" s="1"/>
  <c r="BY108" i="33" s="1"/>
  <c r="BC108" i="33"/>
  <c r="BE108" i="33" s="1"/>
  <c r="CT108" i="33"/>
  <c r="BF122" i="33"/>
  <c r="BE122" i="33"/>
  <c r="BV110" i="33"/>
  <c r="BX110" i="33" s="1"/>
  <c r="BY110" i="33" s="1"/>
  <c r="BC110" i="33"/>
  <c r="BE110" i="33" s="1"/>
  <c r="BF84" i="33"/>
  <c r="BE84" i="33"/>
  <c r="BF90" i="33"/>
  <c r="BE90" i="33"/>
  <c r="BF69" i="33"/>
  <c r="BE69" i="33"/>
  <c r="AR101" i="33"/>
  <c r="AY97" i="33"/>
  <c r="AX97" i="33"/>
  <c r="BE74" i="33"/>
  <c r="BF74" i="33"/>
  <c r="AX70" i="33"/>
  <c r="AY70" i="33"/>
  <c r="BE104" i="33"/>
  <c r="BF104" i="33"/>
  <c r="CF67" i="33"/>
  <c r="CE67" i="33"/>
  <c r="AX62" i="33"/>
  <c r="AY62" i="33"/>
  <c r="AY64" i="33"/>
  <c r="AX64" i="33"/>
  <c r="CE60" i="33"/>
  <c r="R33" i="33"/>
  <c r="CT33" i="33" s="1"/>
  <c r="BS33" i="33"/>
  <c r="BH33" i="33"/>
  <c r="BI33" i="33" s="1"/>
  <c r="AZ33" i="33"/>
  <c r="BH25" i="33"/>
  <c r="BI25" i="33" s="1"/>
  <c r="BS25" i="33"/>
  <c r="AZ25" i="33"/>
  <c r="R25" i="33"/>
  <c r="CU25" i="33" s="1"/>
  <c r="BS21" i="33"/>
  <c r="R21" i="33"/>
  <c r="CS21" i="33" s="1"/>
  <c r="CV21" i="33" s="1"/>
  <c r="CW21" i="33" s="1"/>
  <c r="AZ21" i="33"/>
  <c r="BH21" i="33"/>
  <c r="BI21" i="33" s="1"/>
  <c r="CN59" i="33"/>
  <c r="CP57" i="33"/>
  <c r="CV57" i="33" s="1"/>
  <c r="CW57" i="33" s="1"/>
  <c r="CF37" i="33"/>
  <c r="CE37" i="33"/>
  <c r="BF32" i="33"/>
  <c r="BE32" i="33"/>
  <c r="BV16" i="33"/>
  <c r="BX16" i="33" s="1"/>
  <c r="BY16" i="33" s="1"/>
  <c r="BC16" i="33"/>
  <c r="BE16" i="33" s="1"/>
  <c r="CV132" i="33"/>
  <c r="CW132" i="33" s="1"/>
  <c r="AY128" i="33"/>
  <c r="AX128" i="33"/>
  <c r="CP136" i="33"/>
  <c r="AY137" i="33"/>
  <c r="AX137" i="33"/>
  <c r="CY136" i="33"/>
  <c r="CF139" i="33"/>
  <c r="CE139" i="33"/>
  <c r="CV126" i="33"/>
  <c r="CW126" i="33" s="1"/>
  <c r="AY117" i="33"/>
  <c r="AX117" i="33"/>
  <c r="BS113" i="33"/>
  <c r="BH113" i="33"/>
  <c r="BI113" i="33" s="1"/>
  <c r="R113" i="33"/>
  <c r="AZ113" i="33"/>
  <c r="BS107" i="33"/>
  <c r="AZ107" i="33"/>
  <c r="BH107" i="33"/>
  <c r="BI107" i="33" s="1"/>
  <c r="R107" i="33"/>
  <c r="CW103" i="33"/>
  <c r="AX116" i="33"/>
  <c r="AY116" i="33"/>
  <c r="AY122" i="33"/>
  <c r="AX122" i="33"/>
  <c r="AY113" i="33"/>
  <c r="AX113" i="33"/>
  <c r="CS108" i="33"/>
  <c r="CV108" i="33" s="1"/>
  <c r="CW108" i="33" s="1"/>
  <c r="AY107" i="33"/>
  <c r="AX107" i="33"/>
  <c r="CL114" i="33"/>
  <c r="CN114" i="33" s="1"/>
  <c r="CT110" i="33"/>
  <c r="CE109" i="33"/>
  <c r="CF109" i="33"/>
  <c r="AY96" i="33"/>
  <c r="AX96" i="33"/>
  <c r="BV95" i="33"/>
  <c r="BX95" i="33" s="1"/>
  <c r="BY95" i="33" s="1"/>
  <c r="BC95" i="33"/>
  <c r="BF95" i="33" s="1"/>
  <c r="AY92" i="33"/>
  <c r="AX92" i="33"/>
  <c r="BV91" i="33"/>
  <c r="BX91" i="33" s="1"/>
  <c r="BY91" i="33" s="1"/>
  <c r="BC91" i="33"/>
  <c r="BF91" i="33" s="1"/>
  <c r="AY83" i="33"/>
  <c r="AX83" i="33"/>
  <c r="CT95" i="33"/>
  <c r="BE88" i="33"/>
  <c r="BF88" i="33"/>
  <c r="CF123" i="33"/>
  <c r="CE123" i="33"/>
  <c r="CU114" i="33"/>
  <c r="BE105" i="33"/>
  <c r="CL100" i="33"/>
  <c r="CN100" i="33" s="1"/>
  <c r="CS95" i="33"/>
  <c r="CV95" i="33" s="1"/>
  <c r="CW95" i="33" s="1"/>
  <c r="AY86" i="33"/>
  <c r="AX86" i="33"/>
  <c r="CU108" i="33"/>
  <c r="CU91" i="33"/>
  <c r="AY90" i="33"/>
  <c r="AX90" i="33"/>
  <c r="CL89" i="33"/>
  <c r="CN89" i="33" s="1"/>
  <c r="BH82" i="33"/>
  <c r="BI82" i="33" s="1"/>
  <c r="AZ82" i="33"/>
  <c r="BS82" i="33"/>
  <c r="R82" i="33"/>
  <c r="BS68" i="33"/>
  <c r="R68" i="33"/>
  <c r="CU68" i="33" s="1"/>
  <c r="AZ68" i="33"/>
  <c r="BH68" i="33"/>
  <c r="BI68" i="33" s="1"/>
  <c r="BF97" i="33"/>
  <c r="BE97" i="33"/>
  <c r="BV93" i="33"/>
  <c r="BX93" i="33" s="1"/>
  <c r="BY93" i="33" s="1"/>
  <c r="BC93" i="33"/>
  <c r="BE93" i="33" s="1"/>
  <c r="CF86" i="33"/>
  <c r="CE86" i="33"/>
  <c r="CL70" i="33"/>
  <c r="CN70" i="33" s="1"/>
  <c r="AY104" i="33"/>
  <c r="AX104" i="33"/>
  <c r="CN102" i="33"/>
  <c r="CN95" i="33"/>
  <c r="CF88" i="33"/>
  <c r="CE88" i="33"/>
  <c r="BE87" i="33"/>
  <c r="CG82" i="33"/>
  <c r="CH82" i="33" s="1"/>
  <c r="CE76" i="33"/>
  <c r="CF76" i="33"/>
  <c r="CF73" i="33"/>
  <c r="CE73" i="33"/>
  <c r="BV67" i="33"/>
  <c r="BX67" i="33" s="1"/>
  <c r="BY67" i="33" s="1"/>
  <c r="BC67" i="33"/>
  <c r="BE67" i="33" s="1"/>
  <c r="AX58" i="33"/>
  <c r="AY58" i="33"/>
  <c r="CW76" i="33"/>
  <c r="AR76" i="33"/>
  <c r="CL62" i="33"/>
  <c r="CN62" i="33" s="1"/>
  <c r="CF77" i="33"/>
  <c r="CE77" i="33"/>
  <c r="CS55" i="33"/>
  <c r="CV55" i="33" s="1"/>
  <c r="CW55" i="33" s="1"/>
  <c r="CL64" i="33"/>
  <c r="CN64" i="33" s="1"/>
  <c r="AY51" i="33"/>
  <c r="AX51" i="33"/>
  <c r="CN42" i="33"/>
  <c r="BV34" i="33"/>
  <c r="BX34" i="33" s="1"/>
  <c r="BY34" i="33" s="1"/>
  <c r="BC34" i="33"/>
  <c r="BE34" i="33" s="1"/>
  <c r="AX27" i="33"/>
  <c r="AY27" i="33"/>
  <c r="BV26" i="33"/>
  <c r="BX26" i="33" s="1"/>
  <c r="BY26" i="33" s="1"/>
  <c r="BC26" i="33"/>
  <c r="BE26" i="33" s="1"/>
  <c r="AY23" i="33"/>
  <c r="AX23" i="33"/>
  <c r="BV22" i="33"/>
  <c r="BX22" i="33" s="1"/>
  <c r="BY22" i="33" s="1"/>
  <c r="BC22" i="33"/>
  <c r="BE22" i="33" s="1"/>
  <c r="BI14" i="33"/>
  <c r="AM143" i="33"/>
  <c r="BS59" i="33"/>
  <c r="BH59" i="33"/>
  <c r="BI59" i="33" s="1"/>
  <c r="AZ59" i="33"/>
  <c r="R59" i="33"/>
  <c r="CS59" i="33" s="1"/>
  <c r="CV59" i="33" s="1"/>
  <c r="CW59" i="33" s="1"/>
  <c r="AY38" i="33"/>
  <c r="AX38" i="33"/>
  <c r="AY110" i="33"/>
  <c r="AX110" i="33"/>
  <c r="CL91" i="33"/>
  <c r="CN91" i="33" s="1"/>
  <c r="CO77" i="33"/>
  <c r="AH77" i="33"/>
  <c r="CM77" i="33" s="1"/>
  <c r="CJ77" i="33"/>
  <c r="CL77" i="33" s="1"/>
  <c r="AR67" i="33"/>
  <c r="CV66" i="33"/>
  <c r="CW66" i="33" s="1"/>
  <c r="CL55" i="33"/>
  <c r="CN55" i="33" s="1"/>
  <c r="AR51" i="33"/>
  <c r="CS50" i="33"/>
  <c r="CL43" i="33"/>
  <c r="CN43" i="33" s="1"/>
  <c r="CL40" i="33"/>
  <c r="CN40" i="33" s="1"/>
  <c r="CG38" i="33"/>
  <c r="CH38" i="33" s="1"/>
  <c r="AX36" i="33"/>
  <c r="AY36" i="33"/>
  <c r="CF25" i="33"/>
  <c r="CE25" i="33"/>
  <c r="CL20" i="33"/>
  <c r="CN20" i="33" s="1"/>
  <c r="BG143" i="33"/>
  <c r="CT60" i="33"/>
  <c r="CV42" i="33"/>
  <c r="CW42" i="33" s="1"/>
  <c r="CV69" i="33"/>
  <c r="CW69" i="33" s="1"/>
  <c r="CJ58" i="33"/>
  <c r="CL58" i="33" s="1"/>
  <c r="AY44" i="33"/>
  <c r="AX44" i="33"/>
  <c r="DH44" i="33"/>
  <c r="AR44" i="33"/>
  <c r="CU43" i="33"/>
  <c r="AY42" i="33"/>
  <c r="AX42" i="33"/>
  <c r="CL41" i="33"/>
  <c r="CN41" i="33" s="1"/>
  <c r="CS34" i="33"/>
  <c r="CV34" i="33" s="1"/>
  <c r="CW34" i="33" s="1"/>
  <c r="AY33" i="33"/>
  <c r="AX33" i="33"/>
  <c r="AY31" i="33"/>
  <c r="AX31" i="33"/>
  <c r="AY29" i="33"/>
  <c r="AX29" i="33"/>
  <c r="CS26" i="33"/>
  <c r="CV26" i="33" s="1"/>
  <c r="CW26" i="33" s="1"/>
  <c r="CL25" i="33"/>
  <c r="CN25" i="33" s="1"/>
  <c r="BF29" i="33"/>
  <c r="BE29" i="33"/>
  <c r="CF36" i="33"/>
  <c r="CE36" i="33"/>
  <c r="CU26" i="33"/>
  <c r="AR14" i="33"/>
  <c r="CU14" i="33"/>
  <c r="CE15" i="33"/>
  <c r="CF15" i="33"/>
  <c r="CV20" i="33"/>
  <c r="CW20" i="33" s="1"/>
  <c r="AR18" i="33"/>
  <c r="CF26" i="33"/>
  <c r="CE26" i="33"/>
  <c r="CV16" i="33"/>
  <c r="CW16" i="33" s="1"/>
  <c r="BL143" i="33"/>
  <c r="BQ14" i="33"/>
  <c r="CF34" i="33"/>
  <c r="CE34" i="33"/>
  <c r="CT16" i="33"/>
  <c r="CM142" i="33"/>
  <c r="CN142" i="33" s="1"/>
  <c r="AR142" i="33"/>
  <c r="BF121" i="33"/>
  <c r="BE121" i="33"/>
  <c r="CF130" i="33"/>
  <c r="CE130" i="33"/>
  <c r="BF120" i="33"/>
  <c r="BE120" i="33"/>
  <c r="BV118" i="33"/>
  <c r="BC118" i="33"/>
  <c r="CT118" i="33"/>
  <c r="DB75" i="33"/>
  <c r="CS75" i="33"/>
  <c r="AZ75" i="33"/>
  <c r="DA75" i="33"/>
  <c r="AQ75" i="33"/>
  <c r="CQ75" i="33"/>
  <c r="AP75" i="33"/>
  <c r="CT75" i="33"/>
  <c r="AS75" i="33"/>
  <c r="CP75" i="33"/>
  <c r="AO75" i="33"/>
  <c r="DB71" i="33"/>
  <c r="CS71" i="33"/>
  <c r="AZ71" i="33"/>
  <c r="DA71" i="33"/>
  <c r="AQ71" i="33"/>
  <c r="CQ71" i="33"/>
  <c r="AP71" i="33"/>
  <c r="CP71" i="33"/>
  <c r="AO71" i="33"/>
  <c r="AS71" i="33"/>
  <c r="CT71" i="33"/>
  <c r="CL45" i="33"/>
  <c r="BE57" i="33"/>
  <c r="BF57" i="33"/>
  <c r="BS37" i="33"/>
  <c r="BH37" i="33"/>
  <c r="BI37" i="33" s="1"/>
  <c r="AZ37" i="33"/>
  <c r="R37" i="33"/>
  <c r="CU37" i="33" s="1"/>
  <c r="AX20" i="33"/>
  <c r="AY20" i="33"/>
  <c r="AY101" i="33"/>
  <c r="AX101" i="33"/>
  <c r="AY37" i="33"/>
  <c r="AX37" i="33"/>
  <c r="BC28" i="33"/>
  <c r="BE28" i="33" s="1"/>
  <c r="BV28" i="33"/>
  <c r="BS27" i="33"/>
  <c r="BH27" i="33"/>
  <c r="BI27" i="33" s="1"/>
  <c r="AZ27" i="33"/>
  <c r="R27" i="33"/>
  <c r="CU27" i="33" s="1"/>
  <c r="CF56" i="33"/>
  <c r="CE56" i="33"/>
  <c r="BF31" i="33"/>
  <c r="BE31" i="33"/>
  <c r="CW35" i="33"/>
  <c r="CE39" i="33"/>
  <c r="CF39" i="33"/>
  <c r="BV24" i="33"/>
  <c r="BX24" i="33" s="1"/>
  <c r="BY24" i="33" s="1"/>
  <c r="BC24" i="33"/>
  <c r="CS43" i="33"/>
  <c r="CV43" i="33" s="1"/>
  <c r="CW43" i="33" s="1"/>
  <c r="AR19" i="33"/>
  <c r="CX140" i="33"/>
  <c r="DI140" i="33"/>
  <c r="CQ140" i="33"/>
  <c r="AT140" i="33"/>
  <c r="AT143" i="33" s="1"/>
  <c r="AP140" i="33"/>
  <c r="CY140" i="33"/>
  <c r="CH140" i="33"/>
  <c r="AJ8" i="33"/>
  <c r="CJ141" i="33"/>
  <c r="DA140" i="33"/>
  <c r="AQ140" i="33"/>
  <c r="BA140" i="33"/>
  <c r="BA143" i="33" s="1"/>
  <c r="DA136" i="33"/>
  <c r="AU136" i="33"/>
  <c r="AX136" i="33" s="1"/>
  <c r="AQ136" i="33"/>
  <c r="DI136" i="33"/>
  <c r="AY131" i="33"/>
  <c r="AX131" i="33"/>
  <c r="BE132" i="33"/>
  <c r="BF132" i="33"/>
  <c r="AY133" i="33"/>
  <c r="AX133" i="33"/>
  <c r="CF132" i="33"/>
  <c r="CE132" i="33"/>
  <c r="CO135" i="33"/>
  <c r="CJ135" i="33"/>
  <c r="CL135" i="33" s="1"/>
  <c r="AH135" i="33"/>
  <c r="CM135" i="33" s="1"/>
  <c r="CF128" i="33"/>
  <c r="CE128" i="33"/>
  <c r="BF130" i="33"/>
  <c r="BE130" i="33"/>
  <c r="AX130" i="33"/>
  <c r="AY130" i="33"/>
  <c r="CC127" i="33"/>
  <c r="CB127" i="33"/>
  <c r="BU140" i="33"/>
  <c r="CA140" i="33" s="1"/>
  <c r="CD140" i="33" s="1"/>
  <c r="BB140" i="33"/>
  <c r="R140" i="33"/>
  <c r="DB140" i="33"/>
  <c r="CN140" i="33"/>
  <c r="CB141" i="33"/>
  <c r="CC141" i="33"/>
  <c r="AY134" i="33"/>
  <c r="AX134" i="33"/>
  <c r="CH136" i="33"/>
  <c r="AO136" i="33"/>
  <c r="BE131" i="33"/>
  <c r="BF131" i="33"/>
  <c r="BE138" i="33"/>
  <c r="AR134" i="33"/>
  <c r="CL129" i="33"/>
  <c r="CN129" i="33" s="1"/>
  <c r="CL128" i="33"/>
  <c r="CN128" i="33" s="1"/>
  <c r="CL137" i="33"/>
  <c r="CN137" i="33" s="1"/>
  <c r="AX135" i="33"/>
  <c r="AY135" i="33"/>
  <c r="CV133" i="33"/>
  <c r="CW133" i="33" s="1"/>
  <c r="AR133" i="33"/>
  <c r="CF129" i="33"/>
  <c r="CE129" i="33"/>
  <c r="BF125" i="33"/>
  <c r="BE125" i="33"/>
  <c r="BF123" i="33"/>
  <c r="BE123" i="33"/>
  <c r="AP135" i="33"/>
  <c r="DA135" i="33"/>
  <c r="AO135" i="33"/>
  <c r="AQ135" i="33"/>
  <c r="CT135" i="33"/>
  <c r="BB136" i="33"/>
  <c r="CV130" i="33"/>
  <c r="CW130" i="33" s="1"/>
  <c r="BF129" i="33"/>
  <c r="BE129" i="33"/>
  <c r="BF126" i="33"/>
  <c r="BE126" i="33"/>
  <c r="BF124" i="33"/>
  <c r="BE124" i="33"/>
  <c r="CV125" i="33"/>
  <c r="CW125" i="33" s="1"/>
  <c r="CE122" i="33"/>
  <c r="CF122" i="33"/>
  <c r="AH110" i="33"/>
  <c r="CM110" i="33" s="1"/>
  <c r="CO110" i="33"/>
  <c r="CJ110" i="33"/>
  <c r="CL110" i="33" s="1"/>
  <c r="BF103" i="33"/>
  <c r="BE103" i="33"/>
  <c r="AX126" i="33"/>
  <c r="CN125" i="33"/>
  <c r="CF120" i="33"/>
  <c r="CE120" i="33"/>
  <c r="DB135" i="33"/>
  <c r="CV122" i="33"/>
  <c r="CW122" i="33" s="1"/>
  <c r="CS118" i="33"/>
  <c r="CV118" i="33" s="1"/>
  <c r="CW118" i="33" s="1"/>
  <c r="CU118" i="33"/>
  <c r="CL116" i="33"/>
  <c r="CV121" i="33"/>
  <c r="CW121" i="33" s="1"/>
  <c r="BS109" i="33"/>
  <c r="BH109" i="33"/>
  <c r="BI109" i="33" s="1"/>
  <c r="AZ109" i="33"/>
  <c r="R109" i="33"/>
  <c r="CT109" i="33" s="1"/>
  <c r="AY105" i="33"/>
  <c r="AX105" i="33"/>
  <c r="BV101" i="33"/>
  <c r="BX101" i="33" s="1"/>
  <c r="BY101" i="33" s="1"/>
  <c r="BC101" i="33"/>
  <c r="BF101" i="33" s="1"/>
  <c r="CG94" i="33"/>
  <c r="CH94" i="33" s="1"/>
  <c r="AY88" i="33"/>
  <c r="AX88" i="33"/>
  <c r="BS86" i="33"/>
  <c r="BH86" i="33"/>
  <c r="BI86" i="33" s="1"/>
  <c r="R86" i="33"/>
  <c r="CT86" i="33" s="1"/>
  <c r="AZ86" i="33"/>
  <c r="CF121" i="33"/>
  <c r="CE121" i="33"/>
  <c r="CF102" i="33"/>
  <c r="CE102" i="33"/>
  <c r="AX93" i="33"/>
  <c r="AY93" i="33"/>
  <c r="CT91" i="33"/>
  <c r="CV88" i="33"/>
  <c r="CW88" i="33" s="1"/>
  <c r="AR114" i="33"/>
  <c r="CE111" i="33"/>
  <c r="CF111" i="33"/>
  <c r="CN111" i="33"/>
  <c r="CS101" i="33"/>
  <c r="CV101" i="33" s="1"/>
  <c r="CW101" i="33" s="1"/>
  <c r="AY94" i="33"/>
  <c r="AX94" i="33"/>
  <c r="AR108" i="33"/>
  <c r="CW98" i="33"/>
  <c r="CM98" i="33"/>
  <c r="CN98" i="33" s="1"/>
  <c r="AR91" i="33"/>
  <c r="DJ85" i="33"/>
  <c r="BS79" i="33"/>
  <c r="R79" i="33"/>
  <c r="AZ79" i="33"/>
  <c r="BH79" i="33"/>
  <c r="BI79" i="33" s="1"/>
  <c r="CE131" i="33"/>
  <c r="CF131" i="33"/>
  <c r="CU101" i="33"/>
  <c r="CU95" i="33"/>
  <c r="CS93" i="33"/>
  <c r="CV93" i="33" s="1"/>
  <c r="CW93" i="33" s="1"/>
  <c r="BE81" i="33"/>
  <c r="BF81" i="33"/>
  <c r="CV104" i="33"/>
  <c r="CW104" i="33" s="1"/>
  <c r="CN96" i="33"/>
  <c r="CN81" i="33"/>
  <c r="CL68" i="33"/>
  <c r="CN68" i="33" s="1"/>
  <c r="AY65" i="33"/>
  <c r="AX65" i="33"/>
  <c r="CF108" i="33"/>
  <c r="CE108" i="33"/>
  <c r="BS83" i="33"/>
  <c r="BH83" i="33"/>
  <c r="BI83" i="33" s="1"/>
  <c r="AZ83" i="33"/>
  <c r="R83" i="33"/>
  <c r="CF80" i="33"/>
  <c r="CE80" i="33"/>
  <c r="CU80" i="33"/>
  <c r="CF74" i="33"/>
  <c r="CE74" i="33"/>
  <c r="CT67" i="33"/>
  <c r="CS67" i="33"/>
  <c r="CV67" i="33" s="1"/>
  <c r="CW67" i="33" s="1"/>
  <c r="BS63" i="33"/>
  <c r="R63" i="33"/>
  <c r="AZ63" i="33"/>
  <c r="BH63" i="33"/>
  <c r="BI63" i="33" s="1"/>
  <c r="AH60" i="33"/>
  <c r="CM60" i="33" s="1"/>
  <c r="CO60" i="33"/>
  <c r="CJ60" i="33"/>
  <c r="CL60" i="33" s="1"/>
  <c r="BS54" i="33"/>
  <c r="AZ54" i="33"/>
  <c r="R54" i="33"/>
  <c r="CU54" i="33" s="1"/>
  <c r="BH54" i="33"/>
  <c r="BI54" i="33" s="1"/>
  <c r="AY52" i="33"/>
  <c r="AX52" i="33"/>
  <c r="BV51" i="33"/>
  <c r="BX51" i="33" s="1"/>
  <c r="BY51" i="33" s="1"/>
  <c r="BC51" i="33"/>
  <c r="BE51" i="33" s="1"/>
  <c r="BV116" i="33"/>
  <c r="BX116" i="33" s="1"/>
  <c r="BY116" i="33" s="1"/>
  <c r="BC116" i="33"/>
  <c r="BF116" i="33" s="1"/>
  <c r="CT116" i="33"/>
  <c r="CN84" i="33"/>
  <c r="AR83" i="33"/>
  <c r="CF82" i="33"/>
  <c r="CE82" i="33"/>
  <c r="CF78" i="33"/>
  <c r="CE78" i="33"/>
  <c r="AX66" i="33"/>
  <c r="CS64" i="33"/>
  <c r="CV64" i="33" s="1"/>
  <c r="CW64" i="33" s="1"/>
  <c r="BE56" i="33"/>
  <c r="BF56" i="33"/>
  <c r="BE46" i="33"/>
  <c r="BF46" i="33"/>
  <c r="CF124" i="33"/>
  <c r="CE124" i="33"/>
  <c r="CF112" i="33"/>
  <c r="CE112" i="33"/>
  <c r="CE84" i="33"/>
  <c r="CF84" i="33"/>
  <c r="CL63" i="33"/>
  <c r="CN63" i="33" s="1"/>
  <c r="CG61" i="33"/>
  <c r="CH61" i="33" s="1"/>
  <c r="BF58" i="33"/>
  <c r="BE58" i="33"/>
  <c r="AR56" i="33"/>
  <c r="AY54" i="33"/>
  <c r="AX54" i="33"/>
  <c r="CS51" i="33"/>
  <c r="CV51" i="33" s="1"/>
  <c r="CW51" i="33" s="1"/>
  <c r="CA50" i="33"/>
  <c r="BQ50" i="33"/>
  <c r="BR50" i="33" s="1"/>
  <c r="CF79" i="33"/>
  <c r="CE79" i="33"/>
  <c r="CE57" i="33"/>
  <c r="CF57" i="33"/>
  <c r="CN53" i="33"/>
  <c r="CG37" i="33"/>
  <c r="CH37" i="33" s="1"/>
  <c r="BE35" i="33"/>
  <c r="BF35" i="33"/>
  <c r="CG33" i="33"/>
  <c r="CH33" i="33" s="1"/>
  <c r="CG25" i="33"/>
  <c r="CH25" i="33" s="1"/>
  <c r="CG21" i="33"/>
  <c r="CH21" i="33" s="1"/>
  <c r="BF19" i="33"/>
  <c r="BE19" i="33"/>
  <c r="BS17" i="33"/>
  <c r="R17" i="33"/>
  <c r="CS17" i="33" s="1"/>
  <c r="CV17" i="33" s="1"/>
  <c r="CW17" i="33" s="1"/>
  <c r="AZ17" i="33"/>
  <c r="BH17" i="33"/>
  <c r="BI17" i="33" s="1"/>
  <c r="AI143" i="33"/>
  <c r="CU55" i="33"/>
  <c r="BF42" i="33"/>
  <c r="BE42" i="33"/>
  <c r="CN115" i="33"/>
  <c r="CQ77" i="33"/>
  <c r="AP77" i="33"/>
  <c r="CT77" i="33"/>
  <c r="CP77" i="33"/>
  <c r="AS77" i="33"/>
  <c r="AO77" i="33"/>
  <c r="DB77" i="33"/>
  <c r="CS77" i="33"/>
  <c r="AZ77" i="33"/>
  <c r="AQ77" i="33"/>
  <c r="DA77" i="33"/>
  <c r="CR57" i="33"/>
  <c r="CR143" i="33" s="1"/>
  <c r="CU50" i="33"/>
  <c r="BS44" i="33"/>
  <c r="CG44" i="33"/>
  <c r="CH44" i="33" s="1"/>
  <c r="AZ44" i="33"/>
  <c r="R44" i="33"/>
  <c r="CS44" i="33" s="1"/>
  <c r="CV44" i="33" s="1"/>
  <c r="CW44" i="33" s="1"/>
  <c r="CF41" i="33"/>
  <c r="CE41" i="33"/>
  <c r="CL36" i="33"/>
  <c r="CN36" i="33" s="1"/>
  <c r="CT34" i="33"/>
  <c r="CF31" i="33"/>
  <c r="CE31" i="33"/>
  <c r="AX24" i="33"/>
  <c r="AY24" i="33"/>
  <c r="CL16" i="33"/>
  <c r="CN16" i="33" s="1"/>
  <c r="CT14" i="33"/>
  <c r="CF69" i="33"/>
  <c r="CE69" i="33"/>
  <c r="CF47" i="33"/>
  <c r="CE47" i="33"/>
  <c r="AR69" i="33"/>
  <c r="CE65" i="33"/>
  <c r="CF65" i="33"/>
  <c r="AR47" i="33"/>
  <c r="CB42" i="33"/>
  <c r="CC42" i="33"/>
  <c r="BS39" i="33"/>
  <c r="BH39" i="33"/>
  <c r="BI39" i="33" s="1"/>
  <c r="AZ39" i="33"/>
  <c r="R39" i="33"/>
  <c r="CG39" i="33"/>
  <c r="CH39" i="33" s="1"/>
  <c r="CB35" i="33"/>
  <c r="CC35" i="33"/>
  <c r="CL33" i="33"/>
  <c r="CN33" i="33" s="1"/>
  <c r="CL21" i="33"/>
  <c r="CN21" i="33" s="1"/>
  <c r="CL17" i="33"/>
  <c r="CN17" i="33" s="1"/>
  <c r="CS14" i="33"/>
  <c r="CN65" i="33"/>
  <c r="AY34" i="33"/>
  <c r="AX34" i="33"/>
  <c r="BG8" i="33"/>
  <c r="CU16" i="33"/>
  <c r="CS40" i="33"/>
  <c r="CV40" i="33" s="1"/>
  <c r="CW40" i="33" s="1"/>
  <c r="CU24" i="33"/>
  <c r="CE23" i="33"/>
  <c r="CF23" i="33"/>
  <c r="CF21" i="33"/>
  <c r="CE21" i="33"/>
  <c r="BS15" i="33"/>
  <c r="BH15" i="33"/>
  <c r="BI15" i="33" s="1"/>
  <c r="AZ15" i="33"/>
  <c r="R15" i="33"/>
  <c r="CF38" i="33"/>
  <c r="CE38" i="33"/>
  <c r="CV24" i="33"/>
  <c r="CW24" i="33" s="1"/>
  <c r="CF19" i="33"/>
  <c r="CE19" i="33"/>
  <c r="CH14" i="33"/>
  <c r="AX14" i="33"/>
  <c r="CF24" i="33" l="1"/>
  <c r="CE134" i="33"/>
  <c r="AY47" i="33"/>
  <c r="CE94" i="33"/>
  <c r="CE105" i="33"/>
  <c r="CF103" i="33"/>
  <c r="CE71" i="33"/>
  <c r="AR72" i="33"/>
  <c r="CE110" i="33"/>
  <c r="CE52" i="33"/>
  <c r="CF27" i="33"/>
  <c r="CN74" i="33"/>
  <c r="CK8" i="33"/>
  <c r="CK6" i="33" s="1"/>
  <c r="CK4" i="33" s="1"/>
  <c r="CE22" i="33"/>
  <c r="CE18" i="33"/>
  <c r="CW74" i="33"/>
  <c r="AR74" i="33"/>
  <c r="BD136" i="33"/>
  <c r="BD143" i="33" s="1"/>
  <c r="DM136" i="33"/>
  <c r="CE116" i="33"/>
  <c r="BE76" i="33"/>
  <c r="CV123" i="33"/>
  <c r="BV70" i="33"/>
  <c r="BX70" i="33" s="1"/>
  <c r="BY70" i="33" s="1"/>
  <c r="CF61" i="33"/>
  <c r="BF67" i="33"/>
  <c r="CF28" i="33"/>
  <c r="BC106" i="33"/>
  <c r="CT24" i="33"/>
  <c r="BV106" i="33"/>
  <c r="CF137" i="33"/>
  <c r="CK143" i="33"/>
  <c r="CE66" i="33"/>
  <c r="CE89" i="33"/>
  <c r="BE118" i="33"/>
  <c r="AR73" i="33"/>
  <c r="CF16" i="33"/>
  <c r="CE92" i="33"/>
  <c r="CV50" i="33"/>
  <c r="CW50" i="33" s="1"/>
  <c r="CT106" i="33"/>
  <c r="BC70" i="33"/>
  <c r="CT40" i="33"/>
  <c r="BF50" i="33"/>
  <c r="CT70" i="33"/>
  <c r="CE114" i="33"/>
  <c r="CO141" i="33"/>
  <c r="CO143" i="33" s="1"/>
  <c r="AR71" i="33"/>
  <c r="BF43" i="33"/>
  <c r="CE20" i="33"/>
  <c r="CF96" i="33"/>
  <c r="CF115" i="33"/>
  <c r="BE62" i="33"/>
  <c r="CT89" i="33"/>
  <c r="CS70" i="33"/>
  <c r="CV70" i="33" s="1"/>
  <c r="CW70" i="33" s="1"/>
  <c r="CF46" i="33"/>
  <c r="CE64" i="33"/>
  <c r="BX28" i="33"/>
  <c r="BY28" i="33" s="1"/>
  <c r="CS106" i="33"/>
  <c r="CV106" i="33" s="1"/>
  <c r="CW106" i="33" s="1"/>
  <c r="CV60" i="33"/>
  <c r="CW60" i="33" s="1"/>
  <c r="CV72" i="33"/>
  <c r="CW72" i="33" s="1"/>
  <c r="BF24" i="33"/>
  <c r="CS89" i="33"/>
  <c r="CV89" i="33" s="1"/>
  <c r="CW89" i="33" s="1"/>
  <c r="BC89" i="33"/>
  <c r="DB141" i="33"/>
  <c r="AP141" i="33"/>
  <c r="AP8" i="33" s="1"/>
  <c r="AR75" i="33"/>
  <c r="BV89" i="33"/>
  <c r="BX89" i="33" s="1"/>
  <c r="BY89" i="33" s="1"/>
  <c r="CP141" i="33"/>
  <c r="CN123" i="33"/>
  <c r="BC41" i="33"/>
  <c r="CS41" i="33"/>
  <c r="CV41" i="33" s="1"/>
  <c r="CW41" i="33" s="1"/>
  <c r="BV41" i="33"/>
  <c r="BX41" i="33" s="1"/>
  <c r="BY41" i="33" s="1"/>
  <c r="CU41" i="33"/>
  <c r="BF62" i="33"/>
  <c r="CE125" i="33"/>
  <c r="AO141" i="33"/>
  <c r="AO143" i="33" s="1"/>
  <c r="AL8" i="33"/>
  <c r="AV141" i="33"/>
  <c r="CT141" i="33"/>
  <c r="BE14" i="33"/>
  <c r="CE87" i="33"/>
  <c r="CT114" i="33"/>
  <c r="BE128" i="33"/>
  <c r="CT61" i="33"/>
  <c r="CE44" i="33"/>
  <c r="CX143" i="33"/>
  <c r="CS114" i="33"/>
  <c r="CV114" i="33" s="1"/>
  <c r="CW114" i="33" s="1"/>
  <c r="CN116" i="33"/>
  <c r="BX136" i="33"/>
  <c r="BY136" i="33" s="1"/>
  <c r="CE135" i="33"/>
  <c r="BC114" i="33"/>
  <c r="CE54" i="33"/>
  <c r="BE50" i="33"/>
  <c r="CW123" i="33"/>
  <c r="BE40" i="33"/>
  <c r="BZ143" i="33"/>
  <c r="AX57" i="33"/>
  <c r="BF106" i="33"/>
  <c r="CS92" i="33"/>
  <c r="CV92" i="33" s="1"/>
  <c r="CW92" i="33" s="1"/>
  <c r="AR123" i="33"/>
  <c r="CN50" i="33"/>
  <c r="BE136" i="33"/>
  <c r="DI143" i="33"/>
  <c r="CU100" i="33"/>
  <c r="CF75" i="33"/>
  <c r="CE75" i="33"/>
  <c r="CT68" i="33"/>
  <c r="CT100" i="33"/>
  <c r="CS85" i="33"/>
  <c r="CV85" i="33" s="1"/>
  <c r="CW85" i="33" s="1"/>
  <c r="CM136" i="33"/>
  <c r="CF45" i="33"/>
  <c r="AX72" i="33"/>
  <c r="CE29" i="33"/>
  <c r="CT44" i="33"/>
  <c r="CE95" i="33"/>
  <c r="BF60" i="33"/>
  <c r="CS111" i="33"/>
  <c r="CV111" i="33" s="1"/>
  <c r="CW111" i="33" s="1"/>
  <c r="BQ57" i="33"/>
  <c r="BR57" i="33" s="1"/>
  <c r="CN71" i="33"/>
  <c r="CT111" i="33"/>
  <c r="CE91" i="33"/>
  <c r="BV85" i="33"/>
  <c r="BX85" i="33" s="1"/>
  <c r="BY85" i="33" s="1"/>
  <c r="CE83" i="33"/>
  <c r="BF110" i="33"/>
  <c r="CT25" i="33"/>
  <c r="BF93" i="33"/>
  <c r="AR136" i="33"/>
  <c r="BF16" i="33"/>
  <c r="BE85" i="33"/>
  <c r="BE106" i="33"/>
  <c r="CU86" i="33"/>
  <c r="CB140" i="33"/>
  <c r="CF140" i="33" s="1"/>
  <c r="BF36" i="33"/>
  <c r="DA143" i="33"/>
  <c r="BE20" i="33"/>
  <c r="BF28" i="33"/>
  <c r="CT59" i="33"/>
  <c r="CU59" i="33"/>
  <c r="CS68" i="33"/>
  <c r="CV68" i="33" s="1"/>
  <c r="CW68" i="33" s="1"/>
  <c r="CY143" i="33"/>
  <c r="CT92" i="33"/>
  <c r="CN75" i="33"/>
  <c r="BX106" i="33"/>
  <c r="BY106" i="33" s="1"/>
  <c r="CL136" i="33"/>
  <c r="BF135" i="33"/>
  <c r="BF108" i="33"/>
  <c r="BB143" i="33"/>
  <c r="CE72" i="33"/>
  <c r="CT115" i="33"/>
  <c r="CT38" i="33"/>
  <c r="BC45" i="33"/>
  <c r="BE45" i="33" s="1"/>
  <c r="BV45" i="33"/>
  <c r="BX45" i="33" s="1"/>
  <c r="BY45" i="33" s="1"/>
  <c r="CU45" i="33"/>
  <c r="CS54" i="33"/>
  <c r="CV54" i="33" s="1"/>
  <c r="CW54" i="33" s="1"/>
  <c r="CU109" i="33"/>
  <c r="CN110" i="33"/>
  <c r="DJ136" i="33"/>
  <c r="CU23" i="33"/>
  <c r="BE60" i="33"/>
  <c r="CE81" i="33"/>
  <c r="CE101" i="33"/>
  <c r="CU115" i="33"/>
  <c r="CN73" i="33"/>
  <c r="CN60" i="33"/>
  <c r="BF136" i="33"/>
  <c r="CT27" i="33"/>
  <c r="BF22" i="33"/>
  <c r="BU143" i="33"/>
  <c r="AU143" i="33"/>
  <c r="AG143" i="33"/>
  <c r="BF26" i="33"/>
  <c r="CN45" i="33"/>
  <c r="CF133" i="33"/>
  <c r="CF106" i="33"/>
  <c r="CE106" i="33"/>
  <c r="CQ141" i="33"/>
  <c r="CQ143" i="33" s="1"/>
  <c r="CS141" i="33"/>
  <c r="CV141" i="33" s="1"/>
  <c r="AQ141" i="33"/>
  <c r="AQ143" i="33" s="1"/>
  <c r="AL143" i="33"/>
  <c r="BC141" i="33"/>
  <c r="BF141" i="33" s="1"/>
  <c r="CE62" i="33"/>
  <c r="CF62" i="33"/>
  <c r="AR77" i="33"/>
  <c r="DB143" i="33"/>
  <c r="BE55" i="33"/>
  <c r="BW143" i="33"/>
  <c r="CF70" i="33"/>
  <c r="CE70" i="33"/>
  <c r="CT85" i="33"/>
  <c r="CU85" i="33"/>
  <c r="BF34" i="33"/>
  <c r="CS109" i="33"/>
  <c r="CV109" i="33" s="1"/>
  <c r="CW109" i="33" s="1"/>
  <c r="CV75" i="33"/>
  <c r="CW75" i="33" s="1"/>
  <c r="DI8" i="33"/>
  <c r="CS23" i="33"/>
  <c r="CV23" i="33" s="1"/>
  <c r="CW23" i="33" s="1"/>
  <c r="BE135" i="33"/>
  <c r="CT45" i="33"/>
  <c r="CN135" i="33"/>
  <c r="BX118" i="33"/>
  <c r="BY118" i="33" s="1"/>
  <c r="CF97" i="33"/>
  <c r="CE97" i="33"/>
  <c r="CE90" i="33"/>
  <c r="CF90" i="33"/>
  <c r="BF47" i="33"/>
  <c r="Z6" i="33"/>
  <c r="BV15" i="33"/>
  <c r="BX15" i="33" s="1"/>
  <c r="BY15" i="33" s="1"/>
  <c r="BC15" i="33"/>
  <c r="BE15" i="33" s="1"/>
  <c r="BS143" i="33"/>
  <c r="BV39" i="33"/>
  <c r="BX39" i="33" s="1"/>
  <c r="BY39" i="33" s="1"/>
  <c r="BC39" i="33"/>
  <c r="BE39" i="33" s="1"/>
  <c r="CS39" i="33"/>
  <c r="CV39" i="33" s="1"/>
  <c r="CW39" i="33" s="1"/>
  <c r="BC63" i="33"/>
  <c r="BE63" i="33" s="1"/>
  <c r="BV63" i="33"/>
  <c r="BX63" i="33" s="1"/>
  <c r="BY63" i="33" s="1"/>
  <c r="CT63" i="33"/>
  <c r="BC83" i="33"/>
  <c r="BF83" i="33" s="1"/>
  <c r="BV83" i="33"/>
  <c r="BX83" i="33" s="1"/>
  <c r="BY83" i="33" s="1"/>
  <c r="CT83" i="33"/>
  <c r="BC79" i="33"/>
  <c r="BF79" i="33" s="1"/>
  <c r="BV79" i="33"/>
  <c r="BX79" i="33" s="1"/>
  <c r="BY79" i="33" s="1"/>
  <c r="BC140" i="33"/>
  <c r="BF140" i="33" s="1"/>
  <c r="BV140" i="33"/>
  <c r="CS140" i="33"/>
  <c r="CV140" i="33" s="1"/>
  <c r="CW140" i="33" s="1"/>
  <c r="CT140" i="33"/>
  <c r="AR140" i="33"/>
  <c r="DH140" i="33"/>
  <c r="AR110" i="33"/>
  <c r="AY71" i="33"/>
  <c r="AX71" i="33"/>
  <c r="AY75" i="33"/>
  <c r="AX75" i="33"/>
  <c r="BI143" i="33"/>
  <c r="BI8" i="33"/>
  <c r="BF51" i="33"/>
  <c r="BV82" i="33"/>
  <c r="BC82" i="33"/>
  <c r="BF82" i="33" s="1"/>
  <c r="BE101" i="33"/>
  <c r="AS143" i="33"/>
  <c r="BE24" i="33"/>
  <c r="CV73" i="33"/>
  <c r="CW73" i="33" s="1"/>
  <c r="BE91" i="33"/>
  <c r="BF118" i="33"/>
  <c r="BC117" i="33"/>
  <c r="BF117" i="33" s="1"/>
  <c r="BV117" i="33"/>
  <c r="BX117" i="33" s="1"/>
  <c r="BY117" i="33" s="1"/>
  <c r="CS117" i="33"/>
  <c r="CV117" i="33" s="1"/>
  <c r="CW117" i="33" s="1"/>
  <c r="AY141" i="33"/>
  <c r="AX141" i="33"/>
  <c r="CJ8" i="33"/>
  <c r="CJ6" i="33" s="1"/>
  <c r="CJ4" i="33" s="1"/>
  <c r="CF14" i="33"/>
  <c r="CF143" i="33" s="1"/>
  <c r="CE14" i="33"/>
  <c r="CE143" i="33" s="1"/>
  <c r="BC94" i="33"/>
  <c r="BV94" i="33"/>
  <c r="BX94" i="33" s="1"/>
  <c r="BY94" i="33" s="1"/>
  <c r="CG8" i="33"/>
  <c r="CF35" i="33"/>
  <c r="CE35" i="33"/>
  <c r="CF42" i="33"/>
  <c r="CE42" i="33"/>
  <c r="BC44" i="33"/>
  <c r="BF44" i="33" s="1"/>
  <c r="BV44" i="33"/>
  <c r="BX44" i="33" s="1"/>
  <c r="BY44" i="33" s="1"/>
  <c r="CU44" i="33"/>
  <c r="BC17" i="33"/>
  <c r="BE17" i="33" s="1"/>
  <c r="BV17" i="33"/>
  <c r="BX17" i="33" s="1"/>
  <c r="BY17" i="33" s="1"/>
  <c r="CT17" i="33"/>
  <c r="CU63" i="33"/>
  <c r="CU83" i="33"/>
  <c r="AR135" i="33"/>
  <c r="BC37" i="33"/>
  <c r="BE37" i="33" s="1"/>
  <c r="BV37" i="33"/>
  <c r="BX37" i="33" s="1"/>
  <c r="BY37" i="33" s="1"/>
  <c r="CN77" i="33"/>
  <c r="BH8" i="33"/>
  <c r="BX82" i="33"/>
  <c r="BY82" i="33" s="1"/>
  <c r="BC107" i="33"/>
  <c r="BF107" i="33" s="1"/>
  <c r="BV107" i="33"/>
  <c r="BX107" i="33" s="1"/>
  <c r="BY107" i="33" s="1"/>
  <c r="BC113" i="33"/>
  <c r="BE113" i="33" s="1"/>
  <c r="BV113" i="33"/>
  <c r="BX113" i="33" s="1"/>
  <c r="BY113" i="33" s="1"/>
  <c r="CS113" i="33"/>
  <c r="CV113" i="33" s="1"/>
  <c r="CW113" i="33" s="1"/>
  <c r="AY136" i="33"/>
  <c r="BC33" i="33"/>
  <c r="BF33" i="33" s="1"/>
  <c r="BV33" i="33"/>
  <c r="BX33" i="33" s="1"/>
  <c r="BY33" i="33" s="1"/>
  <c r="CW135" i="33"/>
  <c r="AX140" i="33"/>
  <c r="CE85" i="33"/>
  <c r="CF85" i="33"/>
  <c r="CU117" i="33"/>
  <c r="CV14" i="33"/>
  <c r="CJ143" i="33"/>
  <c r="BV38" i="33"/>
  <c r="BX38" i="33" s="1"/>
  <c r="BY38" i="33" s="1"/>
  <c r="BC38" i="33"/>
  <c r="BV61" i="33"/>
  <c r="BX61" i="33" s="1"/>
  <c r="BY61" i="33" s="1"/>
  <c r="BC61" i="33"/>
  <c r="BF61" i="33" s="1"/>
  <c r="BE64" i="33"/>
  <c r="CH143" i="33"/>
  <c r="CH8" i="33"/>
  <c r="CS15" i="33"/>
  <c r="CV15" i="33" s="1"/>
  <c r="CW15" i="33" s="1"/>
  <c r="BF77" i="33"/>
  <c r="BE77" i="33"/>
  <c r="AX77" i="33"/>
  <c r="AY77" i="33"/>
  <c r="CU17" i="33"/>
  <c r="CD50" i="33"/>
  <c r="CB50" i="33"/>
  <c r="CA143" i="33"/>
  <c r="BC54" i="33"/>
  <c r="BF54" i="33" s="1"/>
  <c r="BV54" i="33"/>
  <c r="BX54" i="33" s="1"/>
  <c r="BY54" i="33" s="1"/>
  <c r="CT54" i="33"/>
  <c r="BE83" i="33"/>
  <c r="CU79" i="33"/>
  <c r="CS79" i="33"/>
  <c r="CV79" i="33" s="1"/>
  <c r="CW79" i="33" s="1"/>
  <c r="BV109" i="33"/>
  <c r="BX109" i="33" s="1"/>
  <c r="BY109" i="33" s="1"/>
  <c r="BC109" i="33"/>
  <c r="CU140" i="33"/>
  <c r="CE127" i="33"/>
  <c r="CF127" i="33"/>
  <c r="AH141" i="33"/>
  <c r="AH8" i="33" s="1"/>
  <c r="Z7" i="33" s="1"/>
  <c r="BF37" i="33"/>
  <c r="CS37" i="33"/>
  <c r="CV37" i="33" s="1"/>
  <c r="CW37" i="33" s="1"/>
  <c r="BE116" i="33"/>
  <c r="CV71" i="33"/>
  <c r="CW71" i="33" s="1"/>
  <c r="BF75" i="33"/>
  <c r="BE75" i="33"/>
  <c r="CW110" i="33"/>
  <c r="BQ143" i="33"/>
  <c r="BR14" i="33"/>
  <c r="BV59" i="33"/>
  <c r="BX59" i="33" s="1"/>
  <c r="BY59" i="33" s="1"/>
  <c r="BC59" i="33"/>
  <c r="BH143" i="33"/>
  <c r="CT82" i="33"/>
  <c r="CU82" i="33"/>
  <c r="BE112" i="33"/>
  <c r="CS107" i="33"/>
  <c r="CV107" i="33" s="1"/>
  <c r="CW107" i="33" s="1"/>
  <c r="CT113" i="33"/>
  <c r="BC21" i="33"/>
  <c r="BE21" i="33" s="1"/>
  <c r="BV21" i="33"/>
  <c r="BX21" i="33" s="1"/>
  <c r="BY21" i="33" s="1"/>
  <c r="CT21" i="33"/>
  <c r="CU33" i="33"/>
  <c r="AY140" i="33"/>
  <c r="BC65" i="33"/>
  <c r="BE65" i="33" s="1"/>
  <c r="BV65" i="33"/>
  <c r="BX65" i="33" s="1"/>
  <c r="BY65" i="33" s="1"/>
  <c r="BV115" i="33"/>
  <c r="BX115" i="33" s="1"/>
  <c r="BY115" i="33" s="1"/>
  <c r="BC115" i="33"/>
  <c r="BF115" i="33" s="1"/>
  <c r="AV143" i="33"/>
  <c r="BE95" i="33"/>
  <c r="CT117" i="33"/>
  <c r="CF136" i="33"/>
  <c r="CE136" i="33"/>
  <c r="CP143" i="33"/>
  <c r="AO8" i="33"/>
  <c r="BV23" i="33"/>
  <c r="BX23" i="33" s="1"/>
  <c r="BY23" i="33" s="1"/>
  <c r="BC23" i="33"/>
  <c r="BF23" i="33" s="1"/>
  <c r="CS38" i="33"/>
  <c r="CV38" i="33" s="1"/>
  <c r="CW38" i="33" s="1"/>
  <c r="BE80" i="33"/>
  <c r="CU94" i="33"/>
  <c r="CS94" i="33"/>
  <c r="CV94" i="33" s="1"/>
  <c r="CW94" i="33" s="1"/>
  <c r="CG143" i="33"/>
  <c r="AG8" i="33"/>
  <c r="AF8" i="33" s="1"/>
  <c r="CT15" i="33"/>
  <c r="CU15" i="33"/>
  <c r="CT39" i="33"/>
  <c r="CU39" i="33"/>
  <c r="CV77" i="33"/>
  <c r="CW77" i="33" s="1"/>
  <c r="BF63" i="33"/>
  <c r="CS63" i="33"/>
  <c r="CV63" i="33" s="1"/>
  <c r="CW63" i="33" s="1"/>
  <c r="CS83" i="33"/>
  <c r="CV83" i="33" s="1"/>
  <c r="CW83" i="33" s="1"/>
  <c r="CT79" i="33"/>
  <c r="BC86" i="33"/>
  <c r="BE86" i="33" s="1"/>
  <c r="BV86" i="33"/>
  <c r="BX86" i="33" s="1"/>
  <c r="BY86" i="33" s="1"/>
  <c r="CS86" i="33"/>
  <c r="CV86" i="33" s="1"/>
  <c r="CW86" i="33" s="1"/>
  <c r="DN136" i="33"/>
  <c r="DM143" i="33"/>
  <c r="DN143" i="33" s="1"/>
  <c r="CF141" i="33"/>
  <c r="CE141" i="33"/>
  <c r="CL141" i="33"/>
  <c r="BV27" i="33"/>
  <c r="BX27" i="33" s="1"/>
  <c r="BY27" i="33" s="1"/>
  <c r="BC27" i="33"/>
  <c r="BE27" i="33" s="1"/>
  <c r="CS27" i="33"/>
  <c r="CV27" i="33" s="1"/>
  <c r="CW27" i="33" s="1"/>
  <c r="CT37" i="33"/>
  <c r="BF71" i="33"/>
  <c r="BE71" i="33"/>
  <c r="DJ44" i="33"/>
  <c r="AR60" i="33"/>
  <c r="BC68" i="33"/>
  <c r="BF68" i="33" s="1"/>
  <c r="BV68" i="33"/>
  <c r="BX68" i="33" s="1"/>
  <c r="BY68" i="33" s="1"/>
  <c r="CS82" i="33"/>
  <c r="CV82" i="33" s="1"/>
  <c r="CW82" i="33" s="1"/>
  <c r="CU107" i="33"/>
  <c r="CT107" i="33"/>
  <c r="CU113" i="33"/>
  <c r="CV136" i="33"/>
  <c r="CW136" i="33" s="1"/>
  <c r="AZ143" i="33"/>
  <c r="CU21" i="33"/>
  <c r="BC25" i="33"/>
  <c r="BE25" i="33" s="1"/>
  <c r="BV25" i="33"/>
  <c r="CS25" i="33"/>
  <c r="CV25" i="33" s="1"/>
  <c r="CW25" i="33" s="1"/>
  <c r="CS33" i="33"/>
  <c r="CV33" i="33" s="1"/>
  <c r="CW33" i="33" s="1"/>
  <c r="CU65" i="33"/>
  <c r="CT65" i="33"/>
  <c r="BF73" i="33"/>
  <c r="BE73" i="33"/>
  <c r="AX73" i="33"/>
  <c r="AY73" i="33"/>
  <c r="BV92" i="33"/>
  <c r="BX92" i="33" s="1"/>
  <c r="BY92" i="33" s="1"/>
  <c r="BC92" i="33"/>
  <c r="BF92" i="33" s="1"/>
  <c r="BV111" i="33"/>
  <c r="BX111" i="33" s="1"/>
  <c r="BY111" i="33" s="1"/>
  <c r="BC111" i="33"/>
  <c r="BE111" i="33" s="1"/>
  <c r="BC100" i="33"/>
  <c r="BE100" i="33" s="1"/>
  <c r="BV100" i="33"/>
  <c r="BX100" i="33" s="1"/>
  <c r="BY100" i="33" s="1"/>
  <c r="BX140" i="33"/>
  <c r="BY140" i="33" s="1"/>
  <c r="CS61" i="33"/>
  <c r="CV61" i="33" s="1"/>
  <c r="CW61" i="33" s="1"/>
  <c r="BX14" i="33"/>
  <c r="BF94" i="33"/>
  <c r="BE94" i="33"/>
  <c r="CT94" i="33"/>
  <c r="F44" i="13"/>
  <c r="AC43" i="13"/>
  <c r="AB43" i="13"/>
  <c r="AA43" i="13"/>
  <c r="X43" i="13"/>
  <c r="W43" i="13"/>
  <c r="T43" i="13"/>
  <c r="S43" i="13"/>
  <c r="M43" i="13"/>
  <c r="L43" i="13"/>
  <c r="G43" i="13"/>
  <c r="F43" i="13"/>
  <c r="D43" i="13"/>
  <c r="B43" i="13"/>
  <c r="AD42" i="13"/>
  <c r="AC42" i="13"/>
  <c r="AB42" i="13"/>
  <c r="AA42" i="13"/>
  <c r="X42" i="13"/>
  <c r="W42" i="13"/>
  <c r="V42" i="13"/>
  <c r="U42" i="13"/>
  <c r="T42" i="13"/>
  <c r="S42" i="13"/>
  <c r="M42" i="13"/>
  <c r="L42" i="13"/>
  <c r="G42" i="13"/>
  <c r="F42" i="13"/>
  <c r="D42" i="13"/>
  <c r="B42" i="13"/>
  <c r="B134" i="13"/>
  <c r="B8" i="13"/>
  <c r="B9" i="13"/>
  <c r="B10" i="13"/>
  <c r="B11" i="13"/>
  <c r="B12" i="13"/>
  <c r="B13" i="13"/>
  <c r="B14" i="13"/>
  <c r="B15" i="13"/>
  <c r="B16" i="13"/>
  <c r="B17" i="13"/>
  <c r="B18" i="13"/>
  <c r="B19" i="13"/>
  <c r="B21" i="13"/>
  <c r="B22" i="13"/>
  <c r="B23" i="13"/>
  <c r="B24" i="13"/>
  <c r="B25" i="13"/>
  <c r="B26" i="13"/>
  <c r="B27" i="13"/>
  <c r="B28" i="13"/>
  <c r="B29" i="13"/>
  <c r="B30" i="13"/>
  <c r="B31" i="13"/>
  <c r="B32" i="13"/>
  <c r="B33" i="13"/>
  <c r="B34" i="13"/>
  <c r="B36" i="13"/>
  <c r="B37" i="13"/>
  <c r="B38" i="13"/>
  <c r="B39" i="13"/>
  <c r="B40" i="13"/>
  <c r="B41" i="13"/>
  <c r="B44" i="13"/>
  <c r="B45" i="13"/>
  <c r="B46" i="13"/>
  <c r="B47" i="13"/>
  <c r="B48" i="13"/>
  <c r="B49" i="13"/>
  <c r="B50" i="13"/>
  <c r="B51" i="13"/>
  <c r="B52" i="13"/>
  <c r="B53" i="13"/>
  <c r="B54" i="13"/>
  <c r="B55" i="13"/>
  <c r="B56" i="13"/>
  <c r="B57" i="13"/>
  <c r="B58" i="13"/>
  <c r="B59" i="13"/>
  <c r="B60" i="13"/>
  <c r="B61" i="13"/>
  <c r="B62" i="13"/>
  <c r="B70" i="13"/>
  <c r="B71" i="13"/>
  <c r="B72" i="13"/>
  <c r="B73" i="13"/>
  <c r="B74" i="13"/>
  <c r="B75" i="13"/>
  <c r="B76" i="13"/>
  <c r="B77" i="13"/>
  <c r="B78" i="13"/>
  <c r="B79" i="13"/>
  <c r="B80" i="13"/>
  <c r="B81" i="13"/>
  <c r="B82" i="13"/>
  <c r="B83" i="13"/>
  <c r="B84" i="13"/>
  <c r="B85" i="13"/>
  <c r="B86" i="13"/>
  <c r="B87" i="13"/>
  <c r="B88" i="13"/>
  <c r="B89" i="13"/>
  <c r="B90" i="13"/>
  <c r="B91" i="13"/>
  <c r="B92" i="13"/>
  <c r="B93" i="13"/>
  <c r="B94" i="13"/>
  <c r="B95" i="13"/>
  <c r="B96" i="13"/>
  <c r="B97" i="13"/>
  <c r="B98" i="13"/>
  <c r="B99" i="13"/>
  <c r="B100" i="13"/>
  <c r="B101" i="13"/>
  <c r="B102" i="13"/>
  <c r="B103" i="13"/>
  <c r="B104" i="13"/>
  <c r="B105" i="13"/>
  <c r="B106" i="13"/>
  <c r="B113" i="13"/>
  <c r="B114" i="13"/>
  <c r="B115" i="13"/>
  <c r="B116" i="13"/>
  <c r="B117" i="13"/>
  <c r="B118" i="13"/>
  <c r="B119" i="13"/>
  <c r="B120" i="13"/>
  <c r="B121" i="13"/>
  <c r="B122" i="13"/>
  <c r="B123" i="13"/>
  <c r="B124" i="13"/>
  <c r="B125" i="13"/>
  <c r="B126" i="13"/>
  <c r="B127" i="13"/>
  <c r="B128" i="13"/>
  <c r="B129" i="13"/>
  <c r="B130" i="13"/>
  <c r="B131" i="13"/>
  <c r="B132" i="13"/>
  <c r="B133" i="13"/>
  <c r="X134" i="13"/>
  <c r="G125" i="13"/>
  <c r="G7" i="13"/>
  <c r="G8" i="13"/>
  <c r="G9" i="13"/>
  <c r="G10" i="13"/>
  <c r="G11" i="13"/>
  <c r="G12" i="13"/>
  <c r="G13" i="13"/>
  <c r="G14" i="13"/>
  <c r="G15" i="13"/>
  <c r="G16" i="13"/>
  <c r="G17" i="13"/>
  <c r="G18" i="13"/>
  <c r="G19" i="13"/>
  <c r="G20" i="13"/>
  <c r="G21" i="13"/>
  <c r="G22" i="13"/>
  <c r="G23" i="13"/>
  <c r="G24" i="13"/>
  <c r="G25" i="13"/>
  <c r="G26" i="13"/>
  <c r="G27" i="13"/>
  <c r="G28" i="13"/>
  <c r="G29" i="13"/>
  <c r="G30" i="13"/>
  <c r="G31" i="13"/>
  <c r="G32" i="13"/>
  <c r="G33" i="13"/>
  <c r="G34" i="13"/>
  <c r="G35" i="13"/>
  <c r="G36" i="13"/>
  <c r="G37" i="13"/>
  <c r="G38" i="13"/>
  <c r="G39" i="13"/>
  <c r="G40" i="13"/>
  <c r="G41" i="13"/>
  <c r="G44" i="13"/>
  <c r="G45" i="13"/>
  <c r="G46" i="13"/>
  <c r="G47" i="13"/>
  <c r="G48" i="13"/>
  <c r="G49" i="13"/>
  <c r="G50" i="13"/>
  <c r="G51" i="13"/>
  <c r="G52" i="13"/>
  <c r="G53" i="13"/>
  <c r="G54" i="13"/>
  <c r="G55" i="13"/>
  <c r="G56" i="13"/>
  <c r="G57" i="13"/>
  <c r="G58" i="13"/>
  <c r="G59" i="13"/>
  <c r="G60" i="13"/>
  <c r="G61" i="13"/>
  <c r="G62" i="13"/>
  <c r="G63" i="13"/>
  <c r="G64" i="13"/>
  <c r="G65" i="13"/>
  <c r="G66" i="13"/>
  <c r="G67" i="13"/>
  <c r="G68" i="13"/>
  <c r="G69" i="13"/>
  <c r="G70" i="13"/>
  <c r="G71" i="13"/>
  <c r="G72" i="13"/>
  <c r="G73" i="13"/>
  <c r="G74" i="13"/>
  <c r="G75" i="13"/>
  <c r="G76" i="13"/>
  <c r="G77" i="13"/>
  <c r="G78" i="13"/>
  <c r="G79" i="13"/>
  <c r="G80" i="13"/>
  <c r="G81" i="13"/>
  <c r="G82" i="13"/>
  <c r="G83" i="13"/>
  <c r="G84" i="13"/>
  <c r="G85" i="13"/>
  <c r="G86" i="13"/>
  <c r="G87" i="13"/>
  <c r="G88" i="13"/>
  <c r="G89" i="13"/>
  <c r="G90" i="13"/>
  <c r="G91" i="13"/>
  <c r="G92" i="13"/>
  <c r="G93" i="13"/>
  <c r="G94" i="13"/>
  <c r="G95" i="13"/>
  <c r="G96" i="13"/>
  <c r="G97" i="13"/>
  <c r="G98" i="13"/>
  <c r="G99" i="13"/>
  <c r="G100" i="13"/>
  <c r="G101" i="13"/>
  <c r="G102" i="13"/>
  <c r="G103" i="13"/>
  <c r="G104" i="13"/>
  <c r="G105" i="13"/>
  <c r="G106" i="13"/>
  <c r="G107" i="13"/>
  <c r="G108" i="13"/>
  <c r="G109" i="13"/>
  <c r="G110" i="13"/>
  <c r="G111" i="13"/>
  <c r="G112" i="13"/>
  <c r="G113" i="13"/>
  <c r="G114" i="13"/>
  <c r="G115" i="13"/>
  <c r="G116" i="13"/>
  <c r="G117" i="13"/>
  <c r="G118" i="13"/>
  <c r="G119" i="13"/>
  <c r="G120" i="13"/>
  <c r="G121" i="13"/>
  <c r="G122" i="13"/>
  <c r="G123" i="13"/>
  <c r="G124" i="13"/>
  <c r="G126" i="13"/>
  <c r="G127" i="13"/>
  <c r="G128" i="13"/>
  <c r="G129" i="13"/>
  <c r="G130" i="13"/>
  <c r="G131" i="13"/>
  <c r="G132" i="13"/>
  <c r="G133" i="13"/>
  <c r="G134" i="13"/>
  <c r="X21" i="13"/>
  <c r="L7" i="13"/>
  <c r="S7" i="13"/>
  <c r="U7" i="13"/>
  <c r="W7" i="13"/>
  <c r="L8" i="13"/>
  <c r="S8" i="13"/>
  <c r="U8" i="13"/>
  <c r="W8" i="13"/>
  <c r="L9" i="13"/>
  <c r="S9" i="13"/>
  <c r="U9" i="13"/>
  <c r="W9" i="13"/>
  <c r="L10" i="13"/>
  <c r="S10" i="13"/>
  <c r="U10" i="13"/>
  <c r="W10" i="13"/>
  <c r="L11" i="13"/>
  <c r="S11" i="13"/>
  <c r="U11" i="13"/>
  <c r="W11" i="13"/>
  <c r="L12" i="13"/>
  <c r="S12" i="13"/>
  <c r="U12" i="13"/>
  <c r="W12" i="13"/>
  <c r="L13" i="13"/>
  <c r="S13" i="13"/>
  <c r="U13" i="13"/>
  <c r="W13" i="13"/>
  <c r="L14" i="13"/>
  <c r="S14" i="13"/>
  <c r="U14" i="13"/>
  <c r="W14" i="13"/>
  <c r="L15" i="13"/>
  <c r="S15" i="13"/>
  <c r="U15" i="13"/>
  <c r="W15" i="13"/>
  <c r="L16" i="13"/>
  <c r="S16" i="13"/>
  <c r="U16" i="13"/>
  <c r="W16" i="13"/>
  <c r="L17" i="13"/>
  <c r="S17" i="13"/>
  <c r="U17" i="13"/>
  <c r="W17" i="13"/>
  <c r="L18" i="13"/>
  <c r="S18" i="13"/>
  <c r="U18" i="13"/>
  <c r="W18" i="13"/>
  <c r="L19" i="13"/>
  <c r="S19" i="13"/>
  <c r="U19" i="13"/>
  <c r="W19" i="13"/>
  <c r="L20" i="13"/>
  <c r="S20" i="13"/>
  <c r="U20" i="13"/>
  <c r="W20" i="13"/>
  <c r="L21" i="13"/>
  <c r="S21" i="13"/>
  <c r="U21" i="13"/>
  <c r="W21" i="13"/>
  <c r="L22" i="13"/>
  <c r="S22" i="13"/>
  <c r="U22" i="13"/>
  <c r="W22" i="13"/>
  <c r="L23" i="13"/>
  <c r="S23" i="13"/>
  <c r="U23" i="13"/>
  <c r="W23" i="13"/>
  <c r="L24" i="13"/>
  <c r="S24" i="13"/>
  <c r="U24" i="13"/>
  <c r="W24" i="13"/>
  <c r="L25" i="13"/>
  <c r="S25" i="13"/>
  <c r="U25" i="13"/>
  <c r="W25" i="13"/>
  <c r="L26" i="13"/>
  <c r="S26" i="13"/>
  <c r="U26" i="13"/>
  <c r="W26" i="13"/>
  <c r="L27" i="13"/>
  <c r="S27" i="13"/>
  <c r="U27" i="13"/>
  <c r="W27" i="13"/>
  <c r="L28" i="13"/>
  <c r="S28" i="13"/>
  <c r="U28" i="13"/>
  <c r="W28" i="13"/>
  <c r="L29" i="13"/>
  <c r="S29" i="13"/>
  <c r="U29" i="13"/>
  <c r="W29" i="13"/>
  <c r="L30" i="13"/>
  <c r="S30" i="13"/>
  <c r="U30" i="13"/>
  <c r="W30" i="13"/>
  <c r="L31" i="13"/>
  <c r="S31" i="13"/>
  <c r="U31" i="13"/>
  <c r="W31" i="13"/>
  <c r="L32" i="13"/>
  <c r="S32" i="13"/>
  <c r="U32" i="13"/>
  <c r="W32" i="13"/>
  <c r="L33" i="13"/>
  <c r="S33" i="13"/>
  <c r="U33" i="13"/>
  <c r="W33" i="13"/>
  <c r="L34" i="13"/>
  <c r="S34" i="13"/>
  <c r="U34" i="13"/>
  <c r="W34" i="13"/>
  <c r="L35" i="13"/>
  <c r="S35" i="13"/>
  <c r="U35" i="13"/>
  <c r="W35" i="13"/>
  <c r="L36" i="13"/>
  <c r="S36" i="13"/>
  <c r="U36" i="13"/>
  <c r="W36" i="13"/>
  <c r="L37" i="13"/>
  <c r="S37" i="13"/>
  <c r="U37" i="13"/>
  <c r="W37" i="13"/>
  <c r="L38" i="13"/>
  <c r="S38" i="13"/>
  <c r="U38" i="13"/>
  <c r="W38" i="13"/>
  <c r="L39" i="13"/>
  <c r="S39" i="13"/>
  <c r="U39" i="13"/>
  <c r="W39" i="13"/>
  <c r="S40" i="13"/>
  <c r="U40" i="13"/>
  <c r="W40" i="13"/>
  <c r="L41" i="13"/>
  <c r="S41" i="13"/>
  <c r="U41" i="13"/>
  <c r="W41" i="13"/>
  <c r="U43" i="13"/>
  <c r="L44" i="13"/>
  <c r="S44" i="13"/>
  <c r="U44" i="13"/>
  <c r="W44" i="13"/>
  <c r="L45" i="13"/>
  <c r="S45" i="13"/>
  <c r="U45" i="13"/>
  <c r="W45" i="13"/>
  <c r="L46" i="13"/>
  <c r="S46" i="13"/>
  <c r="U46" i="13"/>
  <c r="W46" i="13"/>
  <c r="L47" i="13"/>
  <c r="S47" i="13"/>
  <c r="U47" i="13"/>
  <c r="W47" i="13"/>
  <c r="L48" i="13"/>
  <c r="S48" i="13"/>
  <c r="U48" i="13"/>
  <c r="W48" i="13"/>
  <c r="L49" i="13"/>
  <c r="S49" i="13"/>
  <c r="U49" i="13"/>
  <c r="W49" i="13"/>
  <c r="S50" i="13"/>
  <c r="U50" i="13"/>
  <c r="W50" i="13"/>
  <c r="S51" i="13"/>
  <c r="U51" i="13"/>
  <c r="W51" i="13"/>
  <c r="L52" i="13"/>
  <c r="S52" i="13"/>
  <c r="U52" i="13"/>
  <c r="W52" i="13"/>
  <c r="S53" i="13"/>
  <c r="U53" i="13"/>
  <c r="W53" i="13"/>
  <c r="L54" i="13"/>
  <c r="S54" i="13"/>
  <c r="U54" i="13"/>
  <c r="W54" i="13"/>
  <c r="L55" i="13"/>
  <c r="S55" i="13"/>
  <c r="U55" i="13"/>
  <c r="W55" i="13"/>
  <c r="L56" i="13"/>
  <c r="S56" i="13"/>
  <c r="U56" i="13"/>
  <c r="W56" i="13"/>
  <c r="L57" i="13"/>
  <c r="S57" i="13"/>
  <c r="U57" i="13"/>
  <c r="W57" i="13"/>
  <c r="L58" i="13"/>
  <c r="S58" i="13"/>
  <c r="U58" i="13"/>
  <c r="W58" i="13"/>
  <c r="L59" i="13"/>
  <c r="S59" i="13"/>
  <c r="U59" i="13"/>
  <c r="W59" i="13"/>
  <c r="L60" i="13"/>
  <c r="S60" i="13"/>
  <c r="U60" i="13"/>
  <c r="W60" i="13"/>
  <c r="L61" i="13"/>
  <c r="S61" i="13"/>
  <c r="U61" i="13"/>
  <c r="W61" i="13"/>
  <c r="L62" i="13"/>
  <c r="S62" i="13"/>
  <c r="U62" i="13"/>
  <c r="W62" i="13"/>
  <c r="S63" i="13"/>
  <c r="U63" i="13"/>
  <c r="W63" i="13"/>
  <c r="S64" i="13"/>
  <c r="U64" i="13"/>
  <c r="W64" i="13"/>
  <c r="S65" i="13"/>
  <c r="U65" i="13"/>
  <c r="W65" i="13"/>
  <c r="S66" i="13"/>
  <c r="U66" i="13"/>
  <c r="W66" i="13"/>
  <c r="S67" i="13"/>
  <c r="U67" i="13"/>
  <c r="W67" i="13"/>
  <c r="S68" i="13"/>
  <c r="U68" i="13"/>
  <c r="W68" i="13"/>
  <c r="S69" i="13"/>
  <c r="U69" i="13"/>
  <c r="W69" i="13"/>
  <c r="L70" i="13"/>
  <c r="S70" i="13"/>
  <c r="U70" i="13"/>
  <c r="W70" i="13"/>
  <c r="L71" i="13"/>
  <c r="S71" i="13"/>
  <c r="U71" i="13"/>
  <c r="W71" i="13"/>
  <c r="L72" i="13"/>
  <c r="S72" i="13"/>
  <c r="U72" i="13"/>
  <c r="W72" i="13"/>
  <c r="L73" i="13"/>
  <c r="S73" i="13"/>
  <c r="U73" i="13"/>
  <c r="W73" i="13"/>
  <c r="L74" i="13"/>
  <c r="S74" i="13"/>
  <c r="U74" i="13"/>
  <c r="W74" i="13"/>
  <c r="L75" i="13"/>
  <c r="S75" i="13"/>
  <c r="U75" i="13"/>
  <c r="W75" i="13"/>
  <c r="L76" i="13"/>
  <c r="S76" i="13"/>
  <c r="U76" i="13"/>
  <c r="W76" i="13"/>
  <c r="L77" i="13"/>
  <c r="S77" i="13"/>
  <c r="U77" i="13"/>
  <c r="W77" i="13"/>
  <c r="L78" i="13"/>
  <c r="S78" i="13"/>
  <c r="U78" i="13"/>
  <c r="W78" i="13"/>
  <c r="L79" i="13"/>
  <c r="S79" i="13"/>
  <c r="U79" i="13"/>
  <c r="W79" i="13"/>
  <c r="L80" i="13"/>
  <c r="S80" i="13"/>
  <c r="U80" i="13"/>
  <c r="W80" i="13"/>
  <c r="L81" i="13"/>
  <c r="S81" i="13"/>
  <c r="U81" i="13"/>
  <c r="W81" i="13"/>
  <c r="L82" i="13"/>
  <c r="S82" i="13"/>
  <c r="U82" i="13"/>
  <c r="W82" i="13"/>
  <c r="L83" i="13"/>
  <c r="S83" i="13"/>
  <c r="U83" i="13"/>
  <c r="W83" i="13"/>
  <c r="L84" i="13"/>
  <c r="S84" i="13"/>
  <c r="U84" i="13"/>
  <c r="W84" i="13"/>
  <c r="L85" i="13"/>
  <c r="S85" i="13"/>
  <c r="U85" i="13"/>
  <c r="W85" i="13"/>
  <c r="L86" i="13"/>
  <c r="S86" i="13"/>
  <c r="U86" i="13"/>
  <c r="W86" i="13"/>
  <c r="L87" i="13"/>
  <c r="S87" i="13"/>
  <c r="U87" i="13"/>
  <c r="W87" i="13"/>
  <c r="L88" i="13"/>
  <c r="S88" i="13"/>
  <c r="U88" i="13"/>
  <c r="W88" i="13"/>
  <c r="L89" i="13"/>
  <c r="S89" i="13"/>
  <c r="U89" i="13"/>
  <c r="W89" i="13"/>
  <c r="L90" i="13"/>
  <c r="S90" i="13"/>
  <c r="U90" i="13"/>
  <c r="W90" i="13"/>
  <c r="L91" i="13"/>
  <c r="S91" i="13"/>
  <c r="U91" i="13"/>
  <c r="W91" i="13"/>
  <c r="L92" i="13"/>
  <c r="S92" i="13"/>
  <c r="U92" i="13"/>
  <c r="W92" i="13"/>
  <c r="L93" i="13"/>
  <c r="S93" i="13"/>
  <c r="U93" i="13"/>
  <c r="W93" i="13"/>
  <c r="L94" i="13"/>
  <c r="S94" i="13"/>
  <c r="U94" i="13"/>
  <c r="W94" i="13"/>
  <c r="L95" i="13"/>
  <c r="S95" i="13"/>
  <c r="U95" i="13"/>
  <c r="W95" i="13"/>
  <c r="L96" i="13"/>
  <c r="S96" i="13"/>
  <c r="U96" i="13"/>
  <c r="W96" i="13"/>
  <c r="L97" i="13"/>
  <c r="S97" i="13"/>
  <c r="U97" i="13"/>
  <c r="W97" i="13"/>
  <c r="L98" i="13"/>
  <c r="S98" i="13"/>
  <c r="U98" i="13"/>
  <c r="W98" i="13"/>
  <c r="L99" i="13"/>
  <c r="S99" i="13"/>
  <c r="U99" i="13"/>
  <c r="W99" i="13"/>
  <c r="L100" i="13"/>
  <c r="S100" i="13"/>
  <c r="U100" i="13"/>
  <c r="W100" i="13"/>
  <c r="L101" i="13"/>
  <c r="S101" i="13"/>
  <c r="U101" i="13"/>
  <c r="W101" i="13"/>
  <c r="S102" i="13"/>
  <c r="U102" i="13"/>
  <c r="W102" i="13"/>
  <c r="L103" i="13"/>
  <c r="S103" i="13"/>
  <c r="U103" i="13"/>
  <c r="W103" i="13"/>
  <c r="L104" i="13"/>
  <c r="S104" i="13"/>
  <c r="U104" i="13"/>
  <c r="W104" i="13"/>
  <c r="L105" i="13"/>
  <c r="S105" i="13"/>
  <c r="U105" i="13"/>
  <c r="W105" i="13"/>
  <c r="L106" i="13"/>
  <c r="S106" i="13"/>
  <c r="U106" i="13"/>
  <c r="W106" i="13"/>
  <c r="L107" i="13"/>
  <c r="S107" i="13"/>
  <c r="U107" i="13"/>
  <c r="W107" i="13"/>
  <c r="L108" i="13"/>
  <c r="S108" i="13"/>
  <c r="U108" i="13"/>
  <c r="W108" i="13"/>
  <c r="L109" i="13"/>
  <c r="S109" i="13"/>
  <c r="U109" i="13"/>
  <c r="W109" i="13"/>
  <c r="L110" i="13"/>
  <c r="S110" i="13"/>
  <c r="U110" i="13"/>
  <c r="W110" i="13"/>
  <c r="L111" i="13"/>
  <c r="S111" i="13"/>
  <c r="U111" i="13"/>
  <c r="W111" i="13"/>
  <c r="L112" i="13"/>
  <c r="S112" i="13"/>
  <c r="U112" i="13"/>
  <c r="W112" i="13"/>
  <c r="L113" i="13"/>
  <c r="S113" i="13"/>
  <c r="U113" i="13"/>
  <c r="W113" i="13"/>
  <c r="L114" i="13"/>
  <c r="S114" i="13"/>
  <c r="U114" i="13"/>
  <c r="W114" i="13"/>
  <c r="L115" i="13"/>
  <c r="U115" i="13"/>
  <c r="W115" i="13"/>
  <c r="L116" i="13"/>
  <c r="S116" i="13"/>
  <c r="U116" i="13"/>
  <c r="W116" i="13"/>
  <c r="L117" i="13"/>
  <c r="S117" i="13"/>
  <c r="U117" i="13"/>
  <c r="W117" i="13"/>
  <c r="L118" i="13"/>
  <c r="S118" i="13"/>
  <c r="U118" i="13"/>
  <c r="W118" i="13"/>
  <c r="L119" i="13"/>
  <c r="S119" i="13"/>
  <c r="U119" i="13"/>
  <c r="W119" i="13"/>
  <c r="L120" i="13"/>
  <c r="S120" i="13"/>
  <c r="U120" i="13"/>
  <c r="W120" i="13"/>
  <c r="L121" i="13"/>
  <c r="S121" i="13"/>
  <c r="U121" i="13"/>
  <c r="W121" i="13"/>
  <c r="L122" i="13"/>
  <c r="S122" i="13"/>
  <c r="U122" i="13"/>
  <c r="W122" i="13"/>
  <c r="L123" i="13"/>
  <c r="S123" i="13"/>
  <c r="U123" i="13"/>
  <c r="W123" i="13"/>
  <c r="L124" i="13"/>
  <c r="S124" i="13"/>
  <c r="U124" i="13"/>
  <c r="W124" i="13"/>
  <c r="L125" i="13"/>
  <c r="S125" i="13"/>
  <c r="U125" i="13"/>
  <c r="W125" i="13"/>
  <c r="L126" i="13"/>
  <c r="S126" i="13"/>
  <c r="U126" i="13"/>
  <c r="W126" i="13"/>
  <c r="S127" i="13"/>
  <c r="U127" i="13"/>
  <c r="W127" i="13"/>
  <c r="S128" i="13"/>
  <c r="W128" i="13"/>
  <c r="L129" i="13"/>
  <c r="S129" i="13"/>
  <c r="U129" i="13"/>
  <c r="W129" i="13"/>
  <c r="L130" i="13"/>
  <c r="S130" i="13"/>
  <c r="U130" i="13"/>
  <c r="W130" i="13"/>
  <c r="L131" i="13"/>
  <c r="S131" i="13"/>
  <c r="U131" i="13"/>
  <c r="W131" i="13"/>
  <c r="L132" i="13"/>
  <c r="U132" i="13"/>
  <c r="W132" i="13"/>
  <c r="S133" i="13"/>
  <c r="U133" i="13"/>
  <c r="W133" i="13"/>
  <c r="L134" i="13"/>
  <c r="S134" i="13"/>
  <c r="U134" i="13"/>
  <c r="W134" i="13"/>
  <c r="M7" i="13"/>
  <c r="T7" i="13"/>
  <c r="V7" i="13"/>
  <c r="X7" i="13"/>
  <c r="M8" i="13"/>
  <c r="T8" i="13"/>
  <c r="V8" i="13"/>
  <c r="X8" i="13"/>
  <c r="M9" i="13"/>
  <c r="T9" i="13"/>
  <c r="V9" i="13"/>
  <c r="X9" i="13"/>
  <c r="M10" i="13"/>
  <c r="T10" i="13"/>
  <c r="V10" i="13"/>
  <c r="X10" i="13"/>
  <c r="M11" i="13"/>
  <c r="T11" i="13"/>
  <c r="V11" i="13"/>
  <c r="X11" i="13"/>
  <c r="M12" i="13"/>
  <c r="T12" i="13"/>
  <c r="V12" i="13"/>
  <c r="X12" i="13"/>
  <c r="M13" i="13"/>
  <c r="T13" i="13"/>
  <c r="V13" i="13"/>
  <c r="X13" i="13"/>
  <c r="M14" i="13"/>
  <c r="T14" i="13"/>
  <c r="V14" i="13"/>
  <c r="X14" i="13"/>
  <c r="M15" i="13"/>
  <c r="T15" i="13"/>
  <c r="V15" i="13"/>
  <c r="X15" i="13"/>
  <c r="M16" i="13"/>
  <c r="T16" i="13"/>
  <c r="V16" i="13"/>
  <c r="X16" i="13"/>
  <c r="M17" i="13"/>
  <c r="T17" i="13"/>
  <c r="V17" i="13"/>
  <c r="X17" i="13"/>
  <c r="M18" i="13"/>
  <c r="T18" i="13"/>
  <c r="V18" i="13"/>
  <c r="X18" i="13"/>
  <c r="M19" i="13"/>
  <c r="T19" i="13"/>
  <c r="V19" i="13"/>
  <c r="X19" i="13"/>
  <c r="M20" i="13"/>
  <c r="T20" i="13"/>
  <c r="V20" i="13"/>
  <c r="X20" i="13"/>
  <c r="M21" i="13"/>
  <c r="T21" i="13"/>
  <c r="V21" i="13"/>
  <c r="M22" i="13"/>
  <c r="T22" i="13"/>
  <c r="V22" i="13"/>
  <c r="X22" i="13"/>
  <c r="M23" i="13"/>
  <c r="T23" i="13"/>
  <c r="V23" i="13"/>
  <c r="X23" i="13"/>
  <c r="M24" i="13"/>
  <c r="T24" i="13"/>
  <c r="V24" i="13"/>
  <c r="X24" i="13"/>
  <c r="M25" i="13"/>
  <c r="T25" i="13"/>
  <c r="V25" i="13"/>
  <c r="X25" i="13"/>
  <c r="M26" i="13"/>
  <c r="T26" i="13"/>
  <c r="V26" i="13"/>
  <c r="X26" i="13"/>
  <c r="M27" i="13"/>
  <c r="T27" i="13"/>
  <c r="V27" i="13"/>
  <c r="X27" i="13"/>
  <c r="M28" i="13"/>
  <c r="T28" i="13"/>
  <c r="V28" i="13"/>
  <c r="X28" i="13"/>
  <c r="M29" i="13"/>
  <c r="T29" i="13"/>
  <c r="V29" i="13"/>
  <c r="X29" i="13"/>
  <c r="M30" i="13"/>
  <c r="T30" i="13"/>
  <c r="V30" i="13"/>
  <c r="X30" i="13"/>
  <c r="M31" i="13"/>
  <c r="T31" i="13"/>
  <c r="V31" i="13"/>
  <c r="X31" i="13"/>
  <c r="M32" i="13"/>
  <c r="T32" i="13"/>
  <c r="V32" i="13"/>
  <c r="X32" i="13"/>
  <c r="M33" i="13"/>
  <c r="T33" i="13"/>
  <c r="V33" i="13"/>
  <c r="X33" i="13"/>
  <c r="M34" i="13"/>
  <c r="T34" i="13"/>
  <c r="V34" i="13"/>
  <c r="X34" i="13"/>
  <c r="M35" i="13"/>
  <c r="T35" i="13"/>
  <c r="V35" i="13"/>
  <c r="X35" i="13"/>
  <c r="M36" i="13"/>
  <c r="T36" i="13"/>
  <c r="V36" i="13"/>
  <c r="X36" i="13"/>
  <c r="M37" i="13"/>
  <c r="T37" i="13"/>
  <c r="V37" i="13"/>
  <c r="X37" i="13"/>
  <c r="M38" i="13"/>
  <c r="T38" i="13"/>
  <c r="V38" i="13"/>
  <c r="X38" i="13"/>
  <c r="M39" i="13"/>
  <c r="T39" i="13"/>
  <c r="V39" i="13"/>
  <c r="X39" i="13"/>
  <c r="T40" i="13"/>
  <c r="V40" i="13"/>
  <c r="X40" i="13"/>
  <c r="M41" i="13"/>
  <c r="T41" i="13"/>
  <c r="V41" i="13"/>
  <c r="X41" i="13"/>
  <c r="V43" i="13"/>
  <c r="M44" i="13"/>
  <c r="T44" i="13"/>
  <c r="V44" i="13"/>
  <c r="X44" i="13"/>
  <c r="M45" i="13"/>
  <c r="T45" i="13"/>
  <c r="V45" i="13"/>
  <c r="X45" i="13"/>
  <c r="M46" i="13"/>
  <c r="T46" i="13"/>
  <c r="V46" i="13"/>
  <c r="X46" i="13"/>
  <c r="M47" i="13"/>
  <c r="T47" i="13"/>
  <c r="V47" i="13"/>
  <c r="X47" i="13"/>
  <c r="M48" i="13"/>
  <c r="T48" i="13"/>
  <c r="V48" i="13"/>
  <c r="X48" i="13"/>
  <c r="M49" i="13"/>
  <c r="T49" i="13"/>
  <c r="V49" i="13"/>
  <c r="X49" i="13"/>
  <c r="T50" i="13"/>
  <c r="V50" i="13"/>
  <c r="X50" i="13"/>
  <c r="T51" i="13"/>
  <c r="V51" i="13"/>
  <c r="X51" i="13"/>
  <c r="M52" i="13"/>
  <c r="T52" i="13"/>
  <c r="V52" i="13"/>
  <c r="X52" i="13"/>
  <c r="T53" i="13"/>
  <c r="V53" i="13"/>
  <c r="X53" i="13"/>
  <c r="M54" i="13"/>
  <c r="T54" i="13"/>
  <c r="V54" i="13"/>
  <c r="X54" i="13"/>
  <c r="M55" i="13"/>
  <c r="T55" i="13"/>
  <c r="V55" i="13"/>
  <c r="X55" i="13"/>
  <c r="M56" i="13"/>
  <c r="T56" i="13"/>
  <c r="V56" i="13"/>
  <c r="X56" i="13"/>
  <c r="M57" i="13"/>
  <c r="T57" i="13"/>
  <c r="V57" i="13"/>
  <c r="X57" i="13"/>
  <c r="M58" i="13"/>
  <c r="T58" i="13"/>
  <c r="V58" i="13"/>
  <c r="X58" i="13"/>
  <c r="M59" i="13"/>
  <c r="T59" i="13"/>
  <c r="V59" i="13"/>
  <c r="X59" i="13"/>
  <c r="M60" i="13"/>
  <c r="T60" i="13"/>
  <c r="V60" i="13"/>
  <c r="X60" i="13"/>
  <c r="M61" i="13"/>
  <c r="T61" i="13"/>
  <c r="V61" i="13"/>
  <c r="X61" i="13"/>
  <c r="M62" i="13"/>
  <c r="T62" i="13"/>
  <c r="V62" i="13"/>
  <c r="X62" i="13"/>
  <c r="M63" i="13"/>
  <c r="T63" i="13"/>
  <c r="V63" i="13"/>
  <c r="X63" i="13"/>
  <c r="T64" i="13"/>
  <c r="V64" i="13"/>
  <c r="X64" i="13"/>
  <c r="T65" i="13"/>
  <c r="V65" i="13"/>
  <c r="X65" i="13"/>
  <c r="T66" i="13"/>
  <c r="V66" i="13"/>
  <c r="X66" i="13"/>
  <c r="T67" i="13"/>
  <c r="V67" i="13"/>
  <c r="X67" i="13"/>
  <c r="T68" i="13"/>
  <c r="V68" i="13"/>
  <c r="X68" i="13"/>
  <c r="T69" i="13"/>
  <c r="V69" i="13"/>
  <c r="X69" i="13"/>
  <c r="M70" i="13"/>
  <c r="T70" i="13"/>
  <c r="V70" i="13"/>
  <c r="X70" i="13"/>
  <c r="M71" i="13"/>
  <c r="T71" i="13"/>
  <c r="V71" i="13"/>
  <c r="X71" i="13"/>
  <c r="M72" i="13"/>
  <c r="T72" i="13"/>
  <c r="V72" i="13"/>
  <c r="X72" i="13"/>
  <c r="M73" i="13"/>
  <c r="T73" i="13"/>
  <c r="V73" i="13"/>
  <c r="X73" i="13"/>
  <c r="M74" i="13"/>
  <c r="T74" i="13"/>
  <c r="V74" i="13"/>
  <c r="X74" i="13"/>
  <c r="M75" i="13"/>
  <c r="T75" i="13"/>
  <c r="V75" i="13"/>
  <c r="X75" i="13"/>
  <c r="M76" i="13"/>
  <c r="T76" i="13"/>
  <c r="V76" i="13"/>
  <c r="X76" i="13"/>
  <c r="M77" i="13"/>
  <c r="T77" i="13"/>
  <c r="V77" i="13"/>
  <c r="X77" i="13"/>
  <c r="M78" i="13"/>
  <c r="T78" i="13"/>
  <c r="V78" i="13"/>
  <c r="X78" i="13"/>
  <c r="M79" i="13"/>
  <c r="T79" i="13"/>
  <c r="V79" i="13"/>
  <c r="X79" i="13"/>
  <c r="M80" i="13"/>
  <c r="T80" i="13"/>
  <c r="V80" i="13"/>
  <c r="X80" i="13"/>
  <c r="M81" i="13"/>
  <c r="T81" i="13"/>
  <c r="V81" i="13"/>
  <c r="X81" i="13"/>
  <c r="M82" i="13"/>
  <c r="T82" i="13"/>
  <c r="V82" i="13"/>
  <c r="X82" i="13"/>
  <c r="M83" i="13"/>
  <c r="T83" i="13"/>
  <c r="V83" i="13"/>
  <c r="X83" i="13"/>
  <c r="M84" i="13"/>
  <c r="T84" i="13"/>
  <c r="V84" i="13"/>
  <c r="X84" i="13"/>
  <c r="M85" i="13"/>
  <c r="T85" i="13"/>
  <c r="V85" i="13"/>
  <c r="X85" i="13"/>
  <c r="M86" i="13"/>
  <c r="T86" i="13"/>
  <c r="V86" i="13"/>
  <c r="X86" i="13"/>
  <c r="M87" i="13"/>
  <c r="T87" i="13"/>
  <c r="V87" i="13"/>
  <c r="X87" i="13"/>
  <c r="M88" i="13"/>
  <c r="T88" i="13"/>
  <c r="V88" i="13"/>
  <c r="X88" i="13"/>
  <c r="M89" i="13"/>
  <c r="T89" i="13"/>
  <c r="V89" i="13"/>
  <c r="X89" i="13"/>
  <c r="M90" i="13"/>
  <c r="T90" i="13"/>
  <c r="V90" i="13"/>
  <c r="X90" i="13"/>
  <c r="M91" i="13"/>
  <c r="T91" i="13"/>
  <c r="V91" i="13"/>
  <c r="X91" i="13"/>
  <c r="M92" i="13"/>
  <c r="T92" i="13"/>
  <c r="V92" i="13"/>
  <c r="X92" i="13"/>
  <c r="M93" i="13"/>
  <c r="T93" i="13"/>
  <c r="V93" i="13"/>
  <c r="X93" i="13"/>
  <c r="M94" i="13"/>
  <c r="T94" i="13"/>
  <c r="V94" i="13"/>
  <c r="X94" i="13"/>
  <c r="M95" i="13"/>
  <c r="T95" i="13"/>
  <c r="V95" i="13"/>
  <c r="X95" i="13"/>
  <c r="M96" i="13"/>
  <c r="T96" i="13"/>
  <c r="V96" i="13"/>
  <c r="X96" i="13"/>
  <c r="M97" i="13"/>
  <c r="T97" i="13"/>
  <c r="V97" i="13"/>
  <c r="X97" i="13"/>
  <c r="M98" i="13"/>
  <c r="T98" i="13"/>
  <c r="V98" i="13"/>
  <c r="X98" i="13"/>
  <c r="M99" i="13"/>
  <c r="T99" i="13"/>
  <c r="V99" i="13"/>
  <c r="X99" i="13"/>
  <c r="M100" i="13"/>
  <c r="T100" i="13"/>
  <c r="V100" i="13"/>
  <c r="X100" i="13"/>
  <c r="M101" i="13"/>
  <c r="T101" i="13"/>
  <c r="V101" i="13"/>
  <c r="X101" i="13"/>
  <c r="T102" i="13"/>
  <c r="V102" i="13"/>
  <c r="X102" i="13"/>
  <c r="M103" i="13"/>
  <c r="T103" i="13"/>
  <c r="V103" i="13"/>
  <c r="X103" i="13"/>
  <c r="M104" i="13"/>
  <c r="T104" i="13"/>
  <c r="V104" i="13"/>
  <c r="X104" i="13"/>
  <c r="M105" i="13"/>
  <c r="T105" i="13"/>
  <c r="V105" i="13"/>
  <c r="X105" i="13"/>
  <c r="M106" i="13"/>
  <c r="T106" i="13"/>
  <c r="V106" i="13"/>
  <c r="X106" i="13"/>
  <c r="M107" i="13"/>
  <c r="T107" i="13"/>
  <c r="V107" i="13"/>
  <c r="X107" i="13"/>
  <c r="M108" i="13"/>
  <c r="T108" i="13"/>
  <c r="V108" i="13"/>
  <c r="X108" i="13"/>
  <c r="M109" i="13"/>
  <c r="T109" i="13"/>
  <c r="V109" i="13"/>
  <c r="X109" i="13"/>
  <c r="M110" i="13"/>
  <c r="T110" i="13"/>
  <c r="V110" i="13"/>
  <c r="X110" i="13"/>
  <c r="M111" i="13"/>
  <c r="T111" i="13"/>
  <c r="V111" i="13"/>
  <c r="X111" i="13"/>
  <c r="M112" i="13"/>
  <c r="T112" i="13"/>
  <c r="V112" i="13"/>
  <c r="X112" i="13"/>
  <c r="M113" i="13"/>
  <c r="T113" i="13"/>
  <c r="V113" i="13"/>
  <c r="X113" i="13"/>
  <c r="M114" i="13"/>
  <c r="T114" i="13"/>
  <c r="V114" i="13"/>
  <c r="X114" i="13"/>
  <c r="M115" i="13"/>
  <c r="T115" i="13"/>
  <c r="V115" i="13"/>
  <c r="X115" i="13"/>
  <c r="M116" i="13"/>
  <c r="T116" i="13"/>
  <c r="V116" i="13"/>
  <c r="X116" i="13"/>
  <c r="M117" i="13"/>
  <c r="T117" i="13"/>
  <c r="V117" i="13"/>
  <c r="X117" i="13"/>
  <c r="M118" i="13"/>
  <c r="T118" i="13"/>
  <c r="V118" i="13"/>
  <c r="X118" i="13"/>
  <c r="M119" i="13"/>
  <c r="T119" i="13"/>
  <c r="V119" i="13"/>
  <c r="X119" i="13"/>
  <c r="M120" i="13"/>
  <c r="T120" i="13"/>
  <c r="V120" i="13"/>
  <c r="X120" i="13"/>
  <c r="M121" i="13"/>
  <c r="T121" i="13"/>
  <c r="V121" i="13"/>
  <c r="X121" i="13"/>
  <c r="M122" i="13"/>
  <c r="T122" i="13"/>
  <c r="V122" i="13"/>
  <c r="X122" i="13"/>
  <c r="M123" i="13"/>
  <c r="T123" i="13"/>
  <c r="V123" i="13"/>
  <c r="X123" i="13"/>
  <c r="M124" i="13"/>
  <c r="T124" i="13"/>
  <c r="V124" i="13"/>
  <c r="X124" i="13"/>
  <c r="M125" i="13"/>
  <c r="T125" i="13"/>
  <c r="V125" i="13"/>
  <c r="X125" i="13"/>
  <c r="M126" i="13"/>
  <c r="T126" i="13"/>
  <c r="V126" i="13"/>
  <c r="X126" i="13"/>
  <c r="T127" i="13"/>
  <c r="V127" i="13"/>
  <c r="X127" i="13"/>
  <c r="T128" i="13"/>
  <c r="X128" i="13"/>
  <c r="M129" i="13"/>
  <c r="T129" i="13"/>
  <c r="V129" i="13"/>
  <c r="X129" i="13"/>
  <c r="M130" i="13"/>
  <c r="T130" i="13"/>
  <c r="V130" i="13"/>
  <c r="X130" i="13"/>
  <c r="M131" i="13"/>
  <c r="T131" i="13"/>
  <c r="V131" i="13"/>
  <c r="X131" i="13"/>
  <c r="M132" i="13"/>
  <c r="V132" i="13"/>
  <c r="X132" i="13"/>
  <c r="T133" i="13"/>
  <c r="V133" i="13"/>
  <c r="X133" i="13"/>
  <c r="M134" i="13"/>
  <c r="T134" i="13"/>
  <c r="V134" i="13"/>
  <c r="AA38" i="13"/>
  <c r="AA8" i="13"/>
  <c r="AB8" i="13"/>
  <c r="AA9" i="13"/>
  <c r="AB9" i="13"/>
  <c r="AA10" i="13"/>
  <c r="AB10" i="13"/>
  <c r="AA11" i="13"/>
  <c r="AB11" i="13"/>
  <c r="AA12" i="13"/>
  <c r="AB12" i="13"/>
  <c r="AA13" i="13"/>
  <c r="AB13" i="13"/>
  <c r="AA14" i="13"/>
  <c r="AB14" i="13"/>
  <c r="AA15" i="13"/>
  <c r="AB15" i="13"/>
  <c r="AA16" i="13"/>
  <c r="AB16" i="13"/>
  <c r="AA17" i="13"/>
  <c r="AB17" i="13"/>
  <c r="AA18" i="13"/>
  <c r="AB18" i="13"/>
  <c r="AA19" i="13"/>
  <c r="AB19" i="13"/>
  <c r="AA20" i="13"/>
  <c r="AB20" i="13"/>
  <c r="AA21" i="13"/>
  <c r="AB21" i="13"/>
  <c r="AA22" i="13"/>
  <c r="AB22" i="13"/>
  <c r="AA23" i="13"/>
  <c r="AB23" i="13"/>
  <c r="AA24" i="13"/>
  <c r="AB24" i="13"/>
  <c r="AA25" i="13"/>
  <c r="AB25" i="13"/>
  <c r="AA26" i="13"/>
  <c r="AB26" i="13"/>
  <c r="AA27" i="13"/>
  <c r="AB27" i="13"/>
  <c r="AA28" i="13"/>
  <c r="AB28" i="13"/>
  <c r="AA29" i="13"/>
  <c r="AB29" i="13"/>
  <c r="AA30" i="13"/>
  <c r="AB30" i="13"/>
  <c r="AA31" i="13"/>
  <c r="AB31" i="13"/>
  <c r="AA32" i="13"/>
  <c r="AB32" i="13"/>
  <c r="AA33" i="13"/>
  <c r="AB33" i="13"/>
  <c r="AA34" i="13"/>
  <c r="AB34" i="13"/>
  <c r="AA35" i="13"/>
  <c r="AB35" i="13"/>
  <c r="AA36" i="13"/>
  <c r="AB36" i="13"/>
  <c r="AA37" i="13"/>
  <c r="AB37" i="13"/>
  <c r="AB38" i="13"/>
  <c r="AA39" i="13"/>
  <c r="AB39" i="13"/>
  <c r="AA40" i="13"/>
  <c r="AB40" i="13"/>
  <c r="AA41" i="13"/>
  <c r="AB41" i="13"/>
  <c r="AA44" i="13"/>
  <c r="AB44" i="13"/>
  <c r="AA45" i="13"/>
  <c r="AB45" i="13"/>
  <c r="AA46" i="13"/>
  <c r="AB46" i="13"/>
  <c r="AA47" i="13"/>
  <c r="AB47" i="13"/>
  <c r="AA48" i="13"/>
  <c r="AB48" i="13"/>
  <c r="AA49" i="13"/>
  <c r="AB49" i="13"/>
  <c r="AA50" i="13"/>
  <c r="AB50" i="13"/>
  <c r="AA51" i="13"/>
  <c r="AB51" i="13"/>
  <c r="AA52" i="13"/>
  <c r="AB52" i="13"/>
  <c r="AA53" i="13"/>
  <c r="AB53" i="13"/>
  <c r="AA54" i="13"/>
  <c r="AB54" i="13"/>
  <c r="AA55" i="13"/>
  <c r="AB55" i="13"/>
  <c r="AA56" i="13"/>
  <c r="AB56" i="13"/>
  <c r="AA57" i="13"/>
  <c r="AB57" i="13"/>
  <c r="AA58" i="13"/>
  <c r="AB58" i="13"/>
  <c r="AA59" i="13"/>
  <c r="AB59" i="13"/>
  <c r="AA60" i="13"/>
  <c r="AB60" i="13"/>
  <c r="AA61" i="13"/>
  <c r="AB61" i="13"/>
  <c r="AA62" i="13"/>
  <c r="AB62" i="13"/>
  <c r="AA63" i="13"/>
  <c r="AB63" i="13"/>
  <c r="AA64" i="13"/>
  <c r="AB64" i="13"/>
  <c r="AA65" i="13"/>
  <c r="AB65" i="13"/>
  <c r="AA66" i="13"/>
  <c r="AB66" i="13"/>
  <c r="AA67" i="13"/>
  <c r="AB67" i="13"/>
  <c r="AA68" i="13"/>
  <c r="AB68" i="13"/>
  <c r="AA69" i="13"/>
  <c r="AB69" i="13"/>
  <c r="AA70" i="13"/>
  <c r="AB70" i="13"/>
  <c r="AA71" i="13"/>
  <c r="AB71" i="13"/>
  <c r="AA72" i="13"/>
  <c r="AB72" i="13"/>
  <c r="AA73" i="13"/>
  <c r="AB73" i="13"/>
  <c r="AA74" i="13"/>
  <c r="AB74" i="13"/>
  <c r="AA75" i="13"/>
  <c r="AB75" i="13"/>
  <c r="AA76" i="13"/>
  <c r="AB76" i="13"/>
  <c r="AA77" i="13"/>
  <c r="AB77" i="13"/>
  <c r="AA78" i="13"/>
  <c r="AB78" i="13"/>
  <c r="AA79" i="13"/>
  <c r="AB79" i="13"/>
  <c r="AA80" i="13"/>
  <c r="AB80" i="13"/>
  <c r="AA81" i="13"/>
  <c r="AB81" i="13"/>
  <c r="AA82" i="13"/>
  <c r="AB82" i="13"/>
  <c r="AA83" i="13"/>
  <c r="AB83" i="13"/>
  <c r="AA84" i="13"/>
  <c r="AB84" i="13"/>
  <c r="AA85" i="13"/>
  <c r="AB85" i="13"/>
  <c r="AA86" i="13"/>
  <c r="AB86" i="13"/>
  <c r="AA87" i="13"/>
  <c r="AB87" i="13"/>
  <c r="AA88" i="13"/>
  <c r="AB88" i="13"/>
  <c r="AA89" i="13"/>
  <c r="AB89" i="13"/>
  <c r="AA90" i="13"/>
  <c r="AB90" i="13"/>
  <c r="AA91" i="13"/>
  <c r="AB91" i="13"/>
  <c r="AA92" i="13"/>
  <c r="AB92" i="13"/>
  <c r="AA93" i="13"/>
  <c r="AB93" i="13"/>
  <c r="AA94" i="13"/>
  <c r="AB94" i="13"/>
  <c r="AA95" i="13"/>
  <c r="AB95" i="13"/>
  <c r="AA96" i="13"/>
  <c r="AB96" i="13"/>
  <c r="AA97" i="13"/>
  <c r="AB97" i="13"/>
  <c r="AA98" i="13"/>
  <c r="AB98" i="13"/>
  <c r="AA99" i="13"/>
  <c r="AB99" i="13"/>
  <c r="AA100" i="13"/>
  <c r="AB100" i="13"/>
  <c r="AA101" i="13"/>
  <c r="AB101" i="13"/>
  <c r="AA102" i="13"/>
  <c r="AB102" i="13"/>
  <c r="AA103" i="13"/>
  <c r="AB103" i="13"/>
  <c r="AA104" i="13"/>
  <c r="AB104" i="13"/>
  <c r="AA105" i="13"/>
  <c r="AB105" i="13"/>
  <c r="AA106" i="13"/>
  <c r="AB106" i="13"/>
  <c r="AA107" i="13"/>
  <c r="AB107" i="13"/>
  <c r="AA108" i="13"/>
  <c r="AB108" i="13"/>
  <c r="AA109" i="13"/>
  <c r="AB109" i="13"/>
  <c r="AA110" i="13"/>
  <c r="AB110" i="13"/>
  <c r="AA111" i="13"/>
  <c r="AB111" i="13"/>
  <c r="AA112" i="13"/>
  <c r="AB112" i="13"/>
  <c r="AA113" i="13"/>
  <c r="AB113" i="13"/>
  <c r="AA114" i="13"/>
  <c r="AB114" i="13"/>
  <c r="AA115" i="13"/>
  <c r="AB115" i="13"/>
  <c r="AA116" i="13"/>
  <c r="AB116" i="13"/>
  <c r="AA117" i="13"/>
  <c r="AB117" i="13"/>
  <c r="AA118" i="13"/>
  <c r="AB118" i="13"/>
  <c r="AA119" i="13"/>
  <c r="AB119" i="13"/>
  <c r="AA120" i="13"/>
  <c r="AB120" i="13"/>
  <c r="AA121" i="13"/>
  <c r="AB121" i="13"/>
  <c r="AA122" i="13"/>
  <c r="AB122" i="13"/>
  <c r="AA123" i="13"/>
  <c r="AB123" i="13"/>
  <c r="AA124" i="13"/>
  <c r="AB124" i="13"/>
  <c r="AA125" i="13"/>
  <c r="AB125" i="13"/>
  <c r="AA126" i="13"/>
  <c r="AB126" i="13"/>
  <c r="AA127" i="13"/>
  <c r="AB127" i="13"/>
  <c r="AA128" i="13"/>
  <c r="AB128" i="13"/>
  <c r="AA129" i="13"/>
  <c r="AB129" i="13"/>
  <c r="AA130" i="13"/>
  <c r="AB130" i="13"/>
  <c r="AA131" i="13"/>
  <c r="AB131" i="13"/>
  <c r="AA132" i="13"/>
  <c r="AA133" i="13"/>
  <c r="AB133" i="13"/>
  <c r="AA134" i="13"/>
  <c r="AB134" i="13"/>
  <c r="AB7" i="13"/>
  <c r="AA7" i="13"/>
  <c r="F7" i="13"/>
  <c r="F10" i="13"/>
  <c r="F8" i="13"/>
  <c r="F9" i="13"/>
  <c r="F11" i="13"/>
  <c r="F12" i="13"/>
  <c r="F13" i="13"/>
  <c r="F14" i="13"/>
  <c r="F15" i="13"/>
  <c r="F16" i="13"/>
  <c r="F17" i="13"/>
  <c r="F18" i="13"/>
  <c r="F19" i="13"/>
  <c r="F20" i="13"/>
  <c r="F21" i="13"/>
  <c r="F22" i="13"/>
  <c r="F23" i="13"/>
  <c r="F24" i="13"/>
  <c r="F25" i="13"/>
  <c r="F26" i="13"/>
  <c r="F27" i="13"/>
  <c r="F28" i="13"/>
  <c r="F29" i="13"/>
  <c r="F30" i="13"/>
  <c r="F31" i="13"/>
  <c r="F32" i="13"/>
  <c r="F33" i="13"/>
  <c r="F34" i="13"/>
  <c r="F35" i="13"/>
  <c r="F36" i="13"/>
  <c r="F37" i="13"/>
  <c r="F38" i="13"/>
  <c r="F39" i="13"/>
  <c r="F40" i="13"/>
  <c r="F41" i="13"/>
  <c r="F45" i="13"/>
  <c r="F46" i="13"/>
  <c r="F47" i="13"/>
  <c r="F48" i="13"/>
  <c r="F49" i="13"/>
  <c r="F50" i="13"/>
  <c r="F51" i="13"/>
  <c r="F52" i="13"/>
  <c r="F53" i="13"/>
  <c r="F54" i="13"/>
  <c r="F55" i="13"/>
  <c r="F56" i="13"/>
  <c r="F57" i="13"/>
  <c r="F58" i="13"/>
  <c r="F59" i="13"/>
  <c r="F60" i="13"/>
  <c r="F61" i="13"/>
  <c r="F62" i="13"/>
  <c r="F63" i="13"/>
  <c r="F64" i="13"/>
  <c r="F65" i="13"/>
  <c r="F66" i="13"/>
  <c r="F67" i="13"/>
  <c r="F68" i="13"/>
  <c r="F69" i="13"/>
  <c r="F70" i="13"/>
  <c r="F71" i="13"/>
  <c r="F72" i="13"/>
  <c r="F73" i="13"/>
  <c r="F74" i="13"/>
  <c r="F75" i="13"/>
  <c r="F76" i="13"/>
  <c r="F77" i="13"/>
  <c r="F78" i="13"/>
  <c r="F79" i="13"/>
  <c r="F80" i="13"/>
  <c r="F81" i="13"/>
  <c r="F82" i="13"/>
  <c r="F83" i="13"/>
  <c r="F84" i="13"/>
  <c r="F85" i="13"/>
  <c r="F86" i="13"/>
  <c r="F87" i="13"/>
  <c r="F88" i="13"/>
  <c r="F89" i="13"/>
  <c r="F90" i="13"/>
  <c r="F91" i="13"/>
  <c r="F92" i="13"/>
  <c r="F93" i="13"/>
  <c r="F94" i="13"/>
  <c r="F95" i="13"/>
  <c r="F96" i="13"/>
  <c r="F97" i="13"/>
  <c r="F98" i="13"/>
  <c r="F99" i="13"/>
  <c r="F100" i="13"/>
  <c r="F101" i="13"/>
  <c r="F102" i="13"/>
  <c r="F103" i="13"/>
  <c r="F104" i="13"/>
  <c r="F105" i="13"/>
  <c r="F106" i="13"/>
  <c r="F107" i="13"/>
  <c r="F108" i="13"/>
  <c r="F109" i="13"/>
  <c r="F110" i="13"/>
  <c r="F111" i="13"/>
  <c r="F112" i="13"/>
  <c r="F113" i="13"/>
  <c r="F114" i="13"/>
  <c r="F115" i="13"/>
  <c r="F116" i="13"/>
  <c r="F117" i="13"/>
  <c r="F118" i="13"/>
  <c r="F119" i="13"/>
  <c r="F120" i="13"/>
  <c r="F121" i="13"/>
  <c r="F122" i="13"/>
  <c r="F123" i="13"/>
  <c r="F124" i="13"/>
  <c r="F125" i="13"/>
  <c r="F126" i="13"/>
  <c r="F127" i="13"/>
  <c r="F128" i="13"/>
  <c r="F129" i="13"/>
  <c r="F130" i="13"/>
  <c r="F131" i="13"/>
  <c r="F132" i="13"/>
  <c r="F133" i="13"/>
  <c r="F134" i="13"/>
  <c r="D8" i="13"/>
  <c r="D9" i="13"/>
  <c r="D10" i="13"/>
  <c r="D11" i="13"/>
  <c r="D12" i="13"/>
  <c r="D13" i="13"/>
  <c r="D14" i="13"/>
  <c r="D15" i="13"/>
  <c r="D16" i="13"/>
  <c r="D17" i="13"/>
  <c r="D18" i="13"/>
  <c r="D19" i="13"/>
  <c r="D20" i="13"/>
  <c r="D21" i="13"/>
  <c r="D22" i="13"/>
  <c r="D23" i="13"/>
  <c r="D24" i="13"/>
  <c r="D25" i="13"/>
  <c r="D26" i="13"/>
  <c r="D27" i="13"/>
  <c r="D28" i="13"/>
  <c r="D29" i="13"/>
  <c r="D30" i="13"/>
  <c r="D31" i="13"/>
  <c r="D32" i="13"/>
  <c r="D33" i="13"/>
  <c r="D34" i="13"/>
  <c r="B35" i="13"/>
  <c r="D35" i="13"/>
  <c r="D36" i="13"/>
  <c r="D37" i="13"/>
  <c r="D38" i="13"/>
  <c r="D39" i="13"/>
  <c r="D40" i="13"/>
  <c r="D41" i="13"/>
  <c r="D44" i="13"/>
  <c r="D45" i="13"/>
  <c r="D46" i="13"/>
  <c r="D47" i="13"/>
  <c r="D48" i="13"/>
  <c r="D49" i="13"/>
  <c r="D50" i="13"/>
  <c r="D51" i="13"/>
  <c r="D52" i="13"/>
  <c r="D53" i="13"/>
  <c r="D54" i="13"/>
  <c r="D55" i="13"/>
  <c r="D56" i="13"/>
  <c r="D57" i="13"/>
  <c r="D58" i="13"/>
  <c r="D59" i="13"/>
  <c r="D60" i="13"/>
  <c r="D61" i="13"/>
  <c r="D62" i="13"/>
  <c r="D63" i="13"/>
  <c r="B63" i="13"/>
  <c r="D64" i="13"/>
  <c r="D65" i="13"/>
  <c r="D66" i="13"/>
  <c r="D67" i="13"/>
  <c r="D68" i="13"/>
  <c r="D69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3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E7" i="13"/>
  <c r="E8" i="13" s="1"/>
  <c r="E9" i="13" s="1"/>
  <c r="E10" i="13" s="1"/>
  <c r="E11" i="13" s="1"/>
  <c r="E12" i="13" s="1"/>
  <c r="E13" i="13" s="1"/>
  <c r="E14" i="13" s="1"/>
  <c r="E15" i="13" s="1"/>
  <c r="E16" i="13" s="1"/>
  <c r="E17" i="13" s="1"/>
  <c r="E18" i="13" s="1"/>
  <c r="E19" i="13" s="1"/>
  <c r="E20" i="13" s="1"/>
  <c r="E21" i="13" s="1"/>
  <c r="E22" i="13" s="1"/>
  <c r="E23" i="13" s="1"/>
  <c r="E24" i="13" s="1"/>
  <c r="E25" i="13" s="1"/>
  <c r="E26" i="13" s="1"/>
  <c r="E27" i="13" s="1"/>
  <c r="E28" i="13" s="1"/>
  <c r="E29" i="13" s="1"/>
  <c r="E30" i="13" s="1"/>
  <c r="E31" i="13" s="1"/>
  <c r="E32" i="13" s="1"/>
  <c r="E33" i="13" s="1"/>
  <c r="E34" i="13" s="1"/>
  <c r="E35" i="13" s="1"/>
  <c r="E36" i="13" s="1"/>
  <c r="E37" i="13" s="1"/>
  <c r="E38" i="13" s="1"/>
  <c r="E39" i="13" s="1"/>
  <c r="E40" i="13" s="1"/>
  <c r="E41" i="13" s="1"/>
  <c r="E42" i="13" s="1"/>
  <c r="E43" i="13" s="1"/>
  <c r="E44" i="13" s="1"/>
  <c r="E45" i="13" s="1"/>
  <c r="E46" i="13" s="1"/>
  <c r="E47" i="13" s="1"/>
  <c r="E48" i="13" s="1"/>
  <c r="E49" i="13" s="1"/>
  <c r="E50" i="13" s="1"/>
  <c r="E51" i="13" s="1"/>
  <c r="E52" i="13" s="1"/>
  <c r="E53" i="13" s="1"/>
  <c r="E54" i="13" s="1"/>
  <c r="E55" i="13" s="1"/>
  <c r="E56" i="13" s="1"/>
  <c r="E57" i="13" s="1"/>
  <c r="AC8" i="13"/>
  <c r="AD8" i="13"/>
  <c r="AC9" i="13"/>
  <c r="AD9" i="13"/>
  <c r="AC10" i="13"/>
  <c r="AD10" i="13"/>
  <c r="AC11" i="13"/>
  <c r="AD11" i="13"/>
  <c r="AC12" i="13"/>
  <c r="AD12" i="13"/>
  <c r="AC13" i="13"/>
  <c r="AD13" i="13"/>
  <c r="AC14" i="13"/>
  <c r="AD14" i="13"/>
  <c r="AC15" i="13"/>
  <c r="AD15" i="13"/>
  <c r="AC16" i="13"/>
  <c r="AD16" i="13"/>
  <c r="AC17" i="13"/>
  <c r="AD17" i="13"/>
  <c r="AC18" i="13"/>
  <c r="AD18" i="13"/>
  <c r="AC19" i="13"/>
  <c r="AD19" i="13"/>
  <c r="AC20" i="13"/>
  <c r="AD20" i="13"/>
  <c r="AC21" i="13"/>
  <c r="AD21" i="13"/>
  <c r="AC22" i="13"/>
  <c r="AD22" i="13"/>
  <c r="AC23" i="13"/>
  <c r="AD23" i="13"/>
  <c r="AC24" i="13"/>
  <c r="AD24" i="13"/>
  <c r="AC25" i="13"/>
  <c r="AD25" i="13"/>
  <c r="AC26" i="13"/>
  <c r="AD26" i="13"/>
  <c r="AC27" i="13"/>
  <c r="AD27" i="13"/>
  <c r="AC28" i="13"/>
  <c r="AD28" i="13"/>
  <c r="AC29" i="13"/>
  <c r="AD29" i="13"/>
  <c r="AC30" i="13"/>
  <c r="AD30" i="13"/>
  <c r="AC31" i="13"/>
  <c r="AD31" i="13"/>
  <c r="AC32" i="13"/>
  <c r="AD32" i="13"/>
  <c r="AC33" i="13"/>
  <c r="AD33" i="13"/>
  <c r="AC34" i="13"/>
  <c r="AD34" i="13"/>
  <c r="AC35" i="13"/>
  <c r="AD35" i="13"/>
  <c r="AC36" i="13"/>
  <c r="AD36" i="13"/>
  <c r="AC37" i="13"/>
  <c r="AC38" i="13"/>
  <c r="AC39" i="13"/>
  <c r="AD39" i="13"/>
  <c r="AC40" i="13"/>
  <c r="AD40" i="13"/>
  <c r="AC41" i="13"/>
  <c r="AD41" i="13"/>
  <c r="AD43" i="13"/>
  <c r="AC44" i="13"/>
  <c r="AD44" i="13"/>
  <c r="AC45" i="13"/>
  <c r="AD45" i="13"/>
  <c r="AC46" i="13"/>
  <c r="AD46" i="13"/>
  <c r="AC47" i="13"/>
  <c r="AD47" i="13"/>
  <c r="AC48" i="13"/>
  <c r="AD48" i="13"/>
  <c r="AC49" i="13"/>
  <c r="AD49" i="13"/>
  <c r="AC50" i="13"/>
  <c r="AD50" i="13"/>
  <c r="AC51" i="13"/>
  <c r="AD51" i="13"/>
  <c r="AC52" i="13"/>
  <c r="AD52" i="13"/>
  <c r="AC53" i="13"/>
  <c r="AD53" i="13"/>
  <c r="AC54" i="13"/>
  <c r="AD54" i="13"/>
  <c r="AC55" i="13"/>
  <c r="AD55" i="13"/>
  <c r="AC56" i="13"/>
  <c r="AD56" i="13"/>
  <c r="AC57" i="13"/>
  <c r="AD57" i="13"/>
  <c r="AC58" i="13"/>
  <c r="AD58" i="13"/>
  <c r="AC59" i="13"/>
  <c r="AD59" i="13"/>
  <c r="AC60" i="13"/>
  <c r="AD60" i="13"/>
  <c r="AC61" i="13"/>
  <c r="AD61" i="13"/>
  <c r="AC62" i="13"/>
  <c r="AD62" i="13"/>
  <c r="AC63" i="13"/>
  <c r="AD63" i="13"/>
  <c r="AC64" i="13"/>
  <c r="AD64" i="13"/>
  <c r="AC65" i="13"/>
  <c r="AD65" i="13"/>
  <c r="AC66" i="13"/>
  <c r="AD66" i="13"/>
  <c r="AC67" i="13"/>
  <c r="AD67" i="13"/>
  <c r="AC68" i="13"/>
  <c r="AD68" i="13"/>
  <c r="AC69" i="13"/>
  <c r="AD69" i="13"/>
  <c r="AC70" i="13"/>
  <c r="AD70" i="13"/>
  <c r="AC71" i="13"/>
  <c r="AD71" i="13"/>
  <c r="AC72" i="13"/>
  <c r="AD72" i="13"/>
  <c r="AC73" i="13"/>
  <c r="AD73" i="13"/>
  <c r="AC74" i="13"/>
  <c r="AD74" i="13"/>
  <c r="AC75" i="13"/>
  <c r="AD75" i="13"/>
  <c r="AC76" i="13"/>
  <c r="AD76" i="13"/>
  <c r="AC77" i="13"/>
  <c r="AD77" i="13"/>
  <c r="AC78" i="13"/>
  <c r="AD78" i="13"/>
  <c r="AC79" i="13"/>
  <c r="AD79" i="13"/>
  <c r="AC80" i="13"/>
  <c r="AD80" i="13"/>
  <c r="AC81" i="13"/>
  <c r="AD81" i="13"/>
  <c r="AC82" i="13"/>
  <c r="AD82" i="13"/>
  <c r="AC83" i="13"/>
  <c r="AD83" i="13"/>
  <c r="AC84" i="13"/>
  <c r="AD84" i="13"/>
  <c r="AC85" i="13"/>
  <c r="AD85" i="13"/>
  <c r="AC86" i="13"/>
  <c r="AD86" i="13"/>
  <c r="AC87" i="13"/>
  <c r="AD87" i="13"/>
  <c r="AC88" i="13"/>
  <c r="AD88" i="13"/>
  <c r="AC89" i="13"/>
  <c r="AD89" i="13"/>
  <c r="AC90" i="13"/>
  <c r="AD90" i="13"/>
  <c r="AC91" i="13"/>
  <c r="AD91" i="13"/>
  <c r="AC92" i="13"/>
  <c r="AD92" i="13"/>
  <c r="AC93" i="13"/>
  <c r="AD93" i="13"/>
  <c r="AC94" i="13"/>
  <c r="AD94" i="13"/>
  <c r="AC95" i="13"/>
  <c r="AD95" i="13"/>
  <c r="AC96" i="13"/>
  <c r="AD96" i="13"/>
  <c r="AC97" i="13"/>
  <c r="AD97" i="13"/>
  <c r="AC98" i="13"/>
  <c r="AD98" i="13"/>
  <c r="AC99" i="13"/>
  <c r="AD99" i="13"/>
  <c r="AC100" i="13"/>
  <c r="AD100" i="13"/>
  <c r="AC101" i="13"/>
  <c r="AD101" i="13"/>
  <c r="AC102" i="13"/>
  <c r="AD102" i="13"/>
  <c r="AC103" i="13"/>
  <c r="AD103" i="13"/>
  <c r="AC104" i="13"/>
  <c r="AD104" i="13"/>
  <c r="AC105" i="13"/>
  <c r="AD105" i="13"/>
  <c r="AC106" i="13"/>
  <c r="AD106" i="13"/>
  <c r="AC107" i="13"/>
  <c r="AD107" i="13"/>
  <c r="AC108" i="13"/>
  <c r="AD108" i="13"/>
  <c r="AC109" i="13"/>
  <c r="AD109" i="13"/>
  <c r="AC110" i="13"/>
  <c r="AD110" i="13"/>
  <c r="AC111" i="13"/>
  <c r="AD111" i="13"/>
  <c r="AC112" i="13"/>
  <c r="AD112" i="13"/>
  <c r="AC113" i="13"/>
  <c r="AD113" i="13"/>
  <c r="AC114" i="13"/>
  <c r="AD114" i="13"/>
  <c r="AC115" i="13"/>
  <c r="AD115" i="13"/>
  <c r="AC116" i="13"/>
  <c r="AD116" i="13"/>
  <c r="AC117" i="13"/>
  <c r="AD117" i="13"/>
  <c r="AC118" i="13"/>
  <c r="AD118" i="13"/>
  <c r="AC119" i="13"/>
  <c r="AD119" i="13"/>
  <c r="AC120" i="13"/>
  <c r="AD120" i="13"/>
  <c r="AC121" i="13"/>
  <c r="AD121" i="13"/>
  <c r="AC122" i="13"/>
  <c r="AD122" i="13"/>
  <c r="AC123" i="13"/>
  <c r="AD123" i="13"/>
  <c r="AC124" i="13"/>
  <c r="AD124" i="13"/>
  <c r="AC125" i="13"/>
  <c r="AD125" i="13"/>
  <c r="AC126" i="13"/>
  <c r="AD126" i="13"/>
  <c r="AC127" i="13"/>
  <c r="AD127" i="13"/>
  <c r="AC128" i="13"/>
  <c r="AD128" i="13"/>
  <c r="AC129" i="13"/>
  <c r="AD129" i="13"/>
  <c r="AC130" i="13"/>
  <c r="AD130" i="13"/>
  <c r="AC131" i="13"/>
  <c r="AD131" i="13"/>
  <c r="AC132" i="13"/>
  <c r="AC133" i="13"/>
  <c r="AD133" i="13"/>
  <c r="AC134" i="13"/>
  <c r="AD134" i="13"/>
  <c r="M40" i="13"/>
  <c r="L51" i="13"/>
  <c r="L53" i="13"/>
  <c r="M53" i="13"/>
  <c r="L67" i="13"/>
  <c r="L68" i="13"/>
  <c r="M69" i="13"/>
  <c r="M102" i="13"/>
  <c r="W1" i="13"/>
  <c r="X1" i="13"/>
  <c r="Y3" i="13"/>
  <c r="Y1" i="13" s="1"/>
  <c r="Z3" i="13"/>
  <c r="Z1" i="13" s="1"/>
  <c r="AA1" i="13"/>
  <c r="AB1" i="13"/>
  <c r="AC1" i="13"/>
  <c r="AD1" i="13"/>
  <c r="C7" i="13"/>
  <c r="C8" i="13" s="1"/>
  <c r="C9" i="13" s="1"/>
  <c r="C10" i="13" s="1"/>
  <c r="C11" i="13" s="1"/>
  <c r="C12" i="13" s="1"/>
  <c r="C13" i="13" s="1"/>
  <c r="C14" i="13" s="1"/>
  <c r="C15" i="13" s="1"/>
  <c r="C16" i="13" s="1"/>
  <c r="C17" i="13" s="1"/>
  <c r="C18" i="13" s="1"/>
  <c r="C19" i="13" s="1"/>
  <c r="C20" i="13" s="1"/>
  <c r="C21" i="13" s="1"/>
  <c r="C22" i="13" s="1"/>
  <c r="C23" i="13" s="1"/>
  <c r="C24" i="13" s="1"/>
  <c r="C25" i="13" s="1"/>
  <c r="C26" i="13" s="1"/>
  <c r="C27" i="13" s="1"/>
  <c r="C28" i="13" s="1"/>
  <c r="C29" i="13" s="1"/>
  <c r="C30" i="13" s="1"/>
  <c r="C31" i="13" s="1"/>
  <c r="C32" i="13" s="1"/>
  <c r="C33" i="13" s="1"/>
  <c r="C34" i="13" s="1"/>
  <c r="C35" i="13" s="1"/>
  <c r="C36" i="13" s="1"/>
  <c r="C37" i="13" s="1"/>
  <c r="C38" i="13" s="1"/>
  <c r="C39" i="13" s="1"/>
  <c r="C40" i="13" s="1"/>
  <c r="C41" i="13" s="1"/>
  <c r="C42" i="13" s="1"/>
  <c r="C43" i="13" s="1"/>
  <c r="C44" i="13" s="1"/>
  <c r="C45" i="13" s="1"/>
  <c r="C46" i="13" s="1"/>
  <c r="C47" i="13" s="1"/>
  <c r="C48" i="13" s="1"/>
  <c r="C49" i="13" s="1"/>
  <c r="C50" i="13" s="1"/>
  <c r="C51" i="13" s="1"/>
  <c r="C52" i="13" s="1"/>
  <c r="C53" i="13" s="1"/>
  <c r="C54" i="13" s="1"/>
  <c r="C55" i="13" s="1"/>
  <c r="C56" i="13" s="1"/>
  <c r="C57" i="13" s="1"/>
  <c r="A8" i="13"/>
  <c r="A9" i="13" s="1"/>
  <c r="Z28" i="31"/>
  <c r="N28" i="31"/>
  <c r="DD28" i="31" s="1"/>
  <c r="AG28" i="31"/>
  <c r="H58" i="31"/>
  <c r="Z58" i="31"/>
  <c r="N58" i="31"/>
  <c r="AG58" i="31"/>
  <c r="Z61" i="31"/>
  <c r="CJ61" i="31" s="1"/>
  <c r="N61" i="31"/>
  <c r="AG61" i="31"/>
  <c r="Z111" i="31"/>
  <c r="N111" i="31"/>
  <c r="AG111" i="31"/>
  <c r="Z14" i="31"/>
  <c r="CJ14" i="31" s="1"/>
  <c r="N14" i="31"/>
  <c r="O14" i="31" s="1"/>
  <c r="AG14" i="31"/>
  <c r="Z15" i="31"/>
  <c r="CJ15" i="31" s="1"/>
  <c r="N15" i="31"/>
  <c r="AG15" i="31"/>
  <c r="Z16" i="31"/>
  <c r="CJ16" i="31" s="1"/>
  <c r="N16" i="31"/>
  <c r="AG16" i="31"/>
  <c r="Z17" i="31"/>
  <c r="N17" i="31"/>
  <c r="O17" i="31" s="1"/>
  <c r="BH17" i="31" s="1"/>
  <c r="AG17" i="31"/>
  <c r="Z18" i="31"/>
  <c r="CJ18" i="31" s="1"/>
  <c r="AG18" i="31"/>
  <c r="Z19" i="31"/>
  <c r="CJ19" i="31" s="1"/>
  <c r="AG19" i="31"/>
  <c r="CK19" i="31" s="1"/>
  <c r="Z20" i="31"/>
  <c r="CJ20" i="31" s="1"/>
  <c r="N20" i="31"/>
  <c r="O20" i="31" s="1"/>
  <c r="BH20" i="31" s="1"/>
  <c r="AG20" i="31"/>
  <c r="Z21" i="31"/>
  <c r="N21" i="31"/>
  <c r="AG21" i="31"/>
  <c r="Z22" i="31"/>
  <c r="CJ22" i="31" s="1"/>
  <c r="N22" i="31"/>
  <c r="AG22" i="31"/>
  <c r="Z23" i="31"/>
  <c r="N23" i="31"/>
  <c r="AG23" i="31"/>
  <c r="Z24" i="31"/>
  <c r="N24" i="31"/>
  <c r="DD24" i="31" s="1"/>
  <c r="AG24" i="31"/>
  <c r="Z25" i="31"/>
  <c r="N25" i="31"/>
  <c r="O25" i="31" s="1"/>
  <c r="AG25" i="31"/>
  <c r="Z26" i="31"/>
  <c r="CJ26" i="31" s="1"/>
  <c r="N26" i="31"/>
  <c r="AG26" i="31"/>
  <c r="CO26" i="31" s="1"/>
  <c r="Z27" i="31"/>
  <c r="N27" i="31"/>
  <c r="AG27" i="31"/>
  <c r="Z29" i="31"/>
  <c r="AG29" i="31"/>
  <c r="CK29" i="31" s="1"/>
  <c r="Z30" i="31"/>
  <c r="AG30" i="31"/>
  <c r="CK30" i="31" s="1"/>
  <c r="Z31" i="31"/>
  <c r="AG31" i="31"/>
  <c r="CK31" i="31" s="1"/>
  <c r="Z32" i="31"/>
  <c r="CJ32" i="31" s="1"/>
  <c r="AG32" i="31"/>
  <c r="CK32" i="31" s="1"/>
  <c r="Z33" i="31"/>
  <c r="AH33" i="31" s="1"/>
  <c r="CM33" i="31" s="1"/>
  <c r="N33" i="31"/>
  <c r="O33" i="31" s="1"/>
  <c r="BH33" i="31" s="1"/>
  <c r="AG33" i="31"/>
  <c r="Z34" i="31"/>
  <c r="CJ34" i="31" s="1"/>
  <c r="N34" i="31"/>
  <c r="AG34" i="31"/>
  <c r="Z35" i="31"/>
  <c r="AG35" i="31"/>
  <c r="CK35" i="31" s="1"/>
  <c r="CJ36" i="31"/>
  <c r="CK36" i="31"/>
  <c r="Z37" i="31"/>
  <c r="CJ37" i="31" s="1"/>
  <c r="N37" i="31"/>
  <c r="AG37" i="31"/>
  <c r="Z38" i="31"/>
  <c r="N38" i="31"/>
  <c r="AG38" i="31"/>
  <c r="Z39" i="31"/>
  <c r="CJ39" i="31" s="1"/>
  <c r="N39" i="31"/>
  <c r="AG39" i="31"/>
  <c r="Z40" i="31"/>
  <c r="CJ40" i="31" s="1"/>
  <c r="N40" i="31"/>
  <c r="AG40" i="31"/>
  <c r="Z41" i="31"/>
  <c r="CJ41" i="31" s="1"/>
  <c r="N41" i="31"/>
  <c r="AG41" i="31"/>
  <c r="Z42" i="31"/>
  <c r="N42" i="31"/>
  <c r="AG42" i="31"/>
  <c r="Z43" i="31"/>
  <c r="CJ43" i="31" s="1"/>
  <c r="AG43" i="31"/>
  <c r="Z44" i="31"/>
  <c r="N44" i="31"/>
  <c r="AG44" i="31"/>
  <c r="CJ45" i="31"/>
  <c r="CK45" i="31"/>
  <c r="N46" i="31"/>
  <c r="Z46" i="31"/>
  <c r="AG46" i="31"/>
  <c r="N47" i="31"/>
  <c r="Z47" i="31"/>
  <c r="AG47" i="31"/>
  <c r="N48" i="31"/>
  <c r="Z48" i="31"/>
  <c r="AG48" i="31"/>
  <c r="N49" i="31"/>
  <c r="T49" i="31"/>
  <c r="CR49" i="31" s="1"/>
  <c r="AA49" i="31"/>
  <c r="AG49" i="31" s="1"/>
  <c r="N51" i="31"/>
  <c r="V51" i="31"/>
  <c r="AC51" i="31"/>
  <c r="Z52" i="31"/>
  <c r="CJ52" i="31" s="1"/>
  <c r="N52" i="31"/>
  <c r="AG52" i="31"/>
  <c r="Z53" i="31"/>
  <c r="AG53" i="31"/>
  <c r="CK53" i="31" s="1"/>
  <c r="Z54" i="31"/>
  <c r="CJ54" i="31" s="1"/>
  <c r="AG54" i="31"/>
  <c r="Z55" i="31"/>
  <c r="N55" i="31"/>
  <c r="AG55" i="31"/>
  <c r="Z56" i="31"/>
  <c r="CJ56" i="31" s="1"/>
  <c r="N56" i="31"/>
  <c r="O56" i="31" s="1"/>
  <c r="AG56" i="31"/>
  <c r="Z57" i="31"/>
  <c r="CJ57" i="31" s="1"/>
  <c r="AG57" i="31"/>
  <c r="H59" i="31"/>
  <c r="Z59" i="31"/>
  <c r="N59" i="31"/>
  <c r="AG59" i="31"/>
  <c r="Z60" i="31"/>
  <c r="CO60" i="31" s="1"/>
  <c r="N60" i="31"/>
  <c r="O60" i="31" s="1"/>
  <c r="AG60" i="31"/>
  <c r="Z62" i="31"/>
  <c r="CJ62" i="31" s="1"/>
  <c r="N62" i="31"/>
  <c r="DD62" i="31" s="1"/>
  <c r="AG62" i="31"/>
  <c r="Z63" i="31"/>
  <c r="CJ63" i="31" s="1"/>
  <c r="N63" i="31"/>
  <c r="AG63" i="31"/>
  <c r="Z64" i="31"/>
  <c r="N64" i="31"/>
  <c r="AG64" i="31"/>
  <c r="Z65" i="31"/>
  <c r="AH65" i="31" s="1"/>
  <c r="CM65" i="31" s="1"/>
  <c r="N65" i="31"/>
  <c r="AG65" i="31"/>
  <c r="Z66" i="31"/>
  <c r="AH66" i="31" s="1"/>
  <c r="N66" i="31"/>
  <c r="O66" i="31" s="1"/>
  <c r="BH66" i="31" s="1"/>
  <c r="AG66" i="31"/>
  <c r="Z67" i="31"/>
  <c r="CJ67" i="31" s="1"/>
  <c r="AG67" i="31"/>
  <c r="Z68" i="31"/>
  <c r="N68" i="31"/>
  <c r="AG68" i="31"/>
  <c r="Z69" i="31"/>
  <c r="N69" i="31"/>
  <c r="AG69" i="31"/>
  <c r="Z70" i="31"/>
  <c r="CJ70" i="31" s="1"/>
  <c r="AG70" i="31"/>
  <c r="Z71" i="31"/>
  <c r="N71" i="31"/>
  <c r="AG71" i="31"/>
  <c r="T72" i="31"/>
  <c r="AG72" i="31"/>
  <c r="CK72" i="31" s="1"/>
  <c r="T73" i="31"/>
  <c r="AA73" i="31"/>
  <c r="AG73" i="31" s="1"/>
  <c r="CK73" i="31" s="1"/>
  <c r="T74" i="31"/>
  <c r="AA74" i="31"/>
  <c r="CU74" i="31" s="1"/>
  <c r="T75" i="31"/>
  <c r="BL75" i="31" s="1"/>
  <c r="AA75" i="31"/>
  <c r="AG75" i="31" s="1"/>
  <c r="CK75" i="31" s="1"/>
  <c r="T76" i="31"/>
  <c r="Z76" i="31" s="1"/>
  <c r="CJ76" i="31" s="1"/>
  <c r="AA76" i="31"/>
  <c r="T77" i="31"/>
  <c r="AA77" i="31"/>
  <c r="AG77" i="31" s="1"/>
  <c r="CK77" i="31" s="1"/>
  <c r="T78" i="31"/>
  <c r="Z78" i="31" s="1"/>
  <c r="CJ78" i="31" s="1"/>
  <c r="AA78" i="31"/>
  <c r="Z79" i="31"/>
  <c r="CJ79" i="31" s="1"/>
  <c r="AG79" i="31"/>
  <c r="Z80" i="31"/>
  <c r="N80" i="31"/>
  <c r="AG80" i="31"/>
  <c r="Z81" i="31"/>
  <c r="CJ81" i="31" s="1"/>
  <c r="N81" i="31"/>
  <c r="O81" i="31" s="1"/>
  <c r="AG81" i="31"/>
  <c r="Z82" i="31"/>
  <c r="AG82" i="31"/>
  <c r="CK82" i="31" s="1"/>
  <c r="Z83" i="31"/>
  <c r="N83" i="31"/>
  <c r="AG83" i="31"/>
  <c r="Z84" i="31"/>
  <c r="N84" i="31"/>
  <c r="AG84" i="31"/>
  <c r="Z85" i="31"/>
  <c r="CJ85" i="31" s="1"/>
  <c r="AG85" i="31"/>
  <c r="AH85" i="31" s="1"/>
  <c r="CM85" i="31" s="1"/>
  <c r="N86" i="31"/>
  <c r="O86" i="31" s="1"/>
  <c r="BS86" i="31" s="1"/>
  <c r="Z86" i="31"/>
  <c r="AG86" i="31"/>
  <c r="Z87" i="31"/>
  <c r="N87" i="31"/>
  <c r="O87" i="31" s="1"/>
  <c r="AG87" i="31"/>
  <c r="Z88" i="31"/>
  <c r="CJ88" i="31" s="1"/>
  <c r="AG88" i="31"/>
  <c r="Z89" i="31"/>
  <c r="AH89" i="31" s="1"/>
  <c r="CM89" i="31" s="1"/>
  <c r="AG89" i="31"/>
  <c r="CK89" i="31" s="1"/>
  <c r="Z90" i="31"/>
  <c r="CJ90" i="31" s="1"/>
  <c r="N90" i="31"/>
  <c r="DD90" i="31" s="1"/>
  <c r="AG90" i="31"/>
  <c r="AH90" i="31" s="1"/>
  <c r="N91" i="31"/>
  <c r="Z91" i="31"/>
  <c r="AG91" i="31"/>
  <c r="Z92" i="31"/>
  <c r="N92" i="31"/>
  <c r="AG92" i="31"/>
  <c r="Z93" i="31"/>
  <c r="N93" i="31"/>
  <c r="DD93" i="31" s="1"/>
  <c r="AG93" i="31"/>
  <c r="Z94" i="31"/>
  <c r="CJ94" i="31" s="1"/>
  <c r="N94" i="31"/>
  <c r="DD94" i="31" s="1"/>
  <c r="AG94" i="31"/>
  <c r="Z95" i="31"/>
  <c r="N95" i="31"/>
  <c r="AG95" i="31"/>
  <c r="Z96" i="31"/>
  <c r="N96" i="31"/>
  <c r="AG96" i="31"/>
  <c r="Z97" i="31"/>
  <c r="AG97" i="31"/>
  <c r="CK97" i="31" s="1"/>
  <c r="Z98" i="31"/>
  <c r="CJ98" i="31" s="1"/>
  <c r="AG98" i="31"/>
  <c r="CK98" i="31" s="1"/>
  <c r="Z99" i="31"/>
  <c r="AG99" i="31"/>
  <c r="CK99" i="31" s="1"/>
  <c r="Z100" i="31"/>
  <c r="CJ100" i="31" s="1"/>
  <c r="AG100" i="31"/>
  <c r="CK100" i="31" s="1"/>
  <c r="Z101" i="31"/>
  <c r="N101" i="31"/>
  <c r="O101" i="31" s="1"/>
  <c r="AG101" i="31"/>
  <c r="Z102" i="31"/>
  <c r="CJ102" i="31" s="1"/>
  <c r="N102" i="31"/>
  <c r="AG102" i="31"/>
  <c r="AH102" i="31" s="1"/>
  <c r="Z103" i="31"/>
  <c r="CJ103" i="31" s="1"/>
  <c r="AG103" i="31"/>
  <c r="CK103" i="31" s="1"/>
  <c r="Z104" i="31"/>
  <c r="AG104" i="31"/>
  <c r="CK104" i="31" s="1"/>
  <c r="CJ105" i="31"/>
  <c r="CK105" i="31"/>
  <c r="Z106" i="31"/>
  <c r="AG106" i="31"/>
  <c r="CK106" i="31" s="1"/>
  <c r="Z107" i="31"/>
  <c r="CJ107" i="31" s="1"/>
  <c r="N107" i="31"/>
  <c r="O107" i="31" s="1"/>
  <c r="AG107" i="31"/>
  <c r="Z108" i="31"/>
  <c r="N108" i="31"/>
  <c r="O108" i="31" s="1"/>
  <c r="AG108" i="31"/>
  <c r="Z109" i="31"/>
  <c r="N109" i="31"/>
  <c r="DD109" i="31" s="1"/>
  <c r="AG109" i="31"/>
  <c r="Z110" i="31"/>
  <c r="CJ110" i="31" s="1"/>
  <c r="N110" i="31"/>
  <c r="O110" i="31" s="1"/>
  <c r="AG110" i="31"/>
  <c r="Z112" i="31"/>
  <c r="CJ112" i="31" s="1"/>
  <c r="N112" i="31"/>
  <c r="AG112" i="31"/>
  <c r="Z113" i="31"/>
  <c r="N113" i="31"/>
  <c r="O113" i="31" s="1"/>
  <c r="AG113" i="31"/>
  <c r="Z114" i="31"/>
  <c r="N114" i="31"/>
  <c r="O114" i="31" s="1"/>
  <c r="AG114" i="31"/>
  <c r="Z115" i="31"/>
  <c r="CJ115" i="31" s="1"/>
  <c r="N115" i="31"/>
  <c r="AG115" i="31"/>
  <c r="Z116" i="31"/>
  <c r="CJ116" i="31" s="1"/>
  <c r="N116" i="31"/>
  <c r="AG116" i="31"/>
  <c r="Z117" i="31"/>
  <c r="N117" i="31"/>
  <c r="AG117" i="31"/>
  <c r="Z118" i="31"/>
  <c r="N118" i="31"/>
  <c r="DD118" i="31" s="1"/>
  <c r="AG118" i="31"/>
  <c r="Z119" i="31"/>
  <c r="CJ119" i="31" s="1"/>
  <c r="N119" i="31"/>
  <c r="AG119" i="31"/>
  <c r="N120" i="31"/>
  <c r="CJ120" i="31" s="1"/>
  <c r="N121" i="31"/>
  <c r="Z121" i="31"/>
  <c r="AG121" i="31"/>
  <c r="CK121" i="31" s="1"/>
  <c r="Z122" i="31"/>
  <c r="CJ122" i="31" s="1"/>
  <c r="CK122" i="31"/>
  <c r="N123" i="31"/>
  <c r="DD123" i="31" s="1"/>
  <c r="Z123" i="31"/>
  <c r="U124" i="31"/>
  <c r="Z124" i="31" s="1"/>
  <c r="CJ124" i="31" s="1"/>
  <c r="AG124" i="31"/>
  <c r="CK124" i="31" s="1"/>
  <c r="Z125" i="31"/>
  <c r="AG125" i="31"/>
  <c r="Z126" i="31"/>
  <c r="CJ126" i="31" s="1"/>
  <c r="AG126" i="31"/>
  <c r="CK126" i="31" s="1"/>
  <c r="Z127" i="31"/>
  <c r="AG127" i="31"/>
  <c r="CK127" i="31" s="1"/>
  <c r="Z128" i="31"/>
  <c r="CJ128" i="31" s="1"/>
  <c r="AG128" i="31"/>
  <c r="CK128" i="31" s="1"/>
  <c r="N129" i="31"/>
  <c r="DD129" i="31" s="1"/>
  <c r="Z129" i="31"/>
  <c r="AG129" i="31"/>
  <c r="N130" i="31"/>
  <c r="Z130" i="31"/>
  <c r="AG130" i="31"/>
  <c r="Z131" i="31"/>
  <c r="CJ131" i="31" s="1"/>
  <c r="AG131" i="31"/>
  <c r="CK131" i="31" s="1"/>
  <c r="N132" i="31"/>
  <c r="Z133" i="31"/>
  <c r="AG133" i="31"/>
  <c r="CK133" i="31" s="1"/>
  <c r="Z134" i="31"/>
  <c r="AG134" i="31"/>
  <c r="CK134" i="31" s="1"/>
  <c r="Z135" i="31"/>
  <c r="AG135" i="31"/>
  <c r="CK135" i="31" s="1"/>
  <c r="Z136" i="31"/>
  <c r="N136" i="31"/>
  <c r="AG136" i="31"/>
  <c r="N137" i="31"/>
  <c r="O137" i="31" s="1"/>
  <c r="V137" i="31"/>
  <c r="W137" i="31"/>
  <c r="W154" i="31" s="1"/>
  <c r="AC137" i="31"/>
  <c r="AD137" i="31"/>
  <c r="N138" i="31"/>
  <c r="Z138" i="31"/>
  <c r="AG138" i="31"/>
  <c r="Z139" i="31"/>
  <c r="CJ139" i="31" s="1"/>
  <c r="AG139" i="31"/>
  <c r="CK139" i="31" s="1"/>
  <c r="Z140" i="31"/>
  <c r="AG140" i="31"/>
  <c r="U141" i="31"/>
  <c r="Z141" i="31" s="1"/>
  <c r="CJ141" i="31" s="1"/>
  <c r="AB141" i="31"/>
  <c r="AG141" i="31" s="1"/>
  <c r="W142" i="31"/>
  <c r="N142" i="31"/>
  <c r="AE142" i="31"/>
  <c r="U437" i="31"/>
  <c r="V437" i="31"/>
  <c r="U434" i="31"/>
  <c r="V434" i="31"/>
  <c r="O49" i="31"/>
  <c r="BH427" i="31" s="1"/>
  <c r="CM425" i="31"/>
  <c r="CN425" i="31" s="1"/>
  <c r="CM424" i="31"/>
  <c r="CN424" i="31" s="1"/>
  <c r="CM423" i="31"/>
  <c r="CN423" i="31" s="1"/>
  <c r="CM422" i="31"/>
  <c r="CN422" i="31" s="1"/>
  <c r="CM421" i="31"/>
  <c r="CN421" i="31" s="1"/>
  <c r="CM420" i="31"/>
  <c r="CN420" i="31" s="1"/>
  <c r="CM419" i="31"/>
  <c r="CN419" i="31" s="1"/>
  <c r="CM418" i="31"/>
  <c r="CN418" i="31" s="1"/>
  <c r="CM417" i="31"/>
  <c r="CN417" i="31" s="1"/>
  <c r="CM416" i="31"/>
  <c r="CN416" i="31" s="1"/>
  <c r="CM415" i="31"/>
  <c r="CN415" i="31" s="1"/>
  <c r="CM414" i="31"/>
  <c r="CN414" i="31" s="1"/>
  <c r="CM413" i="31"/>
  <c r="CN413" i="31" s="1"/>
  <c r="CM412" i="31"/>
  <c r="CN412" i="31" s="1"/>
  <c r="CM411" i="31"/>
  <c r="CN411" i="31" s="1"/>
  <c r="CM410" i="31"/>
  <c r="CN410" i="31" s="1"/>
  <c r="CM409" i="31"/>
  <c r="CN409" i="31" s="1"/>
  <c r="CM408" i="31"/>
  <c r="CN408" i="31" s="1"/>
  <c r="CM407" i="31"/>
  <c r="CN407" i="31" s="1"/>
  <c r="CM406" i="31"/>
  <c r="CN406" i="31" s="1"/>
  <c r="CM405" i="31"/>
  <c r="CN405" i="31" s="1"/>
  <c r="CM404" i="31"/>
  <c r="CN404" i="31" s="1"/>
  <c r="CM403" i="31"/>
  <c r="CN403" i="31" s="1"/>
  <c r="CM402" i="31"/>
  <c r="CN402" i="31" s="1"/>
  <c r="CM401" i="31"/>
  <c r="CN401" i="31" s="1"/>
  <c r="CM400" i="31"/>
  <c r="CN400" i="31" s="1"/>
  <c r="CM399" i="31"/>
  <c r="CN399" i="31" s="1"/>
  <c r="CM398" i="31"/>
  <c r="CN398" i="31" s="1"/>
  <c r="CM397" i="31"/>
  <c r="CN397" i="31" s="1"/>
  <c r="CM396" i="31"/>
  <c r="CN396" i="31" s="1"/>
  <c r="CM395" i="31"/>
  <c r="CN395" i="31" s="1"/>
  <c r="CM394" i="31"/>
  <c r="CN394" i="31" s="1"/>
  <c r="CM393" i="31"/>
  <c r="CN393" i="31" s="1"/>
  <c r="CM392" i="31"/>
  <c r="CN392" i="31" s="1"/>
  <c r="CM391" i="31"/>
  <c r="CN391" i="31" s="1"/>
  <c r="CM390" i="31"/>
  <c r="CN390" i="31" s="1"/>
  <c r="CM389" i="31"/>
  <c r="CN389" i="31" s="1"/>
  <c r="CM388" i="31"/>
  <c r="CN388" i="31" s="1"/>
  <c r="CM387" i="31"/>
  <c r="CN387" i="31" s="1"/>
  <c r="CM386" i="31"/>
  <c r="CN386" i="31" s="1"/>
  <c r="CM385" i="31"/>
  <c r="CN385" i="31" s="1"/>
  <c r="CM384" i="31"/>
  <c r="CN384" i="31" s="1"/>
  <c r="CM383" i="31"/>
  <c r="CN383" i="31" s="1"/>
  <c r="CM382" i="31"/>
  <c r="CN382" i="31" s="1"/>
  <c r="CM381" i="31"/>
  <c r="CN381" i="31" s="1"/>
  <c r="CM380" i="31"/>
  <c r="CN380" i="31" s="1"/>
  <c r="CM379" i="31"/>
  <c r="CN379" i="31" s="1"/>
  <c r="CM378" i="31"/>
  <c r="CN378" i="31" s="1"/>
  <c r="CM377" i="31"/>
  <c r="CN377" i="31" s="1"/>
  <c r="CM376" i="31"/>
  <c r="CN376" i="31" s="1"/>
  <c r="CM375" i="31"/>
  <c r="CN375" i="31" s="1"/>
  <c r="CM374" i="31"/>
  <c r="CN374" i="31" s="1"/>
  <c r="CM373" i="31"/>
  <c r="CN373" i="31" s="1"/>
  <c r="CM372" i="31"/>
  <c r="CN372" i="31" s="1"/>
  <c r="CM371" i="31"/>
  <c r="CN371" i="31" s="1"/>
  <c r="CM370" i="31"/>
  <c r="CN370" i="31" s="1"/>
  <c r="CM369" i="31"/>
  <c r="CN369" i="31" s="1"/>
  <c r="CM368" i="31"/>
  <c r="CN368" i="31" s="1"/>
  <c r="CM367" i="31"/>
  <c r="CN367" i="31" s="1"/>
  <c r="CM366" i="31"/>
  <c r="CN366" i="31" s="1"/>
  <c r="CM365" i="31"/>
  <c r="CN365" i="31" s="1"/>
  <c r="CM364" i="31"/>
  <c r="CN364" i="31" s="1"/>
  <c r="CM363" i="31"/>
  <c r="CN363" i="31" s="1"/>
  <c r="CM362" i="31"/>
  <c r="CN362" i="31" s="1"/>
  <c r="CM361" i="31"/>
  <c r="CN361" i="31" s="1"/>
  <c r="CM360" i="31"/>
  <c r="CN360" i="31" s="1"/>
  <c r="CM359" i="31"/>
  <c r="CN359" i="31" s="1"/>
  <c r="CM358" i="31"/>
  <c r="CN358" i="31" s="1"/>
  <c r="CM357" i="31"/>
  <c r="CN357" i="31" s="1"/>
  <c r="CM356" i="31"/>
  <c r="CN356" i="31" s="1"/>
  <c r="CM355" i="31"/>
  <c r="CN355" i="31" s="1"/>
  <c r="CM354" i="31"/>
  <c r="CN354" i="31" s="1"/>
  <c r="CM353" i="31"/>
  <c r="CN353" i="31" s="1"/>
  <c r="CM352" i="31"/>
  <c r="CN352" i="31" s="1"/>
  <c r="CM351" i="31"/>
  <c r="CN351" i="31" s="1"/>
  <c r="CM350" i="31"/>
  <c r="CN350" i="31" s="1"/>
  <c r="CM349" i="31"/>
  <c r="CN349" i="31" s="1"/>
  <c r="CM348" i="31"/>
  <c r="CN348" i="31" s="1"/>
  <c r="CM347" i="31"/>
  <c r="CN347" i="31" s="1"/>
  <c r="CM346" i="31"/>
  <c r="CN346" i="31" s="1"/>
  <c r="CM345" i="31"/>
  <c r="CN345" i="31" s="1"/>
  <c r="CM344" i="31"/>
  <c r="CN344" i="31" s="1"/>
  <c r="CM343" i="31"/>
  <c r="CN343" i="31" s="1"/>
  <c r="CM342" i="31"/>
  <c r="CN342" i="31" s="1"/>
  <c r="CM341" i="31"/>
  <c r="CN341" i="31" s="1"/>
  <c r="CM340" i="31"/>
  <c r="CN340" i="31" s="1"/>
  <c r="CM339" i="31"/>
  <c r="CN339" i="31" s="1"/>
  <c r="CM338" i="31"/>
  <c r="CN338" i="31" s="1"/>
  <c r="CM337" i="31"/>
  <c r="CN337" i="31" s="1"/>
  <c r="CM336" i="31"/>
  <c r="CN336" i="31" s="1"/>
  <c r="CM335" i="31"/>
  <c r="CN335" i="31" s="1"/>
  <c r="CM334" i="31"/>
  <c r="CN334" i="31" s="1"/>
  <c r="CM333" i="31"/>
  <c r="CN333" i="31" s="1"/>
  <c r="CM332" i="31"/>
  <c r="CN332" i="31" s="1"/>
  <c r="CM331" i="31"/>
  <c r="CN331" i="31" s="1"/>
  <c r="CM330" i="31"/>
  <c r="CN330" i="31" s="1"/>
  <c r="CM329" i="31"/>
  <c r="CN329" i="31" s="1"/>
  <c r="CM328" i="31"/>
  <c r="CN328" i="31" s="1"/>
  <c r="CM327" i="31"/>
  <c r="CN327" i="31" s="1"/>
  <c r="CM326" i="31"/>
  <c r="CN326" i="31" s="1"/>
  <c r="CM325" i="31"/>
  <c r="CN325" i="31" s="1"/>
  <c r="CM324" i="31"/>
  <c r="CN324" i="31" s="1"/>
  <c r="CM323" i="31"/>
  <c r="CN323" i="31" s="1"/>
  <c r="CM322" i="31"/>
  <c r="CN322" i="31" s="1"/>
  <c r="CM321" i="31"/>
  <c r="CN321" i="31" s="1"/>
  <c r="CM320" i="31"/>
  <c r="CN320" i="31" s="1"/>
  <c r="CM319" i="31"/>
  <c r="CN319" i="31" s="1"/>
  <c r="CM318" i="31"/>
  <c r="CN318" i="31" s="1"/>
  <c r="CM317" i="31"/>
  <c r="CN317" i="31" s="1"/>
  <c r="CM316" i="31"/>
  <c r="CN316" i="31" s="1"/>
  <c r="CM315" i="31"/>
  <c r="CN315" i="31" s="1"/>
  <c r="CM314" i="31"/>
  <c r="CN314" i="31" s="1"/>
  <c r="CM313" i="31"/>
  <c r="CN313" i="31" s="1"/>
  <c r="CM312" i="31"/>
  <c r="CN312" i="31" s="1"/>
  <c r="CM311" i="31"/>
  <c r="CN311" i="31" s="1"/>
  <c r="CM310" i="31"/>
  <c r="CN310" i="31" s="1"/>
  <c r="CM309" i="31"/>
  <c r="CN309" i="31" s="1"/>
  <c r="CM308" i="31"/>
  <c r="CN308" i="31" s="1"/>
  <c r="CM307" i="31"/>
  <c r="CN307" i="31" s="1"/>
  <c r="CM306" i="31"/>
  <c r="CN306" i="31" s="1"/>
  <c r="CM305" i="31"/>
  <c r="CN305" i="31" s="1"/>
  <c r="CM304" i="31"/>
  <c r="CN304" i="31" s="1"/>
  <c r="CM303" i="31"/>
  <c r="CN303" i="31" s="1"/>
  <c r="CM302" i="31"/>
  <c r="CN302" i="31" s="1"/>
  <c r="CM301" i="31"/>
  <c r="CN301" i="31" s="1"/>
  <c r="CM300" i="31"/>
  <c r="CN300" i="31" s="1"/>
  <c r="CM299" i="31"/>
  <c r="CN299" i="31" s="1"/>
  <c r="CM298" i="31"/>
  <c r="CN298" i="31" s="1"/>
  <c r="CM297" i="31"/>
  <c r="CN297" i="31" s="1"/>
  <c r="CM296" i="31"/>
  <c r="CN296" i="31" s="1"/>
  <c r="CM295" i="31"/>
  <c r="CN295" i="31" s="1"/>
  <c r="CM294" i="31"/>
  <c r="CN294" i="31" s="1"/>
  <c r="CM293" i="31"/>
  <c r="CN293" i="31" s="1"/>
  <c r="CM292" i="31"/>
  <c r="CN292" i="31" s="1"/>
  <c r="CM291" i="31"/>
  <c r="CN291" i="31" s="1"/>
  <c r="CM290" i="31"/>
  <c r="CN290" i="31" s="1"/>
  <c r="CM289" i="31"/>
  <c r="CN289" i="31" s="1"/>
  <c r="CM288" i="31"/>
  <c r="CN288" i="31" s="1"/>
  <c r="CM287" i="31"/>
  <c r="CN287" i="31" s="1"/>
  <c r="CM286" i="31"/>
  <c r="CN286" i="31" s="1"/>
  <c r="CM285" i="31"/>
  <c r="CN285" i="31" s="1"/>
  <c r="CM284" i="31"/>
  <c r="CN284" i="31" s="1"/>
  <c r="CM283" i="31"/>
  <c r="CN283" i="31" s="1"/>
  <c r="CM282" i="31"/>
  <c r="CN282" i="31" s="1"/>
  <c r="CM281" i="31"/>
  <c r="CN281" i="31" s="1"/>
  <c r="CM280" i="31"/>
  <c r="CN280" i="31" s="1"/>
  <c r="CM279" i="31"/>
  <c r="CN279" i="31" s="1"/>
  <c r="CM278" i="31"/>
  <c r="CN278" i="31" s="1"/>
  <c r="CM277" i="31"/>
  <c r="CN277" i="31" s="1"/>
  <c r="CM276" i="31"/>
  <c r="CN276" i="31" s="1"/>
  <c r="CM275" i="31"/>
  <c r="CN275" i="31" s="1"/>
  <c r="CM274" i="31"/>
  <c r="CN274" i="31" s="1"/>
  <c r="CM273" i="31"/>
  <c r="CN273" i="31" s="1"/>
  <c r="CM272" i="31"/>
  <c r="CN272" i="31" s="1"/>
  <c r="CM271" i="31"/>
  <c r="CN271" i="31" s="1"/>
  <c r="CM270" i="31"/>
  <c r="CN270" i="31" s="1"/>
  <c r="CM269" i="31"/>
  <c r="CN269" i="31" s="1"/>
  <c r="CM268" i="31"/>
  <c r="CN268" i="31" s="1"/>
  <c r="CM267" i="31"/>
  <c r="CN267" i="31" s="1"/>
  <c r="CM266" i="31"/>
  <c r="CN266" i="31" s="1"/>
  <c r="CM265" i="31"/>
  <c r="CN265" i="31" s="1"/>
  <c r="CM264" i="31"/>
  <c r="CN264" i="31" s="1"/>
  <c r="CM263" i="31"/>
  <c r="CN263" i="31" s="1"/>
  <c r="CM262" i="31"/>
  <c r="CN262" i="31" s="1"/>
  <c r="CM261" i="31"/>
  <c r="CN261" i="31" s="1"/>
  <c r="CM260" i="31"/>
  <c r="CN260" i="31" s="1"/>
  <c r="CM259" i="31"/>
  <c r="CN259" i="31" s="1"/>
  <c r="CM258" i="31"/>
  <c r="CN258" i="31" s="1"/>
  <c r="CM257" i="31"/>
  <c r="CN257" i="31" s="1"/>
  <c r="CM256" i="31"/>
  <c r="CN256" i="31" s="1"/>
  <c r="CM255" i="31"/>
  <c r="CN255" i="31" s="1"/>
  <c r="CM254" i="31"/>
  <c r="CN254" i="31" s="1"/>
  <c r="CM253" i="31"/>
  <c r="CN253" i="31" s="1"/>
  <c r="CM252" i="31"/>
  <c r="CN252" i="31" s="1"/>
  <c r="CM251" i="31"/>
  <c r="CN251" i="31" s="1"/>
  <c r="CM250" i="31"/>
  <c r="CN250" i="31" s="1"/>
  <c r="CM249" i="31"/>
  <c r="CN249" i="31" s="1"/>
  <c r="CM248" i="31"/>
  <c r="CN248" i="31" s="1"/>
  <c r="CM247" i="31"/>
  <c r="CN247" i="31" s="1"/>
  <c r="CM246" i="31"/>
  <c r="CN246" i="31" s="1"/>
  <c r="CM245" i="31"/>
  <c r="CN245" i="31" s="1"/>
  <c r="CM244" i="31"/>
  <c r="CN244" i="31" s="1"/>
  <c r="CM243" i="31"/>
  <c r="CN243" i="31" s="1"/>
  <c r="CM242" i="31"/>
  <c r="CN242" i="31" s="1"/>
  <c r="CM241" i="31"/>
  <c r="CN241" i="31" s="1"/>
  <c r="CM240" i="31"/>
  <c r="CN240" i="31" s="1"/>
  <c r="CM239" i="31"/>
  <c r="CN239" i="31" s="1"/>
  <c r="CM238" i="31"/>
  <c r="CN238" i="31" s="1"/>
  <c r="CM237" i="31"/>
  <c r="CN237" i="31" s="1"/>
  <c r="CM236" i="31"/>
  <c r="CN236" i="31" s="1"/>
  <c r="CM235" i="31"/>
  <c r="CN235" i="31" s="1"/>
  <c r="CM234" i="31"/>
  <c r="CN234" i="31" s="1"/>
  <c r="CM233" i="31"/>
  <c r="CN233" i="31" s="1"/>
  <c r="CM232" i="31"/>
  <c r="CN232" i="31" s="1"/>
  <c r="CM231" i="31"/>
  <c r="CN231" i="31" s="1"/>
  <c r="CM230" i="31"/>
  <c r="CN230" i="31" s="1"/>
  <c r="CM229" i="31"/>
  <c r="CN229" i="31" s="1"/>
  <c r="CM228" i="31"/>
  <c r="CN228" i="31" s="1"/>
  <c r="CM227" i="31"/>
  <c r="CN227" i="31" s="1"/>
  <c r="CM226" i="31"/>
  <c r="CN226" i="31" s="1"/>
  <c r="CM225" i="31"/>
  <c r="CN225" i="31" s="1"/>
  <c r="CM224" i="31"/>
  <c r="CN224" i="31" s="1"/>
  <c r="CM223" i="31"/>
  <c r="CN223" i="31" s="1"/>
  <c r="CM222" i="31"/>
  <c r="CN222" i="31" s="1"/>
  <c r="CM221" i="31"/>
  <c r="CN221" i="31" s="1"/>
  <c r="CM220" i="31"/>
  <c r="CN220" i="31" s="1"/>
  <c r="CM219" i="31"/>
  <c r="CN219" i="31" s="1"/>
  <c r="CM218" i="31"/>
  <c r="CN218" i="31" s="1"/>
  <c r="CM217" i="31"/>
  <c r="CN217" i="31" s="1"/>
  <c r="CM216" i="31"/>
  <c r="CN216" i="31" s="1"/>
  <c r="CM215" i="31"/>
  <c r="CN215" i="31" s="1"/>
  <c r="CM214" i="31"/>
  <c r="CN214" i="31" s="1"/>
  <c r="CM213" i="31"/>
  <c r="CN213" i="31" s="1"/>
  <c r="CM212" i="31"/>
  <c r="CN212" i="31" s="1"/>
  <c r="CM211" i="31"/>
  <c r="CN211" i="31" s="1"/>
  <c r="CM210" i="31"/>
  <c r="CN210" i="31" s="1"/>
  <c r="CM209" i="31"/>
  <c r="CN209" i="31" s="1"/>
  <c r="CM208" i="31"/>
  <c r="CN208" i="31" s="1"/>
  <c r="CM207" i="31"/>
  <c r="CN207" i="31" s="1"/>
  <c r="CM206" i="31"/>
  <c r="CN206" i="31" s="1"/>
  <c r="CM205" i="31"/>
  <c r="CN205" i="31" s="1"/>
  <c r="CM204" i="31"/>
  <c r="CN204" i="31" s="1"/>
  <c r="CM203" i="31"/>
  <c r="CN203" i="31" s="1"/>
  <c r="CM202" i="31"/>
  <c r="CN202" i="31" s="1"/>
  <c r="CM201" i="31"/>
  <c r="CN201" i="31" s="1"/>
  <c r="CM200" i="31"/>
  <c r="CN200" i="31" s="1"/>
  <c r="CM199" i="31"/>
  <c r="CN199" i="31" s="1"/>
  <c r="CM198" i="31"/>
  <c r="CN198" i="31" s="1"/>
  <c r="CM197" i="31"/>
  <c r="CN197" i="31" s="1"/>
  <c r="CM196" i="31"/>
  <c r="CN196" i="31" s="1"/>
  <c r="CM195" i="31"/>
  <c r="CN195" i="31" s="1"/>
  <c r="CM194" i="31"/>
  <c r="CN194" i="31" s="1"/>
  <c r="CM193" i="31"/>
  <c r="CN193" i="31" s="1"/>
  <c r="CM192" i="31"/>
  <c r="CN192" i="31" s="1"/>
  <c r="CM191" i="31"/>
  <c r="CN191" i="31" s="1"/>
  <c r="CM190" i="31"/>
  <c r="CN190" i="31" s="1"/>
  <c r="CM189" i="31"/>
  <c r="CN189" i="31" s="1"/>
  <c r="CM188" i="31"/>
  <c r="CN188" i="31" s="1"/>
  <c r="CM187" i="31"/>
  <c r="CN187" i="31" s="1"/>
  <c r="CM186" i="31"/>
  <c r="CN186" i="31" s="1"/>
  <c r="CM185" i="31"/>
  <c r="CN185" i="31" s="1"/>
  <c r="CM184" i="31"/>
  <c r="CN184" i="31" s="1"/>
  <c r="CM183" i="31"/>
  <c r="CN183" i="31" s="1"/>
  <c r="CM182" i="31"/>
  <c r="CN182" i="31" s="1"/>
  <c r="CM181" i="31"/>
  <c r="CN181" i="31" s="1"/>
  <c r="CM180" i="31"/>
  <c r="CN180" i="31" s="1"/>
  <c r="CM179" i="31"/>
  <c r="CN179" i="31" s="1"/>
  <c r="CM178" i="31"/>
  <c r="CN178" i="31" s="1"/>
  <c r="CM177" i="31"/>
  <c r="CN177" i="31" s="1"/>
  <c r="CM176" i="31"/>
  <c r="CN176" i="31" s="1"/>
  <c r="CM175" i="31"/>
  <c r="CN175" i="31" s="1"/>
  <c r="CM173" i="31"/>
  <c r="CN173" i="31" s="1"/>
  <c r="CM172" i="31"/>
  <c r="CN172" i="31" s="1"/>
  <c r="AG172" i="31"/>
  <c r="CM171" i="31"/>
  <c r="S171" i="31"/>
  <c r="CM170" i="31"/>
  <c r="CN170" i="31" s="1"/>
  <c r="AJ14" i="31"/>
  <c r="AJ15" i="31"/>
  <c r="AJ16" i="31"/>
  <c r="AJ17" i="31"/>
  <c r="AJ18" i="31"/>
  <c r="AJ19" i="31"/>
  <c r="AJ20" i="31"/>
  <c r="BA20" i="31" s="1"/>
  <c r="AJ21" i="31"/>
  <c r="AJ22" i="31"/>
  <c r="AJ23" i="31"/>
  <c r="BA23" i="31" s="1"/>
  <c r="AJ24" i="31"/>
  <c r="BA24" i="31" s="1"/>
  <c r="AJ25" i="31"/>
  <c r="AJ26" i="31"/>
  <c r="CC26" i="31" s="1"/>
  <c r="AJ27" i="31"/>
  <c r="AJ28" i="31"/>
  <c r="AJ29" i="31"/>
  <c r="CH29" i="31" s="1"/>
  <c r="AJ30" i="31"/>
  <c r="AJ31" i="31"/>
  <c r="AJ32" i="31"/>
  <c r="BA32" i="31" s="1"/>
  <c r="AJ33" i="31"/>
  <c r="AJ34" i="31"/>
  <c r="AJ35" i="31"/>
  <c r="AJ36" i="31"/>
  <c r="BA36" i="31" s="1"/>
  <c r="AJ37" i="31"/>
  <c r="AJ38" i="31"/>
  <c r="AJ39" i="31"/>
  <c r="AT39" i="31" s="1"/>
  <c r="AJ40" i="31"/>
  <c r="AJ41" i="31"/>
  <c r="CH41" i="31" s="1"/>
  <c r="AJ42" i="31"/>
  <c r="BA42" i="31" s="1"/>
  <c r="AJ43" i="31"/>
  <c r="AJ44" i="31"/>
  <c r="BA44" i="31" s="1"/>
  <c r="AJ45" i="31"/>
  <c r="P46" i="31"/>
  <c r="AJ46" i="31"/>
  <c r="AJ47" i="31"/>
  <c r="BA47" i="31" s="1"/>
  <c r="AJ48" i="31"/>
  <c r="P49" i="31"/>
  <c r="AJ49" i="31"/>
  <c r="AJ50" i="31"/>
  <c r="BA50" i="31" s="1"/>
  <c r="AJ51" i="31"/>
  <c r="AJ52" i="31"/>
  <c r="BA52" i="31" s="1"/>
  <c r="AJ53" i="31"/>
  <c r="AJ54" i="31"/>
  <c r="BA54" i="31" s="1"/>
  <c r="AJ55" i="31"/>
  <c r="AJ56" i="31"/>
  <c r="AJ57" i="31"/>
  <c r="AJ58" i="31"/>
  <c r="BA58" i="31" s="1"/>
  <c r="AJ59" i="31"/>
  <c r="AJ60" i="31"/>
  <c r="CX60" i="31" s="1"/>
  <c r="AJ61" i="31"/>
  <c r="AJ62" i="31"/>
  <c r="BA62" i="31" s="1"/>
  <c r="AJ63" i="31"/>
  <c r="AJ64" i="31"/>
  <c r="BA64" i="31" s="1"/>
  <c r="AJ65" i="31"/>
  <c r="AJ66" i="31"/>
  <c r="BA66" i="31" s="1"/>
  <c r="AJ67" i="31"/>
  <c r="AJ68" i="31"/>
  <c r="AJ69" i="31"/>
  <c r="AJ70" i="31"/>
  <c r="BA70" i="31" s="1"/>
  <c r="AJ71" i="31"/>
  <c r="AJ72" i="31"/>
  <c r="AJ73" i="31"/>
  <c r="AJ74" i="31"/>
  <c r="BA74" i="31" s="1"/>
  <c r="AJ75" i="31"/>
  <c r="CX75" i="31" s="1"/>
  <c r="AJ76" i="31"/>
  <c r="BA76" i="31" s="1"/>
  <c r="AJ77" i="31"/>
  <c r="AJ78" i="31"/>
  <c r="BA78" i="31" s="1"/>
  <c r="AJ79" i="31"/>
  <c r="AJ80" i="31"/>
  <c r="AJ81" i="31"/>
  <c r="AJ82" i="31"/>
  <c r="BA82" i="31" s="1"/>
  <c r="AJ83" i="31"/>
  <c r="AJ84" i="31"/>
  <c r="AJ85" i="31"/>
  <c r="P86" i="31"/>
  <c r="AJ86" i="31"/>
  <c r="AJ87" i="31"/>
  <c r="AJ88" i="31"/>
  <c r="AJ89" i="31"/>
  <c r="AJ90" i="31"/>
  <c r="AJ91" i="31"/>
  <c r="AJ92" i="31"/>
  <c r="AJ93" i="31"/>
  <c r="AJ94" i="31"/>
  <c r="AJ95" i="31"/>
  <c r="AJ96" i="31"/>
  <c r="AJ97" i="31"/>
  <c r="BA97" i="31" s="1"/>
  <c r="AJ98" i="31"/>
  <c r="CY98" i="31" s="1"/>
  <c r="AJ101" i="31"/>
  <c r="AJ102" i="31"/>
  <c r="AJ103" i="31"/>
  <c r="AJ104" i="31"/>
  <c r="AJ105" i="31"/>
  <c r="AJ106" i="31"/>
  <c r="BA106" i="31" s="1"/>
  <c r="AJ107" i="31"/>
  <c r="AJ108" i="31"/>
  <c r="AJ109" i="31"/>
  <c r="BA109" i="31" s="1"/>
  <c r="AJ110" i="31"/>
  <c r="AJ111" i="31"/>
  <c r="AT111" i="31" s="1"/>
  <c r="AJ112" i="31"/>
  <c r="BA112" i="31" s="1"/>
  <c r="AJ113" i="31"/>
  <c r="AJ114" i="31"/>
  <c r="AJ115" i="31"/>
  <c r="AJ116" i="31"/>
  <c r="AJ117" i="31"/>
  <c r="BA117" i="31" s="1"/>
  <c r="AJ118" i="31"/>
  <c r="AJ119" i="31"/>
  <c r="AJ121" i="31"/>
  <c r="AJ122" i="31"/>
  <c r="BA122" i="31" s="1"/>
  <c r="AJ123" i="31"/>
  <c r="AJ124" i="31"/>
  <c r="AJ125" i="31"/>
  <c r="CH125" i="31" s="1"/>
  <c r="AJ126" i="31"/>
  <c r="AJ127" i="31"/>
  <c r="BA127" i="31" s="1"/>
  <c r="AJ128" i="31"/>
  <c r="AJ129" i="31"/>
  <c r="AJ130" i="31"/>
  <c r="BA130" i="31" s="1"/>
  <c r="AJ131" i="31"/>
  <c r="AJ132" i="31"/>
  <c r="AJ133" i="31"/>
  <c r="AJ134" i="31"/>
  <c r="CY134" i="31" s="1"/>
  <c r="AJ135" i="31"/>
  <c r="AJ136" i="31"/>
  <c r="AJ137" i="31"/>
  <c r="BA137" i="31" s="1"/>
  <c r="AJ138" i="31"/>
  <c r="AJ139" i="31"/>
  <c r="AJ140" i="31"/>
  <c r="O141" i="31"/>
  <c r="BS141" i="31" s="1"/>
  <c r="AJ141" i="31"/>
  <c r="AT141" i="31" s="1"/>
  <c r="P142" i="31"/>
  <c r="AJ142" i="31"/>
  <c r="AK14" i="31"/>
  <c r="AK15" i="31"/>
  <c r="AK16" i="31"/>
  <c r="AK17" i="31"/>
  <c r="BB17" i="31" s="1"/>
  <c r="AK18" i="31"/>
  <c r="AK19" i="31"/>
  <c r="AK20" i="31"/>
  <c r="AK21" i="31"/>
  <c r="BB21" i="31" s="1"/>
  <c r="AK22" i="31"/>
  <c r="BB22" i="31" s="1"/>
  <c r="AK23" i="31"/>
  <c r="AK24" i="31"/>
  <c r="AK25" i="31"/>
  <c r="BB25" i="31" s="1"/>
  <c r="AK26" i="31"/>
  <c r="AK27" i="31"/>
  <c r="AK28" i="31"/>
  <c r="AK29" i="31"/>
  <c r="BB29" i="31" s="1"/>
  <c r="AK30" i="31"/>
  <c r="CY30" i="31" s="1"/>
  <c r="AK31" i="31"/>
  <c r="BB31" i="31" s="1"/>
  <c r="AK32" i="31"/>
  <c r="AK33" i="31"/>
  <c r="AK34" i="31"/>
  <c r="BB34" i="31" s="1"/>
  <c r="AK35" i="31"/>
  <c r="AK36" i="31"/>
  <c r="AK37" i="31"/>
  <c r="BB37" i="31" s="1"/>
  <c r="AK38" i="31"/>
  <c r="AK39" i="31"/>
  <c r="AK40" i="31"/>
  <c r="AK41" i="31"/>
  <c r="AK42" i="31"/>
  <c r="AK43" i="31"/>
  <c r="BB43" i="31" s="1"/>
  <c r="AK44" i="31"/>
  <c r="CY44" i="31" s="1"/>
  <c r="AK45" i="31"/>
  <c r="BB45" i="31" s="1"/>
  <c r="AK46" i="31"/>
  <c r="AU46" i="31" s="1"/>
  <c r="Q47" i="31"/>
  <c r="BU47" i="31" s="1"/>
  <c r="AK47" i="31"/>
  <c r="AK48" i="31"/>
  <c r="AK49" i="31"/>
  <c r="AK50" i="31"/>
  <c r="AO50" i="31" s="1"/>
  <c r="Q51" i="31"/>
  <c r="AK52" i="31"/>
  <c r="BB52" i="31" s="1"/>
  <c r="AK53" i="31"/>
  <c r="BB53" i="31" s="1"/>
  <c r="AK54" i="31"/>
  <c r="AK55" i="31"/>
  <c r="BB55" i="31" s="1"/>
  <c r="AK56" i="31"/>
  <c r="AK57" i="31"/>
  <c r="AK58" i="31"/>
  <c r="AK59" i="31"/>
  <c r="AK60" i="31"/>
  <c r="BB60" i="31" s="1"/>
  <c r="AK61" i="31"/>
  <c r="BB61" i="31" s="1"/>
  <c r="AK62" i="31"/>
  <c r="CX62" i="31" s="1"/>
  <c r="AK63" i="31"/>
  <c r="AK64" i="31"/>
  <c r="BB64" i="31" s="1"/>
  <c r="AK65" i="31"/>
  <c r="BB65" i="31" s="1"/>
  <c r="AK66" i="31"/>
  <c r="AK67" i="31"/>
  <c r="BB67" i="31" s="1"/>
  <c r="AK68" i="31"/>
  <c r="AK69" i="31"/>
  <c r="AK70" i="31"/>
  <c r="AK71" i="31"/>
  <c r="AK72" i="31"/>
  <c r="AK73" i="31"/>
  <c r="BB73" i="31" s="1"/>
  <c r="AK74" i="31"/>
  <c r="AK75" i="31"/>
  <c r="AK76" i="31"/>
  <c r="BB76" i="31" s="1"/>
  <c r="AK77" i="31"/>
  <c r="BB77" i="31" s="1"/>
  <c r="AK78" i="31"/>
  <c r="AK79" i="31"/>
  <c r="AK80" i="31"/>
  <c r="AK81" i="31"/>
  <c r="AK82" i="31"/>
  <c r="AU82" i="31" s="1"/>
  <c r="AK83" i="31"/>
  <c r="AK84" i="31"/>
  <c r="AK85" i="31"/>
  <c r="BB85" i="31" s="1"/>
  <c r="Q86" i="31"/>
  <c r="BU86" i="31" s="1"/>
  <c r="AK86" i="31"/>
  <c r="AK87" i="31"/>
  <c r="BB87" i="31" s="1"/>
  <c r="AK88" i="31"/>
  <c r="BB88" i="31" s="1"/>
  <c r="AK89" i="31"/>
  <c r="AK90" i="31"/>
  <c r="AK91" i="31"/>
  <c r="AK92" i="31"/>
  <c r="BB92" i="31" s="1"/>
  <c r="AK93" i="31"/>
  <c r="AK94" i="31"/>
  <c r="AK95" i="31"/>
  <c r="BB95" i="31" s="1"/>
  <c r="AK96" i="31"/>
  <c r="AK97" i="31"/>
  <c r="AK98" i="31"/>
  <c r="AK101" i="31"/>
  <c r="BB101" i="31" s="1"/>
  <c r="AK102" i="31"/>
  <c r="BB102" i="31" s="1"/>
  <c r="AK103" i="31"/>
  <c r="AK104" i="31"/>
  <c r="AK105" i="31"/>
  <c r="BB105" i="31" s="1"/>
  <c r="AK106" i="31"/>
  <c r="AK107" i="31"/>
  <c r="AK108" i="31"/>
  <c r="AK109" i="31"/>
  <c r="BB109" i="31" s="1"/>
  <c r="AK110" i="31"/>
  <c r="AK111" i="31"/>
  <c r="AK112" i="31"/>
  <c r="AK113" i="31"/>
  <c r="BB113" i="31" s="1"/>
  <c r="AK114" i="31"/>
  <c r="BB114" i="31" s="1"/>
  <c r="AK115" i="31"/>
  <c r="AK116" i="31"/>
  <c r="AK117" i="31"/>
  <c r="AK118" i="31"/>
  <c r="AK119" i="31"/>
  <c r="BB119" i="31" s="1"/>
  <c r="AK121" i="31"/>
  <c r="AK122" i="31"/>
  <c r="AK123" i="31"/>
  <c r="AK124" i="31"/>
  <c r="AK125" i="31"/>
  <c r="AU125" i="31" s="1"/>
  <c r="AK126" i="31"/>
  <c r="BB126" i="31" s="1"/>
  <c r="AK127" i="31"/>
  <c r="AU127" i="31" s="1"/>
  <c r="AK128" i="31"/>
  <c r="AK129" i="31"/>
  <c r="AK130" i="31"/>
  <c r="AK131" i="31"/>
  <c r="BB131" i="31" s="1"/>
  <c r="AK132" i="31"/>
  <c r="AK133" i="31"/>
  <c r="AK134" i="31"/>
  <c r="BB134" i="31" s="1"/>
  <c r="AK135" i="31"/>
  <c r="AK136" i="31"/>
  <c r="BB136" i="31" s="1"/>
  <c r="Q137" i="31"/>
  <c r="AK138" i="31"/>
  <c r="AK139" i="31"/>
  <c r="BB139" i="31" s="1"/>
  <c r="AK140" i="31"/>
  <c r="AU140" i="31" s="1"/>
  <c r="AK141" i="31"/>
  <c r="Q142" i="31"/>
  <c r="BU142" i="31" s="1"/>
  <c r="AK142" i="31"/>
  <c r="AT50" i="31"/>
  <c r="AT88" i="31"/>
  <c r="AU29" i="31"/>
  <c r="AU52" i="31"/>
  <c r="AU81" i="31"/>
  <c r="AU87" i="31"/>
  <c r="AU95" i="31"/>
  <c r="AU101" i="31"/>
  <c r="AU109" i="31"/>
  <c r="AU112" i="31"/>
  <c r="AU134" i="31"/>
  <c r="AJ99" i="31"/>
  <c r="AJ100" i="31"/>
  <c r="AK99" i="31"/>
  <c r="AK100" i="31"/>
  <c r="I14" i="31"/>
  <c r="BL14" i="31" s="1"/>
  <c r="AI14" i="31"/>
  <c r="AL14" i="31"/>
  <c r="AV14" i="31" s="1"/>
  <c r="I15" i="31"/>
  <c r="AI15" i="31"/>
  <c r="AL15" i="31"/>
  <c r="AV15" i="31" s="1"/>
  <c r="I16" i="31"/>
  <c r="AI16" i="31"/>
  <c r="AL16" i="31"/>
  <c r="AV16" i="31" s="1"/>
  <c r="I17" i="31"/>
  <c r="AI17" i="31"/>
  <c r="AL17" i="31"/>
  <c r="AV17" i="31" s="1"/>
  <c r="AI18" i="31"/>
  <c r="AS18" i="31" s="1"/>
  <c r="AL18" i="31"/>
  <c r="AV18" i="31" s="1"/>
  <c r="AI19" i="31"/>
  <c r="AL19" i="31"/>
  <c r="I20" i="31"/>
  <c r="AI20" i="31"/>
  <c r="AL20" i="31"/>
  <c r="AV20" i="31" s="1"/>
  <c r="I21" i="31"/>
  <c r="AI21" i="31"/>
  <c r="AL21" i="31"/>
  <c r="I22" i="31"/>
  <c r="AI22" i="31"/>
  <c r="AL22" i="31"/>
  <c r="AV22" i="31" s="1"/>
  <c r="I23" i="31"/>
  <c r="AI23" i="31"/>
  <c r="AL23" i="31"/>
  <c r="AV23" i="31" s="1"/>
  <c r="I24" i="31"/>
  <c r="AI24" i="31"/>
  <c r="AL24" i="31"/>
  <c r="AV24" i="31" s="1"/>
  <c r="I25" i="31"/>
  <c r="AI25" i="31"/>
  <c r="AL25" i="31"/>
  <c r="I26" i="31"/>
  <c r="AI26" i="31"/>
  <c r="AL26" i="31"/>
  <c r="I27" i="31"/>
  <c r="AI27" i="31"/>
  <c r="AL27" i="31"/>
  <c r="I28" i="31"/>
  <c r="AI28" i="31"/>
  <c r="DA28" i="31" s="1"/>
  <c r="AL28" i="31"/>
  <c r="AV28" i="31" s="1"/>
  <c r="AI29" i="31"/>
  <c r="AS29" i="31" s="1"/>
  <c r="AL29" i="31"/>
  <c r="AV29" i="31" s="1"/>
  <c r="AI30" i="31"/>
  <c r="AL30" i="31"/>
  <c r="AI31" i="31"/>
  <c r="AL31" i="31"/>
  <c r="AV31" i="31" s="1"/>
  <c r="AI32" i="31"/>
  <c r="AS32" i="31" s="1"/>
  <c r="AL32" i="31"/>
  <c r="I33" i="31"/>
  <c r="AI33" i="31"/>
  <c r="AL33" i="31"/>
  <c r="AV33" i="31" s="1"/>
  <c r="I34" i="31"/>
  <c r="AI34" i="31"/>
  <c r="AL34" i="31"/>
  <c r="AV34" i="31" s="1"/>
  <c r="AI35" i="31"/>
  <c r="AL35" i="31"/>
  <c r="AI36" i="31"/>
  <c r="AL36" i="31"/>
  <c r="AV36" i="31" s="1"/>
  <c r="I37" i="31"/>
  <c r="AI37" i="31"/>
  <c r="AL37" i="31"/>
  <c r="I38" i="31"/>
  <c r="CR38" i="31" s="1"/>
  <c r="AI38" i="31"/>
  <c r="AL38" i="31"/>
  <c r="I39" i="31"/>
  <c r="AI39" i="31"/>
  <c r="AL39" i="31"/>
  <c r="AV39" i="31" s="1"/>
  <c r="I40" i="31"/>
  <c r="AI40" i="31"/>
  <c r="AL40" i="31"/>
  <c r="AV40" i="31" s="1"/>
  <c r="I41" i="31"/>
  <c r="AI41" i="31"/>
  <c r="AL41" i="31"/>
  <c r="I42" i="31"/>
  <c r="AI42" i="31"/>
  <c r="AO42" i="31" s="1"/>
  <c r="AL42" i="31"/>
  <c r="AI43" i="31"/>
  <c r="AL43" i="31"/>
  <c r="I44" i="31"/>
  <c r="AI44" i="31"/>
  <c r="AL44" i="31"/>
  <c r="AV44" i="31" s="1"/>
  <c r="AI45" i="31"/>
  <c r="AS45" i="31" s="1"/>
  <c r="AL45" i="31"/>
  <c r="AI46" i="31"/>
  <c r="AS46" i="31" s="1"/>
  <c r="AL46" i="31"/>
  <c r="AI47" i="31"/>
  <c r="AS47" i="31" s="1"/>
  <c r="AL47" i="31"/>
  <c r="AV47" i="31" s="1"/>
  <c r="AI48" i="31"/>
  <c r="AL48" i="31"/>
  <c r="AL49" i="31"/>
  <c r="AV49" i="31" s="1"/>
  <c r="AI50" i="31"/>
  <c r="AS50" i="31" s="1"/>
  <c r="AL50" i="31"/>
  <c r="AI51" i="31"/>
  <c r="AL51" i="31"/>
  <c r="AV51" i="31" s="1"/>
  <c r="I52" i="31"/>
  <c r="AI52" i="31"/>
  <c r="AL52" i="31"/>
  <c r="AV52" i="31" s="1"/>
  <c r="AI53" i="31"/>
  <c r="AS53" i="31" s="1"/>
  <c r="AL53" i="31"/>
  <c r="AI54" i="31"/>
  <c r="AL54" i="31"/>
  <c r="I55" i="31"/>
  <c r="BL55" i="31" s="1"/>
  <c r="AI55" i="31"/>
  <c r="AL55" i="31"/>
  <c r="I56" i="31"/>
  <c r="AI56" i="31"/>
  <c r="AL56" i="31"/>
  <c r="AV56" i="31" s="1"/>
  <c r="AI57" i="31"/>
  <c r="AL57" i="31"/>
  <c r="I58" i="31"/>
  <c r="BL58" i="31" s="1"/>
  <c r="AI58" i="31"/>
  <c r="L58" i="31"/>
  <c r="AL58" i="31"/>
  <c r="AI59" i="31"/>
  <c r="AL59" i="31"/>
  <c r="I60" i="31"/>
  <c r="CR60" i="31" s="1"/>
  <c r="AI60" i="31"/>
  <c r="AL60" i="31"/>
  <c r="AV60" i="31" s="1"/>
  <c r="I61" i="31"/>
  <c r="AI61" i="31"/>
  <c r="AL61" i="31"/>
  <c r="AV61" i="31" s="1"/>
  <c r="I62" i="31"/>
  <c r="CR62" i="31" s="1"/>
  <c r="AI62" i="31"/>
  <c r="AL62" i="31"/>
  <c r="I63" i="31"/>
  <c r="AI63" i="31"/>
  <c r="AL63" i="31"/>
  <c r="AV63" i="31" s="1"/>
  <c r="I64" i="31"/>
  <c r="AI64" i="31"/>
  <c r="AL64" i="31"/>
  <c r="AV64" i="31" s="1"/>
  <c r="I65" i="31"/>
  <c r="AI65" i="31"/>
  <c r="AL65" i="31"/>
  <c r="AV65" i="31" s="1"/>
  <c r="I66" i="31"/>
  <c r="AI66" i="31"/>
  <c r="AL66" i="31"/>
  <c r="AV66" i="31" s="1"/>
  <c r="AI67" i="31"/>
  <c r="AL67" i="31"/>
  <c r="I68" i="31"/>
  <c r="AI68" i="31"/>
  <c r="AL68" i="31"/>
  <c r="AV68" i="31" s="1"/>
  <c r="I69" i="31"/>
  <c r="CR69" i="31" s="1"/>
  <c r="AI69" i="31"/>
  <c r="AL69" i="31"/>
  <c r="AI70" i="31"/>
  <c r="AL70" i="31"/>
  <c r="AV70" i="31" s="1"/>
  <c r="I71" i="31"/>
  <c r="AI71" i="31"/>
  <c r="AL71" i="31"/>
  <c r="AV71" i="31" s="1"/>
  <c r="AL72" i="31"/>
  <c r="BC72" i="31" s="1"/>
  <c r="AL73" i="31"/>
  <c r="AV73" i="31" s="1"/>
  <c r="AL74" i="31"/>
  <c r="AL75" i="31"/>
  <c r="AV75" i="31" s="1"/>
  <c r="AL76" i="31"/>
  <c r="AV76" i="31" s="1"/>
  <c r="AL77" i="31"/>
  <c r="AL78" i="31"/>
  <c r="AV78" i="31" s="1"/>
  <c r="AI79" i="31"/>
  <c r="AZ79" i="31" s="1"/>
  <c r="AL79" i="31"/>
  <c r="AV79" i="31" s="1"/>
  <c r="I80" i="31"/>
  <c r="BL80" i="31" s="1"/>
  <c r="AI80" i="31"/>
  <c r="AL80" i="31"/>
  <c r="AV80" i="31" s="1"/>
  <c r="I81" i="31"/>
  <c r="BL81" i="31" s="1"/>
  <c r="AI81" i="31"/>
  <c r="AL81" i="31"/>
  <c r="AI82" i="31"/>
  <c r="AL82" i="31"/>
  <c r="AV82" i="31" s="1"/>
  <c r="I83" i="31"/>
  <c r="AI83" i="31"/>
  <c r="AL83" i="31"/>
  <c r="AV83" i="31" s="1"/>
  <c r="I84" i="31"/>
  <c r="BL84" i="31" s="1"/>
  <c r="AI84" i="31"/>
  <c r="AL84" i="31"/>
  <c r="AV84" i="31" s="1"/>
  <c r="AI85" i="31"/>
  <c r="AL85" i="31"/>
  <c r="AV85" i="31" s="1"/>
  <c r="AI86" i="31"/>
  <c r="AS86" i="31" s="1"/>
  <c r="AL86" i="31"/>
  <c r="I87" i="31"/>
  <c r="AI87" i="31"/>
  <c r="AL87" i="31"/>
  <c r="AV87" i="31" s="1"/>
  <c r="AI88" i="31"/>
  <c r="AL88" i="31"/>
  <c r="AI89" i="31"/>
  <c r="AS89" i="31" s="1"/>
  <c r="AL89" i="31"/>
  <c r="AV89" i="31" s="1"/>
  <c r="I90" i="31"/>
  <c r="AI90" i="31"/>
  <c r="AL90" i="31"/>
  <c r="AV90" i="31" s="1"/>
  <c r="AI91" i="31"/>
  <c r="AS91" i="31" s="1"/>
  <c r="AL91" i="31"/>
  <c r="I92" i="31"/>
  <c r="BL92" i="31" s="1"/>
  <c r="AI92" i="31"/>
  <c r="AL92" i="31"/>
  <c r="AV92" i="31" s="1"/>
  <c r="I93" i="31"/>
  <c r="AI93" i="31"/>
  <c r="AL93" i="31"/>
  <c r="AV93" i="31" s="1"/>
  <c r="I94" i="31"/>
  <c r="BL94" i="31" s="1"/>
  <c r="AI94" i="31"/>
  <c r="AL94" i="31"/>
  <c r="AV94" i="31" s="1"/>
  <c r="I95" i="31"/>
  <c r="BL95" i="31" s="1"/>
  <c r="AI95" i="31"/>
  <c r="AL95" i="31"/>
  <c r="AV95" i="31" s="1"/>
  <c r="I96" i="31"/>
  <c r="AI96" i="31"/>
  <c r="AL96" i="31"/>
  <c r="AV96" i="31" s="1"/>
  <c r="AI97" i="31"/>
  <c r="AL97" i="31"/>
  <c r="AI98" i="31"/>
  <c r="AS98" i="31" s="1"/>
  <c r="AL98" i="31"/>
  <c r="AV98" i="31" s="1"/>
  <c r="I101" i="31"/>
  <c r="AI101" i="31"/>
  <c r="AL101" i="31"/>
  <c r="AV101" i="31" s="1"/>
  <c r="I102" i="31"/>
  <c r="AI102" i="31"/>
  <c r="AL102" i="31"/>
  <c r="AI103" i="31"/>
  <c r="AS103" i="31" s="1"/>
  <c r="AL103" i="31"/>
  <c r="AV103" i="31" s="1"/>
  <c r="AI104" i="31"/>
  <c r="AL104" i="31"/>
  <c r="AI105" i="31"/>
  <c r="AS105" i="31" s="1"/>
  <c r="AL105" i="31"/>
  <c r="BC105" i="31" s="1"/>
  <c r="AI106" i="31"/>
  <c r="AL106" i="31"/>
  <c r="AV106" i="31" s="1"/>
  <c r="I107" i="31"/>
  <c r="CG107" i="31" s="1"/>
  <c r="AI107" i="31"/>
  <c r="AL107" i="31"/>
  <c r="AV107" i="31" s="1"/>
  <c r="I108" i="31"/>
  <c r="AI108" i="31"/>
  <c r="AL108" i="31"/>
  <c r="I109" i="31"/>
  <c r="AI109" i="31"/>
  <c r="AL109" i="31"/>
  <c r="AV109" i="31" s="1"/>
  <c r="I110" i="31"/>
  <c r="AI110" i="31"/>
  <c r="AL110" i="31"/>
  <c r="AV110" i="31" s="1"/>
  <c r="I111" i="31"/>
  <c r="BL111" i="31" s="1"/>
  <c r="AI111" i="31"/>
  <c r="AL111" i="31"/>
  <c r="I112" i="31"/>
  <c r="AI112" i="31"/>
  <c r="AL112" i="31"/>
  <c r="AV112" i="31" s="1"/>
  <c r="I113" i="31"/>
  <c r="AI113" i="31"/>
  <c r="AL113" i="31"/>
  <c r="AV113" i="31" s="1"/>
  <c r="I114" i="31"/>
  <c r="BL114" i="31" s="1"/>
  <c r="AI114" i="31"/>
  <c r="AL114" i="31"/>
  <c r="I115" i="31"/>
  <c r="CR115" i="31" s="1"/>
  <c r="AI115" i="31"/>
  <c r="AL115" i="31"/>
  <c r="AV115" i="31" s="1"/>
  <c r="I116" i="31"/>
  <c r="AI116" i="31"/>
  <c r="AL116" i="31"/>
  <c r="AV116" i="31" s="1"/>
  <c r="I117" i="31"/>
  <c r="AI117" i="31"/>
  <c r="AL117" i="31"/>
  <c r="AV117" i="31" s="1"/>
  <c r="I118" i="31"/>
  <c r="BL118" i="31" s="1"/>
  <c r="AI118" i="31"/>
  <c r="AL118" i="31"/>
  <c r="AV118" i="31" s="1"/>
  <c r="I119" i="31"/>
  <c r="CG119" i="31" s="1"/>
  <c r="AI119" i="31"/>
  <c r="AL119" i="31"/>
  <c r="AV119" i="31" s="1"/>
  <c r="AI121" i="31"/>
  <c r="AL121" i="31"/>
  <c r="AV121" i="31" s="1"/>
  <c r="AI122" i="31"/>
  <c r="AS122" i="31" s="1"/>
  <c r="AL122" i="31"/>
  <c r="AI123" i="31"/>
  <c r="AL123" i="31"/>
  <c r="AI124" i="31"/>
  <c r="AS124" i="31" s="1"/>
  <c r="AL124" i="31"/>
  <c r="AV124" i="31" s="1"/>
  <c r="AI125" i="31"/>
  <c r="AL125" i="31"/>
  <c r="AV125" i="31" s="1"/>
  <c r="AI126" i="31"/>
  <c r="AL126" i="31"/>
  <c r="AI127" i="31"/>
  <c r="AL127" i="31"/>
  <c r="AV127" i="31" s="1"/>
  <c r="AI128" i="31"/>
  <c r="AS128" i="31" s="1"/>
  <c r="AL128" i="31"/>
  <c r="AI129" i="31"/>
  <c r="AL129" i="31"/>
  <c r="AV129" i="31" s="1"/>
  <c r="AI130" i="31"/>
  <c r="AL130" i="31"/>
  <c r="AI131" i="31"/>
  <c r="AL131" i="31"/>
  <c r="AI132" i="31"/>
  <c r="AL132" i="31"/>
  <c r="AV132" i="31" s="1"/>
  <c r="AI133" i="31"/>
  <c r="AS133" i="31" s="1"/>
  <c r="AL133" i="31"/>
  <c r="AI134" i="31"/>
  <c r="AS134" i="31" s="1"/>
  <c r="AL134" i="31"/>
  <c r="AI135" i="31"/>
  <c r="AL135" i="31"/>
  <c r="I136" i="31"/>
  <c r="CR136" i="31" s="1"/>
  <c r="AI136" i="31"/>
  <c r="AL136" i="31"/>
  <c r="AI137" i="31"/>
  <c r="AS137" i="31" s="1"/>
  <c r="AI138" i="31"/>
  <c r="AS138" i="31" s="1"/>
  <c r="AL138" i="31"/>
  <c r="AV138" i="31" s="1"/>
  <c r="AI140" i="31"/>
  <c r="AS140" i="31" s="1"/>
  <c r="AL140" i="31"/>
  <c r="AI141" i="31"/>
  <c r="AL141" i="31"/>
  <c r="AV141" i="31" s="1"/>
  <c r="AI142" i="31"/>
  <c r="AS142" i="31" s="1"/>
  <c r="O15" i="31"/>
  <c r="O16" i="31"/>
  <c r="BH16" i="31" s="1"/>
  <c r="BC18" i="31"/>
  <c r="O22" i="31"/>
  <c r="O23" i="31"/>
  <c r="BH23" i="31" s="1"/>
  <c r="O26" i="31"/>
  <c r="O27" i="31"/>
  <c r="R27" i="31" s="1"/>
  <c r="BV27" i="31" s="1"/>
  <c r="AZ30" i="31"/>
  <c r="AZ32" i="31"/>
  <c r="O34" i="31"/>
  <c r="O37" i="31"/>
  <c r="CG37" i="31" s="1"/>
  <c r="CH37" i="31" s="1"/>
  <c r="O38" i="31"/>
  <c r="O41" i="31"/>
  <c r="O42" i="31"/>
  <c r="BS42" i="31" s="1"/>
  <c r="O44" i="31"/>
  <c r="O46" i="31"/>
  <c r="O47" i="31"/>
  <c r="CG47" i="31" s="1"/>
  <c r="O48" i="31"/>
  <c r="R48" i="31"/>
  <c r="BV48" i="31" s="1"/>
  <c r="R49" i="31"/>
  <c r="AZ50" i="31"/>
  <c r="O51" i="31"/>
  <c r="BS51" i="31" s="1"/>
  <c r="O52" i="31"/>
  <c r="CG52" i="31" s="1"/>
  <c r="O55" i="31"/>
  <c r="O58" i="31"/>
  <c r="O59" i="31"/>
  <c r="O61" i="31"/>
  <c r="O63" i="31"/>
  <c r="O64" i="31"/>
  <c r="BH64" i="31" s="1"/>
  <c r="O65" i="31"/>
  <c r="BH65" i="31" s="1"/>
  <c r="O68" i="31"/>
  <c r="O71" i="31"/>
  <c r="BH71" i="31" s="1"/>
  <c r="BC73" i="31"/>
  <c r="O80" i="31"/>
  <c r="O83" i="31"/>
  <c r="BS83" i="31" s="1"/>
  <c r="O95" i="31"/>
  <c r="R95" i="31" s="1"/>
  <c r="O96" i="31"/>
  <c r="BC106" i="31"/>
  <c r="R107" i="31"/>
  <c r="BV107" i="31" s="1"/>
  <c r="O112" i="31"/>
  <c r="O115" i="31"/>
  <c r="O116" i="31"/>
  <c r="O119" i="31"/>
  <c r="BS119" i="31" s="1"/>
  <c r="AZ122" i="31"/>
  <c r="O130" i="31"/>
  <c r="AZ133" i="31"/>
  <c r="O136" i="31"/>
  <c r="BS136" i="31" s="1"/>
  <c r="AZ138" i="31"/>
  <c r="AL139" i="31"/>
  <c r="O142" i="31"/>
  <c r="CG142" i="31" s="1"/>
  <c r="CH142" i="31" s="1"/>
  <c r="R142" i="31"/>
  <c r="AI99" i="31"/>
  <c r="AL99" i="31"/>
  <c r="AI100" i="31"/>
  <c r="AL100" i="31"/>
  <c r="CM169" i="31"/>
  <c r="CN169" i="31" s="1"/>
  <c r="CM168" i="31"/>
  <c r="CN168" i="31" s="1"/>
  <c r="CM167" i="31"/>
  <c r="CN167" i="31" s="1"/>
  <c r="CM166" i="31"/>
  <c r="CN166" i="31" s="1"/>
  <c r="CM165" i="31"/>
  <c r="CN165" i="31" s="1"/>
  <c r="R143" i="31"/>
  <c r="AL143" i="31"/>
  <c r="AV143" i="31" s="1"/>
  <c r="CM164" i="31"/>
  <c r="CN164" i="31" s="1"/>
  <c r="CM163" i="31"/>
  <c r="CN163" i="31" s="1"/>
  <c r="AJ153" i="31"/>
  <c r="CM162" i="31"/>
  <c r="CN162" i="31" s="1"/>
  <c r="CM161" i="31"/>
  <c r="CM160" i="31"/>
  <c r="CN160" i="31" s="1"/>
  <c r="CM159" i="31"/>
  <c r="CN159" i="31" s="1"/>
  <c r="N158" i="31"/>
  <c r="AM137" i="31"/>
  <c r="AM51" i="31"/>
  <c r="AW51" i="31" s="1"/>
  <c r="AM47" i="31"/>
  <c r="AW47" i="31" s="1"/>
  <c r="O158" i="31"/>
  <c r="I158" i="31"/>
  <c r="H158" i="31"/>
  <c r="CM157" i="31"/>
  <c r="CN157" i="31" s="1"/>
  <c r="AM14" i="31"/>
  <c r="AM15" i="31"/>
  <c r="BD15" i="31" s="1"/>
  <c r="AM16" i="31"/>
  <c r="AW16" i="31" s="1"/>
  <c r="AM17" i="31"/>
  <c r="BD17" i="31" s="1"/>
  <c r="AM18" i="31"/>
  <c r="AM19" i="31"/>
  <c r="AM20" i="31"/>
  <c r="AW20" i="31" s="1"/>
  <c r="AM21" i="31"/>
  <c r="BD21" i="31" s="1"/>
  <c r="AM22" i="31"/>
  <c r="AP22" i="31" s="1"/>
  <c r="AM23" i="31"/>
  <c r="BD23" i="31" s="1"/>
  <c r="AM24" i="31"/>
  <c r="AW24" i="31" s="1"/>
  <c r="AM25" i="31"/>
  <c r="BD25" i="31" s="1"/>
  <c r="AM26" i="31"/>
  <c r="AM27" i="31"/>
  <c r="BD27" i="31" s="1"/>
  <c r="AM28" i="31"/>
  <c r="AW28" i="31" s="1"/>
  <c r="AM29" i="31"/>
  <c r="AM30" i="31"/>
  <c r="AM31" i="31"/>
  <c r="BD31" i="31" s="1"/>
  <c r="AM32" i="31"/>
  <c r="AW32" i="31" s="1"/>
  <c r="AM33" i="31"/>
  <c r="AM34" i="31"/>
  <c r="AM35" i="31"/>
  <c r="BD35" i="31" s="1"/>
  <c r="AM36" i="31"/>
  <c r="AM37" i="31"/>
  <c r="BD37" i="31" s="1"/>
  <c r="AM38" i="31"/>
  <c r="BD38" i="31" s="1"/>
  <c r="AM39" i="31"/>
  <c r="BD39" i="31" s="1"/>
  <c r="AM40" i="31"/>
  <c r="AM41" i="31"/>
  <c r="BD41" i="31" s="1"/>
  <c r="AM42" i="31"/>
  <c r="BD42" i="31" s="1"/>
  <c r="AM43" i="31"/>
  <c r="BD43" i="31" s="1"/>
  <c r="AM44" i="31"/>
  <c r="AM45" i="31"/>
  <c r="BD45" i="31" s="1"/>
  <c r="AM46" i="31"/>
  <c r="AM48" i="31"/>
  <c r="BD48" i="31" s="1"/>
  <c r="AM49" i="31"/>
  <c r="BD49" i="31" s="1"/>
  <c r="AM50" i="31"/>
  <c r="BD50" i="31" s="1"/>
  <c r="AM52" i="31"/>
  <c r="AM53" i="31"/>
  <c r="BD53" i="31" s="1"/>
  <c r="AM54" i="31"/>
  <c r="BD54" i="31" s="1"/>
  <c r="AM55" i="31"/>
  <c r="AM56" i="31"/>
  <c r="AM57" i="31"/>
  <c r="BD57" i="31" s="1"/>
  <c r="AM58" i="31"/>
  <c r="BD58" i="31" s="1"/>
  <c r="AM59" i="31"/>
  <c r="BD59" i="31" s="1"/>
  <c r="AM60" i="31"/>
  <c r="BD60" i="31" s="1"/>
  <c r="AM61" i="31"/>
  <c r="AM62" i="31"/>
  <c r="BD62" i="31" s="1"/>
  <c r="AM63" i="31"/>
  <c r="AM64" i="31"/>
  <c r="AM65" i="31"/>
  <c r="AM66" i="31"/>
  <c r="BD66" i="31" s="1"/>
  <c r="AM67" i="31"/>
  <c r="BD67" i="31" s="1"/>
  <c r="AM68" i="31"/>
  <c r="AM69" i="31"/>
  <c r="BD69" i="31" s="1"/>
  <c r="AM70" i="31"/>
  <c r="AM71" i="31"/>
  <c r="BD71" i="31" s="1"/>
  <c r="AM72" i="31"/>
  <c r="AM73" i="31"/>
  <c r="BD73" i="31" s="1"/>
  <c r="AM74" i="31"/>
  <c r="BD74" i="31" s="1"/>
  <c r="AM75" i="31"/>
  <c r="BD75" i="31" s="1"/>
  <c r="AM76" i="31"/>
  <c r="BD76" i="31" s="1"/>
  <c r="AM77" i="31"/>
  <c r="BD77" i="31" s="1"/>
  <c r="AM78" i="31"/>
  <c r="AM79" i="31"/>
  <c r="BD79" i="31" s="1"/>
  <c r="AM80" i="31"/>
  <c r="AW80" i="31" s="1"/>
  <c r="AM81" i="31"/>
  <c r="AW81" i="31" s="1"/>
  <c r="AM82" i="31"/>
  <c r="AM83" i="31"/>
  <c r="AM84" i="31"/>
  <c r="BD84" i="31" s="1"/>
  <c r="AM85" i="31"/>
  <c r="BD85" i="31" s="1"/>
  <c r="AM86" i="31"/>
  <c r="BD86" i="31" s="1"/>
  <c r="AM87" i="31"/>
  <c r="AM88" i="31"/>
  <c r="BD88" i="31" s="1"/>
  <c r="AM89" i="31"/>
  <c r="BD89" i="31" s="1"/>
  <c r="AM90" i="31"/>
  <c r="BD90" i="31" s="1"/>
  <c r="AM91" i="31"/>
  <c r="AM92" i="31"/>
  <c r="AM93" i="31"/>
  <c r="BD93" i="31" s="1"/>
  <c r="AM94" i="31"/>
  <c r="BD94" i="31" s="1"/>
  <c r="AM95" i="31"/>
  <c r="AM96" i="31"/>
  <c r="BD96" i="31" s="1"/>
  <c r="AM97" i="31"/>
  <c r="AM98" i="31"/>
  <c r="BD98" i="31" s="1"/>
  <c r="AM101" i="31"/>
  <c r="AM102" i="31"/>
  <c r="BD102" i="31" s="1"/>
  <c r="AM103" i="31"/>
  <c r="BD103" i="31" s="1"/>
  <c r="AM104" i="31"/>
  <c r="BD104" i="31" s="1"/>
  <c r="AM105" i="31"/>
  <c r="AM106" i="31"/>
  <c r="AM107" i="31"/>
  <c r="AM108" i="31"/>
  <c r="BD108" i="31" s="1"/>
  <c r="AM109" i="31"/>
  <c r="AM110" i="31"/>
  <c r="BD110" i="31" s="1"/>
  <c r="AM111" i="31"/>
  <c r="BD111" i="31" s="1"/>
  <c r="AM112" i="31"/>
  <c r="BD112" i="31" s="1"/>
  <c r="AM113" i="31"/>
  <c r="AM114" i="31"/>
  <c r="AM115" i="31"/>
  <c r="BD115" i="31" s="1"/>
  <c r="AM116" i="31"/>
  <c r="AM117" i="31"/>
  <c r="BD117" i="31" s="1"/>
  <c r="AM118" i="31"/>
  <c r="AM119" i="31"/>
  <c r="AM121" i="31"/>
  <c r="BD121" i="31" s="1"/>
  <c r="AM122" i="31"/>
  <c r="AM123" i="31"/>
  <c r="AM124" i="31"/>
  <c r="BD124" i="31" s="1"/>
  <c r="AM125" i="31"/>
  <c r="BD125" i="31" s="1"/>
  <c r="AM126" i="31"/>
  <c r="BD126" i="31" s="1"/>
  <c r="AM127" i="31"/>
  <c r="AM128" i="31"/>
  <c r="BD128" i="31" s="1"/>
  <c r="S129" i="31"/>
  <c r="DM129" i="31" s="1"/>
  <c r="AM129" i="31"/>
  <c r="AM130" i="31"/>
  <c r="AM131" i="31"/>
  <c r="AM132" i="31"/>
  <c r="BD132" i="31" s="1"/>
  <c r="AM133" i="31"/>
  <c r="BD133" i="31" s="1"/>
  <c r="AM134" i="31"/>
  <c r="AW134" i="31" s="1"/>
  <c r="AM135" i="31"/>
  <c r="BD135" i="31" s="1"/>
  <c r="AM136" i="31"/>
  <c r="BD136" i="31" s="1"/>
  <c r="AM138" i="31"/>
  <c r="BD138" i="31" s="1"/>
  <c r="AM140" i="31"/>
  <c r="BD140" i="31" s="1"/>
  <c r="AM141" i="31"/>
  <c r="BD141" i="31" s="1"/>
  <c r="S142" i="31"/>
  <c r="BW142" i="31" s="1"/>
  <c r="AM99" i="31"/>
  <c r="AM100" i="31"/>
  <c r="AW17" i="31"/>
  <c r="AW18" i="31"/>
  <c r="AW35" i="31"/>
  <c r="AW37" i="31"/>
  <c r="AW66" i="31"/>
  <c r="AW76" i="31"/>
  <c r="CM156" i="31"/>
  <c r="CN156" i="31" s="1"/>
  <c r="CM155" i="31"/>
  <c r="CN155" i="31" s="1"/>
  <c r="AG155" i="31"/>
  <c r="CM154" i="31"/>
  <c r="CN154" i="31" s="1"/>
  <c r="AF154" i="31"/>
  <c r="AE154" i="31"/>
  <c r="AD154" i="31"/>
  <c r="AC154" i="31"/>
  <c r="AB154" i="31"/>
  <c r="AA154" i="31"/>
  <c r="Y154" i="31"/>
  <c r="X154" i="31"/>
  <c r="U154" i="31"/>
  <c r="T154" i="31"/>
  <c r="DD153" i="31"/>
  <c r="CM153" i="31"/>
  <c r="CN153" i="31" s="1"/>
  <c r="BS18" i="31"/>
  <c r="BS19" i="31"/>
  <c r="BS29" i="31"/>
  <c r="BS30" i="31"/>
  <c r="BS31" i="31"/>
  <c r="BS32" i="31"/>
  <c r="BS35" i="31"/>
  <c r="BS36" i="31"/>
  <c r="BS43" i="31"/>
  <c r="BS45" i="31"/>
  <c r="BS46" i="31"/>
  <c r="BS49" i="31"/>
  <c r="BS50" i="31"/>
  <c r="BS52" i="31"/>
  <c r="BS53" i="31"/>
  <c r="BS54" i="31"/>
  <c r="BS57" i="31"/>
  <c r="BS63" i="31"/>
  <c r="BS67" i="31"/>
  <c r="BS68" i="31"/>
  <c r="BS70" i="31"/>
  <c r="BS72" i="31"/>
  <c r="BS73" i="31"/>
  <c r="BS75" i="31"/>
  <c r="BS77" i="31"/>
  <c r="BS79" i="31"/>
  <c r="BS82" i="31"/>
  <c r="BS85" i="31"/>
  <c r="BS88" i="31"/>
  <c r="BS89" i="31"/>
  <c r="BS91" i="31"/>
  <c r="BS97" i="31"/>
  <c r="BS98" i="31"/>
  <c r="BS99" i="31"/>
  <c r="BS103" i="31"/>
  <c r="BS104" i="31"/>
  <c r="BS105" i="31"/>
  <c r="BS106" i="31"/>
  <c r="BS121" i="31"/>
  <c r="BS122" i="31"/>
  <c r="BS123" i="31"/>
  <c r="BS124" i="31"/>
  <c r="BS125" i="31"/>
  <c r="BS126" i="31"/>
  <c r="BS127" i="31"/>
  <c r="BS128" i="31"/>
  <c r="BS131" i="31"/>
  <c r="BS132" i="31"/>
  <c r="BS133" i="31"/>
  <c r="BS134" i="31"/>
  <c r="BS135" i="31"/>
  <c r="BS137" i="31"/>
  <c r="BS138" i="31"/>
  <c r="BS139" i="31"/>
  <c r="BS140" i="31"/>
  <c r="BT14" i="31"/>
  <c r="BT15" i="31"/>
  <c r="BT16" i="31"/>
  <c r="BT17" i="31"/>
  <c r="BT18" i="31"/>
  <c r="BT19" i="31"/>
  <c r="BT20" i="31"/>
  <c r="BT21" i="31"/>
  <c r="BT22" i="31"/>
  <c r="BT23" i="31"/>
  <c r="BT24" i="31"/>
  <c r="BT25" i="31"/>
  <c r="BT26" i="31"/>
  <c r="BT27" i="31"/>
  <c r="BT28" i="31"/>
  <c r="BT29" i="31"/>
  <c r="BT30" i="31"/>
  <c r="BT31" i="31"/>
  <c r="BT32" i="31"/>
  <c r="BT33" i="31"/>
  <c r="BT34" i="31"/>
  <c r="BT35" i="31"/>
  <c r="BT36" i="31"/>
  <c r="BT37" i="31"/>
  <c r="BT38" i="31"/>
  <c r="BT39" i="31"/>
  <c r="BT40" i="31"/>
  <c r="BT41" i="31"/>
  <c r="BT42" i="31"/>
  <c r="BT43" i="31"/>
  <c r="BT44" i="31"/>
  <c r="BT45" i="31"/>
  <c r="BT47" i="31"/>
  <c r="BT48" i="31"/>
  <c r="BT50" i="31"/>
  <c r="BT51" i="31"/>
  <c r="BT52" i="31"/>
  <c r="BT53" i="31"/>
  <c r="BT54" i="31"/>
  <c r="BT55" i="31"/>
  <c r="BT56" i="31"/>
  <c r="BT57" i="31"/>
  <c r="BZ57" i="31" s="1"/>
  <c r="CC57" i="31" s="1"/>
  <c r="BT58" i="31"/>
  <c r="BT60" i="31"/>
  <c r="BT61" i="31"/>
  <c r="BT62" i="31"/>
  <c r="BT63" i="31"/>
  <c r="BT64" i="31"/>
  <c r="BT65" i="31"/>
  <c r="BT66" i="31"/>
  <c r="BT67" i="31"/>
  <c r="BT68" i="31"/>
  <c r="BT69" i="31"/>
  <c r="BT70" i="31"/>
  <c r="BT71" i="31"/>
  <c r="BT72" i="31"/>
  <c r="BT73" i="31"/>
  <c r="BT74" i="31"/>
  <c r="BT75" i="31"/>
  <c r="BT76" i="31"/>
  <c r="BT77" i="31"/>
  <c r="BT78" i="31"/>
  <c r="BT79" i="31"/>
  <c r="BT80" i="31"/>
  <c r="BT81" i="31"/>
  <c r="BT82" i="31"/>
  <c r="BZ82" i="31" s="1"/>
  <c r="CC82" i="31" s="1"/>
  <c r="BT83" i="31"/>
  <c r="BT84" i="31"/>
  <c r="BT85" i="31"/>
  <c r="BT86" i="31"/>
  <c r="BT87" i="31"/>
  <c r="BT88" i="31"/>
  <c r="BT89" i="31"/>
  <c r="BT90" i="31"/>
  <c r="BT91" i="31"/>
  <c r="BT92" i="31"/>
  <c r="BT93" i="31"/>
  <c r="BT94" i="31"/>
  <c r="BT95" i="31"/>
  <c r="BT96" i="31"/>
  <c r="BT97" i="31"/>
  <c r="BT98" i="31"/>
  <c r="BT101" i="31"/>
  <c r="BT102" i="31"/>
  <c r="BT103" i="31"/>
  <c r="BT104" i="31"/>
  <c r="BT105" i="31"/>
  <c r="BZ105" i="31" s="1"/>
  <c r="BT106" i="31"/>
  <c r="BT107" i="31"/>
  <c r="BT108" i="31"/>
  <c r="BZ108" i="31" s="1"/>
  <c r="BT109" i="31"/>
  <c r="BT110" i="31"/>
  <c r="BT111" i="31"/>
  <c r="BT112" i="31"/>
  <c r="BT113" i="31"/>
  <c r="BT114" i="31"/>
  <c r="BT115" i="31"/>
  <c r="BT116" i="31"/>
  <c r="BT117" i="31"/>
  <c r="BT118" i="31"/>
  <c r="BT119" i="31"/>
  <c r="BT121" i="31"/>
  <c r="BT122" i="31"/>
  <c r="BT123" i="31"/>
  <c r="BT124" i="31"/>
  <c r="BT125" i="31"/>
  <c r="BT126" i="31"/>
  <c r="BT127" i="31"/>
  <c r="BT128" i="31"/>
  <c r="BT129" i="31"/>
  <c r="BT130" i="31"/>
  <c r="BT131" i="31"/>
  <c r="BT132" i="31"/>
  <c r="BT133" i="31"/>
  <c r="BZ133" i="31" s="1"/>
  <c r="CC133" i="31" s="1"/>
  <c r="BT134" i="31"/>
  <c r="BT135" i="31"/>
  <c r="BT136" i="31"/>
  <c r="BT137" i="31"/>
  <c r="BT138" i="31"/>
  <c r="BT139" i="31"/>
  <c r="BT140" i="31"/>
  <c r="BV18" i="31"/>
  <c r="BV19" i="31"/>
  <c r="BV29" i="31"/>
  <c r="BV30" i="31"/>
  <c r="BV31" i="31"/>
  <c r="BV32" i="31"/>
  <c r="BV35" i="31"/>
  <c r="BV36" i="31"/>
  <c r="BV43" i="31"/>
  <c r="BV45" i="31"/>
  <c r="BV50" i="31"/>
  <c r="BV53" i="31"/>
  <c r="BV54" i="31"/>
  <c r="BV57" i="31"/>
  <c r="BV67" i="31"/>
  <c r="BV70" i="31"/>
  <c r="BV72" i="31"/>
  <c r="BV73" i="31"/>
  <c r="BV74" i="31"/>
  <c r="BV75" i="31"/>
  <c r="BV76" i="31"/>
  <c r="BV77" i="31"/>
  <c r="BV78" i="31"/>
  <c r="BV79" i="31"/>
  <c r="BV82" i="31"/>
  <c r="BV85" i="31"/>
  <c r="BV88" i="31"/>
  <c r="BV89" i="31"/>
  <c r="BV91" i="31"/>
  <c r="BV95" i="31"/>
  <c r="BV97" i="31"/>
  <c r="BV98" i="31"/>
  <c r="BV103" i="31"/>
  <c r="BV104" i="31"/>
  <c r="BV105" i="31"/>
  <c r="BV106" i="31"/>
  <c r="BV121" i="31"/>
  <c r="BV123" i="31"/>
  <c r="BV124" i="31"/>
  <c r="BV125" i="31"/>
  <c r="BV126" i="31"/>
  <c r="BV127" i="31"/>
  <c r="BV128" i="31"/>
  <c r="BV130" i="31"/>
  <c r="BV131" i="31"/>
  <c r="BV132" i="31"/>
  <c r="BV133" i="31"/>
  <c r="BV134" i="31"/>
  <c r="BV135" i="31"/>
  <c r="BV138" i="31"/>
  <c r="BV139" i="31"/>
  <c r="BV140" i="31"/>
  <c r="BL18" i="31"/>
  <c r="BL19" i="31"/>
  <c r="BL23" i="31"/>
  <c r="BL27" i="31"/>
  <c r="BL29" i="31"/>
  <c r="BL30" i="31"/>
  <c r="BL31" i="31"/>
  <c r="BL32" i="31"/>
  <c r="BL35" i="31"/>
  <c r="BL36" i="31"/>
  <c r="BL37" i="31"/>
  <c r="BL41" i="31"/>
  <c r="BL43" i="31"/>
  <c r="BL44" i="31"/>
  <c r="BL45" i="31"/>
  <c r="BL46" i="31"/>
  <c r="BL47" i="31"/>
  <c r="BL48" i="31"/>
  <c r="BL50" i="31"/>
  <c r="BL51" i="31"/>
  <c r="BL52" i="31"/>
  <c r="BL53" i="31"/>
  <c r="BL54" i="31"/>
  <c r="BL57" i="31"/>
  <c r="BL60" i="31"/>
  <c r="BL61" i="31"/>
  <c r="BL65" i="31"/>
  <c r="BL67" i="31"/>
  <c r="BL68" i="31"/>
  <c r="BL69" i="31"/>
  <c r="BL70" i="31"/>
  <c r="BL73" i="31"/>
  <c r="BL76" i="31"/>
  <c r="BL79" i="31"/>
  <c r="BL82" i="31"/>
  <c r="BL83" i="31"/>
  <c r="BL85" i="31"/>
  <c r="BL86" i="31"/>
  <c r="BL88" i="31"/>
  <c r="BL89" i="31"/>
  <c r="BL91" i="31"/>
  <c r="BL97" i="31"/>
  <c r="BL98" i="31"/>
  <c r="BL99" i="31"/>
  <c r="BL103" i="31"/>
  <c r="BL104" i="31"/>
  <c r="BL105" i="31"/>
  <c r="BL106" i="31"/>
  <c r="BL112" i="31"/>
  <c r="BL113" i="31"/>
  <c r="BL121" i="31"/>
  <c r="BL122" i="31"/>
  <c r="BL123" i="31"/>
  <c r="BL124" i="31"/>
  <c r="BL125" i="31"/>
  <c r="BL126" i="31"/>
  <c r="BL127" i="31"/>
  <c r="BL128" i="31"/>
  <c r="BL129" i="31"/>
  <c r="BL130" i="31"/>
  <c r="BL131" i="31"/>
  <c r="BL132" i="31"/>
  <c r="BL133" i="31"/>
  <c r="BL134" i="31"/>
  <c r="BL135" i="31"/>
  <c r="BL136" i="31"/>
  <c r="BL137" i="31"/>
  <c r="BL138" i="31"/>
  <c r="BL139" i="31"/>
  <c r="BL140" i="31"/>
  <c r="BL141" i="31"/>
  <c r="BL142" i="31"/>
  <c r="BM14" i="31"/>
  <c r="BZ14" i="31" s="1"/>
  <c r="BM15" i="31"/>
  <c r="BM16" i="31"/>
  <c r="BM17" i="31"/>
  <c r="BM18" i="31"/>
  <c r="BM19" i="31"/>
  <c r="BZ19" i="31" s="1"/>
  <c r="CC19" i="31" s="1"/>
  <c r="BM20" i="31"/>
  <c r="BZ20" i="31" s="1"/>
  <c r="CC20" i="31" s="1"/>
  <c r="BM21" i="31"/>
  <c r="BM22" i="31"/>
  <c r="BM23" i="31"/>
  <c r="BM24" i="31"/>
  <c r="BM25" i="31"/>
  <c r="BZ25" i="31" s="1"/>
  <c r="BM26" i="31"/>
  <c r="BZ26" i="31" s="1"/>
  <c r="BM27" i="31"/>
  <c r="BM28" i="31"/>
  <c r="BM29" i="31"/>
  <c r="BM30" i="31"/>
  <c r="BM31" i="31"/>
  <c r="BZ31" i="31" s="1"/>
  <c r="CC31" i="31" s="1"/>
  <c r="BM32" i="31"/>
  <c r="BZ32" i="31" s="1"/>
  <c r="CC32" i="31" s="1"/>
  <c r="BM33" i="31"/>
  <c r="BM34" i="31"/>
  <c r="BM35" i="31"/>
  <c r="BM36" i="31"/>
  <c r="BM37" i="31"/>
  <c r="BZ37" i="31" s="1"/>
  <c r="BM38" i="31"/>
  <c r="BZ38" i="31" s="1"/>
  <c r="BM39" i="31"/>
  <c r="BM40" i="31"/>
  <c r="BM41" i="31"/>
  <c r="BM42" i="31"/>
  <c r="BM43" i="31"/>
  <c r="BZ43" i="31" s="1"/>
  <c r="CC43" i="31" s="1"/>
  <c r="BM44" i="31"/>
  <c r="BZ44" i="31" s="1"/>
  <c r="CC44" i="31" s="1"/>
  <c r="BM45" i="31"/>
  <c r="BM46" i="31"/>
  <c r="BM47" i="31"/>
  <c r="BM48" i="31"/>
  <c r="BM49" i="31"/>
  <c r="BM50" i="31"/>
  <c r="BM51" i="31"/>
  <c r="BZ51" i="31" s="1"/>
  <c r="BM52" i="31"/>
  <c r="BM53" i="31"/>
  <c r="BM54" i="31"/>
  <c r="BM55" i="31"/>
  <c r="BZ55" i="31" s="1"/>
  <c r="BM56" i="31"/>
  <c r="BZ56" i="31" s="1"/>
  <c r="BM57" i="31"/>
  <c r="BM58" i="31"/>
  <c r="BM60" i="31"/>
  <c r="BZ60" i="31" s="1"/>
  <c r="BM61" i="31"/>
  <c r="BM62" i="31"/>
  <c r="BM63" i="31"/>
  <c r="BM64" i="31"/>
  <c r="BZ64" i="31" s="1"/>
  <c r="BM65" i="31"/>
  <c r="BM66" i="31"/>
  <c r="BM67" i="31"/>
  <c r="BM68" i="31"/>
  <c r="BZ68" i="31" s="1"/>
  <c r="BM69" i="31"/>
  <c r="BZ69" i="31" s="1"/>
  <c r="BM70" i="31"/>
  <c r="BM71" i="31"/>
  <c r="BM72" i="31"/>
  <c r="BZ72" i="31" s="1"/>
  <c r="BM73" i="31"/>
  <c r="BM74" i="31"/>
  <c r="BM75" i="31"/>
  <c r="BM76" i="31"/>
  <c r="BZ76" i="31" s="1"/>
  <c r="BM77" i="31"/>
  <c r="BM78" i="31"/>
  <c r="BM79" i="31"/>
  <c r="BM80" i="31"/>
  <c r="BZ80" i="31" s="1"/>
  <c r="BM81" i="31"/>
  <c r="BZ81" i="31" s="1"/>
  <c r="BM82" i="31"/>
  <c r="BM83" i="31"/>
  <c r="BM84" i="31"/>
  <c r="BZ84" i="31" s="1"/>
  <c r="BM85" i="31"/>
  <c r="BM86" i="31"/>
  <c r="BM87" i="31"/>
  <c r="BM88" i="31"/>
  <c r="BZ88" i="31" s="1"/>
  <c r="CC88" i="31" s="1"/>
  <c r="BM89" i="31"/>
  <c r="BM90" i="31"/>
  <c r="BM91" i="31"/>
  <c r="BM92" i="31"/>
  <c r="BZ92" i="31" s="1"/>
  <c r="CC92" i="31" s="1"/>
  <c r="BM93" i="31"/>
  <c r="BZ93" i="31" s="1"/>
  <c r="CC93" i="31" s="1"/>
  <c r="BM94" i="31"/>
  <c r="BM95" i="31"/>
  <c r="BM96" i="31"/>
  <c r="BZ96" i="31" s="1"/>
  <c r="CC96" i="31" s="1"/>
  <c r="BM97" i="31"/>
  <c r="BM98" i="31"/>
  <c r="BM101" i="31"/>
  <c r="BM102" i="31"/>
  <c r="BZ102" i="31" s="1"/>
  <c r="BM103" i="31"/>
  <c r="BM104" i="31"/>
  <c r="BM105" i="31"/>
  <c r="BM106" i="31"/>
  <c r="BZ106" i="31" s="1"/>
  <c r="CC106" i="31" s="1"/>
  <c r="BM107" i="31"/>
  <c r="BZ107" i="31" s="1"/>
  <c r="CC107" i="31" s="1"/>
  <c r="BM108" i="31"/>
  <c r="BM109" i="31"/>
  <c r="BM110" i="31"/>
  <c r="BZ110" i="31" s="1"/>
  <c r="BM111" i="31"/>
  <c r="BM112" i="31"/>
  <c r="BM113" i="31"/>
  <c r="BM114" i="31"/>
  <c r="BZ114" i="31" s="1"/>
  <c r="BM115" i="31"/>
  <c r="BM116" i="31"/>
  <c r="BM117" i="31"/>
  <c r="BM118" i="31"/>
  <c r="BZ118" i="31" s="1"/>
  <c r="CC118" i="31" s="1"/>
  <c r="BM119" i="31"/>
  <c r="BZ119" i="31" s="1"/>
  <c r="CC119" i="31" s="1"/>
  <c r="BM121" i="31"/>
  <c r="BM122" i="31"/>
  <c r="BM123" i="31"/>
  <c r="BZ123" i="31" s="1"/>
  <c r="CC123" i="31" s="1"/>
  <c r="BM124" i="31"/>
  <c r="BM125" i="31"/>
  <c r="BM126" i="31"/>
  <c r="BM127" i="31"/>
  <c r="BZ127" i="31" s="1"/>
  <c r="CC127" i="31" s="1"/>
  <c r="BM128" i="31"/>
  <c r="BM129" i="31"/>
  <c r="BM130" i="31"/>
  <c r="BM131" i="31"/>
  <c r="BZ131" i="31" s="1"/>
  <c r="CC131" i="31" s="1"/>
  <c r="BM132" i="31"/>
  <c r="BZ132" i="31" s="1"/>
  <c r="CC132" i="31" s="1"/>
  <c r="BM133" i="31"/>
  <c r="BM134" i="31"/>
  <c r="BM135" i="31"/>
  <c r="BZ135" i="31" s="1"/>
  <c r="CC135" i="31" s="1"/>
  <c r="BM136" i="31"/>
  <c r="BM137" i="31"/>
  <c r="BM138" i="31"/>
  <c r="BM139" i="31"/>
  <c r="BZ139" i="31" s="1"/>
  <c r="BM140" i="31"/>
  <c r="BM141" i="31"/>
  <c r="BM142" i="31"/>
  <c r="BO14" i="31"/>
  <c r="BO15" i="31"/>
  <c r="BO16" i="31"/>
  <c r="BO17" i="31"/>
  <c r="BO18" i="31"/>
  <c r="BO19" i="31"/>
  <c r="BO20" i="31"/>
  <c r="BO21" i="31"/>
  <c r="BO22" i="31"/>
  <c r="BO23" i="31"/>
  <c r="BO24" i="31"/>
  <c r="BO25" i="31"/>
  <c r="BO26" i="31"/>
  <c r="BO27" i="31"/>
  <c r="BO28" i="31"/>
  <c r="BO29" i="31"/>
  <c r="BO30" i="31"/>
  <c r="BO31" i="31"/>
  <c r="BO32" i="31"/>
  <c r="BO33" i="31"/>
  <c r="BO34" i="31"/>
  <c r="BO35" i="31"/>
  <c r="BO36" i="31"/>
  <c r="BO37" i="31"/>
  <c r="BO38" i="31"/>
  <c r="BO39" i="31"/>
  <c r="BO40" i="31"/>
  <c r="BO41" i="31"/>
  <c r="BO42" i="31"/>
  <c r="BO43" i="31"/>
  <c r="BO44" i="31"/>
  <c r="BO45" i="31"/>
  <c r="BO46" i="31"/>
  <c r="BO47" i="31"/>
  <c r="BO48" i="31"/>
  <c r="BO49" i="31"/>
  <c r="BO50" i="31"/>
  <c r="BO51" i="31"/>
  <c r="BO52" i="31"/>
  <c r="BO53" i="31"/>
  <c r="BO54" i="31"/>
  <c r="BO55" i="31"/>
  <c r="BO56" i="31"/>
  <c r="BO57" i="31"/>
  <c r="BO60" i="31"/>
  <c r="BO61" i="31"/>
  <c r="BO62" i="31"/>
  <c r="BO63" i="31"/>
  <c r="BO64" i="31"/>
  <c r="BO65" i="31"/>
  <c r="BO66" i="31"/>
  <c r="BO67" i="31"/>
  <c r="BO68" i="31"/>
  <c r="BO69" i="31"/>
  <c r="BO70" i="31"/>
  <c r="BO71" i="31"/>
  <c r="BO72" i="31"/>
  <c r="BO73" i="31"/>
  <c r="BO74" i="31"/>
  <c r="BO75" i="31"/>
  <c r="BO76" i="31"/>
  <c r="BO77" i="31"/>
  <c r="BO78" i="31"/>
  <c r="BO79" i="31"/>
  <c r="BO80" i="31"/>
  <c r="BO81" i="31"/>
  <c r="BO82" i="31"/>
  <c r="BO83" i="31"/>
  <c r="BO84" i="31"/>
  <c r="BO85" i="31"/>
  <c r="BO86" i="31"/>
  <c r="BO87" i="31"/>
  <c r="BO88" i="31"/>
  <c r="BO89" i="31"/>
  <c r="BO90" i="31"/>
  <c r="BO91" i="31"/>
  <c r="BO92" i="31"/>
  <c r="BO93" i="31"/>
  <c r="BO94" i="31"/>
  <c r="BO95" i="31"/>
  <c r="BO96" i="31"/>
  <c r="BO97" i="31"/>
  <c r="BO98" i="31"/>
  <c r="BO101" i="31"/>
  <c r="BO102" i="31"/>
  <c r="BO103" i="31"/>
  <c r="BO104" i="31"/>
  <c r="BO105" i="31"/>
  <c r="BO106" i="31"/>
  <c r="BO107" i="31"/>
  <c r="BO108" i="31"/>
  <c r="BO109" i="31"/>
  <c r="BO110" i="31"/>
  <c r="BO111" i="31"/>
  <c r="BO112" i="31"/>
  <c r="BO113" i="31"/>
  <c r="BO114" i="31"/>
  <c r="BO115" i="31"/>
  <c r="BO116" i="31"/>
  <c r="BO117" i="31"/>
  <c r="BO118" i="31"/>
  <c r="BO119" i="31"/>
  <c r="BO121" i="31"/>
  <c r="BO123" i="31"/>
  <c r="BO124" i="31"/>
  <c r="BO125" i="31"/>
  <c r="BO126" i="31"/>
  <c r="BO127" i="31"/>
  <c r="BO128" i="31"/>
  <c r="BO129" i="31"/>
  <c r="BO130" i="31"/>
  <c r="BO131" i="31"/>
  <c r="BO132" i="31"/>
  <c r="BO133" i="31"/>
  <c r="BO134" i="31"/>
  <c r="BO135" i="31"/>
  <c r="BO136" i="31"/>
  <c r="BO138" i="31"/>
  <c r="BO139" i="31"/>
  <c r="BO140" i="31"/>
  <c r="BO141" i="31"/>
  <c r="DD152" i="31"/>
  <c r="CM152" i="31"/>
  <c r="CN152" i="31" s="1"/>
  <c r="DD151" i="31"/>
  <c r="DB96" i="31"/>
  <c r="DB120" i="31"/>
  <c r="H91" i="31"/>
  <c r="H120" i="31"/>
  <c r="H122" i="31"/>
  <c r="H123" i="31"/>
  <c r="DA125" i="31"/>
  <c r="H138" i="31"/>
  <c r="CZ145" i="31"/>
  <c r="CZ149" i="31" s="1"/>
  <c r="CZ151" i="31" s="1"/>
  <c r="CY16" i="31"/>
  <c r="CY45" i="31"/>
  <c r="CY57" i="31"/>
  <c r="CY74" i="31"/>
  <c r="CY120" i="31"/>
  <c r="CX34" i="31"/>
  <c r="CX40" i="31"/>
  <c r="CX101" i="31"/>
  <c r="CX112" i="31"/>
  <c r="J120" i="31"/>
  <c r="CX121" i="31"/>
  <c r="CX138" i="31"/>
  <c r="CU18" i="31"/>
  <c r="CU19" i="31"/>
  <c r="CU29" i="31"/>
  <c r="CU30" i="31"/>
  <c r="CU31" i="31"/>
  <c r="CU32" i="31"/>
  <c r="CU35" i="31"/>
  <c r="CU36" i="31"/>
  <c r="CU43" i="31"/>
  <c r="CU45" i="31"/>
  <c r="CU53" i="31"/>
  <c r="CU54" i="31"/>
  <c r="CU57" i="31"/>
  <c r="CU67" i="31"/>
  <c r="CU70" i="31"/>
  <c r="CU72" i="31"/>
  <c r="CU73" i="31"/>
  <c r="CU75" i="31"/>
  <c r="CU77" i="31"/>
  <c r="CU78" i="31"/>
  <c r="CU79" i="31"/>
  <c r="CU82" i="31"/>
  <c r="CU85" i="31"/>
  <c r="CU88" i="31"/>
  <c r="CU89" i="31"/>
  <c r="CU91" i="31"/>
  <c r="CU95" i="31"/>
  <c r="CU97" i="31"/>
  <c r="CU98" i="31"/>
  <c r="CU103" i="31"/>
  <c r="CU104" i="31"/>
  <c r="CU105" i="31"/>
  <c r="CU106" i="31"/>
  <c r="O120" i="31"/>
  <c r="R120" i="31"/>
  <c r="CU121" i="31"/>
  <c r="CU122" i="31"/>
  <c r="CU123" i="31"/>
  <c r="CU124" i="31"/>
  <c r="CU125" i="31"/>
  <c r="CU126" i="31"/>
  <c r="CU127" i="31"/>
  <c r="CU128" i="31"/>
  <c r="CU131" i="31"/>
  <c r="CU132" i="31"/>
  <c r="CU133" i="31"/>
  <c r="CU134" i="31"/>
  <c r="CU135" i="31"/>
  <c r="CU138" i="31"/>
  <c r="CU139" i="31"/>
  <c r="CU140" i="31"/>
  <c r="CR15" i="31"/>
  <c r="CR18" i="31"/>
  <c r="CR19" i="31"/>
  <c r="CR23" i="31"/>
  <c r="CR27" i="31"/>
  <c r="CR29" i="31"/>
  <c r="CR30" i="31"/>
  <c r="CR31" i="31"/>
  <c r="CR32" i="31"/>
  <c r="CR35" i="31"/>
  <c r="CR36" i="31"/>
  <c r="CR37" i="31"/>
  <c r="CR41" i="31"/>
  <c r="CR43" i="31"/>
  <c r="CR44" i="31"/>
  <c r="CR45" i="31"/>
  <c r="CR46" i="31"/>
  <c r="CR47" i="31"/>
  <c r="CR48" i="31"/>
  <c r="CR52" i="31"/>
  <c r="CR53" i="31"/>
  <c r="CR54" i="31"/>
  <c r="CR55" i="31"/>
  <c r="CR57" i="31"/>
  <c r="CR61" i="31"/>
  <c r="CR65" i="31"/>
  <c r="CR67" i="31"/>
  <c r="CR68" i="31"/>
  <c r="CR70" i="31"/>
  <c r="CR73" i="31"/>
  <c r="CR75" i="31"/>
  <c r="CR76" i="31"/>
  <c r="CR79" i="31"/>
  <c r="CR82" i="31"/>
  <c r="CR83" i="31"/>
  <c r="CR84" i="31"/>
  <c r="CR85" i="31"/>
  <c r="CR86" i="31"/>
  <c r="CR88" i="31"/>
  <c r="CR89" i="31"/>
  <c r="CR91" i="31"/>
  <c r="CR97" i="31"/>
  <c r="CR98" i="31"/>
  <c r="CR103" i="31"/>
  <c r="CR104" i="31"/>
  <c r="CR105" i="31"/>
  <c r="CR106" i="31"/>
  <c r="CR112" i="31"/>
  <c r="I120" i="31"/>
  <c r="L120" i="31"/>
  <c r="CR121" i="31"/>
  <c r="CR122" i="31"/>
  <c r="CR123" i="31"/>
  <c r="CR124" i="31"/>
  <c r="CR125" i="31"/>
  <c r="CR126" i="31"/>
  <c r="CR127" i="31"/>
  <c r="CR128" i="31"/>
  <c r="CR129" i="31"/>
  <c r="CR130" i="31"/>
  <c r="CR131" i="31"/>
  <c r="CR132" i="31"/>
  <c r="CR133" i="31"/>
  <c r="CR134" i="31"/>
  <c r="CR135" i="31"/>
  <c r="CR138" i="31"/>
  <c r="CR139" i="31"/>
  <c r="CR140" i="31"/>
  <c r="CR141" i="31"/>
  <c r="Z143" i="31"/>
  <c r="CJ143" i="31" s="1"/>
  <c r="AG143" i="31"/>
  <c r="CK143" i="31" s="1"/>
  <c r="CM151" i="31"/>
  <c r="CN151" i="31" s="1"/>
  <c r="BZ18" i="31"/>
  <c r="BZ21" i="31"/>
  <c r="CC21" i="31" s="1"/>
  <c r="BZ22" i="31"/>
  <c r="BZ30" i="31"/>
  <c r="CC30" i="31" s="1"/>
  <c r="BZ33" i="31"/>
  <c r="BZ34" i="31"/>
  <c r="BZ42" i="31"/>
  <c r="BZ45" i="31"/>
  <c r="BZ58" i="31"/>
  <c r="CC58" i="31" s="1"/>
  <c r="BZ122" i="31"/>
  <c r="CC122" i="31" s="1"/>
  <c r="BZ143" i="31"/>
  <c r="CC143" i="31" s="1"/>
  <c r="BN14" i="31"/>
  <c r="BU14" i="31"/>
  <c r="BN15" i="31"/>
  <c r="BU15" i="31"/>
  <c r="BN16" i="31"/>
  <c r="BU16" i="31"/>
  <c r="BN17" i="31"/>
  <c r="BU17" i="31"/>
  <c r="BN18" i="31"/>
  <c r="BU18" i="31"/>
  <c r="BN19" i="31"/>
  <c r="BU19" i="31"/>
  <c r="BN20" i="31"/>
  <c r="BU20" i="31"/>
  <c r="BN21" i="31"/>
  <c r="BU21" i="31"/>
  <c r="BN22" i="31"/>
  <c r="BU22" i="31"/>
  <c r="BN23" i="31"/>
  <c r="BU23" i="31"/>
  <c r="BN24" i="31"/>
  <c r="BU24" i="31"/>
  <c r="BN25" i="31"/>
  <c r="BU25" i="31"/>
  <c r="BN26" i="31"/>
  <c r="BU26" i="31"/>
  <c r="BN27" i="31"/>
  <c r="BU27" i="31"/>
  <c r="BN28" i="31"/>
  <c r="BU28" i="31"/>
  <c r="BN29" i="31"/>
  <c r="BU29" i="31"/>
  <c r="BN30" i="31"/>
  <c r="BU30" i="31"/>
  <c r="BN31" i="31"/>
  <c r="BU31" i="31"/>
  <c r="BN32" i="31"/>
  <c r="BU32" i="31"/>
  <c r="BN33" i="31"/>
  <c r="BU33" i="31"/>
  <c r="BN34" i="31"/>
  <c r="BU34" i="31"/>
  <c r="BN35" i="31"/>
  <c r="BU35" i="31"/>
  <c r="BN36" i="31"/>
  <c r="BU36" i="31"/>
  <c r="BN37" i="31"/>
  <c r="BU37" i="31"/>
  <c r="BN38" i="31"/>
  <c r="BU38" i="31"/>
  <c r="BN39" i="31"/>
  <c r="BU39" i="31"/>
  <c r="BN40" i="31"/>
  <c r="BU40" i="31"/>
  <c r="BN41" i="31"/>
  <c r="BU41" i="31"/>
  <c r="BN42" i="31"/>
  <c r="BU42" i="31"/>
  <c r="BN43" i="31"/>
  <c r="BU43" i="31"/>
  <c r="BN44" i="31"/>
  <c r="BU44" i="31"/>
  <c r="BN45" i="31"/>
  <c r="BU45" i="31"/>
  <c r="BN46" i="31"/>
  <c r="BN47" i="31"/>
  <c r="BN48" i="31"/>
  <c r="BU48" i="31"/>
  <c r="BN49" i="31"/>
  <c r="BU49" i="31"/>
  <c r="BN52" i="31"/>
  <c r="BU52" i="31"/>
  <c r="BN53" i="31"/>
  <c r="BU53" i="31"/>
  <c r="BN54" i="31"/>
  <c r="BU54" i="31"/>
  <c r="BN55" i="31"/>
  <c r="BU55" i="31"/>
  <c r="BN56" i="31"/>
  <c r="BU56" i="31"/>
  <c r="BN57" i="31"/>
  <c r="BU57" i="31"/>
  <c r="BN58" i="31"/>
  <c r="BU58" i="31"/>
  <c r="BN60" i="31"/>
  <c r="BU60" i="31"/>
  <c r="BN61" i="31"/>
  <c r="BU61" i="31"/>
  <c r="BN62" i="31"/>
  <c r="BU62" i="31"/>
  <c r="BN63" i="31"/>
  <c r="BU63" i="31"/>
  <c r="BN64" i="31"/>
  <c r="BU64" i="31"/>
  <c r="BN65" i="31"/>
  <c r="BU65" i="31"/>
  <c r="BN66" i="31"/>
  <c r="BU66" i="31"/>
  <c r="BN67" i="31"/>
  <c r="BU67" i="31"/>
  <c r="BN68" i="31"/>
  <c r="BU68" i="31"/>
  <c r="BN69" i="31"/>
  <c r="BU69" i="31"/>
  <c r="BN70" i="31"/>
  <c r="BU70" i="31"/>
  <c r="BN71" i="31"/>
  <c r="BU71" i="31"/>
  <c r="BN72" i="31"/>
  <c r="BU72" i="31"/>
  <c r="BN73" i="31"/>
  <c r="BU73" i="31"/>
  <c r="BN74" i="31"/>
  <c r="BU74" i="31"/>
  <c r="BN75" i="31"/>
  <c r="BU75" i="31"/>
  <c r="BN76" i="31"/>
  <c r="BU76" i="31"/>
  <c r="BN77" i="31"/>
  <c r="BU77" i="31"/>
  <c r="BN78" i="31"/>
  <c r="BU78" i="31"/>
  <c r="BN79" i="31"/>
  <c r="BU79" i="31"/>
  <c r="BN80" i="31"/>
  <c r="BU80" i="31"/>
  <c r="BN81" i="31"/>
  <c r="BU81" i="31"/>
  <c r="BN82" i="31"/>
  <c r="BU82" i="31"/>
  <c r="BN83" i="31"/>
  <c r="BU83" i="31"/>
  <c r="BN84" i="31"/>
  <c r="BU84" i="31"/>
  <c r="BN85" i="31"/>
  <c r="BU85" i="31"/>
  <c r="BN86" i="31"/>
  <c r="BN87" i="31"/>
  <c r="BU87" i="31"/>
  <c r="BN88" i="31"/>
  <c r="BU88" i="31"/>
  <c r="BN89" i="31"/>
  <c r="BU89" i="31"/>
  <c r="BN90" i="31"/>
  <c r="BU90" i="31"/>
  <c r="BN91" i="31"/>
  <c r="BU91" i="31"/>
  <c r="BN92" i="31"/>
  <c r="BU92" i="31"/>
  <c r="BN93" i="31"/>
  <c r="BU93" i="31"/>
  <c r="BN94" i="31"/>
  <c r="BU94" i="31"/>
  <c r="BN95" i="31"/>
  <c r="BU95" i="31"/>
  <c r="BN96" i="31"/>
  <c r="BU96" i="31"/>
  <c r="BN97" i="31"/>
  <c r="BU97" i="31"/>
  <c r="BN98" i="31"/>
  <c r="BU98" i="31"/>
  <c r="BN101" i="31"/>
  <c r="BU101" i="31"/>
  <c r="BN102" i="31"/>
  <c r="BU102" i="31"/>
  <c r="BN103" i="31"/>
  <c r="BU103" i="31"/>
  <c r="BN104" i="31"/>
  <c r="BU104" i="31"/>
  <c r="BN105" i="31"/>
  <c r="BU105" i="31"/>
  <c r="BN106" i="31"/>
  <c r="BU106" i="31"/>
  <c r="BN107" i="31"/>
  <c r="BU107" i="31"/>
  <c r="BN108" i="31"/>
  <c r="BU108" i="31"/>
  <c r="BN109" i="31"/>
  <c r="BU109" i="31"/>
  <c r="BN110" i="31"/>
  <c r="BU110" i="31"/>
  <c r="BN111" i="31"/>
  <c r="BU111" i="31"/>
  <c r="BN112" i="31"/>
  <c r="BU112" i="31"/>
  <c r="BN113" i="31"/>
  <c r="BU113" i="31"/>
  <c r="BN114" i="31"/>
  <c r="BU114" i="31"/>
  <c r="BN115" i="31"/>
  <c r="BU115" i="31"/>
  <c r="BN116" i="31"/>
  <c r="BU116" i="31"/>
  <c r="BN117" i="31"/>
  <c r="BU117" i="31"/>
  <c r="BN118" i="31"/>
  <c r="BU118" i="31"/>
  <c r="BN119" i="31"/>
  <c r="BU119" i="31"/>
  <c r="BN121" i="31"/>
  <c r="BU121" i="31"/>
  <c r="BN122" i="31"/>
  <c r="BU122" i="31"/>
  <c r="BN123" i="31"/>
  <c r="BU123" i="31"/>
  <c r="BN124" i="31"/>
  <c r="BU124" i="31"/>
  <c r="BN125" i="31"/>
  <c r="BU125" i="31"/>
  <c r="BN126" i="31"/>
  <c r="BU126" i="31"/>
  <c r="BN127" i="31"/>
  <c r="BU127" i="31"/>
  <c r="BN128" i="31"/>
  <c r="BU128" i="31"/>
  <c r="BN129" i="31"/>
  <c r="BU129" i="31"/>
  <c r="BN130" i="31"/>
  <c r="BU130" i="31"/>
  <c r="BN131" i="31"/>
  <c r="BU131" i="31"/>
  <c r="BN132" i="31"/>
  <c r="BU132" i="31"/>
  <c r="BN133" i="31"/>
  <c r="BU133" i="31"/>
  <c r="BN134" i="31"/>
  <c r="BU134" i="31"/>
  <c r="BN135" i="31"/>
  <c r="BU135" i="31"/>
  <c r="BN136" i="31"/>
  <c r="BU136" i="31"/>
  <c r="BN137" i="31"/>
  <c r="BN138" i="31"/>
  <c r="BU138" i="31"/>
  <c r="BN139" i="31"/>
  <c r="BU139" i="31"/>
  <c r="BN140" i="31"/>
  <c r="BU140" i="31"/>
  <c r="BN141" i="31"/>
  <c r="BN142" i="31"/>
  <c r="CA143" i="31"/>
  <c r="AH146" i="31"/>
  <c r="AH149" i="31" s="1"/>
  <c r="AI151" i="31" s="1"/>
  <c r="DD150" i="31"/>
  <c r="CV143" i="31"/>
  <c r="CO19" i="31"/>
  <c r="CO30" i="31"/>
  <c r="CO32" i="31"/>
  <c r="CO36" i="31"/>
  <c r="CO45" i="31"/>
  <c r="CO98" i="31"/>
  <c r="CO103" i="31"/>
  <c r="CO105" i="31"/>
  <c r="CO122" i="31"/>
  <c r="CO124" i="31"/>
  <c r="CO126" i="31"/>
  <c r="CO128" i="31"/>
  <c r="CO131" i="31"/>
  <c r="CO139" i="31"/>
  <c r="CM150" i="31"/>
  <c r="CG18" i="31"/>
  <c r="CH18" i="31" s="1"/>
  <c r="CG19" i="31"/>
  <c r="CG29" i="31"/>
  <c r="CG30" i="31"/>
  <c r="CG31" i="31"/>
  <c r="CG32" i="31"/>
  <c r="CG35" i="31"/>
  <c r="CG36" i="31"/>
  <c r="CG41" i="31"/>
  <c r="CG43" i="31"/>
  <c r="CG45" i="31"/>
  <c r="CH45" i="31" s="1"/>
  <c r="CG46" i="31"/>
  <c r="CH46" i="31" s="1"/>
  <c r="CG49" i="31"/>
  <c r="CH49" i="31" s="1"/>
  <c r="CG53" i="31"/>
  <c r="CG54" i="31"/>
  <c r="CG55" i="31"/>
  <c r="CG57" i="31"/>
  <c r="CG60" i="31"/>
  <c r="CG67" i="31"/>
  <c r="CG70" i="31"/>
  <c r="CG72" i="31"/>
  <c r="CG73" i="31"/>
  <c r="CH73" i="31" s="1"/>
  <c r="CG74" i="31"/>
  <c r="CG75" i="31"/>
  <c r="CG76" i="31"/>
  <c r="CG77" i="31"/>
  <c r="CG78" i="31"/>
  <c r="CG79" i="31"/>
  <c r="CG82" i="31"/>
  <c r="CG83" i="31"/>
  <c r="CG85" i="31"/>
  <c r="CG88" i="31"/>
  <c r="CG89" i="31"/>
  <c r="CG91" i="31"/>
  <c r="CG97" i="31"/>
  <c r="CG98" i="31"/>
  <c r="CG103" i="31"/>
  <c r="CG104" i="31"/>
  <c r="CG105" i="31"/>
  <c r="CG106" i="31"/>
  <c r="CG112" i="31"/>
  <c r="CG120" i="31"/>
  <c r="CH120" i="31" s="1"/>
  <c r="CG121" i="31"/>
  <c r="CG122" i="31"/>
  <c r="CG123" i="31"/>
  <c r="CG124" i="31"/>
  <c r="CH124" i="31" s="1"/>
  <c r="CG125" i="31"/>
  <c r="CG126" i="31"/>
  <c r="CG127" i="31"/>
  <c r="CG128" i="31"/>
  <c r="CG131" i="31"/>
  <c r="CG132" i="31"/>
  <c r="CG133" i="31"/>
  <c r="CH133" i="31" s="1"/>
  <c r="CG134" i="31"/>
  <c r="CG135" i="31"/>
  <c r="CH135" i="31" s="1"/>
  <c r="CG138" i="31"/>
  <c r="CG139" i="31"/>
  <c r="CH139" i="31" s="1"/>
  <c r="CG140" i="31"/>
  <c r="CG143" i="31"/>
  <c r="CH143" i="31" s="1"/>
  <c r="DL149" i="31"/>
  <c r="DM149" i="31"/>
  <c r="DD149" i="31"/>
  <c r="AH19" i="31"/>
  <c r="AH32" i="31"/>
  <c r="AH35" i="31"/>
  <c r="AH36" i="31"/>
  <c r="AH41" i="31"/>
  <c r="CM41" i="31" s="1"/>
  <c r="AH45" i="31"/>
  <c r="AH48" i="31"/>
  <c r="AH56" i="31"/>
  <c r="AH57" i="31"/>
  <c r="CM57" i="31" s="1"/>
  <c r="AH91" i="31"/>
  <c r="CM91" i="31" s="1"/>
  <c r="AH98" i="31"/>
  <c r="CM98" i="31" s="1"/>
  <c r="AH100" i="31"/>
  <c r="CW100" i="31" s="1"/>
  <c r="AH103" i="31"/>
  <c r="AH105" i="31"/>
  <c r="AH122" i="31"/>
  <c r="CM122" i="31" s="1"/>
  <c r="AH124" i="31"/>
  <c r="AH126" i="31"/>
  <c r="CM126" i="31" s="1"/>
  <c r="AH128" i="31"/>
  <c r="CM128" i="31" s="1"/>
  <c r="AH131" i="31"/>
  <c r="CM131" i="31" s="1"/>
  <c r="AH132" i="31"/>
  <c r="AH139" i="31"/>
  <c r="CM139" i="31" s="1"/>
  <c r="Z50" i="31"/>
  <c r="AG50" i="31"/>
  <c r="CM149" i="31"/>
  <c r="DL148" i="31"/>
  <c r="DM148" i="31"/>
  <c r="DD148" i="31"/>
  <c r="CM148" i="31"/>
  <c r="CN148" i="31" s="1"/>
  <c r="BW14" i="31"/>
  <c r="BW15" i="31"/>
  <c r="BW16" i="31"/>
  <c r="BW17" i="31"/>
  <c r="BW18" i="31"/>
  <c r="BW19" i="31"/>
  <c r="BW20" i="31"/>
  <c r="BW21" i="31"/>
  <c r="BW22" i="31"/>
  <c r="BW23" i="31"/>
  <c r="BW24" i="31"/>
  <c r="BW25" i="31"/>
  <c r="BW26" i="31"/>
  <c r="BW27" i="31"/>
  <c r="BW28" i="31"/>
  <c r="BW29" i="31"/>
  <c r="BW30" i="31"/>
  <c r="BW31" i="31"/>
  <c r="BW32" i="31"/>
  <c r="BW33" i="31"/>
  <c r="BW34" i="31"/>
  <c r="BW35" i="31"/>
  <c r="BW36" i="31"/>
  <c r="BW37" i="31"/>
  <c r="BW38" i="31"/>
  <c r="BW39" i="31"/>
  <c r="BW40" i="31"/>
  <c r="BW41" i="31"/>
  <c r="BW42" i="31"/>
  <c r="BW43" i="31"/>
  <c r="BW44" i="31"/>
  <c r="BW45" i="31"/>
  <c r="BW46" i="31"/>
  <c r="BW47" i="31"/>
  <c r="BW48" i="31"/>
  <c r="BW49" i="31"/>
  <c r="BU50" i="31"/>
  <c r="BW50" i="31"/>
  <c r="BW51" i="31"/>
  <c r="BW52" i="31"/>
  <c r="BW53" i="31"/>
  <c r="BW54" i="31"/>
  <c r="BW55" i="31"/>
  <c r="BW56" i="31"/>
  <c r="BW57" i="31"/>
  <c r="BW58" i="31"/>
  <c r="BW60" i="31"/>
  <c r="BW61" i="31"/>
  <c r="BW62" i="31"/>
  <c r="BW63" i="31"/>
  <c r="BW64" i="31"/>
  <c r="BW65" i="31"/>
  <c r="BW66" i="31"/>
  <c r="BW67" i="31"/>
  <c r="BW68" i="31"/>
  <c r="BW69" i="31"/>
  <c r="BW70" i="31"/>
  <c r="BW71" i="31"/>
  <c r="BW72" i="31"/>
  <c r="BW73" i="31"/>
  <c r="BW74" i="31"/>
  <c r="BW75" i="31"/>
  <c r="BW76" i="31"/>
  <c r="BW77" i="31"/>
  <c r="BW78" i="31"/>
  <c r="BW79" i="31"/>
  <c r="BW80" i="31"/>
  <c r="BW81" i="31"/>
  <c r="BW82" i="31"/>
  <c r="BW83" i="31"/>
  <c r="BW84" i="31"/>
  <c r="BW85" i="31"/>
  <c r="BW86" i="31"/>
  <c r="BW87" i="31"/>
  <c r="BW88" i="31"/>
  <c r="BW89" i="31"/>
  <c r="BW90" i="31"/>
  <c r="BW91" i="31"/>
  <c r="BW92" i="31"/>
  <c r="BW93" i="31"/>
  <c r="BW94" i="31"/>
  <c r="BW95" i="31"/>
  <c r="BW96" i="31"/>
  <c r="BW97" i="31"/>
  <c r="BW98" i="31"/>
  <c r="BW101" i="31"/>
  <c r="BW102" i="31"/>
  <c r="BW103" i="31"/>
  <c r="BW104" i="31"/>
  <c r="BW105" i="31"/>
  <c r="BW106" i="31"/>
  <c r="BW107" i="31"/>
  <c r="BW108" i="31"/>
  <c r="BW109" i="31"/>
  <c r="BW110" i="31"/>
  <c r="BW111" i="31"/>
  <c r="BW112" i="31"/>
  <c r="BW113" i="31"/>
  <c r="BW114" i="31"/>
  <c r="BW115" i="31"/>
  <c r="BW116" i="31"/>
  <c r="BW117" i="31"/>
  <c r="BW118" i="31"/>
  <c r="BW119" i="31"/>
  <c r="BW121" i="31"/>
  <c r="BW122" i="31"/>
  <c r="BW123" i="31"/>
  <c r="BW124" i="31"/>
  <c r="BW125" i="31"/>
  <c r="BW126" i="31"/>
  <c r="BW127" i="31"/>
  <c r="BW128" i="31"/>
  <c r="BW130" i="31"/>
  <c r="BW131" i="31"/>
  <c r="BW133" i="31"/>
  <c r="BW134" i="31"/>
  <c r="BW135" i="31"/>
  <c r="BW136" i="31"/>
  <c r="BW138" i="31"/>
  <c r="BW139" i="31"/>
  <c r="BW140" i="31"/>
  <c r="BW141" i="31"/>
  <c r="BW143" i="31"/>
  <c r="BX143" i="31" s="1"/>
  <c r="BY143" i="31" s="1"/>
  <c r="BP14" i="31"/>
  <c r="BP15" i="31"/>
  <c r="BP16" i="31"/>
  <c r="BP17" i="31"/>
  <c r="BP18" i="31"/>
  <c r="BP19" i="31"/>
  <c r="BP20" i="31"/>
  <c r="BP21" i="31"/>
  <c r="BP22" i="31"/>
  <c r="BP23" i="31"/>
  <c r="BP24" i="31"/>
  <c r="BP25" i="31"/>
  <c r="BP26" i="31"/>
  <c r="BP27" i="31"/>
  <c r="BP28" i="31"/>
  <c r="BP29" i="31"/>
  <c r="BP30" i="31"/>
  <c r="BP31" i="31"/>
  <c r="BP32" i="31"/>
  <c r="BP33" i="31"/>
  <c r="BP34" i="31"/>
  <c r="BP35" i="31"/>
  <c r="BP36" i="31"/>
  <c r="BP37" i="31"/>
  <c r="BP38" i="31"/>
  <c r="BP39" i="31"/>
  <c r="BP40" i="31"/>
  <c r="BP41" i="31"/>
  <c r="BP42" i="31"/>
  <c r="BP43" i="31"/>
  <c r="BP44" i="31"/>
  <c r="BP45" i="31"/>
  <c r="BP46" i="31"/>
  <c r="BP47" i="31"/>
  <c r="BP48" i="31"/>
  <c r="BP49" i="31"/>
  <c r="BN50" i="31"/>
  <c r="BP50" i="31"/>
  <c r="BP51" i="31"/>
  <c r="BP52" i="31"/>
  <c r="BP53" i="31"/>
  <c r="BP54" i="31"/>
  <c r="BP55" i="31"/>
  <c r="BP56" i="31"/>
  <c r="BP57" i="31"/>
  <c r="BP58" i="31"/>
  <c r="BP60" i="31"/>
  <c r="BP61" i="31"/>
  <c r="BP62" i="31"/>
  <c r="BP63" i="31"/>
  <c r="BP64" i="31"/>
  <c r="BP65" i="31"/>
  <c r="BP66" i="31"/>
  <c r="BP67" i="31"/>
  <c r="BP68" i="31"/>
  <c r="BP69" i="31"/>
  <c r="BP70" i="31"/>
  <c r="BP71" i="31"/>
  <c r="BP72" i="31"/>
  <c r="BP73" i="31"/>
  <c r="BP74" i="31"/>
  <c r="BP75" i="31"/>
  <c r="BP76" i="31"/>
  <c r="BP77" i="31"/>
  <c r="BP78" i="31"/>
  <c r="BP79" i="31"/>
  <c r="BP80" i="31"/>
  <c r="BP81" i="31"/>
  <c r="BP82" i="31"/>
  <c r="BP83" i="31"/>
  <c r="BP84" i="31"/>
  <c r="BP85" i="31"/>
  <c r="BP86" i="31"/>
  <c r="BP87" i="31"/>
  <c r="BP88" i="31"/>
  <c r="BP89" i="31"/>
  <c r="BP90" i="31"/>
  <c r="BP91" i="31"/>
  <c r="BP92" i="31"/>
  <c r="BP93" i="31"/>
  <c r="BP94" i="31"/>
  <c r="BP95" i="31"/>
  <c r="BP96" i="31"/>
  <c r="BP97" i="31"/>
  <c r="BP98" i="31"/>
  <c r="BP101" i="31"/>
  <c r="BP102" i="31"/>
  <c r="BP103" i="31"/>
  <c r="BP104" i="31"/>
  <c r="BP105" i="31"/>
  <c r="BP106" i="31"/>
  <c r="BP107" i="31"/>
  <c r="BP108" i="31"/>
  <c r="BP109" i="31"/>
  <c r="BP110" i="31"/>
  <c r="BP111" i="31"/>
  <c r="BP112" i="31"/>
  <c r="BP113" i="31"/>
  <c r="BP114" i="31"/>
  <c r="BP115" i="31"/>
  <c r="BP116" i="31"/>
  <c r="BP117" i="31"/>
  <c r="BP118" i="31"/>
  <c r="BP119" i="31"/>
  <c r="BP121" i="31"/>
  <c r="BP122" i="31"/>
  <c r="BP123" i="31"/>
  <c r="BP124" i="31"/>
  <c r="BP125" i="31"/>
  <c r="BP126" i="31"/>
  <c r="BP127" i="31"/>
  <c r="BP128" i="31"/>
  <c r="BP129" i="31"/>
  <c r="BP130" i="31"/>
  <c r="BP131" i="31"/>
  <c r="BP133" i="31"/>
  <c r="BP134" i="31"/>
  <c r="BP135" i="31"/>
  <c r="BP136" i="31"/>
  <c r="BP137" i="31"/>
  <c r="BP138" i="31"/>
  <c r="BP139" i="31"/>
  <c r="BP140" i="31"/>
  <c r="BP141" i="31"/>
  <c r="BP142" i="31"/>
  <c r="BG14" i="31"/>
  <c r="BG15" i="31"/>
  <c r="BG16" i="31"/>
  <c r="BG17" i="31"/>
  <c r="BG18" i="31"/>
  <c r="BH18" i="31"/>
  <c r="BI19" i="31"/>
  <c r="BG20" i="31"/>
  <c r="BG21" i="31"/>
  <c r="BG22" i="31"/>
  <c r="BG23" i="31"/>
  <c r="BG24" i="31"/>
  <c r="BG25" i="31"/>
  <c r="BG26" i="31"/>
  <c r="BG27" i="31"/>
  <c r="BG28" i="31"/>
  <c r="BG29" i="31"/>
  <c r="BH29" i="31"/>
  <c r="BG30" i="31"/>
  <c r="BH30" i="31"/>
  <c r="BG31" i="31"/>
  <c r="BH31" i="31"/>
  <c r="BG32" i="31"/>
  <c r="BH32" i="31"/>
  <c r="BG33" i="31"/>
  <c r="BG34" i="31"/>
  <c r="BI35" i="31"/>
  <c r="BG37" i="31"/>
  <c r="BG38" i="31"/>
  <c r="BG39" i="31"/>
  <c r="BG40" i="31"/>
  <c r="BG41" i="31"/>
  <c r="BH41" i="31"/>
  <c r="BG42" i="31"/>
  <c r="BG44" i="31"/>
  <c r="BI45" i="31"/>
  <c r="BI46" i="31"/>
  <c r="BG48" i="31"/>
  <c r="BG49" i="31"/>
  <c r="BG50" i="31"/>
  <c r="BH50" i="31"/>
  <c r="BG52" i="31"/>
  <c r="BH52" i="31"/>
  <c r="BG55" i="31"/>
  <c r="BH55" i="31"/>
  <c r="BG56" i="31"/>
  <c r="BG58" i="31"/>
  <c r="BG60" i="31"/>
  <c r="BH60" i="31"/>
  <c r="BG61" i="31"/>
  <c r="BH61" i="31"/>
  <c r="BG62" i="31"/>
  <c r="BG63" i="31"/>
  <c r="BH63" i="31"/>
  <c r="BG64" i="31"/>
  <c r="BG65" i="31"/>
  <c r="BG66" i="31"/>
  <c r="BI67" i="31"/>
  <c r="BG68" i="31"/>
  <c r="BG69" i="31"/>
  <c r="BI70" i="31"/>
  <c r="BG71" i="31"/>
  <c r="BI72" i="31"/>
  <c r="BI73" i="31"/>
  <c r="BI74" i="31"/>
  <c r="BI75" i="31"/>
  <c r="BI76" i="31"/>
  <c r="BI77" i="31"/>
  <c r="BI78" i="31"/>
  <c r="BG80" i="31"/>
  <c r="BG81" i="31"/>
  <c r="BI82" i="31"/>
  <c r="BG83" i="31"/>
  <c r="BH83" i="31"/>
  <c r="BG84" i="31"/>
  <c r="BI86" i="31"/>
  <c r="BG87" i="31"/>
  <c r="BG90" i="31"/>
  <c r="BG92" i="31"/>
  <c r="BG93" i="31"/>
  <c r="BG94" i="31"/>
  <c r="BG95" i="31"/>
  <c r="BH95" i="31"/>
  <c r="BG96" i="31"/>
  <c r="BI97" i="31"/>
  <c r="BI98" i="31"/>
  <c r="BG101" i="31"/>
  <c r="BG102" i="31"/>
  <c r="BI105" i="31"/>
  <c r="BG107" i="31"/>
  <c r="BH107" i="31"/>
  <c r="BG108" i="31"/>
  <c r="BG109" i="31"/>
  <c r="BG110" i="31"/>
  <c r="BH110" i="31"/>
  <c r="BG111" i="31"/>
  <c r="BG112" i="31"/>
  <c r="BH112" i="31"/>
  <c r="BG113" i="31"/>
  <c r="BG114" i="31"/>
  <c r="BG115" i="31"/>
  <c r="BG116" i="31"/>
  <c r="BH116" i="31"/>
  <c r="BG117" i="31"/>
  <c r="BG118" i="31"/>
  <c r="BG119" i="31"/>
  <c r="BH119" i="31"/>
  <c r="BI121" i="31"/>
  <c r="BI122" i="31"/>
  <c r="BI123" i="31"/>
  <c r="BI124" i="31"/>
  <c r="BI125" i="31"/>
  <c r="BI126" i="31"/>
  <c r="BI127" i="31"/>
  <c r="BI128" i="31"/>
  <c r="BI129" i="31"/>
  <c r="BG130" i="31"/>
  <c r="BI131" i="31"/>
  <c r="BI132" i="31"/>
  <c r="BI133" i="31"/>
  <c r="BI134" i="31"/>
  <c r="BG136" i="31"/>
  <c r="BH136" i="31"/>
  <c r="BI137" i="31"/>
  <c r="BI141" i="31"/>
  <c r="BI142" i="31"/>
  <c r="AN35" i="31"/>
  <c r="AO81" i="31"/>
  <c r="AN86" i="31"/>
  <c r="AO96" i="31"/>
  <c r="AO118" i="31"/>
  <c r="AN128" i="31"/>
  <c r="AN131" i="31"/>
  <c r="AN138" i="31"/>
  <c r="AN139" i="31"/>
  <c r="AO139" i="31" s="1"/>
  <c r="DL147" i="31"/>
  <c r="DM147" i="31"/>
  <c r="CM147" i="31"/>
  <c r="DL146" i="31"/>
  <c r="DM146" i="31"/>
  <c r="CM146" i="31"/>
  <c r="CN146" i="31" s="1"/>
  <c r="H146" i="31"/>
  <c r="DL14" i="31"/>
  <c r="DM14" i="31"/>
  <c r="DL15" i="31"/>
  <c r="DM15" i="31"/>
  <c r="DL16" i="31"/>
  <c r="DM16" i="31"/>
  <c r="DL17" i="31"/>
  <c r="DM17" i="31"/>
  <c r="DL18" i="31"/>
  <c r="DM18" i="31"/>
  <c r="DL19" i="31"/>
  <c r="DM19" i="31"/>
  <c r="DL20" i="31"/>
  <c r="DM20" i="31"/>
  <c r="DL21" i="31"/>
  <c r="DM21" i="31"/>
  <c r="DL22" i="31"/>
  <c r="DM22" i="31"/>
  <c r="DL23" i="31"/>
  <c r="DM23" i="31"/>
  <c r="DL24" i="31"/>
  <c r="DM24" i="31"/>
  <c r="DL25" i="31"/>
  <c r="DM25" i="31"/>
  <c r="DL26" i="31"/>
  <c r="DM26" i="31"/>
  <c r="DL27" i="31"/>
  <c r="DM27" i="31"/>
  <c r="DL28" i="31"/>
  <c r="DM28" i="31"/>
  <c r="DL29" i="31"/>
  <c r="DM29" i="31"/>
  <c r="DL30" i="31"/>
  <c r="DM30" i="31"/>
  <c r="DL31" i="31"/>
  <c r="DM31" i="31"/>
  <c r="DL32" i="31"/>
  <c r="DM32" i="31"/>
  <c r="DL33" i="31"/>
  <c r="DM33" i="31"/>
  <c r="DL34" i="31"/>
  <c r="DM34" i="31"/>
  <c r="DL35" i="31"/>
  <c r="DM35" i="31"/>
  <c r="DL36" i="31"/>
  <c r="DM36" i="31"/>
  <c r="DL37" i="31"/>
  <c r="DM37" i="31"/>
  <c r="DL38" i="31"/>
  <c r="DM38" i="31"/>
  <c r="DL39" i="31"/>
  <c r="DM39" i="31"/>
  <c r="DL40" i="31"/>
  <c r="DM40" i="31"/>
  <c r="DL41" i="31"/>
  <c r="DM41" i="31"/>
  <c r="DL42" i="31"/>
  <c r="DM42" i="31"/>
  <c r="DL43" i="31"/>
  <c r="DM43" i="31"/>
  <c r="DL44" i="31"/>
  <c r="DM44" i="31"/>
  <c r="DL45" i="31"/>
  <c r="DM45" i="31"/>
  <c r="DL46" i="31"/>
  <c r="DM46" i="31"/>
  <c r="DL47" i="31"/>
  <c r="DM47" i="31"/>
  <c r="DL48" i="31"/>
  <c r="DM48" i="31"/>
  <c r="DL49" i="31"/>
  <c r="DM49" i="31"/>
  <c r="DL51" i="31"/>
  <c r="DM51" i="31"/>
  <c r="DL52" i="31"/>
  <c r="DM52" i="31"/>
  <c r="DL53" i="31"/>
  <c r="DM53" i="31"/>
  <c r="DL54" i="31"/>
  <c r="DM54" i="31"/>
  <c r="DL55" i="31"/>
  <c r="DM55" i="31"/>
  <c r="DL56" i="31"/>
  <c r="DM56" i="31"/>
  <c r="DL57" i="31"/>
  <c r="DM57" i="31"/>
  <c r="DL58" i="31"/>
  <c r="DM58" i="31"/>
  <c r="DL60" i="31"/>
  <c r="DM60" i="31"/>
  <c r="DL61" i="31"/>
  <c r="DM61" i="31"/>
  <c r="DL62" i="31"/>
  <c r="DM62" i="31"/>
  <c r="DL63" i="31"/>
  <c r="DM63" i="31"/>
  <c r="DL64" i="31"/>
  <c r="DM64" i="31"/>
  <c r="DL65" i="31"/>
  <c r="DM65" i="31"/>
  <c r="DL66" i="31"/>
  <c r="DM66" i="31"/>
  <c r="DL67" i="31"/>
  <c r="DM67" i="31"/>
  <c r="DL68" i="31"/>
  <c r="DM68" i="31"/>
  <c r="DL69" i="31"/>
  <c r="DM69" i="31"/>
  <c r="DL70" i="31"/>
  <c r="DM70" i="31"/>
  <c r="DL71" i="31"/>
  <c r="DM71" i="31"/>
  <c r="DL72" i="31"/>
  <c r="DM72" i="31"/>
  <c r="DL73" i="31"/>
  <c r="DM73" i="31"/>
  <c r="DL74" i="31"/>
  <c r="DM74" i="31"/>
  <c r="DL75" i="31"/>
  <c r="DM75" i="31"/>
  <c r="DL76" i="31"/>
  <c r="DM76" i="31"/>
  <c r="DL77" i="31"/>
  <c r="DM77" i="31"/>
  <c r="DL78" i="31"/>
  <c r="DM78" i="31"/>
  <c r="DL79" i="31"/>
  <c r="DM79" i="31"/>
  <c r="DL80" i="31"/>
  <c r="DM80" i="31"/>
  <c r="DL81" i="31"/>
  <c r="DM81" i="31"/>
  <c r="DL82" i="31"/>
  <c r="DM82" i="31"/>
  <c r="DL83" i="31"/>
  <c r="DM83" i="31"/>
  <c r="DL84" i="31"/>
  <c r="DM84" i="31"/>
  <c r="DL85" i="31"/>
  <c r="DM85" i="31"/>
  <c r="DL86" i="31"/>
  <c r="DM86" i="31"/>
  <c r="DL87" i="31"/>
  <c r="DM87" i="31"/>
  <c r="DL88" i="31"/>
  <c r="DM88" i="31"/>
  <c r="DL89" i="31"/>
  <c r="DM89" i="31"/>
  <c r="DL90" i="31"/>
  <c r="DM90" i="31"/>
  <c r="DL91" i="31"/>
  <c r="DM91" i="31"/>
  <c r="DL92" i="31"/>
  <c r="DM92" i="31"/>
  <c r="DL93" i="31"/>
  <c r="DM93" i="31"/>
  <c r="DL94" i="31"/>
  <c r="DM94" i="31"/>
  <c r="DL95" i="31"/>
  <c r="DM95" i="31"/>
  <c r="DL96" i="31"/>
  <c r="DM96" i="31"/>
  <c r="DL97" i="31"/>
  <c r="DM97" i="31"/>
  <c r="DL98" i="31"/>
  <c r="DM98" i="31"/>
  <c r="DL101" i="31"/>
  <c r="DM101" i="31"/>
  <c r="DL102" i="31"/>
  <c r="DM102" i="31"/>
  <c r="DL103" i="31"/>
  <c r="DM103" i="31"/>
  <c r="DL104" i="31"/>
  <c r="DM104" i="31"/>
  <c r="DL105" i="31"/>
  <c r="DM105" i="31"/>
  <c r="DL106" i="31"/>
  <c r="DM106" i="31"/>
  <c r="DL107" i="31"/>
  <c r="DM107" i="31"/>
  <c r="DL108" i="31"/>
  <c r="DM108" i="31"/>
  <c r="DL109" i="31"/>
  <c r="DM109" i="31"/>
  <c r="DL110" i="31"/>
  <c r="DM110" i="31"/>
  <c r="DL111" i="31"/>
  <c r="DM111" i="31"/>
  <c r="DL112" i="31"/>
  <c r="DM112" i="31"/>
  <c r="DL113" i="31"/>
  <c r="DM113" i="31"/>
  <c r="DL114" i="31"/>
  <c r="DM114" i="31"/>
  <c r="DL115" i="31"/>
  <c r="DM115" i="31"/>
  <c r="DL116" i="31"/>
  <c r="DM116" i="31"/>
  <c r="DL117" i="31"/>
  <c r="DM117" i="31"/>
  <c r="DL118" i="31"/>
  <c r="DM118" i="31"/>
  <c r="DL119" i="31"/>
  <c r="DM119" i="31"/>
  <c r="DL120" i="31"/>
  <c r="DM120" i="31"/>
  <c r="DL121" i="31"/>
  <c r="DM121" i="31"/>
  <c r="DL122" i="31"/>
  <c r="DM122" i="31"/>
  <c r="DL123" i="31"/>
  <c r="DM123" i="31"/>
  <c r="DL124" i="31"/>
  <c r="DM124" i="31"/>
  <c r="DL125" i="31"/>
  <c r="DM125" i="31"/>
  <c r="DL126" i="31"/>
  <c r="DM126" i="31"/>
  <c r="DL127" i="31"/>
  <c r="DM127" i="31"/>
  <c r="DL128" i="31"/>
  <c r="DM128" i="31"/>
  <c r="DL129" i="31"/>
  <c r="DL130" i="31"/>
  <c r="DM130" i="31"/>
  <c r="DL131" i="31"/>
  <c r="DM131" i="31"/>
  <c r="DL132" i="31"/>
  <c r="DM132" i="31"/>
  <c r="DL133" i="31"/>
  <c r="DM133" i="31"/>
  <c r="DL134" i="31"/>
  <c r="DM134" i="31"/>
  <c r="DL135" i="31"/>
  <c r="DM135" i="31"/>
  <c r="DL136" i="31"/>
  <c r="DM136" i="31"/>
  <c r="DL137" i="31"/>
  <c r="DL138" i="31"/>
  <c r="DM138" i="31"/>
  <c r="DL140" i="31"/>
  <c r="DM140" i="31"/>
  <c r="DL141" i="31"/>
  <c r="DM141" i="31"/>
  <c r="DL142" i="31"/>
  <c r="DL143" i="31"/>
  <c r="DM143" i="31"/>
  <c r="DK145" i="31"/>
  <c r="DJ145" i="31"/>
  <c r="DG145" i="31"/>
  <c r="DF145" i="31"/>
  <c r="DE145" i="31"/>
  <c r="DC145" i="31"/>
  <c r="CI145" i="31"/>
  <c r="BK145" i="31"/>
  <c r="BJ142" i="31"/>
  <c r="BJ145" i="31" s="1"/>
  <c r="X144" i="31"/>
  <c r="DL144" i="31" s="1"/>
  <c r="DM144" i="31"/>
  <c r="DJ144" i="31"/>
  <c r="DJ143" i="31"/>
  <c r="DD143" i="31"/>
  <c r="A15" i="31"/>
  <c r="A16" i="31" s="1"/>
  <c r="A17" i="31" s="1"/>
  <c r="A18" i="31" s="1"/>
  <c r="A19" i="31" s="1"/>
  <c r="A20" i="31" s="1"/>
  <c r="A21" i="31" s="1"/>
  <c r="A22" i="31" s="1"/>
  <c r="A23" i="31" s="1"/>
  <c r="A24" i="31" s="1"/>
  <c r="A25" i="31" s="1"/>
  <c r="A26" i="31" s="1"/>
  <c r="A27" i="31" s="1"/>
  <c r="A28" i="31" s="1"/>
  <c r="A29" i="31" s="1"/>
  <c r="A30" i="31" s="1"/>
  <c r="A31" i="31" s="1"/>
  <c r="A32" i="31" s="1"/>
  <c r="A33" i="31" s="1"/>
  <c r="A34" i="31" s="1"/>
  <c r="A35" i="31" s="1"/>
  <c r="A36" i="31" s="1"/>
  <c r="A37" i="31" s="1"/>
  <c r="A38" i="31" s="1"/>
  <c r="A39" i="31" s="1"/>
  <c r="A40" i="31" s="1"/>
  <c r="A41" i="31" s="1"/>
  <c r="A42" i="31" s="1"/>
  <c r="A43" i="31" s="1"/>
  <c r="A44" i="31" s="1"/>
  <c r="A45" i="31" s="1"/>
  <c r="A46" i="31" s="1"/>
  <c r="A47" i="31" s="1"/>
  <c r="A48" i="31" s="1"/>
  <c r="A49" i="31" s="1"/>
  <c r="A50" i="31" s="1"/>
  <c r="A51" i="31" s="1"/>
  <c r="A52" i="31" s="1"/>
  <c r="A53" i="31" s="1"/>
  <c r="A54" i="31" s="1"/>
  <c r="A55" i="31" s="1"/>
  <c r="A56" i="31" s="1"/>
  <c r="A57" i="31" s="1"/>
  <c r="A58" i="31" s="1"/>
  <c r="A59" i="31" s="1"/>
  <c r="A60" i="31" s="1"/>
  <c r="A61" i="31" s="1"/>
  <c r="A62" i="31" s="1"/>
  <c r="A63" i="31" s="1"/>
  <c r="A64" i="31" s="1"/>
  <c r="A65" i="31" s="1"/>
  <c r="A66" i="31" s="1"/>
  <c r="A67" i="31" s="1"/>
  <c r="A68" i="31" s="1"/>
  <c r="A69" i="31" s="1"/>
  <c r="A70" i="31" s="1"/>
  <c r="A71" i="31" s="1"/>
  <c r="A72" i="31" s="1"/>
  <c r="A73" i="31" s="1"/>
  <c r="A74" i="31" s="1"/>
  <c r="A75" i="31" s="1"/>
  <c r="A76" i="31" s="1"/>
  <c r="A77" i="31" s="1"/>
  <c r="A78" i="31" s="1"/>
  <c r="A79" i="31" s="1"/>
  <c r="A80" i="31" s="1"/>
  <c r="A81" i="31" s="1"/>
  <c r="A82" i="31" s="1"/>
  <c r="A83" i="31" s="1"/>
  <c r="A84" i="31" s="1"/>
  <c r="A85" i="31" s="1"/>
  <c r="A86" i="31" s="1"/>
  <c r="A87" i="31" s="1"/>
  <c r="A88" i="31" s="1"/>
  <c r="A89" i="31" s="1"/>
  <c r="A90" i="31" s="1"/>
  <c r="A91" i="31" s="1"/>
  <c r="A92" i="31" s="1"/>
  <c r="A93" i="31" s="1"/>
  <c r="A94" i="31" s="1"/>
  <c r="A95" i="31" s="1"/>
  <c r="A96" i="31" s="1"/>
  <c r="A97" i="31" s="1"/>
  <c r="A98" i="31" s="1"/>
  <c r="A99" i="31" s="1"/>
  <c r="A100" i="31" s="1"/>
  <c r="A101" i="31" s="1"/>
  <c r="A102" i="31" s="1"/>
  <c r="A103" i="31" s="1"/>
  <c r="A104" i="31" s="1"/>
  <c r="A105" i="31" s="1"/>
  <c r="A106" i="31" s="1"/>
  <c r="A107" i="31" s="1"/>
  <c r="A108" i="31" s="1"/>
  <c r="A109" i="31" s="1"/>
  <c r="A110" i="31" s="1"/>
  <c r="A111" i="31" s="1"/>
  <c r="A112" i="31" s="1"/>
  <c r="A113" i="31" s="1"/>
  <c r="A114" i="31" s="1"/>
  <c r="A115" i="31" s="1"/>
  <c r="A116" i="31" s="1"/>
  <c r="A117" i="31" s="1"/>
  <c r="A118" i="31" s="1"/>
  <c r="A119" i="31" s="1"/>
  <c r="A120" i="31" s="1"/>
  <c r="A121" i="31" s="1"/>
  <c r="A122" i="31" s="1"/>
  <c r="A123" i="31" s="1"/>
  <c r="A124" i="31" s="1"/>
  <c r="A125" i="31" s="1"/>
  <c r="A126" i="31" s="1"/>
  <c r="A127" i="31" s="1"/>
  <c r="A128" i="31" s="1"/>
  <c r="A129" i="31" s="1"/>
  <c r="A130" i="31" s="1"/>
  <c r="A131" i="31" s="1"/>
  <c r="A132" i="31" s="1"/>
  <c r="A133" i="31" s="1"/>
  <c r="A134" i="31" s="1"/>
  <c r="A135" i="31" s="1"/>
  <c r="A136" i="31" s="1"/>
  <c r="A137" i="31" s="1"/>
  <c r="A138" i="31" s="1"/>
  <c r="A139" i="31" s="1"/>
  <c r="A140" i="31" s="1"/>
  <c r="A141" i="31" s="1"/>
  <c r="A142" i="31" s="1"/>
  <c r="A143" i="31" s="1"/>
  <c r="DJ142" i="31"/>
  <c r="DD141" i="31"/>
  <c r="DJ140" i="31"/>
  <c r="DD140" i="31"/>
  <c r="DD139" i="31"/>
  <c r="CC139" i="31"/>
  <c r="DJ138" i="31"/>
  <c r="DD138" i="31"/>
  <c r="DD137" i="31"/>
  <c r="DD136" i="31"/>
  <c r="DJ135" i="31"/>
  <c r="DD135" i="31"/>
  <c r="DJ134" i="31"/>
  <c r="DD134" i="31"/>
  <c r="DJ133" i="31"/>
  <c r="DD133" i="31"/>
  <c r="DJ132" i="31"/>
  <c r="DJ131" i="31"/>
  <c r="DD131" i="31"/>
  <c r="CH131" i="31"/>
  <c r="DJ130" i="31"/>
  <c r="DD130" i="31"/>
  <c r="DJ128" i="31"/>
  <c r="DD128" i="31"/>
  <c r="DJ127" i="31"/>
  <c r="DD127" i="31"/>
  <c r="DJ126" i="31"/>
  <c r="DD126" i="31"/>
  <c r="DJ125" i="31"/>
  <c r="DD125" i="31"/>
  <c r="DJ124" i="31"/>
  <c r="DD124" i="31"/>
  <c r="CM124" i="31"/>
  <c r="DJ123" i="31"/>
  <c r="DJ122" i="31"/>
  <c r="DD122" i="31"/>
  <c r="DJ121" i="31"/>
  <c r="DD121" i="31"/>
  <c r="DJ120" i="31"/>
  <c r="CM120" i="31"/>
  <c r="CF120" i="31"/>
  <c r="CE120" i="31"/>
  <c r="CD120" i="31"/>
  <c r="DD119" i="31"/>
  <c r="DD117" i="31"/>
  <c r="DD116" i="31"/>
  <c r="DD115" i="31"/>
  <c r="CC114" i="31"/>
  <c r="DD113" i="31"/>
  <c r="DD112" i="31"/>
  <c r="DD110" i="31"/>
  <c r="CC110" i="31"/>
  <c r="DD108" i="31"/>
  <c r="DD107" i="31"/>
  <c r="DJ106" i="31"/>
  <c r="DD106" i="31"/>
  <c r="CH106" i="31"/>
  <c r="DJ105" i="31"/>
  <c r="DD105" i="31"/>
  <c r="CM105" i="31"/>
  <c r="DJ104" i="31"/>
  <c r="DD104" i="31"/>
  <c r="DJ103" i="31"/>
  <c r="DD103" i="31"/>
  <c r="CM103" i="31"/>
  <c r="CC102" i="31"/>
  <c r="DD101" i="31"/>
  <c r="DJ100" i="31"/>
  <c r="DJ99" i="31"/>
  <c r="DJ98" i="31"/>
  <c r="DD98" i="31"/>
  <c r="DJ97" i="31"/>
  <c r="DD97" i="31"/>
  <c r="DD96" i="31"/>
  <c r="DD95" i="31"/>
  <c r="DD92" i="31"/>
  <c r="DD91" i="31"/>
  <c r="DJ89" i="31"/>
  <c r="DD89" i="31"/>
  <c r="DJ88" i="31"/>
  <c r="DJ85" i="31"/>
  <c r="DD85" i="31"/>
  <c r="CH85" i="31"/>
  <c r="DD83" i="31"/>
  <c r="DJ82" i="31"/>
  <c r="DD82" i="31"/>
  <c r="DD80" i="31"/>
  <c r="DJ79" i="31"/>
  <c r="DD79" i="31"/>
  <c r="DJ78" i="31"/>
  <c r="DD78" i="31"/>
  <c r="DJ77" i="31"/>
  <c r="DD77" i="31"/>
  <c r="CH77" i="31"/>
  <c r="DJ76" i="31"/>
  <c r="DD76" i="31"/>
  <c r="DJ75" i="31"/>
  <c r="DD75" i="31"/>
  <c r="DJ74" i="31"/>
  <c r="DD74" i="31"/>
  <c r="DJ73" i="31"/>
  <c r="DD73" i="31"/>
  <c r="DJ72" i="31"/>
  <c r="DD72" i="31"/>
  <c r="DD71" i="31"/>
  <c r="DJ70" i="31"/>
  <c r="DD70" i="31"/>
  <c r="DD68" i="31"/>
  <c r="DJ67" i="31"/>
  <c r="DD67" i="31"/>
  <c r="DD66" i="31"/>
  <c r="DD65" i="31"/>
  <c r="DD64" i="31"/>
  <c r="DD63" i="31"/>
  <c r="DD61" i="31"/>
  <c r="DD60" i="31"/>
  <c r="DD58" i="31"/>
  <c r="DD57" i="31"/>
  <c r="CH57" i="31"/>
  <c r="DD55" i="31"/>
  <c r="DJ54" i="31"/>
  <c r="DD54" i="31"/>
  <c r="DJ53" i="31"/>
  <c r="DD53" i="31"/>
  <c r="DD52" i="31"/>
  <c r="DD51" i="31"/>
  <c r="DJ49" i="31"/>
  <c r="DJ48" i="31"/>
  <c r="DI47" i="31"/>
  <c r="DD47" i="31"/>
  <c r="DI46" i="31"/>
  <c r="DD46" i="31"/>
  <c r="DJ45" i="31"/>
  <c r="DD45" i="31"/>
  <c r="CM45" i="31"/>
  <c r="DD44" i="31"/>
  <c r="DJ43" i="31"/>
  <c r="DD43" i="31"/>
  <c r="DD42" i="31"/>
  <c r="DD41" i="31"/>
  <c r="DD38" i="31"/>
  <c r="DD37" i="31"/>
  <c r="DJ36" i="31"/>
  <c r="DD36" i="31"/>
  <c r="CM36" i="31"/>
  <c r="DJ35" i="31"/>
  <c r="DD35" i="31"/>
  <c r="DD34" i="31"/>
  <c r="DJ32" i="31"/>
  <c r="DD32" i="31"/>
  <c r="CM32" i="31"/>
  <c r="DJ31" i="31"/>
  <c r="DD31" i="31"/>
  <c r="DJ30" i="31"/>
  <c r="DD30" i="31"/>
  <c r="DJ29" i="31"/>
  <c r="DD29" i="31"/>
  <c r="DD27" i="31"/>
  <c r="DD26" i="31"/>
  <c r="DD25" i="31"/>
  <c r="CC25" i="31"/>
  <c r="DD23" i="31"/>
  <c r="DD22" i="31"/>
  <c r="DJ19" i="31"/>
  <c r="DD19" i="31"/>
  <c r="CM19" i="31"/>
  <c r="DJ18" i="31"/>
  <c r="DD18" i="31"/>
  <c r="DD17" i="31"/>
  <c r="DD16" i="31"/>
  <c r="DD15" i="31"/>
  <c r="BI13" i="31"/>
  <c r="BI12" i="31"/>
  <c r="D9" i="31"/>
  <c r="E9" i="31" s="1"/>
  <c r="F9" i="31" s="1"/>
  <c r="G9" i="31" s="1"/>
  <c r="H9" i="31" s="1"/>
  <c r="I9" i="31" s="1"/>
  <c r="J9" i="31" s="1"/>
  <c r="K9" i="31" s="1"/>
  <c r="L9" i="31" s="1"/>
  <c r="M9" i="31" s="1"/>
  <c r="N9" i="31" s="1"/>
  <c r="O9" i="31" s="1"/>
  <c r="P9" i="31" s="1"/>
  <c r="Q9" i="31" s="1"/>
  <c r="R9" i="31" s="1"/>
  <c r="S9" i="31" s="1"/>
  <c r="T9" i="31" s="1"/>
  <c r="U9" i="31" s="1"/>
  <c r="V9" i="31" s="1"/>
  <c r="W9" i="31" s="1"/>
  <c r="X9" i="31" s="1"/>
  <c r="Y9" i="31" s="1"/>
  <c r="Z9" i="31" s="1"/>
  <c r="AA9" i="31" s="1"/>
  <c r="AB9" i="31" s="1"/>
  <c r="AC9" i="31" s="1"/>
  <c r="AD9" i="31" s="1"/>
  <c r="AE9" i="31" s="1"/>
  <c r="AF9" i="31" s="1"/>
  <c r="AG9" i="31" s="1"/>
  <c r="AH9" i="31" s="1"/>
  <c r="AI9" i="31" s="1"/>
  <c r="AJ9" i="31" s="1"/>
  <c r="AK9" i="31" s="1"/>
  <c r="AL9" i="31" s="1"/>
  <c r="AM9" i="31" s="1"/>
  <c r="AN9" i="31" s="1"/>
  <c r="AO9" i="31" s="1"/>
  <c r="AP9" i="31" s="1"/>
  <c r="AQ9" i="31" s="1"/>
  <c r="AR9" i="31" s="1"/>
  <c r="AS9" i="31" s="1"/>
  <c r="AT9" i="31" s="1"/>
  <c r="AU9" i="31" s="1"/>
  <c r="AV9" i="31" s="1"/>
  <c r="AW9" i="31" s="1"/>
  <c r="AX9" i="31" s="1"/>
  <c r="AY9" i="31" s="1"/>
  <c r="AZ9" i="31" s="1"/>
  <c r="BA9" i="31" s="1"/>
  <c r="BB9" i="31" s="1"/>
  <c r="BC9" i="31" s="1"/>
  <c r="BD9" i="31" s="1"/>
  <c r="BE9" i="31" s="1"/>
  <c r="BF9" i="31" s="1"/>
  <c r="BG9" i="31" s="1"/>
  <c r="BH9" i="31" s="1"/>
  <c r="BI9" i="31" s="1"/>
  <c r="BL9" i="31" s="1"/>
  <c r="BM9" i="31" s="1"/>
  <c r="BN9" i="31" s="1"/>
  <c r="BO9" i="31" s="1"/>
  <c r="BP9" i="31" s="1"/>
  <c r="BQ9" i="31" s="1"/>
  <c r="BR9" i="31" s="1"/>
  <c r="BS9" i="31" s="1"/>
  <c r="BT9" i="31" s="1"/>
  <c r="BU9" i="31" s="1"/>
  <c r="BV9" i="31" s="1"/>
  <c r="BW9" i="31" s="1"/>
  <c r="BX9" i="31" s="1"/>
  <c r="BY9" i="31" s="1"/>
  <c r="BZ9" i="31" s="1"/>
  <c r="CA9" i="31" s="1"/>
  <c r="CB9" i="31" s="1"/>
  <c r="CC9" i="31" s="1"/>
  <c r="CD9" i="31" s="1"/>
  <c r="CE9" i="31" s="1"/>
  <c r="CF9" i="31" s="1"/>
  <c r="CG9" i="31" s="1"/>
  <c r="CH9" i="31" s="1"/>
  <c r="CI9" i="31" s="1"/>
  <c r="CJ9" i="31" s="1"/>
  <c r="CK9" i="31" s="1"/>
  <c r="CL9" i="31" s="1"/>
  <c r="CO9" i="31" s="1"/>
  <c r="CP9" i="31" s="1"/>
  <c r="CQ9" i="31" s="1"/>
  <c r="CR9" i="31" s="1"/>
  <c r="CS9" i="31" s="1"/>
  <c r="CT9" i="31" s="1"/>
  <c r="CU9" i="31" s="1"/>
  <c r="CV9" i="31" s="1"/>
  <c r="CW9" i="31" s="1"/>
  <c r="CX9" i="31" s="1"/>
  <c r="CY9" i="31" s="1"/>
  <c r="CZ9" i="31" s="1"/>
  <c r="DA9" i="31" s="1"/>
  <c r="DB9" i="31" s="1"/>
  <c r="CQ8" i="31"/>
  <c r="CI8" i="31"/>
  <c r="AN8" i="31"/>
  <c r="AC8" i="31"/>
  <c r="AB8" i="31"/>
  <c r="AA8" i="31"/>
  <c r="Y8" i="31"/>
  <c r="X8" i="31"/>
  <c r="V8" i="31"/>
  <c r="U8" i="31"/>
  <c r="T8" i="31"/>
  <c r="CL7" i="31"/>
  <c r="BG7" i="31"/>
  <c r="O7" i="31"/>
  <c r="BH7" i="31" s="1"/>
  <c r="BE7" i="31"/>
  <c r="R7" i="31"/>
  <c r="N7" i="31"/>
  <c r="M7" i="31"/>
  <c r="H7" i="31"/>
  <c r="CK5" i="31"/>
  <c r="CJ5" i="31"/>
  <c r="D1" i="31"/>
  <c r="E1" i="31" s="1"/>
  <c r="F1" i="31" s="1"/>
  <c r="G1" i="31" s="1"/>
  <c r="H1" i="31" s="1"/>
  <c r="I1" i="31" s="1"/>
  <c r="J1" i="31" s="1"/>
  <c r="K1" i="31" s="1"/>
  <c r="L1" i="31" s="1"/>
  <c r="M1" i="31" s="1"/>
  <c r="N1" i="31" s="1"/>
  <c r="O1" i="31" s="1"/>
  <c r="P1" i="31" s="1"/>
  <c r="Q1" i="31" s="1"/>
  <c r="R1" i="31" s="1"/>
  <c r="S1" i="31" s="1"/>
  <c r="T1" i="31" s="1"/>
  <c r="U1" i="31" s="1"/>
  <c r="V1" i="31" s="1"/>
  <c r="W1" i="31" s="1"/>
  <c r="X1" i="31" s="1"/>
  <c r="Y1" i="31" s="1"/>
  <c r="Z1" i="31" s="1"/>
  <c r="AA1" i="31" s="1"/>
  <c r="AB1" i="31" s="1"/>
  <c r="AC1" i="31" s="1"/>
  <c r="AD1" i="31" s="1"/>
  <c r="AE1" i="31" s="1"/>
  <c r="AF1" i="31" s="1"/>
  <c r="AG1" i="31" s="1"/>
  <c r="AH1" i="31" s="1"/>
  <c r="AI1" i="31" s="1"/>
  <c r="AJ1" i="31" s="1"/>
  <c r="AK1" i="31" s="1"/>
  <c r="AL1" i="31" s="1"/>
  <c r="AM1" i="31" s="1"/>
  <c r="AN1" i="31" s="1"/>
  <c r="AO1" i="31" s="1"/>
  <c r="AP1" i="31" s="1"/>
  <c r="AQ1" i="31" s="1"/>
  <c r="AR1" i="31" s="1"/>
  <c r="AS1" i="31" s="1"/>
  <c r="AT1" i="31" s="1"/>
  <c r="AU1" i="31" s="1"/>
  <c r="AV1" i="31" s="1"/>
  <c r="AW1" i="31" s="1"/>
  <c r="AX1" i="31" s="1"/>
  <c r="AY1" i="31" s="1"/>
  <c r="AZ1" i="31" s="1"/>
  <c r="BA1" i="31" s="1"/>
  <c r="BB1" i="31" s="1"/>
  <c r="BC1" i="31" s="1"/>
  <c r="BD1" i="31" s="1"/>
  <c r="BE1" i="31" s="1"/>
  <c r="BF1" i="31" s="1"/>
  <c r="BG1" i="31" s="1"/>
  <c r="BH1" i="31" s="1"/>
  <c r="BI1" i="31" s="1"/>
  <c r="BL1" i="31" s="1"/>
  <c r="BM1" i="31" s="1"/>
  <c r="BN1" i="31" s="1"/>
  <c r="BO1" i="31" s="1"/>
  <c r="BP1" i="31" s="1"/>
  <c r="BQ1" i="31" s="1"/>
  <c r="BR1" i="31" s="1"/>
  <c r="BS1" i="31" s="1"/>
  <c r="BT1" i="31" s="1"/>
  <c r="BU1" i="31" s="1"/>
  <c r="BV1" i="31" s="1"/>
  <c r="BW1" i="31" s="1"/>
  <c r="BX1" i="31" s="1"/>
  <c r="BY1" i="31" s="1"/>
  <c r="BZ1" i="31" s="1"/>
  <c r="CA1" i="31" s="1"/>
  <c r="CB1" i="31" s="1"/>
  <c r="CC1" i="31" s="1"/>
  <c r="CD1" i="31" s="1"/>
  <c r="CE1" i="31" s="1"/>
  <c r="CF1" i="31" s="1"/>
  <c r="CG1" i="31" s="1"/>
  <c r="CH1" i="31" s="1"/>
  <c r="CI1" i="31" s="1"/>
  <c r="CJ1" i="31" s="1"/>
  <c r="CK1" i="31" s="1"/>
  <c r="CL1" i="31" s="1"/>
  <c r="CO1" i="31" s="1"/>
  <c r="CP1" i="31" s="1"/>
  <c r="CQ1" i="31" s="1"/>
  <c r="CR1" i="31" s="1"/>
  <c r="CS1" i="31" s="1"/>
  <c r="CT1" i="31" s="1"/>
  <c r="CU1" i="31" s="1"/>
  <c r="CV1" i="31" s="1"/>
  <c r="CW1" i="31" s="1"/>
  <c r="CX1" i="31" s="1"/>
  <c r="CY1" i="31" s="1"/>
  <c r="CZ1" i="31" s="1"/>
  <c r="DA1" i="31" s="1"/>
  <c r="DB1" i="31" s="1"/>
  <c r="AA143" i="13"/>
  <c r="MB53" i="26"/>
  <c r="MA53" i="26"/>
  <c r="LZ53" i="26"/>
  <c r="LY53" i="26"/>
  <c r="LX53" i="26"/>
  <c r="LV53" i="26"/>
  <c r="LU53" i="26"/>
  <c r="JT53" i="26"/>
  <c r="V53" i="26"/>
  <c r="S53" i="26"/>
  <c r="R53" i="26"/>
  <c r="L53" i="26"/>
  <c r="MB52" i="26"/>
  <c r="MA52" i="26"/>
  <c r="LZ52" i="26"/>
  <c r="LY52" i="26"/>
  <c r="LX52" i="26"/>
  <c r="LV52" i="26"/>
  <c r="LU52" i="26"/>
  <c r="JT52" i="26"/>
  <c r="V52" i="26"/>
  <c r="S52" i="26"/>
  <c r="R52" i="26"/>
  <c r="L52" i="26"/>
  <c r="MB51" i="26"/>
  <c r="MA51" i="26"/>
  <c r="LZ51" i="26"/>
  <c r="LY51" i="26"/>
  <c r="LX51" i="26"/>
  <c r="LV51" i="26"/>
  <c r="LU51" i="26"/>
  <c r="JT51" i="26"/>
  <c r="V51" i="26"/>
  <c r="S51" i="26"/>
  <c r="R51" i="26"/>
  <c r="L51" i="26"/>
  <c r="MB50" i="26"/>
  <c r="MA50" i="26"/>
  <c r="LZ50" i="26"/>
  <c r="LY50" i="26"/>
  <c r="LX50" i="26"/>
  <c r="LV50" i="26"/>
  <c r="LU50" i="26"/>
  <c r="JT50" i="26"/>
  <c r="V50" i="26"/>
  <c r="S50" i="26"/>
  <c r="R50" i="26"/>
  <c r="L50" i="26"/>
  <c r="MB49" i="26"/>
  <c r="MA49" i="26"/>
  <c r="LZ49" i="26"/>
  <c r="LY49" i="26"/>
  <c r="LX49" i="26"/>
  <c r="LV49" i="26"/>
  <c r="LU49" i="26"/>
  <c r="JT49" i="26"/>
  <c r="V49" i="26"/>
  <c r="S49" i="26"/>
  <c r="R49" i="26"/>
  <c r="L49" i="26"/>
  <c r="MB48" i="26"/>
  <c r="MA48" i="26"/>
  <c r="LZ48" i="26"/>
  <c r="LY48" i="26"/>
  <c r="LX48" i="26"/>
  <c r="LV48" i="26"/>
  <c r="LU48" i="26"/>
  <c r="JT48" i="26"/>
  <c r="V48" i="26"/>
  <c r="S48" i="26"/>
  <c r="R48" i="26"/>
  <c r="L48" i="26"/>
  <c r="MB47" i="26"/>
  <c r="MA47" i="26"/>
  <c r="LZ47" i="26"/>
  <c r="LY47" i="26"/>
  <c r="LX47" i="26"/>
  <c r="LV47" i="26"/>
  <c r="LU47" i="26"/>
  <c r="JT47" i="26"/>
  <c r="V47" i="26"/>
  <c r="S47" i="26"/>
  <c r="R47" i="26"/>
  <c r="L47" i="26"/>
  <c r="MB46" i="26"/>
  <c r="MA46" i="26"/>
  <c r="LZ46" i="26"/>
  <c r="LY46" i="26"/>
  <c r="LX46" i="26"/>
  <c r="LV46" i="26"/>
  <c r="LU46" i="26"/>
  <c r="JT46" i="26"/>
  <c r="V46" i="26"/>
  <c r="S46" i="26"/>
  <c r="R46" i="26"/>
  <c r="L46" i="26"/>
  <c r="MB45" i="26"/>
  <c r="MA45" i="26"/>
  <c r="LZ45" i="26"/>
  <c r="LY45" i="26"/>
  <c r="LX45" i="26"/>
  <c r="LV45" i="26"/>
  <c r="LU45" i="26"/>
  <c r="JT45" i="26"/>
  <c r="V45" i="26"/>
  <c r="S45" i="26"/>
  <c r="R45" i="26"/>
  <c r="L45" i="26"/>
  <c r="MB44" i="26"/>
  <c r="MA44" i="26"/>
  <c r="LZ44" i="26"/>
  <c r="LY44" i="26"/>
  <c r="LX44" i="26"/>
  <c r="LV44" i="26"/>
  <c r="LU44" i="26"/>
  <c r="JT44" i="26"/>
  <c r="V44" i="26"/>
  <c r="S44" i="26"/>
  <c r="R44" i="26"/>
  <c r="L44" i="26"/>
  <c r="MB43" i="26"/>
  <c r="MA43" i="26"/>
  <c r="LZ43" i="26"/>
  <c r="LY43" i="26"/>
  <c r="LX43" i="26"/>
  <c r="LV43" i="26"/>
  <c r="LU43" i="26"/>
  <c r="JT43" i="26"/>
  <c r="V43" i="26"/>
  <c r="S43" i="26"/>
  <c r="R43" i="26"/>
  <c r="L43" i="26"/>
  <c r="MB42" i="26"/>
  <c r="MA42" i="26"/>
  <c r="LZ42" i="26"/>
  <c r="LY42" i="26"/>
  <c r="LX42" i="26"/>
  <c r="LV42" i="26"/>
  <c r="LU42" i="26"/>
  <c r="JT42" i="26"/>
  <c r="V42" i="26"/>
  <c r="S42" i="26"/>
  <c r="R42" i="26"/>
  <c r="L42" i="26"/>
  <c r="MB41" i="26"/>
  <c r="MA41" i="26"/>
  <c r="LZ41" i="26"/>
  <c r="LY41" i="26"/>
  <c r="LX41" i="26"/>
  <c r="LV41" i="26"/>
  <c r="LU41" i="26"/>
  <c r="JT41" i="26"/>
  <c r="V41" i="26"/>
  <c r="S41" i="26"/>
  <c r="R41" i="26"/>
  <c r="L41" i="26"/>
  <c r="MB40" i="26"/>
  <c r="MA40" i="26"/>
  <c r="LZ40" i="26"/>
  <c r="LY40" i="26"/>
  <c r="LX40" i="26"/>
  <c r="LV40" i="26"/>
  <c r="LU40" i="26"/>
  <c r="JT40" i="26"/>
  <c r="V40" i="26"/>
  <c r="S40" i="26"/>
  <c r="R40" i="26"/>
  <c r="L40" i="26"/>
  <c r="MB39" i="26"/>
  <c r="MA39" i="26"/>
  <c r="LZ39" i="26"/>
  <c r="LY39" i="26"/>
  <c r="LX39" i="26"/>
  <c r="LV39" i="26"/>
  <c r="LU39" i="26"/>
  <c r="JT39" i="26"/>
  <c r="V39" i="26"/>
  <c r="S39" i="26"/>
  <c r="L39" i="26"/>
  <c r="R39" i="26"/>
  <c r="MB38" i="26"/>
  <c r="MA38" i="26"/>
  <c r="LZ38" i="26"/>
  <c r="LY38" i="26"/>
  <c r="LX38" i="26"/>
  <c r="LV38" i="26"/>
  <c r="LU38" i="26"/>
  <c r="JT38" i="26"/>
  <c r="V38" i="26"/>
  <c r="S38" i="26"/>
  <c r="R38" i="26"/>
  <c r="L38" i="26"/>
  <c r="MB37" i="26"/>
  <c r="MA37" i="26"/>
  <c r="LZ37" i="26"/>
  <c r="LY37" i="26"/>
  <c r="LX37" i="26"/>
  <c r="LV37" i="26"/>
  <c r="LU37" i="26"/>
  <c r="JT37" i="26"/>
  <c r="V37" i="26"/>
  <c r="S37" i="26"/>
  <c r="R37" i="26"/>
  <c r="L37" i="26"/>
  <c r="MB36" i="26"/>
  <c r="MA36" i="26"/>
  <c r="LZ36" i="26"/>
  <c r="LY36" i="26"/>
  <c r="LX36" i="26"/>
  <c r="LV36" i="26"/>
  <c r="LU36" i="26"/>
  <c r="JT36" i="26"/>
  <c r="V36" i="26"/>
  <c r="S36" i="26"/>
  <c r="R36" i="26"/>
  <c r="L36" i="26"/>
  <c r="MB35" i="26"/>
  <c r="MA35" i="26"/>
  <c r="LZ35" i="26"/>
  <c r="LY35" i="26"/>
  <c r="LX35" i="26"/>
  <c r="LV35" i="26"/>
  <c r="LU35" i="26"/>
  <c r="JT35" i="26"/>
  <c r="V35" i="26"/>
  <c r="S35" i="26"/>
  <c r="R35" i="26"/>
  <c r="L35" i="26"/>
  <c r="MB34" i="26"/>
  <c r="MA34" i="26"/>
  <c r="LZ34" i="26"/>
  <c r="LY34" i="26"/>
  <c r="LX34" i="26"/>
  <c r="LV34" i="26"/>
  <c r="LU34" i="26"/>
  <c r="JT34" i="26"/>
  <c r="V34" i="26"/>
  <c r="S34" i="26"/>
  <c r="R34" i="26"/>
  <c r="L34" i="26"/>
  <c r="MB33" i="26"/>
  <c r="MA33" i="26"/>
  <c r="LZ33" i="26"/>
  <c r="LY33" i="26"/>
  <c r="LX33" i="26"/>
  <c r="LV33" i="26"/>
  <c r="LU33" i="26"/>
  <c r="JT33" i="26"/>
  <c r="V33" i="26"/>
  <c r="S33" i="26"/>
  <c r="R33" i="26"/>
  <c r="L33" i="26"/>
  <c r="MB32" i="26"/>
  <c r="MA32" i="26"/>
  <c r="LZ32" i="26"/>
  <c r="LY32" i="26"/>
  <c r="LX32" i="26"/>
  <c r="LV32" i="26"/>
  <c r="LU32" i="26"/>
  <c r="LT32" i="26" s="1"/>
  <c r="JT32" i="26"/>
  <c r="V32" i="26"/>
  <c r="S32" i="26"/>
  <c r="R32" i="26"/>
  <c r="L32" i="26"/>
  <c r="MB31" i="26"/>
  <c r="MA31" i="26"/>
  <c r="LZ31" i="26"/>
  <c r="LY31" i="26"/>
  <c r="LX31" i="26"/>
  <c r="LV31" i="26"/>
  <c r="LU31" i="26"/>
  <c r="JT31" i="26"/>
  <c r="V31" i="26"/>
  <c r="S31" i="26"/>
  <c r="R31" i="26"/>
  <c r="L31" i="26"/>
  <c r="MB30" i="26"/>
  <c r="MA30" i="26"/>
  <c r="LZ30" i="26"/>
  <c r="LY30" i="26"/>
  <c r="LX30" i="26"/>
  <c r="LV30" i="26"/>
  <c r="LU30" i="26"/>
  <c r="JT30" i="26"/>
  <c r="V30" i="26"/>
  <c r="S30" i="26"/>
  <c r="R30" i="26"/>
  <c r="L30" i="26"/>
  <c r="MB29" i="26"/>
  <c r="MA29" i="26"/>
  <c r="LZ29" i="26"/>
  <c r="LX29" i="26"/>
  <c r="LY29" i="26"/>
  <c r="LV29" i="26"/>
  <c r="LV11" i="26"/>
  <c r="LV12" i="26"/>
  <c r="LV13" i="26"/>
  <c r="LV14" i="26"/>
  <c r="LV15" i="26"/>
  <c r="LV16" i="26"/>
  <c r="LV17" i="26"/>
  <c r="LV18" i="26"/>
  <c r="LV19" i="26"/>
  <c r="LV20" i="26"/>
  <c r="LV21" i="26"/>
  <c r="LV22" i="26"/>
  <c r="LV23" i="26"/>
  <c r="LT23" i="26" s="1"/>
  <c r="LV24" i="26"/>
  <c r="LV25" i="26"/>
  <c r="LV26" i="26"/>
  <c r="LV27" i="26"/>
  <c r="LV28" i="26"/>
  <c r="U8" i="26"/>
  <c r="LU29" i="26"/>
  <c r="JT29" i="26"/>
  <c r="V29" i="26"/>
  <c r="S29" i="26"/>
  <c r="R29" i="26"/>
  <c r="L29" i="26"/>
  <c r="MB28" i="26"/>
  <c r="MA28" i="26"/>
  <c r="LZ28" i="26"/>
  <c r="LY28" i="26"/>
  <c r="LX28" i="26"/>
  <c r="LU28" i="26"/>
  <c r="JT28" i="26"/>
  <c r="V28" i="26"/>
  <c r="S28" i="26"/>
  <c r="R28" i="26"/>
  <c r="L28" i="26"/>
  <c r="MB27" i="26"/>
  <c r="MA27" i="26"/>
  <c r="LZ27" i="26"/>
  <c r="LY27" i="26"/>
  <c r="LX27" i="26"/>
  <c r="LU27" i="26"/>
  <c r="JT27" i="26"/>
  <c r="V27" i="26"/>
  <c r="S27" i="26"/>
  <c r="R27" i="26"/>
  <c r="L27" i="26"/>
  <c r="MB26" i="26"/>
  <c r="MA26" i="26"/>
  <c r="LZ26" i="26"/>
  <c r="LX26" i="26"/>
  <c r="LY26" i="26"/>
  <c r="LU26" i="26"/>
  <c r="JT26" i="26"/>
  <c r="V26" i="26"/>
  <c r="S26" i="26"/>
  <c r="R26" i="26"/>
  <c r="L26" i="26"/>
  <c r="MB25" i="26"/>
  <c r="MA25" i="26"/>
  <c r="LZ25" i="26"/>
  <c r="LW25" i="26" s="1"/>
  <c r="LY25" i="26"/>
  <c r="LX25" i="26"/>
  <c r="LU25" i="26"/>
  <c r="JT25" i="26"/>
  <c r="V25" i="26"/>
  <c r="S25" i="26"/>
  <c r="R25" i="26"/>
  <c r="L25" i="26"/>
  <c r="MB24" i="26"/>
  <c r="MA24" i="26"/>
  <c r="LZ24" i="26"/>
  <c r="LY24" i="26"/>
  <c r="LX24" i="26"/>
  <c r="LU24" i="26"/>
  <c r="JT24" i="26"/>
  <c r="V24" i="26"/>
  <c r="S24" i="26"/>
  <c r="R24" i="26"/>
  <c r="L24" i="26"/>
  <c r="MB23" i="26"/>
  <c r="MA23" i="26"/>
  <c r="LZ23" i="26"/>
  <c r="LX23" i="26"/>
  <c r="LY23" i="26"/>
  <c r="LU23" i="26"/>
  <c r="JT23" i="26"/>
  <c r="V23" i="26"/>
  <c r="S23" i="26"/>
  <c r="R23" i="26"/>
  <c r="L23" i="26"/>
  <c r="MB22" i="26"/>
  <c r="MA22" i="26"/>
  <c r="LZ22" i="26"/>
  <c r="LY22" i="26"/>
  <c r="LX22" i="26"/>
  <c r="LU22" i="26"/>
  <c r="JT22" i="26"/>
  <c r="V22" i="26"/>
  <c r="S22" i="26"/>
  <c r="R22" i="26"/>
  <c r="L22" i="26"/>
  <c r="MB21" i="26"/>
  <c r="MA21" i="26"/>
  <c r="LZ21" i="26"/>
  <c r="LY21" i="26"/>
  <c r="LX21" i="26"/>
  <c r="LU21" i="26"/>
  <c r="JT21" i="26"/>
  <c r="V21" i="26"/>
  <c r="S21" i="26"/>
  <c r="R21" i="26"/>
  <c r="L21" i="26"/>
  <c r="MB20" i="26"/>
  <c r="MA20" i="26"/>
  <c r="LZ20" i="26"/>
  <c r="LX20" i="26"/>
  <c r="LY20" i="26"/>
  <c r="LU20" i="26"/>
  <c r="LT20" i="26" s="1"/>
  <c r="JT20" i="26"/>
  <c r="V20" i="26"/>
  <c r="S20" i="26"/>
  <c r="R20" i="26"/>
  <c r="L20" i="26"/>
  <c r="MB19" i="26"/>
  <c r="MA19" i="26"/>
  <c r="LZ19" i="26"/>
  <c r="LY19" i="26"/>
  <c r="LX19" i="26"/>
  <c r="LU19" i="26"/>
  <c r="JT19" i="26"/>
  <c r="V19" i="26"/>
  <c r="S19" i="26"/>
  <c r="R19" i="26"/>
  <c r="L19" i="26"/>
  <c r="MB18" i="26"/>
  <c r="MA18" i="26"/>
  <c r="LZ18" i="26"/>
  <c r="LY18" i="26"/>
  <c r="LX18" i="26"/>
  <c r="LU18" i="26"/>
  <c r="LT18" i="26" s="1"/>
  <c r="JT18" i="26"/>
  <c r="V18" i="26"/>
  <c r="S18" i="26"/>
  <c r="R18" i="26"/>
  <c r="L18" i="26"/>
  <c r="MB17" i="26"/>
  <c r="MA17" i="26"/>
  <c r="LZ17" i="26"/>
  <c r="LY17" i="26"/>
  <c r="LX17" i="26"/>
  <c r="LU17" i="26"/>
  <c r="JT17" i="26"/>
  <c r="V17" i="26"/>
  <c r="S17" i="26"/>
  <c r="R17" i="26"/>
  <c r="L17" i="26"/>
  <c r="MB16" i="26"/>
  <c r="MA16" i="26"/>
  <c r="LZ16" i="26"/>
  <c r="LY16" i="26"/>
  <c r="LX16" i="26"/>
  <c r="LU16" i="26"/>
  <c r="JT16" i="26"/>
  <c r="V16" i="26"/>
  <c r="S16" i="26"/>
  <c r="R16" i="26"/>
  <c r="L16" i="26"/>
  <c r="MB15" i="26"/>
  <c r="MA15" i="26"/>
  <c r="LZ15" i="26"/>
  <c r="LY15" i="26"/>
  <c r="LX15" i="26"/>
  <c r="LU15" i="26"/>
  <c r="JT15" i="26"/>
  <c r="V15" i="26"/>
  <c r="S15" i="26"/>
  <c r="R15" i="26"/>
  <c r="L15" i="26"/>
  <c r="MB14" i="26"/>
  <c r="MA14" i="26"/>
  <c r="LZ14" i="26"/>
  <c r="LY14" i="26"/>
  <c r="LX14" i="26"/>
  <c r="LU14" i="26"/>
  <c r="JT14" i="26"/>
  <c r="V14" i="26"/>
  <c r="S14" i="26"/>
  <c r="R14" i="26"/>
  <c r="L14" i="26"/>
  <c r="MB13" i="26"/>
  <c r="MB11" i="26"/>
  <c r="MB12" i="26"/>
  <c r="AA8" i="26"/>
  <c r="MA13" i="26"/>
  <c r="LZ13" i="26"/>
  <c r="LY13" i="26"/>
  <c r="LX13" i="26"/>
  <c r="LU13" i="26"/>
  <c r="LP12" i="26"/>
  <c r="LP13" i="26" s="1"/>
  <c r="LJ12" i="26"/>
  <c r="LK12" i="26" s="1"/>
  <c r="JT13" i="26"/>
  <c r="V13" i="26"/>
  <c r="S13" i="26"/>
  <c r="R13" i="26"/>
  <c r="K13" i="26" s="1"/>
  <c r="J13" i="26" s="1"/>
  <c r="E13" i="26" s="1"/>
  <c r="H13" i="26" s="1"/>
  <c r="L13" i="26"/>
  <c r="MA12" i="26"/>
  <c r="MA11" i="26"/>
  <c r="Z8" i="26"/>
  <c r="LZ12" i="26"/>
  <c r="LZ11" i="26"/>
  <c r="Y8" i="26"/>
  <c r="LY12" i="26"/>
  <c r="LX12" i="26"/>
  <c r="LU12" i="26"/>
  <c r="LR12" i="26"/>
  <c r="R12" i="26"/>
  <c r="LQ12" i="26"/>
  <c r="LN12" i="26"/>
  <c r="LN13" i="26" s="1"/>
  <c r="LL12" i="26"/>
  <c r="LM12" i="26" s="1"/>
  <c r="LH12" i="26"/>
  <c r="LI12" i="26" s="1"/>
  <c r="JT12" i="26"/>
  <c r="V12" i="26"/>
  <c r="V11" i="26"/>
  <c r="S12" i="26"/>
  <c r="L12" i="26"/>
  <c r="LY11" i="26"/>
  <c r="X8" i="26"/>
  <c r="LX11" i="26"/>
  <c r="LU11" i="26"/>
  <c r="R11" i="26"/>
  <c r="LS11" i="26" s="1"/>
  <c r="LQ11" i="26"/>
  <c r="LO11" i="26"/>
  <c r="LM11" i="26"/>
  <c r="LK11" i="26"/>
  <c r="LI11" i="26"/>
  <c r="JT11" i="26"/>
  <c r="S11" i="26"/>
  <c r="L11" i="26"/>
  <c r="W8" i="26"/>
  <c r="T8" i="26"/>
  <c r="Q8" i="26"/>
  <c r="P8" i="26"/>
  <c r="O8" i="26"/>
  <c r="N8" i="26"/>
  <c r="M8" i="26"/>
  <c r="G8" i="26"/>
  <c r="LE7" i="26"/>
  <c r="J7" i="26"/>
  <c r="AD143" i="13"/>
  <c r="AC143" i="13"/>
  <c r="AB143" i="13"/>
  <c r="C143" i="13"/>
  <c r="AE96" i="13"/>
  <c r="B7" i="13"/>
  <c r="D7" i="13"/>
  <c r="AC7" i="13"/>
  <c r="AD7" i="13"/>
  <c r="B5" i="13"/>
  <c r="C5" i="13" s="1"/>
  <c r="D5" i="13" s="1"/>
  <c r="E5" i="13" s="1"/>
  <c r="F5" i="13" s="1"/>
  <c r="G5" i="13" s="1"/>
  <c r="H5" i="13" s="1"/>
  <c r="I5" i="13" s="1"/>
  <c r="J5" i="13" s="1"/>
  <c r="K5" i="13" s="1"/>
  <c r="L5" i="13" s="1"/>
  <c r="M5" i="13" s="1"/>
  <c r="N5" i="13" s="1"/>
  <c r="O5" i="13" s="1"/>
  <c r="P5" i="13" s="1"/>
  <c r="Q5" i="13" s="1"/>
  <c r="R5" i="13" s="1"/>
  <c r="S5" i="13" s="1"/>
  <c r="T5" i="13" s="1"/>
  <c r="U5" i="13" s="1"/>
  <c r="V5" i="13" s="1"/>
  <c r="W5" i="13" s="1"/>
  <c r="X5" i="13" s="1"/>
  <c r="Y5" i="13" s="1"/>
  <c r="Z5" i="13" s="1"/>
  <c r="AA5" i="13" s="1"/>
  <c r="AB5" i="13" s="1"/>
  <c r="AC5" i="13" s="1"/>
  <c r="AD5" i="13" s="1"/>
  <c r="I4" i="13"/>
  <c r="J4" i="13" s="1"/>
  <c r="K4" i="13" s="1"/>
  <c r="L4" i="13" s="1"/>
  <c r="M4" i="13" s="1"/>
  <c r="N4" i="13" s="1"/>
  <c r="O4" i="13" s="1"/>
  <c r="P4" i="13" s="1"/>
  <c r="Q4" i="13" s="1"/>
  <c r="R4" i="13" s="1"/>
  <c r="S4" i="13" s="1"/>
  <c r="T4" i="13" s="1"/>
  <c r="U4" i="13" s="1"/>
  <c r="V4" i="13" s="1"/>
  <c r="W4" i="13" s="1"/>
  <c r="X4" i="13" s="1"/>
  <c r="Y4" i="13" s="1"/>
  <c r="Z4" i="13" s="1"/>
  <c r="AA4" i="13" s="1"/>
  <c r="AB4" i="13" s="1"/>
  <c r="AC4" i="13" s="1"/>
  <c r="AD4" i="13" s="1"/>
  <c r="S169" i="29"/>
  <c r="I129" i="29"/>
  <c r="DB151" i="29"/>
  <c r="DB150" i="29"/>
  <c r="DB149" i="29"/>
  <c r="DB148" i="29"/>
  <c r="DG147" i="29"/>
  <c r="DH147" i="29"/>
  <c r="DB147" i="29"/>
  <c r="AD136" i="29"/>
  <c r="AD139" i="29"/>
  <c r="DH146" i="29"/>
  <c r="DG146" i="29"/>
  <c r="DB146" i="29"/>
  <c r="AB146" i="29"/>
  <c r="DG145" i="29"/>
  <c r="DH145" i="29"/>
  <c r="DH144" i="29"/>
  <c r="DG144" i="29"/>
  <c r="DF143" i="29"/>
  <c r="DE143" i="29"/>
  <c r="DD143" i="29"/>
  <c r="DC143" i="29"/>
  <c r="DA143" i="29"/>
  <c r="CI143" i="29"/>
  <c r="BK143" i="29"/>
  <c r="BJ143" i="29"/>
  <c r="DG142" i="29"/>
  <c r="DH142" i="29"/>
  <c r="DH141" i="29"/>
  <c r="DG141" i="29"/>
  <c r="N141" i="29"/>
  <c r="R141" i="29" s="1"/>
  <c r="CT141" i="29"/>
  <c r="CG141" i="29"/>
  <c r="CH141" i="29" s="1"/>
  <c r="CA141" i="29"/>
  <c r="CD141" i="29" s="1"/>
  <c r="BZ141" i="29"/>
  <c r="CC141" i="29" s="1"/>
  <c r="BW141" i="29"/>
  <c r="BX141" i="29" s="1"/>
  <c r="BY141" i="29" s="1"/>
  <c r="AL141" i="29"/>
  <c r="AQ141" i="29" s="1"/>
  <c r="AG141" i="29"/>
  <c r="Z141" i="29"/>
  <c r="DH140" i="29"/>
  <c r="DB140" i="29"/>
  <c r="U140" i="29"/>
  <c r="AB140" i="29"/>
  <c r="AJ140" i="29" s="1"/>
  <c r="BA140" i="29" s="1"/>
  <c r="BW140" i="29"/>
  <c r="BV140" i="29"/>
  <c r="BU140" i="29"/>
  <c r="BS140" i="29"/>
  <c r="BO140" i="29"/>
  <c r="BN140" i="29"/>
  <c r="AK140" i="29"/>
  <c r="BB140" i="29" s="1"/>
  <c r="BL140" i="29"/>
  <c r="BI140" i="29"/>
  <c r="AL140" i="29"/>
  <c r="AM140" i="29"/>
  <c r="BD140" i="29" s="1"/>
  <c r="AI140" i="29"/>
  <c r="AZ140" i="29" s="1"/>
  <c r="M140" i="29"/>
  <c r="DG140" i="29" s="1"/>
  <c r="DH139" i="29"/>
  <c r="DG139" i="29"/>
  <c r="DB139" i="29"/>
  <c r="BW139" i="29"/>
  <c r="AB139" i="29"/>
  <c r="BT139" i="29" s="1"/>
  <c r="BS139" i="29"/>
  <c r="BP139" i="29"/>
  <c r="BL139" i="29"/>
  <c r="BI139" i="29"/>
  <c r="AM139" i="29"/>
  <c r="AW139" i="29" s="1"/>
  <c r="AI139" i="29"/>
  <c r="AZ139" i="29" s="1"/>
  <c r="W139" i="29"/>
  <c r="BV139" i="29" s="1"/>
  <c r="U139" i="29"/>
  <c r="DH138" i="29"/>
  <c r="DG138" i="29"/>
  <c r="DB138" i="29"/>
  <c r="AJ138" i="29"/>
  <c r="AK138" i="29"/>
  <c r="BB138" i="29" s="1"/>
  <c r="CS138" i="29"/>
  <c r="AI138" i="29"/>
  <c r="AZ138" i="29" s="1"/>
  <c r="AL138" i="29"/>
  <c r="BC138" i="29" s="1"/>
  <c r="CP138" i="29"/>
  <c r="AG138" i="29"/>
  <c r="CK138" i="29" s="1"/>
  <c r="Z138" i="29"/>
  <c r="CG138" i="29"/>
  <c r="BN138" i="29"/>
  <c r="BU138" i="29"/>
  <c r="BS138" i="29"/>
  <c r="BT138" i="29"/>
  <c r="BV138" i="29"/>
  <c r="BW138" i="29"/>
  <c r="BM138" i="29"/>
  <c r="BP138" i="29"/>
  <c r="BO138" i="29"/>
  <c r="BL138" i="29"/>
  <c r="AU138" i="29"/>
  <c r="AM138" i="29"/>
  <c r="BD138" i="29" s="1"/>
  <c r="DH137" i="29"/>
  <c r="DG137" i="29"/>
  <c r="DB137" i="29"/>
  <c r="AJ137" i="29"/>
  <c r="AT137" i="29" s="1"/>
  <c r="AK137" i="29"/>
  <c r="BB137" i="29" s="1"/>
  <c r="CS137" i="29"/>
  <c r="CP137" i="29"/>
  <c r="AI137" i="29"/>
  <c r="AL137" i="29"/>
  <c r="BC137" i="29" s="1"/>
  <c r="Z137" i="29"/>
  <c r="CG137" i="29"/>
  <c r="BW137" i="29"/>
  <c r="BV137" i="29"/>
  <c r="BU137" i="29"/>
  <c r="BT137" i="29"/>
  <c r="BS137" i="29"/>
  <c r="BL137" i="29"/>
  <c r="BM137" i="29"/>
  <c r="BN137" i="29"/>
  <c r="BO137" i="29"/>
  <c r="BP137" i="29"/>
  <c r="AN137" i="29"/>
  <c r="AN146" i="29" s="1"/>
  <c r="AM137" i="29"/>
  <c r="BD137" i="29" s="1"/>
  <c r="AG137" i="29"/>
  <c r="M136" i="29"/>
  <c r="X136" i="29"/>
  <c r="N136" i="29"/>
  <c r="O136" i="29" s="1"/>
  <c r="BT136" i="29"/>
  <c r="V136" i="29"/>
  <c r="BN136" i="29" s="1"/>
  <c r="BM136" i="29"/>
  <c r="AJ136" i="29"/>
  <c r="BA136" i="29" s="1"/>
  <c r="BI136" i="29"/>
  <c r="AA136" i="29"/>
  <c r="AC136" i="29"/>
  <c r="BU136" i="29" s="1"/>
  <c r="CA136" i="29" s="1"/>
  <c r="T136" i="29"/>
  <c r="BL136" i="29" s="1"/>
  <c r="Q136" i="29"/>
  <c r="DH135" i="29"/>
  <c r="DG135" i="29"/>
  <c r="AJ135" i="29"/>
  <c r="AK135" i="29"/>
  <c r="N135" i="29"/>
  <c r="AA135" i="29"/>
  <c r="AG135" i="29" s="1"/>
  <c r="BW135" i="29"/>
  <c r="BU135" i="29"/>
  <c r="BT135" i="29"/>
  <c r="BP135" i="29"/>
  <c r="BN135" i="29"/>
  <c r="BM135" i="29"/>
  <c r="BZ135" i="29" s="1"/>
  <c r="I135" i="29"/>
  <c r="T135" i="29"/>
  <c r="AM135" i="29"/>
  <c r="AW135" i="29" s="1"/>
  <c r="R135" i="29"/>
  <c r="BV135" i="29" s="1"/>
  <c r="AL135" i="29"/>
  <c r="O135" i="29"/>
  <c r="BH135" i="29" s="1"/>
  <c r="L135" i="29"/>
  <c r="BO135" i="29" s="1"/>
  <c r="H135" i="29"/>
  <c r="DH134" i="29"/>
  <c r="DG134" i="29"/>
  <c r="DB134" i="29"/>
  <c r="AJ134" i="29"/>
  <c r="AK134" i="29"/>
  <c r="CS134" i="29"/>
  <c r="CP134" i="29"/>
  <c r="AI134" i="29"/>
  <c r="AS134" i="29" s="1"/>
  <c r="AL134" i="29"/>
  <c r="CG134" i="29"/>
  <c r="BW134" i="29"/>
  <c r="BV134" i="29"/>
  <c r="BU134" i="29"/>
  <c r="BN134" i="29"/>
  <c r="BT134" i="29"/>
  <c r="BS134" i="29"/>
  <c r="BP134" i="29"/>
  <c r="BO134" i="29"/>
  <c r="BL134" i="29"/>
  <c r="BM134" i="29"/>
  <c r="BI134" i="29"/>
  <c r="AM134" i="29"/>
  <c r="AG134" i="29"/>
  <c r="CK134" i="29" s="1"/>
  <c r="Z134" i="29"/>
  <c r="DH133" i="29"/>
  <c r="DG133" i="29"/>
  <c r="N133" i="29"/>
  <c r="O133" i="29" s="1"/>
  <c r="AJ133" i="29"/>
  <c r="BA133" i="29" s="1"/>
  <c r="AK133" i="29"/>
  <c r="BB133" i="29" s="1"/>
  <c r="CP133" i="29"/>
  <c r="AI133" i="29"/>
  <c r="AS133" i="29" s="1"/>
  <c r="AL133" i="29"/>
  <c r="BW133" i="29"/>
  <c r="BU133" i="29"/>
  <c r="BN133" i="29"/>
  <c r="BT133" i="29"/>
  <c r="BP133" i="29"/>
  <c r="BO133" i="29"/>
  <c r="BM133" i="29"/>
  <c r="BL133" i="29"/>
  <c r="BI133" i="29"/>
  <c r="AM133" i="29"/>
  <c r="AG133" i="29"/>
  <c r="AH133" i="29" s="1"/>
  <c r="Z133" i="29"/>
  <c r="DG132" i="29"/>
  <c r="DH132" i="29"/>
  <c r="CP132" i="29"/>
  <c r="BW132" i="29"/>
  <c r="BU132" i="29"/>
  <c r="BT132" i="29"/>
  <c r="BP132" i="29"/>
  <c r="BO132" i="29"/>
  <c r="BN132" i="29"/>
  <c r="CA132" i="29" s="1"/>
  <c r="AK132" i="29"/>
  <c r="BB132" i="29" s="1"/>
  <c r="BM132" i="29"/>
  <c r="BL132" i="29"/>
  <c r="BI132" i="29"/>
  <c r="AM132" i="29"/>
  <c r="AW132" i="29" s="1"/>
  <c r="AL132" i="29"/>
  <c r="AV132" i="29" s="1"/>
  <c r="AI132" i="29"/>
  <c r="AJ132" i="29"/>
  <c r="AG132" i="29"/>
  <c r="Z132" i="29"/>
  <c r="CJ132" i="29" s="1"/>
  <c r="N132" i="29"/>
  <c r="DH131" i="29"/>
  <c r="DG131" i="29"/>
  <c r="H131" i="29"/>
  <c r="N131" i="29" s="1"/>
  <c r="DB131" i="29" s="1"/>
  <c r="CG131" i="29"/>
  <c r="BU131" i="29"/>
  <c r="BT131" i="29"/>
  <c r="BS131" i="29"/>
  <c r="BN131" i="29"/>
  <c r="BM131" i="29"/>
  <c r="AJ131" i="29"/>
  <c r="CH131" i="29" s="1"/>
  <c r="BL131" i="29"/>
  <c r="BI131" i="29"/>
  <c r="AM131" i="29"/>
  <c r="BD131" i="29" s="1"/>
  <c r="AI131" i="29"/>
  <c r="AZ131" i="29" s="1"/>
  <c r="AL131" i="29"/>
  <c r="AK131" i="29"/>
  <c r="AG131" i="29"/>
  <c r="Z131" i="29"/>
  <c r="DH130" i="29"/>
  <c r="DG130" i="29"/>
  <c r="DB130" i="29"/>
  <c r="AJ130" i="29"/>
  <c r="AT130" i="29" s="1"/>
  <c r="AK130" i="29"/>
  <c r="CS130" i="29"/>
  <c r="CP130" i="29"/>
  <c r="AG130" i="29"/>
  <c r="CK130" i="29" s="1"/>
  <c r="Z130" i="29"/>
  <c r="CG130" i="29"/>
  <c r="BS130" i="29"/>
  <c r="BT130" i="29"/>
  <c r="BU130" i="29"/>
  <c r="BV130" i="29"/>
  <c r="BW130" i="29"/>
  <c r="BP130" i="29"/>
  <c r="BO130" i="29"/>
  <c r="BN130" i="29"/>
  <c r="BM130" i="29"/>
  <c r="BL130" i="29"/>
  <c r="BI130" i="29"/>
  <c r="AM130" i="29"/>
  <c r="BD130" i="29" s="1"/>
  <c r="AL130" i="29"/>
  <c r="AV130" i="29" s="1"/>
  <c r="AI130" i="29"/>
  <c r="AZ130" i="29" s="1"/>
  <c r="AH130" i="29"/>
  <c r="DH129" i="29"/>
  <c r="DG129" i="29"/>
  <c r="DI129" i="29" s="1"/>
  <c r="O129" i="29"/>
  <c r="AI129" i="29"/>
  <c r="AJ129" i="29"/>
  <c r="AK129" i="29"/>
  <c r="AL129" i="29"/>
  <c r="AV129" i="29" s="1"/>
  <c r="N129" i="29"/>
  <c r="AG129" i="29"/>
  <c r="H129" i="29"/>
  <c r="Z129" i="29"/>
  <c r="CM129" i="29" s="1"/>
  <c r="BW129" i="29"/>
  <c r="BV129" i="29"/>
  <c r="BU129" i="29"/>
  <c r="BT129" i="29"/>
  <c r="BP129" i="29"/>
  <c r="BO129" i="29"/>
  <c r="BN129" i="29"/>
  <c r="BM129" i="29"/>
  <c r="AM129" i="29"/>
  <c r="BD129" i="29" s="1"/>
  <c r="BC129" i="29"/>
  <c r="H156" i="29"/>
  <c r="S128" i="29"/>
  <c r="M128" i="29"/>
  <c r="AJ128" i="29"/>
  <c r="AT128" i="29" s="1"/>
  <c r="AK128" i="29"/>
  <c r="N128" i="29"/>
  <c r="DB128" i="29" s="1"/>
  <c r="AG128" i="29"/>
  <c r="I128" i="29"/>
  <c r="H128" i="29" s="1"/>
  <c r="Z128" i="29"/>
  <c r="BU128" i="29"/>
  <c r="BT128" i="29"/>
  <c r="BN128" i="29"/>
  <c r="CA128" i="29" s="1"/>
  <c r="BM128" i="29"/>
  <c r="BI128" i="29"/>
  <c r="AM128" i="29"/>
  <c r="AL128" i="29"/>
  <c r="AI128" i="29"/>
  <c r="AO128" i="29" s="1"/>
  <c r="O128" i="29"/>
  <c r="DG127" i="29"/>
  <c r="DH127" i="29"/>
  <c r="H127" i="29"/>
  <c r="Z127" i="29"/>
  <c r="N127" i="29"/>
  <c r="AG127" i="29"/>
  <c r="BM127" i="29"/>
  <c r="BT127" i="29"/>
  <c r="BW127" i="29"/>
  <c r="BV127" i="29"/>
  <c r="BU127" i="29"/>
  <c r="BP127" i="29"/>
  <c r="BO127" i="29"/>
  <c r="BN127" i="29"/>
  <c r="BI127" i="29"/>
  <c r="AM127" i="29"/>
  <c r="BD127" i="29" s="1"/>
  <c r="AL127" i="29"/>
  <c r="BC127" i="29" s="1"/>
  <c r="I127" i="29"/>
  <c r="AI127" i="29"/>
  <c r="AK127" i="29"/>
  <c r="AQ127" i="29" s="1"/>
  <c r="AR127" i="29" s="1"/>
  <c r="AJ127" i="29"/>
  <c r="AH127" i="29"/>
  <c r="O127" i="29"/>
  <c r="CG127" i="29" s="1"/>
  <c r="CH127" i="29" s="1"/>
  <c r="DH126" i="29"/>
  <c r="DG126" i="29"/>
  <c r="DB126" i="29"/>
  <c r="AJ126" i="29"/>
  <c r="AK126" i="29"/>
  <c r="AU126" i="29" s="1"/>
  <c r="CS126" i="29"/>
  <c r="AI126" i="29"/>
  <c r="AL126" i="29"/>
  <c r="CP126" i="29"/>
  <c r="AG126" i="29"/>
  <c r="Z126" i="29"/>
  <c r="CG126" i="29"/>
  <c r="BS126" i="29"/>
  <c r="BT126" i="29"/>
  <c r="BU126" i="29"/>
  <c r="BV126" i="29"/>
  <c r="BW126" i="29"/>
  <c r="BP126" i="29"/>
  <c r="BO126" i="29"/>
  <c r="BN126" i="29"/>
  <c r="BM126" i="29"/>
  <c r="BL126" i="29"/>
  <c r="BI126" i="29"/>
  <c r="AM126" i="29"/>
  <c r="BD126" i="29" s="1"/>
  <c r="DH125" i="29"/>
  <c r="DG125" i="29"/>
  <c r="DB125" i="29"/>
  <c r="AJ125" i="29"/>
  <c r="BA125" i="29" s="1"/>
  <c r="AK125" i="29"/>
  <c r="BB125" i="29" s="1"/>
  <c r="CS125" i="29"/>
  <c r="CP125" i="29"/>
  <c r="AG125" i="29"/>
  <c r="Z125" i="29"/>
  <c r="CJ125" i="29" s="1"/>
  <c r="CG125" i="29"/>
  <c r="BS125" i="29"/>
  <c r="BT125" i="29"/>
  <c r="BU125" i="29"/>
  <c r="BV125" i="29"/>
  <c r="BW125" i="29"/>
  <c r="BP125" i="29"/>
  <c r="BO125" i="29"/>
  <c r="BN125" i="29"/>
  <c r="BM125" i="29"/>
  <c r="BL125" i="29"/>
  <c r="BI125" i="29"/>
  <c r="AM125" i="29"/>
  <c r="AL125" i="29"/>
  <c r="BC125" i="29" s="1"/>
  <c r="AI125" i="29"/>
  <c r="DH124" i="29"/>
  <c r="DG124" i="29"/>
  <c r="DB124" i="29"/>
  <c r="AJ124" i="29"/>
  <c r="AK124" i="29"/>
  <c r="CS124" i="29"/>
  <c r="CP124" i="29"/>
  <c r="AG124" i="29"/>
  <c r="CK124" i="29" s="1"/>
  <c r="Z124" i="29"/>
  <c r="CG124" i="29"/>
  <c r="BW124" i="29"/>
  <c r="BS124" i="29"/>
  <c r="BT124" i="29"/>
  <c r="BU124" i="29"/>
  <c r="BV124" i="29"/>
  <c r="BL124" i="29"/>
  <c r="BM124" i="29"/>
  <c r="BZ124" i="29" s="1"/>
  <c r="BN124" i="29"/>
  <c r="BO124" i="29"/>
  <c r="BP124" i="29"/>
  <c r="BI124" i="29"/>
  <c r="AM124" i="29"/>
  <c r="AL124" i="29"/>
  <c r="BC124" i="29" s="1"/>
  <c r="AI124" i="29"/>
  <c r="DH123" i="29"/>
  <c r="DG123" i="29"/>
  <c r="DB123" i="29"/>
  <c r="AJ123" i="29"/>
  <c r="CY123" i="29" s="1"/>
  <c r="AK123" i="29"/>
  <c r="CS123" i="29"/>
  <c r="AI123" i="29"/>
  <c r="AL123" i="29"/>
  <c r="CP123" i="29"/>
  <c r="AG123" i="29"/>
  <c r="CK123" i="29" s="1"/>
  <c r="Z123" i="29"/>
  <c r="CG123" i="29"/>
  <c r="BM123" i="29"/>
  <c r="BT123" i="29"/>
  <c r="BS123" i="29"/>
  <c r="BU123" i="29"/>
  <c r="BV123" i="29"/>
  <c r="BW123" i="29"/>
  <c r="BP123" i="29"/>
  <c r="BO123" i="29"/>
  <c r="BN123" i="29"/>
  <c r="BL123" i="29"/>
  <c r="BI123" i="29"/>
  <c r="AM123" i="29"/>
  <c r="DH122" i="29"/>
  <c r="DG122" i="29"/>
  <c r="DB122" i="29"/>
  <c r="AJ122" i="29"/>
  <c r="BA122" i="29" s="1"/>
  <c r="AK122" i="29"/>
  <c r="AU122" i="29" s="1"/>
  <c r="CS122" i="29"/>
  <c r="CP122" i="29"/>
  <c r="AG122" i="29"/>
  <c r="CK122" i="29" s="1"/>
  <c r="Z122" i="29"/>
  <c r="CG122" i="29"/>
  <c r="BS122" i="29"/>
  <c r="BT122" i="29"/>
  <c r="BU122" i="29"/>
  <c r="BV122" i="29"/>
  <c r="BW122" i="29"/>
  <c r="BP122" i="29"/>
  <c r="BO122" i="29"/>
  <c r="BN122" i="29"/>
  <c r="BM122" i="29"/>
  <c r="BL122" i="29"/>
  <c r="BI122" i="29"/>
  <c r="AM122" i="29"/>
  <c r="BD122" i="29" s="1"/>
  <c r="AL122" i="29"/>
  <c r="AI122" i="29"/>
  <c r="AO122" i="29" s="1"/>
  <c r="DH121" i="29"/>
  <c r="DG121" i="29"/>
  <c r="DB121" i="29"/>
  <c r="AJ121" i="29"/>
  <c r="BA121" i="29" s="1"/>
  <c r="AK121" i="29"/>
  <c r="CS121" i="29"/>
  <c r="CP121" i="29"/>
  <c r="Z121" i="29"/>
  <c r="CJ121" i="29" s="1"/>
  <c r="AG121" i="29"/>
  <c r="CG121" i="29"/>
  <c r="BS121" i="29"/>
  <c r="BT121" i="29"/>
  <c r="BU121" i="29"/>
  <c r="BV121" i="29"/>
  <c r="BW121" i="29"/>
  <c r="BL121" i="29"/>
  <c r="BM121" i="29"/>
  <c r="BN121" i="29"/>
  <c r="BO121" i="29"/>
  <c r="BP121" i="29"/>
  <c r="BI121" i="29"/>
  <c r="AM121" i="29"/>
  <c r="AW121" i="29" s="1"/>
  <c r="AL121" i="29"/>
  <c r="AI121" i="29"/>
  <c r="AO121" i="29" s="1"/>
  <c r="DH120" i="29"/>
  <c r="DG120" i="29"/>
  <c r="DB120" i="29"/>
  <c r="AJ120" i="29"/>
  <c r="AK120" i="29"/>
  <c r="CS120" i="29"/>
  <c r="CP120" i="29"/>
  <c r="Z120" i="29"/>
  <c r="AG120" i="29"/>
  <c r="CG120" i="29"/>
  <c r="BS120" i="29"/>
  <c r="BT120" i="29"/>
  <c r="BU120" i="29"/>
  <c r="BV120" i="29"/>
  <c r="BW120" i="29"/>
  <c r="BP120" i="29"/>
  <c r="BO120" i="29"/>
  <c r="BN120" i="29"/>
  <c r="BM120" i="29"/>
  <c r="BL120" i="29"/>
  <c r="BI120" i="29"/>
  <c r="AM120" i="29"/>
  <c r="AL120" i="29"/>
  <c r="AV120" i="29" s="1"/>
  <c r="BC120" i="29"/>
  <c r="AI120" i="29"/>
  <c r="DH119" i="29"/>
  <c r="DG119" i="29"/>
  <c r="BM119" i="29"/>
  <c r="BT119" i="29"/>
  <c r="AJ119" i="29"/>
  <c r="BW119" i="29"/>
  <c r="O119" i="29"/>
  <c r="BP119" i="29"/>
  <c r="AM119" i="29"/>
  <c r="R119" i="29"/>
  <c r="AL119" i="29"/>
  <c r="CR119" i="29" s="1"/>
  <c r="AI119" i="29"/>
  <c r="AC119" i="29"/>
  <c r="BU119" i="29" s="1"/>
  <c r="V119" i="29"/>
  <c r="N119" i="29"/>
  <c r="DB119" i="29" s="1"/>
  <c r="L119" i="29"/>
  <c r="I119" i="29"/>
  <c r="H119" i="29"/>
  <c r="DH118" i="29"/>
  <c r="DG118" i="29"/>
  <c r="N118" i="29"/>
  <c r="DB118" i="29" s="1"/>
  <c r="AI118" i="29"/>
  <c r="AJ118" i="29"/>
  <c r="AK118" i="29"/>
  <c r="BB118" i="29" s="1"/>
  <c r="AL118" i="29"/>
  <c r="I118" i="29"/>
  <c r="L118" i="29"/>
  <c r="BO118" i="29" s="1"/>
  <c r="H118" i="29"/>
  <c r="Z118" i="29"/>
  <c r="BM118" i="29"/>
  <c r="BT118" i="29"/>
  <c r="BN118" i="29"/>
  <c r="BU118" i="29"/>
  <c r="BW118" i="29"/>
  <c r="R118" i="29"/>
  <c r="BP118" i="29"/>
  <c r="BI118" i="29"/>
  <c r="O118" i="29"/>
  <c r="CG118" i="29" s="1"/>
  <c r="AM118" i="29"/>
  <c r="AG118" i="29"/>
  <c r="CK118" i="29" s="1"/>
  <c r="DH117" i="29"/>
  <c r="DG117" i="29"/>
  <c r="N117" i="29"/>
  <c r="AJ117" i="29"/>
  <c r="BA117" i="29" s="1"/>
  <c r="AK117" i="29"/>
  <c r="CY117" i="29" s="1"/>
  <c r="BW117" i="29"/>
  <c r="R117" i="29"/>
  <c r="BV117" i="29" s="1"/>
  <c r="BU117" i="29"/>
  <c r="BN117" i="29"/>
  <c r="BT117" i="29"/>
  <c r="BM117" i="29"/>
  <c r="BP117" i="29"/>
  <c r="BI117" i="29"/>
  <c r="O117" i="29"/>
  <c r="BS117" i="29" s="1"/>
  <c r="BX117" i="29" s="1"/>
  <c r="BY117" i="29" s="1"/>
  <c r="AI117" i="29"/>
  <c r="AL117" i="29"/>
  <c r="AM117" i="29"/>
  <c r="AW117" i="29" s="1"/>
  <c r="Z117" i="29"/>
  <c r="AG117" i="29"/>
  <c r="L117" i="29"/>
  <c r="I117" i="29"/>
  <c r="BL117" i="29" s="1"/>
  <c r="H117" i="29"/>
  <c r="DH116" i="29"/>
  <c r="DG116" i="29"/>
  <c r="N116" i="29"/>
  <c r="DB116" i="29" s="1"/>
  <c r="AI116" i="29"/>
  <c r="AJ116" i="29"/>
  <c r="AK116" i="29"/>
  <c r="AU116" i="29" s="1"/>
  <c r="AL116" i="29"/>
  <c r="CY116" i="29" s="1"/>
  <c r="I116" i="29"/>
  <c r="L116" i="29"/>
  <c r="BO116" i="29" s="1"/>
  <c r="BM116" i="29"/>
  <c r="BT116" i="29"/>
  <c r="BN116" i="29"/>
  <c r="BU116" i="29"/>
  <c r="BW116" i="29"/>
  <c r="R116" i="29"/>
  <c r="BV116" i="29" s="1"/>
  <c r="BP116" i="29"/>
  <c r="BI116" i="29"/>
  <c r="O116" i="29"/>
  <c r="BA116" i="29"/>
  <c r="AT116" i="29"/>
  <c r="AM116" i="29"/>
  <c r="AG116" i="29"/>
  <c r="CK116" i="29" s="1"/>
  <c r="Z116" i="29"/>
  <c r="CM116" i="29" s="1"/>
  <c r="H116" i="29"/>
  <c r="DH115" i="29"/>
  <c r="DG115" i="29"/>
  <c r="AJ115" i="29"/>
  <c r="AT115" i="29" s="1"/>
  <c r="AK115" i="29"/>
  <c r="H115" i="29"/>
  <c r="Z115" i="29"/>
  <c r="BN115" i="29"/>
  <c r="BU115" i="29"/>
  <c r="BW115" i="29"/>
  <c r="R115" i="29"/>
  <c r="BV115" i="29" s="1"/>
  <c r="BT115" i="29"/>
  <c r="BM115" i="29"/>
  <c r="BP115" i="29"/>
  <c r="I115" i="29"/>
  <c r="BI115" i="29"/>
  <c r="BA115" i="29"/>
  <c r="AM115" i="29"/>
  <c r="AL115" i="29"/>
  <c r="AI115" i="29"/>
  <c r="AS115" i="29" s="1"/>
  <c r="AG115" i="29"/>
  <c r="O115" i="29"/>
  <c r="N115" i="29"/>
  <c r="L115" i="29"/>
  <c r="BO115" i="29" s="1"/>
  <c r="DH114" i="29"/>
  <c r="DG114" i="29"/>
  <c r="N114" i="29"/>
  <c r="AI114" i="29"/>
  <c r="AJ114" i="29"/>
  <c r="CY114" i="29" s="1"/>
  <c r="AK114" i="29"/>
  <c r="AU114" i="29" s="1"/>
  <c r="AL114" i="29"/>
  <c r="O114" i="29"/>
  <c r="CG114" i="29" s="1"/>
  <c r="CH114" i="29" s="1"/>
  <c r="R114" i="29"/>
  <c r="BV114" i="29" s="1"/>
  <c r="BM114" i="29"/>
  <c r="BT114" i="29"/>
  <c r="BN114" i="29"/>
  <c r="BU114" i="29"/>
  <c r="BW114" i="29"/>
  <c r="BP114" i="29"/>
  <c r="BI114" i="29"/>
  <c r="BB114" i="29"/>
  <c r="AM114" i="29"/>
  <c r="Z114" i="29"/>
  <c r="AG114" i="29"/>
  <c r="CM114" i="29" s="1"/>
  <c r="L114" i="29"/>
  <c r="I114" i="29"/>
  <c r="H114" i="29"/>
  <c r="DH113" i="29"/>
  <c r="DI113" i="29" s="1"/>
  <c r="DG113" i="29"/>
  <c r="N113" i="29"/>
  <c r="AI113" i="29"/>
  <c r="AJ113" i="29"/>
  <c r="BA113" i="29" s="1"/>
  <c r="AK113" i="29"/>
  <c r="CY113" i="29" s="1"/>
  <c r="AL113" i="29"/>
  <c r="I113" i="29"/>
  <c r="L113" i="29"/>
  <c r="CN113" i="29" s="1"/>
  <c r="BM113" i="29"/>
  <c r="BT113" i="29"/>
  <c r="BW113" i="29"/>
  <c r="R113" i="29"/>
  <c r="BV113" i="29" s="1"/>
  <c r="BU113" i="29"/>
  <c r="BN113" i="29"/>
  <c r="BP113" i="29"/>
  <c r="BI113" i="29"/>
  <c r="AM113" i="29"/>
  <c r="AW113" i="29" s="1"/>
  <c r="O113" i="29"/>
  <c r="BS113" i="29" s="1"/>
  <c r="AG113" i="29"/>
  <c r="Z113" i="29"/>
  <c r="CM113" i="29" s="1"/>
  <c r="H113" i="29"/>
  <c r="DH112" i="29"/>
  <c r="DG112" i="29"/>
  <c r="AJ112" i="29"/>
  <c r="BA112" i="29" s="1"/>
  <c r="AK112" i="29"/>
  <c r="BB112" i="29" s="1"/>
  <c r="BM112" i="29"/>
  <c r="BT112" i="29"/>
  <c r="BW112" i="29"/>
  <c r="R112" i="29"/>
  <c r="BV112" i="29" s="1"/>
  <c r="BU112" i="29"/>
  <c r="BN112" i="29"/>
  <c r="BP112" i="29"/>
  <c r="L112" i="29"/>
  <c r="BO112" i="29" s="1"/>
  <c r="BI112" i="29"/>
  <c r="AU112" i="29"/>
  <c r="AM112" i="29"/>
  <c r="AW112" i="29" s="1"/>
  <c r="AL112" i="29"/>
  <c r="AI112" i="29"/>
  <c r="AG112" i="29"/>
  <c r="N112" i="29"/>
  <c r="Z112" i="29"/>
  <c r="O112" i="29"/>
  <c r="BS112" i="29" s="1"/>
  <c r="I112" i="29"/>
  <c r="H112" i="29"/>
  <c r="CY112" i="29" s="1"/>
  <c r="DH111" i="29"/>
  <c r="DG111" i="29"/>
  <c r="AJ111" i="29"/>
  <c r="AT111" i="29" s="1"/>
  <c r="AK111" i="29"/>
  <c r="AQ111" i="29" s="1"/>
  <c r="I111" i="29"/>
  <c r="BL111" i="29" s="1"/>
  <c r="AI111" i="29"/>
  <c r="L111" i="29"/>
  <c r="AL111" i="29"/>
  <c r="O111" i="29"/>
  <c r="AZ111" i="29" s="1"/>
  <c r="R111" i="29"/>
  <c r="N111" i="29"/>
  <c r="DB111" i="29" s="1"/>
  <c r="AG111" i="29"/>
  <c r="BM111" i="29"/>
  <c r="BT111" i="29"/>
  <c r="BW111" i="29"/>
  <c r="BU111" i="29"/>
  <c r="BN111" i="29"/>
  <c r="BP111" i="29"/>
  <c r="BO111" i="29"/>
  <c r="BI111" i="29"/>
  <c r="AM111" i="29"/>
  <c r="AW111" i="29" s="1"/>
  <c r="Z111" i="29"/>
  <c r="H111" i="29"/>
  <c r="DH110" i="29"/>
  <c r="DI110" i="29" s="1"/>
  <c r="DG110" i="29"/>
  <c r="N110" i="29"/>
  <c r="DB110" i="29" s="1"/>
  <c r="AG110" i="29"/>
  <c r="V110" i="29"/>
  <c r="BN110" i="29" s="1"/>
  <c r="BU110" i="29"/>
  <c r="BW110" i="29"/>
  <c r="BT110" i="29"/>
  <c r="BP110" i="29"/>
  <c r="I110" i="29"/>
  <c r="BL110" i="29" s="1"/>
  <c r="AM110" i="29"/>
  <c r="AW110" i="29" s="1"/>
  <c r="AL110" i="29"/>
  <c r="U110" i="29"/>
  <c r="AJ110" i="29" s="1"/>
  <c r="BA110" i="29" s="1"/>
  <c r="AI110" i="29"/>
  <c r="R110" i="29"/>
  <c r="O110" i="29"/>
  <c r="L110" i="29"/>
  <c r="AV110" i="29" s="1"/>
  <c r="H110" i="29"/>
  <c r="DG109" i="29"/>
  <c r="DH109" i="29"/>
  <c r="N109" i="29"/>
  <c r="DB109" i="29" s="1"/>
  <c r="H109" i="29"/>
  <c r="CJ109" i="29" s="1"/>
  <c r="AI109" i="29"/>
  <c r="AJ109" i="29"/>
  <c r="AK109" i="29"/>
  <c r="BB109" i="29" s="1"/>
  <c r="AL109" i="29"/>
  <c r="O109" i="29"/>
  <c r="R109" i="29"/>
  <c r="BV109" i="29" s="1"/>
  <c r="BW109" i="29"/>
  <c r="BU109" i="29"/>
  <c r="BT109" i="29"/>
  <c r="BP109" i="29"/>
  <c r="BN109" i="29"/>
  <c r="BM109" i="29"/>
  <c r="BZ109" i="29" s="1"/>
  <c r="CC109" i="29" s="1"/>
  <c r="BI109" i="29"/>
  <c r="AM109" i="29"/>
  <c r="AG109" i="29"/>
  <c r="CM109" i="29" s="1"/>
  <c r="Z109" i="29"/>
  <c r="L109" i="29"/>
  <c r="I109" i="29"/>
  <c r="DH108" i="29"/>
  <c r="DG108" i="29"/>
  <c r="N108" i="29"/>
  <c r="AI108" i="29"/>
  <c r="AJ108" i="29"/>
  <c r="AK108" i="29"/>
  <c r="BB108" i="29" s="1"/>
  <c r="AL108" i="29"/>
  <c r="H108" i="29"/>
  <c r="Z108" i="29"/>
  <c r="CJ108" i="29" s="1"/>
  <c r="AG108" i="29"/>
  <c r="BM108" i="29"/>
  <c r="BT108" i="29"/>
  <c r="BW108" i="29"/>
  <c r="R108" i="29"/>
  <c r="BV108" i="29" s="1"/>
  <c r="BU108" i="29"/>
  <c r="BP108" i="29"/>
  <c r="L108" i="29"/>
  <c r="BO108" i="29" s="1"/>
  <c r="I108" i="29"/>
  <c r="BG108" i="29" s="1"/>
  <c r="BN108" i="29"/>
  <c r="CA108" i="29" s="1"/>
  <c r="O108" i="29"/>
  <c r="AM108" i="29"/>
  <c r="DG107" i="29"/>
  <c r="DH107" i="29"/>
  <c r="AJ107" i="29"/>
  <c r="AK107" i="29"/>
  <c r="BB107" i="29" s="1"/>
  <c r="I107" i="29"/>
  <c r="L107" i="29"/>
  <c r="AI107" i="29"/>
  <c r="AL107" i="29"/>
  <c r="H107" i="29"/>
  <c r="Z107" i="29"/>
  <c r="BN107" i="29"/>
  <c r="BU107" i="29"/>
  <c r="O107" i="29"/>
  <c r="BT107" i="29"/>
  <c r="R107" i="29"/>
  <c r="BV107" i="29" s="1"/>
  <c r="BW107" i="29"/>
  <c r="BP107" i="29"/>
  <c r="BM107" i="29"/>
  <c r="BI107" i="29"/>
  <c r="AM107" i="29"/>
  <c r="AG107" i="29"/>
  <c r="N107" i="29"/>
  <c r="DB107" i="29" s="1"/>
  <c r="DH106" i="29"/>
  <c r="DG106" i="29"/>
  <c r="N106" i="29"/>
  <c r="O106" i="29"/>
  <c r="AI106" i="29"/>
  <c r="AJ106" i="29"/>
  <c r="BA106" i="29" s="1"/>
  <c r="AK106" i="29"/>
  <c r="R106" i="29"/>
  <c r="AL106" i="29"/>
  <c r="AG106" i="29"/>
  <c r="BW106" i="29"/>
  <c r="BU106" i="29"/>
  <c r="BN106" i="29"/>
  <c r="BT106" i="29"/>
  <c r="I106" i="29"/>
  <c r="BL106" i="29" s="1"/>
  <c r="BM106" i="29"/>
  <c r="L106" i="29"/>
  <c r="BO106" i="29" s="1"/>
  <c r="BP106" i="29"/>
  <c r="BI106" i="29"/>
  <c r="AM106" i="29"/>
  <c r="AW106" i="29" s="1"/>
  <c r="Z106" i="29"/>
  <c r="H106" i="29"/>
  <c r="DG105" i="29"/>
  <c r="DH105" i="29"/>
  <c r="DB105" i="29"/>
  <c r="CS105" i="29"/>
  <c r="CP105" i="29"/>
  <c r="CG105" i="29"/>
  <c r="BM105" i="29"/>
  <c r="BT105" i="29"/>
  <c r="AJ105" i="29"/>
  <c r="AT105" i="29" s="1"/>
  <c r="BW105" i="29"/>
  <c r="BV105" i="29"/>
  <c r="BU105" i="29"/>
  <c r="BN105" i="29"/>
  <c r="BS105" i="29"/>
  <c r="BP105" i="29"/>
  <c r="BO105" i="29"/>
  <c r="BL105" i="29"/>
  <c r="BI105" i="29"/>
  <c r="AM105" i="29"/>
  <c r="AW105" i="29" s="1"/>
  <c r="AI105" i="29"/>
  <c r="AZ105" i="29" s="1"/>
  <c r="AL105" i="29"/>
  <c r="AK105" i="29"/>
  <c r="AG105" i="29"/>
  <c r="CK105" i="29" s="1"/>
  <c r="Z105" i="29"/>
  <c r="DG104" i="29"/>
  <c r="DH104" i="29"/>
  <c r="DB104" i="29"/>
  <c r="CS104" i="29"/>
  <c r="CP104" i="29"/>
  <c r="CG104" i="29"/>
  <c r="BW104" i="29"/>
  <c r="BV104" i="29"/>
  <c r="BU104" i="29"/>
  <c r="BN104" i="29"/>
  <c r="BT104" i="29"/>
  <c r="BM104" i="29"/>
  <c r="BS104" i="29"/>
  <c r="BP104" i="29"/>
  <c r="BO104" i="29"/>
  <c r="BL104" i="29"/>
  <c r="BI104" i="29"/>
  <c r="AM104" i="29"/>
  <c r="AW104" i="29" s="1"/>
  <c r="AI104" i="29"/>
  <c r="AZ104" i="29" s="1"/>
  <c r="AJ104" i="29"/>
  <c r="AT104" i="29" s="1"/>
  <c r="AL104" i="29"/>
  <c r="AK104" i="29"/>
  <c r="AG104" i="29"/>
  <c r="CK104" i="29" s="1"/>
  <c r="Z104" i="29"/>
  <c r="DG103" i="29"/>
  <c r="DH103" i="29"/>
  <c r="DB103" i="29"/>
  <c r="CS103" i="29"/>
  <c r="CP103" i="29"/>
  <c r="Z103" i="29"/>
  <c r="AG103" i="29"/>
  <c r="CK103" i="29" s="1"/>
  <c r="CG103" i="29"/>
  <c r="BW103" i="29"/>
  <c r="BV103" i="29"/>
  <c r="BU103" i="29"/>
  <c r="BT103" i="29"/>
  <c r="BM103" i="29"/>
  <c r="BQ103" i="29" s="1"/>
  <c r="BR103" i="29" s="1"/>
  <c r="BS103" i="29"/>
  <c r="BP103" i="29"/>
  <c r="BO103" i="29"/>
  <c r="BN103" i="29"/>
  <c r="BL103" i="29"/>
  <c r="AM103" i="29"/>
  <c r="AW103" i="29" s="1"/>
  <c r="AL103" i="29"/>
  <c r="AV103" i="29" s="1"/>
  <c r="AI103" i="29"/>
  <c r="AS103" i="29" s="1"/>
  <c r="AK103" i="29"/>
  <c r="AJ103" i="29"/>
  <c r="DG102" i="29"/>
  <c r="DH102" i="29"/>
  <c r="O102" i="29"/>
  <c r="BS102" i="29" s="1"/>
  <c r="AI102" i="29"/>
  <c r="AJ102" i="29"/>
  <c r="CO102" i="29" s="1"/>
  <c r="AK102" i="29"/>
  <c r="BB102" i="29" s="1"/>
  <c r="R102" i="29"/>
  <c r="AL102" i="29"/>
  <c r="BC102" i="29" s="1"/>
  <c r="H102" i="29"/>
  <c r="Z102" i="29"/>
  <c r="N102" i="29"/>
  <c r="AG102" i="29"/>
  <c r="CK102" i="29" s="1"/>
  <c r="BM102" i="29"/>
  <c r="BT102" i="29"/>
  <c r="BW102" i="29"/>
  <c r="BU102" i="29"/>
  <c r="BP102" i="29"/>
  <c r="BQ102" i="29" s="1"/>
  <c r="BR102" i="29" s="1"/>
  <c r="L102" i="29"/>
  <c r="BO102" i="29" s="1"/>
  <c r="BN102" i="29"/>
  <c r="I102" i="29"/>
  <c r="BL102" i="29" s="1"/>
  <c r="AM102" i="29"/>
  <c r="BD102" i="29" s="1"/>
  <c r="BV102" i="29"/>
  <c r="DH101" i="29"/>
  <c r="DG101" i="29"/>
  <c r="AJ101" i="29"/>
  <c r="AK101" i="29"/>
  <c r="AO101" i="29" s="1"/>
  <c r="O101" i="29"/>
  <c r="BH101" i="29" s="1"/>
  <c r="AI101" i="29"/>
  <c r="R101" i="29"/>
  <c r="BV101" i="29" s="1"/>
  <c r="AL101" i="29"/>
  <c r="N101" i="29"/>
  <c r="DB101" i="29" s="1"/>
  <c r="AG101" i="29"/>
  <c r="BN101" i="29"/>
  <c r="BU101" i="29"/>
  <c r="BW101" i="29"/>
  <c r="BT101" i="29"/>
  <c r="BP101" i="29"/>
  <c r="BM101" i="29"/>
  <c r="I101" i="29"/>
  <c r="BL101" i="29" s="1"/>
  <c r="AM101" i="29"/>
  <c r="AW101" i="29" s="1"/>
  <c r="L101" i="29"/>
  <c r="Z101" i="29"/>
  <c r="H101" i="29"/>
  <c r="AM100" i="29"/>
  <c r="AL100" i="29"/>
  <c r="AO100" i="29" s="1"/>
  <c r="AK100" i="29"/>
  <c r="AJ100" i="29"/>
  <c r="AI100" i="29"/>
  <c r="AG100" i="29"/>
  <c r="Z100" i="29"/>
  <c r="BS99" i="29"/>
  <c r="BL99" i="29"/>
  <c r="AM99" i="29"/>
  <c r="AL99" i="29"/>
  <c r="AK99" i="29"/>
  <c r="AJ99" i="29"/>
  <c r="AI99" i="29"/>
  <c r="AZ99" i="29" s="1"/>
  <c r="Z99" i="29"/>
  <c r="AG99" i="29"/>
  <c r="DH98" i="29"/>
  <c r="DG98" i="29"/>
  <c r="DB98" i="29"/>
  <c r="AJ98" i="29"/>
  <c r="AK98" i="29"/>
  <c r="BB98" i="29" s="1"/>
  <c r="T98" i="29"/>
  <c r="CP98" i="29" s="1"/>
  <c r="AA98" i="29"/>
  <c r="AL98" i="29"/>
  <c r="CG98" i="29"/>
  <c r="BW98" i="29"/>
  <c r="BV98" i="29"/>
  <c r="BU98" i="29"/>
  <c r="BN98" i="29"/>
  <c r="BT98" i="29"/>
  <c r="BM98" i="29"/>
  <c r="BP98" i="29"/>
  <c r="BO98" i="29"/>
  <c r="BI98" i="29"/>
  <c r="BA98" i="29"/>
  <c r="AV98" i="29"/>
  <c r="AT98" i="29"/>
  <c r="AM98" i="29"/>
  <c r="AW98" i="29" s="1"/>
  <c r="BC98" i="29"/>
  <c r="DH97" i="29"/>
  <c r="DG97" i="29"/>
  <c r="DB97" i="29"/>
  <c r="CS97" i="29"/>
  <c r="AI97" i="29"/>
  <c r="AJ97" i="29"/>
  <c r="AK97" i="29"/>
  <c r="BB97" i="29" s="1"/>
  <c r="AL97" i="29"/>
  <c r="BC97" i="29" s="1"/>
  <c r="CP97" i="29"/>
  <c r="Z97" i="29"/>
  <c r="CJ97" i="29" s="1"/>
  <c r="AG97" i="29"/>
  <c r="CG97" i="29"/>
  <c r="BN97" i="29"/>
  <c r="BU97" i="29"/>
  <c r="BS97" i="29"/>
  <c r="BT97" i="29"/>
  <c r="BV97" i="29"/>
  <c r="BW97" i="29"/>
  <c r="BP97" i="29"/>
  <c r="BO97" i="29"/>
  <c r="BM97" i="29"/>
  <c r="BL97" i="29"/>
  <c r="BI97" i="29"/>
  <c r="AM97" i="29"/>
  <c r="BD97" i="29" s="1"/>
  <c r="DG96" i="29"/>
  <c r="DH96" i="29"/>
  <c r="H96" i="29"/>
  <c r="Z96" i="29"/>
  <c r="BN96" i="29"/>
  <c r="BU96" i="29"/>
  <c r="AK96" i="29"/>
  <c r="BB96" i="29" s="1"/>
  <c r="BW96" i="29"/>
  <c r="BT96" i="29"/>
  <c r="BP96" i="29"/>
  <c r="BM96" i="29"/>
  <c r="I96" i="29"/>
  <c r="BL96" i="29" s="1"/>
  <c r="BI96" i="29"/>
  <c r="AM96" i="29"/>
  <c r="BD96" i="29" s="1"/>
  <c r="R96" i="29"/>
  <c r="AL96" i="29"/>
  <c r="L96" i="29"/>
  <c r="AJ96" i="29"/>
  <c r="AI96" i="29"/>
  <c r="AS96" i="29" s="1"/>
  <c r="AG96" i="29"/>
  <c r="BV96" i="29"/>
  <c r="O96" i="29"/>
  <c r="N96" i="29"/>
  <c r="DB96" i="29" s="1"/>
  <c r="CP96" i="29"/>
  <c r="DH95" i="29"/>
  <c r="DG95" i="29"/>
  <c r="O95" i="29"/>
  <c r="AI95" i="29"/>
  <c r="CY95" i="29" s="1"/>
  <c r="AJ95" i="29"/>
  <c r="AK95" i="29"/>
  <c r="R95" i="29"/>
  <c r="CS95" i="29" s="1"/>
  <c r="AL95" i="29"/>
  <c r="H95" i="29"/>
  <c r="Z95" i="29"/>
  <c r="N95" i="29"/>
  <c r="DB95" i="29" s="1"/>
  <c r="AG95" i="29"/>
  <c r="BS95" i="29"/>
  <c r="BT95" i="29"/>
  <c r="BU95" i="29"/>
  <c r="BW95" i="29"/>
  <c r="BP95" i="29"/>
  <c r="BN95" i="29"/>
  <c r="CA95" i="29" s="1"/>
  <c r="CD95" i="29" s="1"/>
  <c r="BM95" i="29"/>
  <c r="I95" i="29"/>
  <c r="BL95" i="29" s="1"/>
  <c r="BI95" i="29"/>
  <c r="AM95" i="29"/>
  <c r="AW95" i="29" s="1"/>
  <c r="L95" i="29"/>
  <c r="AV95" i="29" s="1"/>
  <c r="DG94" i="29"/>
  <c r="DH94" i="29"/>
  <c r="AJ94" i="29"/>
  <c r="AK94" i="29"/>
  <c r="BB94" i="29" s="1"/>
  <c r="H94" i="29"/>
  <c r="Z94" i="29"/>
  <c r="BN94" i="29"/>
  <c r="BU94" i="29"/>
  <c r="BW94" i="29"/>
  <c r="BT94" i="29"/>
  <c r="BP94" i="29"/>
  <c r="BM94" i="29"/>
  <c r="I94" i="29"/>
  <c r="BI94" i="29"/>
  <c r="AM94" i="29"/>
  <c r="R94" i="29"/>
  <c r="BV94" i="29" s="1"/>
  <c r="AL94" i="29"/>
  <c r="AP94" i="29" s="1"/>
  <c r="L94" i="29"/>
  <c r="AI94" i="29"/>
  <c r="AG94" i="29"/>
  <c r="CK94" i="29" s="1"/>
  <c r="O94" i="29"/>
  <c r="N94" i="29"/>
  <c r="DH93" i="29"/>
  <c r="DG93" i="29"/>
  <c r="O93" i="29"/>
  <c r="BS93" i="29" s="1"/>
  <c r="AI93" i="29"/>
  <c r="AJ93" i="29"/>
  <c r="AK93" i="29"/>
  <c r="R93" i="29"/>
  <c r="CS93" i="29" s="1"/>
  <c r="AL93" i="29"/>
  <c r="H93" i="29"/>
  <c r="Z93" i="29"/>
  <c r="CM93" i="29" s="1"/>
  <c r="N93" i="29"/>
  <c r="AG93" i="29"/>
  <c r="BT93" i="29"/>
  <c r="BU93" i="29"/>
  <c r="BW93" i="29"/>
  <c r="BP93" i="29"/>
  <c r="BN93" i="29"/>
  <c r="BM93" i="29"/>
  <c r="BZ93" i="29" s="1"/>
  <c r="CC93" i="29" s="1"/>
  <c r="I93" i="29"/>
  <c r="BL93" i="29" s="1"/>
  <c r="BI93" i="29"/>
  <c r="AM93" i="29"/>
  <c r="BD93" i="29" s="1"/>
  <c r="L93" i="29"/>
  <c r="BO93" i="29" s="1"/>
  <c r="BQ93" i="29" s="1"/>
  <c r="BR93" i="29" s="1"/>
  <c r="DG92" i="29"/>
  <c r="DH92" i="29"/>
  <c r="AJ92" i="29"/>
  <c r="AK92" i="29"/>
  <c r="BB92" i="29" s="1"/>
  <c r="O92" i="29"/>
  <c r="BS92" i="29" s="1"/>
  <c r="AI92" i="29"/>
  <c r="R92" i="29"/>
  <c r="AL92" i="29"/>
  <c r="BC92" i="29" s="1"/>
  <c r="N92" i="29"/>
  <c r="DB92" i="29" s="1"/>
  <c r="AG92" i="29"/>
  <c r="BN92" i="29"/>
  <c r="BU92" i="29"/>
  <c r="BW92" i="29"/>
  <c r="BT92" i="29"/>
  <c r="BP92" i="29"/>
  <c r="BM92" i="29"/>
  <c r="BZ92" i="29" s="1"/>
  <c r="CC92" i="29" s="1"/>
  <c r="I92" i="29"/>
  <c r="BG92" i="29" s="1"/>
  <c r="AM92" i="29"/>
  <c r="AW92" i="29" s="1"/>
  <c r="AT92" i="29"/>
  <c r="L92" i="29"/>
  <c r="Z92" i="29"/>
  <c r="CJ92" i="29" s="1"/>
  <c r="H92" i="29"/>
  <c r="DG91" i="29"/>
  <c r="DH91" i="29"/>
  <c r="DB91" i="29"/>
  <c r="AI91" i="29"/>
  <c r="AJ91" i="29"/>
  <c r="AT91" i="29" s="1"/>
  <c r="AK91" i="29"/>
  <c r="CW91" i="29" s="1"/>
  <c r="AL91" i="29"/>
  <c r="BC91" i="29" s="1"/>
  <c r="CS91" i="29"/>
  <c r="CP91" i="29"/>
  <c r="CG91" i="29"/>
  <c r="BN91" i="29"/>
  <c r="BU91" i="29"/>
  <c r="BM91" i="29"/>
  <c r="BT91" i="29"/>
  <c r="BW91" i="29"/>
  <c r="BV91" i="29"/>
  <c r="BS91" i="29"/>
  <c r="BP91" i="29"/>
  <c r="BO91" i="29"/>
  <c r="BL91" i="29"/>
  <c r="BI91" i="29"/>
  <c r="AM91" i="29"/>
  <c r="BD91" i="29" s="1"/>
  <c r="AZ91" i="29"/>
  <c r="AS91" i="29"/>
  <c r="AG91" i="29"/>
  <c r="CK91" i="29" s="1"/>
  <c r="Z91" i="29"/>
  <c r="CJ91" i="29" s="1"/>
  <c r="CL91" i="29" s="1"/>
  <c r="DG90" i="29"/>
  <c r="DH90" i="29"/>
  <c r="N90" i="29"/>
  <c r="AI90" i="29"/>
  <c r="AJ90" i="29"/>
  <c r="BA90" i="29" s="1"/>
  <c r="AK90" i="29"/>
  <c r="BB90" i="29" s="1"/>
  <c r="AL90" i="29"/>
  <c r="H90" i="29"/>
  <c r="O90" i="29"/>
  <c r="BS90" i="29" s="1"/>
  <c r="R90" i="29"/>
  <c r="Z90" i="29"/>
  <c r="AG90" i="29"/>
  <c r="CK90" i="29" s="1"/>
  <c r="BW90" i="29"/>
  <c r="BU90" i="29"/>
  <c r="BT90" i="29"/>
  <c r="BM90" i="29"/>
  <c r="BP90" i="29"/>
  <c r="L90" i="29"/>
  <c r="BN90" i="29"/>
  <c r="AM90" i="29"/>
  <c r="AW90" i="29" s="1"/>
  <c r="I90" i="29"/>
  <c r="BL90" i="29" s="1"/>
  <c r="DH89" i="29"/>
  <c r="DG89" i="29"/>
  <c r="DB89" i="29"/>
  <c r="CS89" i="29"/>
  <c r="CP89" i="29"/>
  <c r="AG89" i="29"/>
  <c r="CK89" i="29" s="1"/>
  <c r="Z89" i="29"/>
  <c r="CJ89" i="29" s="1"/>
  <c r="CG89" i="29"/>
  <c r="AJ89" i="29"/>
  <c r="AK89" i="29"/>
  <c r="AU89" i="29" s="1"/>
  <c r="BW89" i="29"/>
  <c r="BV89" i="29"/>
  <c r="BS89" i="29"/>
  <c r="BT89" i="29"/>
  <c r="BU89" i="29"/>
  <c r="BN89" i="29"/>
  <c r="BM89" i="29"/>
  <c r="BZ89" i="29" s="1"/>
  <c r="CC89" i="29" s="1"/>
  <c r="BL89" i="29"/>
  <c r="BO89" i="29"/>
  <c r="BP89" i="29"/>
  <c r="BI89" i="29"/>
  <c r="AI89" i="29"/>
  <c r="AL89" i="29"/>
  <c r="AM89" i="29"/>
  <c r="DG88" i="29"/>
  <c r="DH88" i="29"/>
  <c r="AJ88" i="29"/>
  <c r="AT88" i="29" s="1"/>
  <c r="AK88" i="29"/>
  <c r="AU88" i="29" s="1"/>
  <c r="O88" i="29"/>
  <c r="BS88" i="29" s="1"/>
  <c r="R88" i="29"/>
  <c r="AI88" i="29"/>
  <c r="AL88" i="29"/>
  <c r="BW88" i="29"/>
  <c r="BU88" i="29"/>
  <c r="BT88" i="29"/>
  <c r="BM88" i="29"/>
  <c r="BP88" i="29"/>
  <c r="BN88" i="29"/>
  <c r="AM88" i="29"/>
  <c r="AW88" i="29" s="1"/>
  <c r="AG88" i="29"/>
  <c r="N88" i="29"/>
  <c r="Z88" i="29"/>
  <c r="CJ88" i="29" s="1"/>
  <c r="L88" i="29"/>
  <c r="I88" i="29"/>
  <c r="H88" i="29"/>
  <c r="DH87" i="29"/>
  <c r="DG87" i="29"/>
  <c r="DB87" i="29"/>
  <c r="AJ87" i="29"/>
  <c r="AK87" i="29"/>
  <c r="AU87" i="29" s="1"/>
  <c r="CS87" i="29"/>
  <c r="CP87" i="29"/>
  <c r="CG87" i="29"/>
  <c r="BW87" i="29"/>
  <c r="BV87" i="29"/>
  <c r="BU87" i="29"/>
  <c r="BN87" i="29"/>
  <c r="BT87" i="29"/>
  <c r="BM87" i="29"/>
  <c r="BS87" i="29"/>
  <c r="BP87" i="29"/>
  <c r="BO87" i="29"/>
  <c r="BL87" i="29"/>
  <c r="BI87" i="29"/>
  <c r="BA87" i="29"/>
  <c r="AI87" i="29"/>
  <c r="AZ87" i="29" s="1"/>
  <c r="AT87" i="29"/>
  <c r="AM87" i="29"/>
  <c r="AL87" i="29"/>
  <c r="AG87" i="29"/>
  <c r="CK87" i="29" s="1"/>
  <c r="Z87" i="29"/>
  <c r="DH86" i="29"/>
  <c r="DG86" i="29"/>
  <c r="DB86" i="29"/>
  <c r="AJ86" i="29"/>
  <c r="BA86" i="29" s="1"/>
  <c r="BF86" i="29" s="1"/>
  <c r="AK86" i="29"/>
  <c r="AU86" i="29" s="1"/>
  <c r="CS86" i="29"/>
  <c r="CP86" i="29"/>
  <c r="CG86" i="29"/>
  <c r="BW86" i="29"/>
  <c r="BV86" i="29"/>
  <c r="BU86" i="29"/>
  <c r="BN86" i="29"/>
  <c r="BT86" i="29"/>
  <c r="BM86" i="29"/>
  <c r="BS86" i="29"/>
  <c r="BP86" i="29"/>
  <c r="BQ86" i="29" s="1"/>
  <c r="BR86" i="29" s="1"/>
  <c r="BO86" i="29"/>
  <c r="BL86" i="29"/>
  <c r="BI86" i="29"/>
  <c r="AI86" i="29"/>
  <c r="AZ86" i="29" s="1"/>
  <c r="AM86" i="29"/>
  <c r="AL86" i="29"/>
  <c r="AG86" i="29"/>
  <c r="CK86" i="29" s="1"/>
  <c r="Z86" i="29"/>
  <c r="DH85" i="29"/>
  <c r="DG85" i="29"/>
  <c r="N85" i="29"/>
  <c r="DB85" i="29" s="1"/>
  <c r="AI85" i="29"/>
  <c r="AZ85" i="29" s="1"/>
  <c r="AJ85" i="29"/>
  <c r="BA85" i="29" s="1"/>
  <c r="AK85" i="29"/>
  <c r="AL85" i="29"/>
  <c r="I85" i="29"/>
  <c r="L85" i="29"/>
  <c r="H85" i="29"/>
  <c r="Z85" i="29"/>
  <c r="O85" i="29"/>
  <c r="BN85" i="29"/>
  <c r="BU85" i="29"/>
  <c r="BW85" i="29"/>
  <c r="R85" i="29"/>
  <c r="BV85" i="29" s="1"/>
  <c r="BT85" i="29"/>
  <c r="BM85" i="29"/>
  <c r="BP85" i="29"/>
  <c r="BG85" i="29"/>
  <c r="AM85" i="29"/>
  <c r="AW85" i="29" s="1"/>
  <c r="AG85" i="29"/>
  <c r="DH84" i="29"/>
  <c r="DG84" i="29"/>
  <c r="AJ84" i="29"/>
  <c r="CV84" i="29" s="1"/>
  <c r="AK84" i="29"/>
  <c r="O84" i="29"/>
  <c r="BH84" i="29" s="1"/>
  <c r="AI84" i="29"/>
  <c r="AP84" i="29" s="1"/>
  <c r="R84" i="29"/>
  <c r="BV84" i="29" s="1"/>
  <c r="AL84" i="29"/>
  <c r="I84" i="29"/>
  <c r="CG84" i="29" s="1"/>
  <c r="L84" i="29"/>
  <c r="N84" i="29"/>
  <c r="DB84" i="29" s="1"/>
  <c r="AG84" i="29"/>
  <c r="H84" i="29"/>
  <c r="Z84" i="29"/>
  <c r="AH84" i="29" s="1"/>
  <c r="BM84" i="29"/>
  <c r="BZ84" i="29" s="1"/>
  <c r="CC84" i="29" s="1"/>
  <c r="BT84" i="29"/>
  <c r="BW84" i="29"/>
  <c r="BU84" i="29"/>
  <c r="BN84" i="29"/>
  <c r="BP84" i="29"/>
  <c r="BG84" i="29"/>
  <c r="AM84" i="29"/>
  <c r="AW84" i="29" s="1"/>
  <c r="BO84" i="29"/>
  <c r="DG83" i="29"/>
  <c r="DH83" i="29"/>
  <c r="DB83" i="29"/>
  <c r="CS83" i="29"/>
  <c r="CP83" i="29"/>
  <c r="Z83" i="29"/>
  <c r="CJ83" i="29" s="1"/>
  <c r="AG83" i="29"/>
  <c r="CK83" i="29" s="1"/>
  <c r="CG83" i="29"/>
  <c r="BM83" i="29"/>
  <c r="BT83" i="29"/>
  <c r="BW83" i="29"/>
  <c r="BV83" i="29"/>
  <c r="BU83" i="29"/>
  <c r="BS83" i="29"/>
  <c r="BP83" i="29"/>
  <c r="BO83" i="29"/>
  <c r="BN83" i="29"/>
  <c r="BL83" i="29"/>
  <c r="BI83" i="29"/>
  <c r="AM83" i="29"/>
  <c r="BD83" i="29" s="1"/>
  <c r="AL83" i="29"/>
  <c r="AV83" i="29" s="1"/>
  <c r="AI83" i="29"/>
  <c r="AS83" i="29" s="1"/>
  <c r="AK83" i="29"/>
  <c r="AJ83" i="29"/>
  <c r="DG82" i="29"/>
  <c r="DH82" i="29"/>
  <c r="O82" i="29"/>
  <c r="BS82" i="29" s="1"/>
  <c r="R82" i="29"/>
  <c r="BV82" i="29" s="1"/>
  <c r="H82" i="29"/>
  <c r="Z82" i="29"/>
  <c r="N82" i="29"/>
  <c r="DB82" i="29" s="1"/>
  <c r="AG82" i="29"/>
  <c r="BW82" i="29"/>
  <c r="BU82" i="29"/>
  <c r="BT82" i="29"/>
  <c r="BP82" i="29"/>
  <c r="BN82" i="29"/>
  <c r="AK82" i="29"/>
  <c r="AU82" i="29" s="1"/>
  <c r="BM82" i="29"/>
  <c r="AJ82" i="29"/>
  <c r="AT82" i="29" s="1"/>
  <c r="AI82" i="29"/>
  <c r="AM82" i="29"/>
  <c r="BD82" i="29" s="1"/>
  <c r="AL82" i="29"/>
  <c r="BH82" i="29"/>
  <c r="L82" i="29"/>
  <c r="I82" i="29"/>
  <c r="BL82" i="29" s="1"/>
  <c r="DH81" i="29"/>
  <c r="DG81" i="29"/>
  <c r="N81" i="29"/>
  <c r="AI81" i="29"/>
  <c r="AJ81" i="29"/>
  <c r="AK81" i="29"/>
  <c r="AU81" i="29" s="1"/>
  <c r="AL81" i="29"/>
  <c r="H81" i="29"/>
  <c r="Z81" i="29"/>
  <c r="I81" i="29"/>
  <c r="BG81" i="29" s="1"/>
  <c r="O81" i="29"/>
  <c r="BW81" i="29"/>
  <c r="R81" i="29"/>
  <c r="BC81" i="29" s="1"/>
  <c r="BU81" i="29"/>
  <c r="BN81" i="29"/>
  <c r="BT81" i="29"/>
  <c r="BM81" i="29"/>
  <c r="BP81" i="29"/>
  <c r="BA81" i="29"/>
  <c r="AM81" i="29"/>
  <c r="BD81" i="29" s="1"/>
  <c r="L81" i="29"/>
  <c r="BO81" i="29" s="1"/>
  <c r="AT81" i="29"/>
  <c r="AG81" i="29"/>
  <c r="DH80" i="29"/>
  <c r="DI80" i="29" s="1"/>
  <c r="DG80" i="29"/>
  <c r="DB80" i="29"/>
  <c r="AJ80" i="29"/>
  <c r="BA80" i="29" s="1"/>
  <c r="AK80" i="29"/>
  <c r="CS80" i="29"/>
  <c r="AI80" i="29"/>
  <c r="AZ80" i="29" s="1"/>
  <c r="AL80" i="29"/>
  <c r="CP80" i="29"/>
  <c r="AG80" i="29"/>
  <c r="Z80" i="29"/>
  <c r="CJ80" i="29" s="1"/>
  <c r="CG80" i="29"/>
  <c r="BN80" i="29"/>
  <c r="BU80" i="29"/>
  <c r="BM80" i="29"/>
  <c r="BT80" i="29"/>
  <c r="BW80" i="29"/>
  <c r="BS80" i="29"/>
  <c r="BV80" i="29"/>
  <c r="BL80" i="29"/>
  <c r="BO80" i="29"/>
  <c r="BP80" i="29"/>
  <c r="BI80" i="29"/>
  <c r="BB80" i="29"/>
  <c r="AM80" i="29"/>
  <c r="AW80" i="29" s="1"/>
  <c r="AU80" i="29"/>
  <c r="DH79" i="29"/>
  <c r="DG79" i="29"/>
  <c r="DB79" i="29"/>
  <c r="AA79" i="29"/>
  <c r="BS79" i="29" s="1"/>
  <c r="CG79" i="29"/>
  <c r="BW79" i="29"/>
  <c r="BT79" i="29"/>
  <c r="BU79" i="29"/>
  <c r="BV79" i="29"/>
  <c r="BN79" i="29"/>
  <c r="AK79" i="29"/>
  <c r="AU79" i="29" s="1"/>
  <c r="BP79" i="29"/>
  <c r="BO79" i="29"/>
  <c r="BM79" i="29"/>
  <c r="BI79" i="29"/>
  <c r="AL79" i="29"/>
  <c r="BC79" i="29" s="1"/>
  <c r="AM79" i="29"/>
  <c r="AW79" i="29" s="1"/>
  <c r="AJ79" i="29"/>
  <c r="T79" i="29"/>
  <c r="Z79" i="29" s="1"/>
  <c r="DG78" i="29"/>
  <c r="DH78" i="29"/>
  <c r="DB78" i="29"/>
  <c r="CG78" i="29"/>
  <c r="BN78" i="29"/>
  <c r="BU78" i="29"/>
  <c r="BM78" i="29"/>
  <c r="BT78" i="29"/>
  <c r="BW78" i="29"/>
  <c r="BV78" i="29"/>
  <c r="AA78" i="29"/>
  <c r="BS78" i="29" s="1"/>
  <c r="BP78" i="29"/>
  <c r="BO78" i="29"/>
  <c r="BI78" i="29"/>
  <c r="AM78" i="29"/>
  <c r="BD78" i="29" s="1"/>
  <c r="AL78" i="29"/>
  <c r="AK78" i="29"/>
  <c r="AJ78" i="29"/>
  <c r="CW78" i="29" s="1"/>
  <c r="T78" i="29"/>
  <c r="Z78" i="29" s="1"/>
  <c r="DH77" i="29"/>
  <c r="DG77" i="29"/>
  <c r="DI77" i="29" s="1"/>
  <c r="DB77" i="29"/>
  <c r="T77" i="29"/>
  <c r="CG77" i="29"/>
  <c r="AJ77" i="29"/>
  <c r="CV77" i="29" s="1"/>
  <c r="AK77" i="29"/>
  <c r="BM77" i="29"/>
  <c r="BT77" i="29"/>
  <c r="BN77" i="29"/>
  <c r="BU77" i="29"/>
  <c r="BW77" i="29"/>
  <c r="BV77" i="29"/>
  <c r="BO77" i="29"/>
  <c r="BP77" i="29"/>
  <c r="BI77" i="29"/>
  <c r="AM77" i="29"/>
  <c r="AW77" i="29" s="1"/>
  <c r="AL77" i="29"/>
  <c r="BC77" i="29" s="1"/>
  <c r="AA77" i="29"/>
  <c r="DH76" i="29"/>
  <c r="DG76" i="29"/>
  <c r="DB76" i="29"/>
  <c r="AA76" i="29"/>
  <c r="AG76" i="29" s="1"/>
  <c r="CK76" i="29" s="1"/>
  <c r="CG76" i="29"/>
  <c r="BT76" i="29"/>
  <c r="BU76" i="29"/>
  <c r="BV76" i="29"/>
  <c r="BW76" i="29"/>
  <c r="BN76" i="29"/>
  <c r="CA76" i="29" s="1"/>
  <c r="CB76" i="29" s="1"/>
  <c r="AK76" i="29"/>
  <c r="CV76" i="29" s="1"/>
  <c r="BP76" i="29"/>
  <c r="BO76" i="29"/>
  <c r="BM76" i="29"/>
  <c r="BZ76" i="29" s="1"/>
  <c r="BI76" i="29"/>
  <c r="AL76" i="29"/>
  <c r="BC76" i="29" s="1"/>
  <c r="AJ76" i="29"/>
  <c r="BA76" i="29" s="1"/>
  <c r="AM76" i="29"/>
  <c r="AW76" i="29" s="1"/>
  <c r="T76" i="29"/>
  <c r="Z76" i="29" s="1"/>
  <c r="DH75" i="29"/>
  <c r="DG75" i="29"/>
  <c r="DB75" i="29"/>
  <c r="AJ75" i="29"/>
  <c r="CV75" i="29" s="1"/>
  <c r="AK75" i="29"/>
  <c r="BB75" i="29" s="1"/>
  <c r="CG75" i="29"/>
  <c r="BN75" i="29"/>
  <c r="BU75" i="29"/>
  <c r="BW75" i="29"/>
  <c r="BV75" i="29"/>
  <c r="BT75" i="29"/>
  <c r="BP75" i="29"/>
  <c r="BO75" i="29"/>
  <c r="BM75" i="29"/>
  <c r="BI75" i="29"/>
  <c r="AM75" i="29"/>
  <c r="BD75" i="29" s="1"/>
  <c r="AL75" i="29"/>
  <c r="BC75" i="29" s="1"/>
  <c r="AA75" i="29"/>
  <c r="AG75" i="29" s="1"/>
  <c r="CK75" i="29" s="1"/>
  <c r="T75" i="29"/>
  <c r="DH74" i="29"/>
  <c r="DG74" i="29"/>
  <c r="DB74" i="29"/>
  <c r="AA74" i="29"/>
  <c r="T74" i="29"/>
  <c r="CP74" i="29" s="1"/>
  <c r="CG74" i="29"/>
  <c r="AJ74" i="29"/>
  <c r="BA74" i="29" s="1"/>
  <c r="AK74" i="29"/>
  <c r="BB74" i="29" s="1"/>
  <c r="BM74" i="29"/>
  <c r="BT74" i="29"/>
  <c r="BW74" i="29"/>
  <c r="BV74" i="29"/>
  <c r="BU74" i="29"/>
  <c r="BP74" i="29"/>
  <c r="BO74" i="29"/>
  <c r="BN74" i="29"/>
  <c r="BI74" i="29"/>
  <c r="AM74" i="29"/>
  <c r="AW74" i="29" s="1"/>
  <c r="AL74" i="29"/>
  <c r="BC74" i="29" s="1"/>
  <c r="BL74" i="29"/>
  <c r="DG73" i="29"/>
  <c r="DH73" i="29"/>
  <c r="DB73" i="29"/>
  <c r="AJ73" i="29"/>
  <c r="AT73" i="29" s="1"/>
  <c r="AK73" i="29"/>
  <c r="CW73" i="29" s="1"/>
  <c r="T73" i="29"/>
  <c r="CP73" i="29" s="1"/>
  <c r="CG73" i="29"/>
  <c r="BN73" i="29"/>
  <c r="BU73" i="29"/>
  <c r="AA73" i="29"/>
  <c r="BS73" i="29" s="1"/>
  <c r="BT73" i="29"/>
  <c r="BV73" i="29"/>
  <c r="BW73" i="29"/>
  <c r="BM73" i="29"/>
  <c r="BO73" i="29"/>
  <c r="BP73" i="29"/>
  <c r="BI73" i="29"/>
  <c r="AL73" i="29"/>
  <c r="BC73" i="29" s="1"/>
  <c r="AM73" i="29"/>
  <c r="DG72" i="29"/>
  <c r="DH72" i="29"/>
  <c r="H72" i="29"/>
  <c r="Z72" i="29"/>
  <c r="N72" i="29"/>
  <c r="DB72" i="29" s="1"/>
  <c r="AG72" i="29"/>
  <c r="BM72" i="29"/>
  <c r="BT72" i="29"/>
  <c r="BW72" i="29"/>
  <c r="BU72" i="29"/>
  <c r="O72" i="29"/>
  <c r="BS72" i="29" s="1"/>
  <c r="BP72" i="29"/>
  <c r="L72" i="29"/>
  <c r="BO72" i="29" s="1"/>
  <c r="BN72" i="29"/>
  <c r="I72" i="29"/>
  <c r="AM72" i="29"/>
  <c r="BD72" i="29" s="1"/>
  <c r="AJ72" i="29"/>
  <c r="AT72" i="29" s="1"/>
  <c r="AI72" i="29"/>
  <c r="CR72" i="29" s="1"/>
  <c r="AL72" i="29"/>
  <c r="AK72" i="29"/>
  <c r="R72" i="29"/>
  <c r="DH71" i="29"/>
  <c r="DG71" i="29"/>
  <c r="DB71" i="29"/>
  <c r="CS71" i="29"/>
  <c r="CP71" i="29"/>
  <c r="Z71" i="29"/>
  <c r="AG71" i="29"/>
  <c r="CK71" i="29" s="1"/>
  <c r="CG71" i="29"/>
  <c r="BN71" i="29"/>
  <c r="BU71" i="29"/>
  <c r="BW71" i="29"/>
  <c r="BV71" i="29"/>
  <c r="BT71" i="29"/>
  <c r="BM71" i="29"/>
  <c r="AJ71" i="29"/>
  <c r="BS71" i="29"/>
  <c r="BP71" i="29"/>
  <c r="BO71" i="29"/>
  <c r="BL71" i="29"/>
  <c r="BI71" i="29"/>
  <c r="AM71" i="29"/>
  <c r="BD71" i="29" s="1"/>
  <c r="AI71" i="29"/>
  <c r="AZ71" i="29" s="1"/>
  <c r="AL71" i="29"/>
  <c r="AV71" i="29" s="1"/>
  <c r="AK71" i="29"/>
  <c r="DH70" i="29"/>
  <c r="DG70" i="29"/>
  <c r="N70" i="29"/>
  <c r="DB70" i="29" s="1"/>
  <c r="H70" i="29"/>
  <c r="AI70" i="29"/>
  <c r="AJ70" i="29"/>
  <c r="AK70" i="29"/>
  <c r="AL70" i="29"/>
  <c r="I70" i="29"/>
  <c r="L70" i="29"/>
  <c r="BO70" i="29" s="1"/>
  <c r="Z70" i="29"/>
  <c r="BM70" i="29"/>
  <c r="BT70" i="29"/>
  <c r="BN70" i="29"/>
  <c r="BU70" i="29"/>
  <c r="BW70" i="29"/>
  <c r="R70" i="29"/>
  <c r="BP70" i="29"/>
  <c r="BI70" i="29"/>
  <c r="O70" i="29"/>
  <c r="CQ70" i="29" s="1"/>
  <c r="BB70" i="29"/>
  <c r="AM70" i="29"/>
  <c r="AG70" i="29"/>
  <c r="DH69" i="29"/>
  <c r="DG69" i="29"/>
  <c r="N69" i="29"/>
  <c r="DB69" i="29" s="1"/>
  <c r="H69" i="29"/>
  <c r="Z69" i="29"/>
  <c r="BN69" i="29"/>
  <c r="BU69" i="29"/>
  <c r="BW69" i="29"/>
  <c r="BT69" i="29"/>
  <c r="BM69" i="29"/>
  <c r="BP69" i="29"/>
  <c r="L69" i="29"/>
  <c r="BO69" i="29" s="1"/>
  <c r="BI69" i="29"/>
  <c r="AJ69" i="29"/>
  <c r="BA69" i="29" s="1"/>
  <c r="O69" i="29"/>
  <c r="AI69" i="29"/>
  <c r="AM69" i="29"/>
  <c r="BD69" i="29" s="1"/>
  <c r="AL69" i="29"/>
  <c r="AQ69" i="29" s="1"/>
  <c r="AK69" i="29"/>
  <c r="AG69" i="29"/>
  <c r="R69" i="29"/>
  <c r="BC69" i="29" s="1"/>
  <c r="I69" i="29"/>
  <c r="DH68" i="29"/>
  <c r="DG68" i="29"/>
  <c r="DB68" i="29"/>
  <c r="AI68" i="29"/>
  <c r="AZ68" i="29" s="1"/>
  <c r="AJ68" i="29"/>
  <c r="AK68" i="29"/>
  <c r="AL68" i="29"/>
  <c r="CO68" i="29" s="1"/>
  <c r="CS68" i="29"/>
  <c r="CP68" i="29"/>
  <c r="CG68" i="29"/>
  <c r="BM68" i="29"/>
  <c r="BT68" i="29"/>
  <c r="BW68" i="29"/>
  <c r="BV68" i="29"/>
  <c r="BU68" i="29"/>
  <c r="BS68" i="29"/>
  <c r="BP68" i="29"/>
  <c r="BO68" i="29"/>
  <c r="BN68" i="29"/>
  <c r="CA68" i="29" s="1"/>
  <c r="CD68" i="29" s="1"/>
  <c r="BL68" i="29"/>
  <c r="BI68" i="29"/>
  <c r="AS68" i="29"/>
  <c r="AM68" i="29"/>
  <c r="AW68" i="29" s="1"/>
  <c r="AG68" i="29"/>
  <c r="Z68" i="29"/>
  <c r="DH67" i="29"/>
  <c r="DG67" i="29"/>
  <c r="N67" i="29"/>
  <c r="AI67" i="29"/>
  <c r="AJ67" i="29"/>
  <c r="AK67" i="29"/>
  <c r="CW67" i="29" s="1"/>
  <c r="AL67" i="29"/>
  <c r="AV67" i="29" s="1"/>
  <c r="I67" i="29"/>
  <c r="L67" i="29"/>
  <c r="BO67" i="29" s="1"/>
  <c r="O67" i="29"/>
  <c r="CS67" i="29" s="1"/>
  <c r="BM67" i="29"/>
  <c r="BT67" i="29"/>
  <c r="BW67" i="29"/>
  <c r="BU67" i="29"/>
  <c r="BP67" i="29"/>
  <c r="BN67" i="29"/>
  <c r="BI67" i="29"/>
  <c r="AM67" i="29"/>
  <c r="AW67" i="29" s="1"/>
  <c r="BA67" i="29"/>
  <c r="AT67" i="29"/>
  <c r="AG67" i="29"/>
  <c r="CK67" i="29" s="1"/>
  <c r="Z67" i="29"/>
  <c r="R67" i="29"/>
  <c r="H67" i="29"/>
  <c r="DH66" i="29"/>
  <c r="DG66" i="29"/>
  <c r="N66" i="29"/>
  <c r="DB66" i="29" s="1"/>
  <c r="H66" i="29"/>
  <c r="AI66" i="29"/>
  <c r="AJ66" i="29"/>
  <c r="BA66" i="29" s="1"/>
  <c r="AK66" i="29"/>
  <c r="AL66" i="29"/>
  <c r="I66" i="29"/>
  <c r="BL66" i="29" s="1"/>
  <c r="L66" i="29"/>
  <c r="BO66" i="29" s="1"/>
  <c r="Z66" i="29"/>
  <c r="BM66" i="29"/>
  <c r="BT66" i="29"/>
  <c r="BW66" i="29"/>
  <c r="R66" i="29"/>
  <c r="BV66" i="29" s="1"/>
  <c r="BU66" i="29"/>
  <c r="BN66" i="29"/>
  <c r="BP66" i="29"/>
  <c r="BI66" i="29"/>
  <c r="O66" i="29"/>
  <c r="AM66" i="29"/>
  <c r="AW66" i="29" s="1"/>
  <c r="AG66" i="29"/>
  <c r="DH65" i="29"/>
  <c r="DG65" i="29"/>
  <c r="H65" i="29"/>
  <c r="Z65" i="29"/>
  <c r="BN65" i="29"/>
  <c r="BU65" i="29"/>
  <c r="AK65" i="29"/>
  <c r="CV65" i="29" s="1"/>
  <c r="BW65" i="29"/>
  <c r="R65" i="29"/>
  <c r="BV65" i="29" s="1"/>
  <c r="BT65" i="29"/>
  <c r="BM65" i="29"/>
  <c r="BP65" i="29"/>
  <c r="L65" i="29"/>
  <c r="BO65" i="29" s="1"/>
  <c r="O65" i="29"/>
  <c r="AL65" i="29"/>
  <c r="AM65" i="29"/>
  <c r="AJ65" i="29"/>
  <c r="AI65" i="29"/>
  <c r="AG65" i="29"/>
  <c r="N65" i="29"/>
  <c r="DB65" i="29" s="1"/>
  <c r="I65" i="29"/>
  <c r="DH64" i="29"/>
  <c r="DG64" i="29"/>
  <c r="O64" i="29"/>
  <c r="BS64" i="29" s="1"/>
  <c r="AI64" i="29"/>
  <c r="AJ64" i="29"/>
  <c r="AT64" i="29" s="1"/>
  <c r="AK64" i="29"/>
  <c r="AU64" i="29" s="1"/>
  <c r="R64" i="29"/>
  <c r="BV64" i="29" s="1"/>
  <c r="AL64" i="29"/>
  <c r="H64" i="29"/>
  <c r="Z64" i="29"/>
  <c r="BN64" i="29"/>
  <c r="CA64" i="29" s="1"/>
  <c r="BU64" i="29"/>
  <c r="BW64" i="29"/>
  <c r="BT64" i="29"/>
  <c r="BP64" i="29"/>
  <c r="BM64" i="29"/>
  <c r="BI64" i="29"/>
  <c r="BB64" i="29"/>
  <c r="L64" i="29"/>
  <c r="AM64" i="29"/>
  <c r="AG64" i="29"/>
  <c r="N64" i="29"/>
  <c r="DB64" i="29" s="1"/>
  <c r="I64" i="29"/>
  <c r="CP64" i="29" s="1"/>
  <c r="DH63" i="29"/>
  <c r="DG63" i="29"/>
  <c r="O63" i="29"/>
  <c r="BS63" i="29" s="1"/>
  <c r="AI63" i="29"/>
  <c r="AJ63" i="29"/>
  <c r="AK63" i="29"/>
  <c r="AU63" i="29" s="1"/>
  <c r="R63" i="29"/>
  <c r="AL63" i="29"/>
  <c r="BC63" i="29" s="1"/>
  <c r="I63" i="29"/>
  <c r="BG63" i="29" s="1"/>
  <c r="L63" i="29"/>
  <c r="N63" i="29"/>
  <c r="AG63" i="29"/>
  <c r="H63" i="29"/>
  <c r="Z63" i="29"/>
  <c r="BW63" i="29"/>
  <c r="BU63" i="29"/>
  <c r="BN63" i="29"/>
  <c r="BT63" i="29"/>
  <c r="BP63" i="29"/>
  <c r="BM63" i="29"/>
  <c r="BL63" i="29"/>
  <c r="AM63" i="29"/>
  <c r="BD63" i="29" s="1"/>
  <c r="BV63" i="29"/>
  <c r="DG62" i="29"/>
  <c r="DH62" i="29"/>
  <c r="H62" i="29"/>
  <c r="Z62" i="29"/>
  <c r="N62" i="29"/>
  <c r="AG62" i="29"/>
  <c r="BM62" i="29"/>
  <c r="BT62" i="29"/>
  <c r="BW62" i="29"/>
  <c r="BU62" i="29"/>
  <c r="O62" i="29"/>
  <c r="BS62" i="29" s="1"/>
  <c r="BP62" i="29"/>
  <c r="L62" i="29"/>
  <c r="BO62" i="29" s="1"/>
  <c r="BN62" i="29"/>
  <c r="I62" i="29"/>
  <c r="BL62" i="29" s="1"/>
  <c r="AM62" i="29"/>
  <c r="BD62" i="29" s="1"/>
  <c r="AJ62" i="29"/>
  <c r="BA62" i="29" s="1"/>
  <c r="AI62" i="29"/>
  <c r="AL62" i="29"/>
  <c r="AQ62" i="29" s="1"/>
  <c r="AK62" i="29"/>
  <c r="R62" i="29"/>
  <c r="DH61" i="29"/>
  <c r="DG61" i="29"/>
  <c r="AJ61" i="29"/>
  <c r="BA61" i="29" s="1"/>
  <c r="AK61" i="29"/>
  <c r="CN61" i="29" s="1"/>
  <c r="H61" i="29"/>
  <c r="Z61" i="29"/>
  <c r="CJ61" i="29" s="1"/>
  <c r="BN61" i="29"/>
  <c r="BU61" i="29"/>
  <c r="BW61" i="29"/>
  <c r="R61" i="29"/>
  <c r="BV61" i="29" s="1"/>
  <c r="BT61" i="29"/>
  <c r="BM61" i="29"/>
  <c r="BP61" i="29"/>
  <c r="O61" i="29"/>
  <c r="BH61" i="29" s="1"/>
  <c r="I61" i="29"/>
  <c r="AS61" i="29" s="1"/>
  <c r="AL61" i="29"/>
  <c r="AV61" i="29" s="1"/>
  <c r="AM61" i="29"/>
  <c r="BD61" i="29" s="1"/>
  <c r="AI61" i="29"/>
  <c r="AG61" i="29"/>
  <c r="N61" i="29"/>
  <c r="L61" i="29"/>
  <c r="BO61" i="29" s="1"/>
  <c r="DH60" i="29"/>
  <c r="DG60" i="29"/>
  <c r="AJ60" i="29"/>
  <c r="AK60" i="29"/>
  <c r="CV60" i="29" s="1"/>
  <c r="H60" i="29"/>
  <c r="Z60" i="29"/>
  <c r="BM60" i="29"/>
  <c r="BT60" i="29"/>
  <c r="BW60" i="29"/>
  <c r="BU60" i="29"/>
  <c r="BN60" i="29"/>
  <c r="O60" i="29"/>
  <c r="BS60" i="29" s="1"/>
  <c r="BP60" i="29"/>
  <c r="I60" i="29"/>
  <c r="BL60" i="29" s="1"/>
  <c r="AM60" i="29"/>
  <c r="BD60" i="29" s="1"/>
  <c r="L60" i="29"/>
  <c r="BO60" i="29" s="1"/>
  <c r="AL60" i="29"/>
  <c r="AI60" i="29"/>
  <c r="CN60" i="29" s="1"/>
  <c r="AG60" i="29"/>
  <c r="R60" i="29"/>
  <c r="N60" i="29"/>
  <c r="DH59" i="29"/>
  <c r="DG59" i="29"/>
  <c r="BI59" i="29"/>
  <c r="AM59" i="29"/>
  <c r="AL59" i="29"/>
  <c r="AJ59" i="29"/>
  <c r="AI59" i="29"/>
  <c r="AC59" i="29"/>
  <c r="CS59" i="29" s="1"/>
  <c r="V59" i="29"/>
  <c r="Z59" i="29" s="1"/>
  <c r="DH58" i="29"/>
  <c r="DG58" i="29"/>
  <c r="DB58" i="29"/>
  <c r="CS58" i="29"/>
  <c r="CP58" i="29"/>
  <c r="AG58" i="29"/>
  <c r="CK58" i="29" s="1"/>
  <c r="Z58" i="29"/>
  <c r="CJ58" i="29" s="1"/>
  <c r="CL58" i="29" s="1"/>
  <c r="CG58" i="29"/>
  <c r="BM58" i="29"/>
  <c r="BT58" i="29"/>
  <c r="AJ58" i="29"/>
  <c r="BA58" i="29" s="1"/>
  <c r="BW58" i="29"/>
  <c r="BV58" i="29"/>
  <c r="BU58" i="29"/>
  <c r="BS58" i="29"/>
  <c r="BP58" i="29"/>
  <c r="BO58" i="29"/>
  <c r="BN58" i="29"/>
  <c r="BL58" i="29"/>
  <c r="BI58" i="29"/>
  <c r="AL58" i="29"/>
  <c r="AI58" i="29"/>
  <c r="AZ58" i="29" s="1"/>
  <c r="AM58" i="29"/>
  <c r="BD58" i="29" s="1"/>
  <c r="AK58" i="29"/>
  <c r="BB58" i="29" s="1"/>
  <c r="DH57" i="29"/>
  <c r="DG57" i="29"/>
  <c r="DB57" i="29"/>
  <c r="AJ57" i="29"/>
  <c r="CY57" i="29" s="1"/>
  <c r="AK57" i="29"/>
  <c r="BB57" i="29" s="1"/>
  <c r="CS57" i="29"/>
  <c r="CP57" i="29"/>
  <c r="Z57" i="29"/>
  <c r="CJ57" i="29" s="1"/>
  <c r="CG57" i="29"/>
  <c r="BM57" i="29"/>
  <c r="BT57" i="29"/>
  <c r="BW57" i="29"/>
  <c r="BV57" i="29"/>
  <c r="BU57" i="29"/>
  <c r="BS57" i="29"/>
  <c r="BP57" i="29"/>
  <c r="BO57" i="29"/>
  <c r="BN57" i="29"/>
  <c r="CA57" i="29" s="1"/>
  <c r="BL57" i="29"/>
  <c r="BI57" i="29"/>
  <c r="AL57" i="29"/>
  <c r="BC57" i="29" s="1"/>
  <c r="AM57" i="29"/>
  <c r="AI57" i="29"/>
  <c r="AG57" i="29"/>
  <c r="CM57" i="29" s="1"/>
  <c r="DH56" i="29"/>
  <c r="DG56" i="29"/>
  <c r="N56" i="29"/>
  <c r="DB56" i="29" s="1"/>
  <c r="AJ56" i="29"/>
  <c r="AT56" i="29" s="1"/>
  <c r="AK56" i="29"/>
  <c r="BB56" i="29" s="1"/>
  <c r="I56" i="29"/>
  <c r="L56" i="29"/>
  <c r="BO56" i="29" s="1"/>
  <c r="H56" i="29"/>
  <c r="Z56" i="29"/>
  <c r="BN56" i="29"/>
  <c r="BU56" i="29"/>
  <c r="BW56" i="29"/>
  <c r="BT56" i="29"/>
  <c r="BP56" i="29"/>
  <c r="BM56" i="29"/>
  <c r="BL56" i="29"/>
  <c r="BI56" i="29"/>
  <c r="AM56" i="29"/>
  <c r="AL56" i="29"/>
  <c r="AI56" i="29"/>
  <c r="AG56" i="29"/>
  <c r="AH56" i="29" s="1"/>
  <c r="R56" i="29"/>
  <c r="BV56" i="29" s="1"/>
  <c r="O56" i="29"/>
  <c r="DG55" i="29"/>
  <c r="DH55" i="29"/>
  <c r="O55" i="29"/>
  <c r="BS55" i="29" s="1"/>
  <c r="AI55" i="29"/>
  <c r="AJ55" i="29"/>
  <c r="CZ55" i="29" s="1"/>
  <c r="AK55" i="29"/>
  <c r="R55" i="29"/>
  <c r="BV55" i="29" s="1"/>
  <c r="AL55" i="29"/>
  <c r="H55" i="29"/>
  <c r="Z55" i="29"/>
  <c r="BN55" i="29"/>
  <c r="BU55" i="29"/>
  <c r="BW55" i="29"/>
  <c r="BT55" i="29"/>
  <c r="BM55" i="29"/>
  <c r="BP55" i="29"/>
  <c r="BI55" i="29"/>
  <c r="AM55" i="29"/>
  <c r="BD55" i="29" s="1"/>
  <c r="BB55" i="29"/>
  <c r="AU55" i="29"/>
  <c r="AG55" i="29"/>
  <c r="N55" i="29"/>
  <c r="L55" i="29"/>
  <c r="BO55" i="29" s="1"/>
  <c r="I55" i="29"/>
  <c r="DG54" i="29"/>
  <c r="DH54" i="29"/>
  <c r="DB54" i="29"/>
  <c r="AJ54" i="29"/>
  <c r="AK54" i="29"/>
  <c r="CN54" i="29" s="1"/>
  <c r="CS54" i="29"/>
  <c r="CP54" i="29"/>
  <c r="AI54" i="29"/>
  <c r="AL54" i="29"/>
  <c r="Z54" i="29"/>
  <c r="CJ54" i="29" s="1"/>
  <c r="CG54" i="29"/>
  <c r="BM54" i="29"/>
  <c r="BT54" i="29"/>
  <c r="BN54" i="29"/>
  <c r="BU54" i="29"/>
  <c r="BW54" i="29"/>
  <c r="BV54" i="29"/>
  <c r="BS54" i="29"/>
  <c r="BL54" i="29"/>
  <c r="BO54" i="29"/>
  <c r="BP54" i="29"/>
  <c r="BI54" i="29"/>
  <c r="AM54" i="29"/>
  <c r="BD54" i="29" s="1"/>
  <c r="AG54" i="29"/>
  <c r="AH54" i="29" s="1"/>
  <c r="DH53" i="29"/>
  <c r="DG53" i="29"/>
  <c r="H53" i="29"/>
  <c r="Z53" i="29"/>
  <c r="BW53" i="29"/>
  <c r="BU53" i="29"/>
  <c r="BT53" i="29"/>
  <c r="O53" i="29"/>
  <c r="BS53" i="29" s="1"/>
  <c r="BP53" i="29"/>
  <c r="BN53" i="29"/>
  <c r="BM53" i="29"/>
  <c r="I53" i="29"/>
  <c r="BL53" i="29" s="1"/>
  <c r="BI53" i="29"/>
  <c r="AM53" i="29"/>
  <c r="BD53" i="29" s="1"/>
  <c r="AJ53" i="29"/>
  <c r="BA53" i="29" s="1"/>
  <c r="AL53" i="29"/>
  <c r="AK53" i="29"/>
  <c r="CV53" i="29" s="1"/>
  <c r="AI53" i="29"/>
  <c r="AG53" i="29"/>
  <c r="AH53" i="29" s="1"/>
  <c r="R53" i="29"/>
  <c r="N53" i="29"/>
  <c r="L53" i="29"/>
  <c r="BO53" i="29" s="1"/>
  <c r="DH52" i="29"/>
  <c r="DG52" i="29"/>
  <c r="DB52" i="29"/>
  <c r="AJ52" i="29"/>
  <c r="CZ52" i="29" s="1"/>
  <c r="AK52" i="29"/>
  <c r="CS52" i="29"/>
  <c r="CP52" i="29"/>
  <c r="AG52" i="29"/>
  <c r="CK52" i="29" s="1"/>
  <c r="CG52" i="29"/>
  <c r="BN52" i="29"/>
  <c r="CA52" i="29" s="1"/>
  <c r="CD52" i="29" s="1"/>
  <c r="BU52" i="29"/>
  <c r="BS52" i="29"/>
  <c r="BT52" i="29"/>
  <c r="BV52" i="29"/>
  <c r="BW52" i="29"/>
  <c r="BM52" i="29"/>
  <c r="BL52" i="29"/>
  <c r="BO52" i="29"/>
  <c r="BP52" i="29"/>
  <c r="BI52" i="29"/>
  <c r="AM52" i="29"/>
  <c r="BD52" i="29" s="1"/>
  <c r="BB52" i="29"/>
  <c r="AU52" i="29"/>
  <c r="AI52" i="29"/>
  <c r="AS52" i="29" s="1"/>
  <c r="AL52" i="29"/>
  <c r="Z52" i="29"/>
  <c r="DH51" i="29"/>
  <c r="DG51" i="29"/>
  <c r="I51" i="29"/>
  <c r="L51" i="29"/>
  <c r="BO51" i="29" s="1"/>
  <c r="N51" i="29"/>
  <c r="DB51" i="29" s="1"/>
  <c r="AG51" i="29"/>
  <c r="H51" i="29"/>
  <c r="Z51" i="29"/>
  <c r="O51" i="29"/>
  <c r="BM51" i="29"/>
  <c r="BT51" i="29"/>
  <c r="AJ51" i="29"/>
  <c r="BA51" i="29" s="1"/>
  <c r="BW51" i="29"/>
  <c r="BU51" i="29"/>
  <c r="BN51" i="29"/>
  <c r="BP51" i="29"/>
  <c r="AM51" i="29"/>
  <c r="BD51" i="29" s="1"/>
  <c r="AL51" i="29"/>
  <c r="AK51" i="29"/>
  <c r="BB51" i="29" s="1"/>
  <c r="AI51" i="29"/>
  <c r="R51" i="29"/>
  <c r="BV51" i="29" s="1"/>
  <c r="DG50" i="29"/>
  <c r="DH50" i="29"/>
  <c r="U50" i="29"/>
  <c r="BM50" i="29" s="1"/>
  <c r="BW50" i="29"/>
  <c r="BP50" i="29"/>
  <c r="BO50" i="29"/>
  <c r="BN50" i="29"/>
  <c r="Q50" i="29"/>
  <c r="BU50" i="29" s="1"/>
  <c r="AK50" i="29"/>
  <c r="AU50" i="29" s="1"/>
  <c r="BL50" i="29"/>
  <c r="AM50" i="29"/>
  <c r="AW50" i="29" s="1"/>
  <c r="AL50" i="29"/>
  <c r="AV50" i="29" s="1"/>
  <c r="AI50" i="29"/>
  <c r="AB50" i="29"/>
  <c r="N50" i="29"/>
  <c r="DH49" i="29"/>
  <c r="DG49" i="29"/>
  <c r="H49" i="29"/>
  <c r="T49" i="29"/>
  <c r="Z49" i="29" s="1"/>
  <c r="AA49" i="29"/>
  <c r="AA147" i="29" s="1"/>
  <c r="AJ49" i="29"/>
  <c r="AK49" i="29"/>
  <c r="BB49" i="29" s="1"/>
  <c r="AL49" i="29"/>
  <c r="BC49" i="29" s="1"/>
  <c r="O49" i="29"/>
  <c r="BM49" i="29"/>
  <c r="BZ49" i="29" s="1"/>
  <c r="BT49" i="29"/>
  <c r="BW49" i="29"/>
  <c r="BV49" i="29"/>
  <c r="BU49" i="29"/>
  <c r="BP49" i="29"/>
  <c r="BO49" i="29"/>
  <c r="BN49" i="29"/>
  <c r="CA49" i="29" s="1"/>
  <c r="CD49" i="29" s="1"/>
  <c r="AM49" i="29"/>
  <c r="BD49" i="29" s="1"/>
  <c r="AV49" i="29"/>
  <c r="BH49" i="29"/>
  <c r="N49" i="29"/>
  <c r="DB49" i="29" s="1"/>
  <c r="I49" i="29"/>
  <c r="CP49" i="29" s="1"/>
  <c r="DH48" i="29"/>
  <c r="DG48" i="29"/>
  <c r="N48" i="29"/>
  <c r="DB48" i="29" s="1"/>
  <c r="H48" i="29"/>
  <c r="AI48" i="29"/>
  <c r="AJ48" i="29"/>
  <c r="AK48" i="29"/>
  <c r="CW48" i="29" s="1"/>
  <c r="AL48" i="29"/>
  <c r="BC48" i="29" s="1"/>
  <c r="O48" i="29"/>
  <c r="CS48" i="29" s="1"/>
  <c r="I48" i="29"/>
  <c r="CP48" i="29" s="1"/>
  <c r="Z48" i="29"/>
  <c r="AG48" i="29"/>
  <c r="BW48" i="29"/>
  <c r="BV48" i="29"/>
  <c r="BU48" i="29"/>
  <c r="BT48" i="29"/>
  <c r="BM48" i="29"/>
  <c r="BP48" i="29"/>
  <c r="BO48" i="29"/>
  <c r="BN48" i="29"/>
  <c r="AM48" i="29"/>
  <c r="BD48" i="29" s="1"/>
  <c r="DH47" i="29"/>
  <c r="DG47" i="29"/>
  <c r="AJ47" i="29"/>
  <c r="AK47" i="29"/>
  <c r="CP47" i="29"/>
  <c r="BW47" i="29"/>
  <c r="Q47" i="29"/>
  <c r="BU47" i="29" s="1"/>
  <c r="BT47" i="29"/>
  <c r="BM47" i="29"/>
  <c r="BP47" i="29"/>
  <c r="BQ47" i="29" s="1"/>
  <c r="BR47" i="29" s="1"/>
  <c r="BO47" i="29"/>
  <c r="BN47" i="29"/>
  <c r="BL47" i="29"/>
  <c r="AM47" i="29"/>
  <c r="AW47" i="29" s="1"/>
  <c r="AL47" i="29"/>
  <c r="AV47" i="29" s="1"/>
  <c r="AU47" i="29"/>
  <c r="AI47" i="29"/>
  <c r="AG47" i="29"/>
  <c r="Z47" i="29"/>
  <c r="CJ47" i="29" s="1"/>
  <c r="N47" i="29"/>
  <c r="O47" i="29" s="1"/>
  <c r="DG46" i="29"/>
  <c r="DH46" i="29"/>
  <c r="DI46" i="29" s="1"/>
  <c r="AJ46" i="29"/>
  <c r="AK46" i="29"/>
  <c r="BB46" i="29" s="1"/>
  <c r="I46" i="29"/>
  <c r="O46" i="29"/>
  <c r="BH46" i="29" s="1"/>
  <c r="BM46" i="29"/>
  <c r="BT46" i="29"/>
  <c r="BN46" i="29"/>
  <c r="BU46" i="29"/>
  <c r="BW46" i="29"/>
  <c r="R46" i="29"/>
  <c r="BV46" i="29" s="1"/>
  <c r="BP46" i="29"/>
  <c r="AM46" i="29"/>
  <c r="BD46" i="29" s="1"/>
  <c r="L46" i="29"/>
  <c r="AL46" i="29"/>
  <c r="AU46" i="29"/>
  <c r="AI46" i="29"/>
  <c r="Z46" i="29"/>
  <c r="AG46" i="29"/>
  <c r="N46" i="29"/>
  <c r="H46" i="29"/>
  <c r="DH45" i="29"/>
  <c r="DG45" i="29"/>
  <c r="DB45" i="29"/>
  <c r="AJ45" i="29"/>
  <c r="CQ45" i="29" s="1"/>
  <c r="AK45" i="29"/>
  <c r="AU45" i="29" s="1"/>
  <c r="CS45" i="29"/>
  <c r="CP45" i="29"/>
  <c r="AI45" i="29"/>
  <c r="AL45" i="29"/>
  <c r="BC45" i="29" s="1"/>
  <c r="AG45" i="29"/>
  <c r="CK45" i="29" s="1"/>
  <c r="Z45" i="29"/>
  <c r="CJ45" i="29" s="1"/>
  <c r="CG45" i="29"/>
  <c r="BN45" i="29"/>
  <c r="BU45" i="29"/>
  <c r="BW45" i="29"/>
  <c r="BV45" i="29"/>
  <c r="BS45" i="29"/>
  <c r="BT45" i="29"/>
  <c r="BM45" i="29"/>
  <c r="BP45" i="29"/>
  <c r="BO45" i="29"/>
  <c r="BL45" i="29"/>
  <c r="BI45" i="29"/>
  <c r="AM45" i="29"/>
  <c r="BD45" i="29" s="1"/>
  <c r="DH44" i="29"/>
  <c r="DG44" i="29"/>
  <c r="H44" i="29"/>
  <c r="Z44" i="29"/>
  <c r="AH44" i="29" s="1"/>
  <c r="BN44" i="29"/>
  <c r="BU44" i="29"/>
  <c r="AK44" i="29"/>
  <c r="BB44" i="29" s="1"/>
  <c r="BW44" i="29"/>
  <c r="BT44" i="29"/>
  <c r="BM44" i="29"/>
  <c r="BP44" i="29"/>
  <c r="L44" i="29"/>
  <c r="BO44" i="29" s="1"/>
  <c r="R44" i="29"/>
  <c r="BV44" i="29" s="1"/>
  <c r="AL44" i="29"/>
  <c r="O44" i="29"/>
  <c r="AI44" i="29"/>
  <c r="AS44" i="29" s="1"/>
  <c r="AJ44" i="29"/>
  <c r="AT44" i="29" s="1"/>
  <c r="AM44" i="29"/>
  <c r="AW44" i="29" s="1"/>
  <c r="AG44" i="29"/>
  <c r="N44" i="29"/>
  <c r="DB44" i="29" s="1"/>
  <c r="I44" i="29"/>
  <c r="DG43" i="29"/>
  <c r="DH43" i="29"/>
  <c r="DB43" i="29"/>
  <c r="AJ43" i="29"/>
  <c r="BA43" i="29" s="1"/>
  <c r="AK43" i="29"/>
  <c r="BB43" i="29" s="1"/>
  <c r="CS43" i="29"/>
  <c r="CP43" i="29"/>
  <c r="AI43" i="29"/>
  <c r="AZ43" i="29" s="1"/>
  <c r="AL43" i="29"/>
  <c r="BC43" i="29" s="1"/>
  <c r="CG43" i="29"/>
  <c r="BM43" i="29"/>
  <c r="BT43" i="29"/>
  <c r="BW43" i="29"/>
  <c r="BV43" i="29"/>
  <c r="BU43" i="29"/>
  <c r="BS43" i="29"/>
  <c r="BP43" i="29"/>
  <c r="BO43" i="29"/>
  <c r="BN43" i="29"/>
  <c r="BL43" i="29"/>
  <c r="AV43" i="29"/>
  <c r="AM43" i="29"/>
  <c r="AG43" i="29"/>
  <c r="CK43" i="29" s="1"/>
  <c r="Z43" i="29"/>
  <c r="DH42" i="29"/>
  <c r="DG42" i="29"/>
  <c r="I42" i="29"/>
  <c r="AI42" i="29"/>
  <c r="AJ42" i="29"/>
  <c r="AK42" i="29"/>
  <c r="AU42" i="29" s="1"/>
  <c r="L42" i="29"/>
  <c r="AL42" i="29"/>
  <c r="BW42" i="29"/>
  <c r="R42" i="29"/>
  <c r="BV42" i="29" s="1"/>
  <c r="BU42" i="29"/>
  <c r="BN42" i="29"/>
  <c r="BT42" i="29"/>
  <c r="O42" i="29"/>
  <c r="BP42" i="29"/>
  <c r="BM42" i="29"/>
  <c r="BI42" i="29"/>
  <c r="BB42" i="29"/>
  <c r="AM42" i="29"/>
  <c r="AW42" i="29" s="1"/>
  <c r="AG42" i="29"/>
  <c r="Z42" i="29"/>
  <c r="N42" i="29"/>
  <c r="H42" i="29"/>
  <c r="DG41" i="29"/>
  <c r="DH41" i="29"/>
  <c r="I41" i="29"/>
  <c r="BL41" i="29" s="1"/>
  <c r="O41" i="29"/>
  <c r="BH41" i="29" s="1"/>
  <c r="BN41" i="29"/>
  <c r="BU41" i="29"/>
  <c r="AK41" i="29"/>
  <c r="AU41" i="29" s="1"/>
  <c r="BW41" i="29"/>
  <c r="BT41" i="29"/>
  <c r="BP41" i="29"/>
  <c r="L41" i="29"/>
  <c r="BO41" i="29" s="1"/>
  <c r="BM41" i="29"/>
  <c r="AJ41" i="29"/>
  <c r="AM41" i="29"/>
  <c r="BD41" i="29" s="1"/>
  <c r="AL41" i="29"/>
  <c r="AV41" i="29" s="1"/>
  <c r="AI41" i="29"/>
  <c r="AG41" i="29"/>
  <c r="Z41" i="29"/>
  <c r="R41" i="29"/>
  <c r="BV41" i="29" s="1"/>
  <c r="N41" i="29"/>
  <c r="H41" i="29"/>
  <c r="DH40" i="29"/>
  <c r="DG40" i="29"/>
  <c r="AJ40" i="29"/>
  <c r="AK40" i="29"/>
  <c r="H40" i="29"/>
  <c r="Z40" i="29"/>
  <c r="BW40" i="29"/>
  <c r="BU40" i="29"/>
  <c r="BT40" i="29"/>
  <c r="BP40" i="29"/>
  <c r="BN40" i="29"/>
  <c r="BM40" i="29"/>
  <c r="I40" i="29"/>
  <c r="BL40" i="29" s="1"/>
  <c r="AM40" i="29"/>
  <c r="AW40" i="29" s="1"/>
  <c r="AI40" i="29"/>
  <c r="AL40" i="29"/>
  <c r="AG40" i="29"/>
  <c r="R40" i="29"/>
  <c r="CR40" i="29" s="1"/>
  <c r="N40" i="29"/>
  <c r="DB40" i="29" s="1"/>
  <c r="O40" i="29"/>
  <c r="L40" i="29"/>
  <c r="CO40" i="29" s="1"/>
  <c r="DG39" i="29"/>
  <c r="DH39" i="29"/>
  <c r="N39" i="29"/>
  <c r="AI39" i="29"/>
  <c r="AJ39" i="29"/>
  <c r="BA39" i="29" s="1"/>
  <c r="AK39" i="29"/>
  <c r="AL39" i="29"/>
  <c r="O39" i="29"/>
  <c r="R39" i="29"/>
  <c r="BV39" i="29" s="1"/>
  <c r="I39" i="29"/>
  <c r="CP39" i="29" s="1"/>
  <c r="L39" i="29"/>
  <c r="BO39" i="29" s="1"/>
  <c r="Z39" i="29"/>
  <c r="AG39" i="29"/>
  <c r="BW39" i="29"/>
  <c r="BU39" i="29"/>
  <c r="BN39" i="29"/>
  <c r="BT39" i="29"/>
  <c r="BP39" i="29"/>
  <c r="BM39" i="29"/>
  <c r="AM39" i="29"/>
  <c r="H39" i="29"/>
  <c r="DH38" i="29"/>
  <c r="DG38" i="29"/>
  <c r="I38" i="29"/>
  <c r="BL38" i="29" s="1"/>
  <c r="AI38" i="29"/>
  <c r="AZ38" i="29" s="1"/>
  <c r="AJ38" i="29"/>
  <c r="AK38" i="29"/>
  <c r="L38" i="29"/>
  <c r="AL38" i="29"/>
  <c r="H38" i="29"/>
  <c r="Z38" i="29"/>
  <c r="N38" i="29"/>
  <c r="DB38" i="29" s="1"/>
  <c r="AG38" i="29"/>
  <c r="BW38" i="29"/>
  <c r="BU38" i="29"/>
  <c r="BN38" i="29"/>
  <c r="BT38" i="29"/>
  <c r="BP38" i="29"/>
  <c r="BM38" i="29"/>
  <c r="AM38" i="29"/>
  <c r="AW38" i="29" s="1"/>
  <c r="R38" i="29"/>
  <c r="O38" i="29"/>
  <c r="DH37" i="29"/>
  <c r="DG37" i="29"/>
  <c r="AJ37" i="29"/>
  <c r="AK37" i="29"/>
  <c r="O37" i="29"/>
  <c r="BS37" i="29" s="1"/>
  <c r="AI37" i="29"/>
  <c r="R37" i="29"/>
  <c r="AL37" i="29"/>
  <c r="I37" i="29"/>
  <c r="CP37" i="29" s="1"/>
  <c r="L37" i="29"/>
  <c r="BM37" i="29"/>
  <c r="BT37" i="29"/>
  <c r="BW37" i="29"/>
  <c r="BU37" i="29"/>
  <c r="BN37" i="29"/>
  <c r="BP37" i="29"/>
  <c r="AM37" i="29"/>
  <c r="BD37" i="29" s="1"/>
  <c r="AG37" i="29"/>
  <c r="N37" i="29"/>
  <c r="Z37" i="29"/>
  <c r="H37" i="29"/>
  <c r="DG36" i="29"/>
  <c r="DH36" i="29"/>
  <c r="DB36" i="29"/>
  <c r="AI36" i="29"/>
  <c r="AZ36" i="29" s="1"/>
  <c r="AJ36" i="29"/>
  <c r="AT36" i="29" s="1"/>
  <c r="AK36" i="29"/>
  <c r="AL36" i="29"/>
  <c r="CS36" i="29"/>
  <c r="CP36" i="29"/>
  <c r="Z36" i="29"/>
  <c r="AG36" i="29"/>
  <c r="CK36" i="29" s="1"/>
  <c r="CG36" i="29"/>
  <c r="BW36" i="29"/>
  <c r="BV36" i="29"/>
  <c r="BU36" i="29"/>
  <c r="BN36" i="29"/>
  <c r="CA36" i="29" s="1"/>
  <c r="BT36" i="29"/>
  <c r="BX36" i="29" s="1"/>
  <c r="BY36" i="29" s="1"/>
  <c r="BS36" i="29"/>
  <c r="BP36" i="29"/>
  <c r="BO36" i="29"/>
  <c r="BM36" i="29"/>
  <c r="BZ36" i="29" s="1"/>
  <c r="CC36" i="29" s="1"/>
  <c r="BL36" i="29"/>
  <c r="AM36" i="29"/>
  <c r="BD36" i="29" s="1"/>
  <c r="DH35" i="29"/>
  <c r="DG35" i="29"/>
  <c r="DB35" i="29"/>
  <c r="AJ35" i="29"/>
  <c r="AK35" i="29"/>
  <c r="CW35" i="29" s="1"/>
  <c r="CS35" i="29"/>
  <c r="CP35" i="29"/>
  <c r="Z35" i="29"/>
  <c r="CJ35" i="29" s="1"/>
  <c r="AG35" i="29"/>
  <c r="CK35" i="29" s="1"/>
  <c r="CG35" i="29"/>
  <c r="BM35" i="29"/>
  <c r="BT35" i="29"/>
  <c r="BS35" i="29"/>
  <c r="BU35" i="29"/>
  <c r="BV35" i="29"/>
  <c r="BW35" i="29"/>
  <c r="BP35" i="29"/>
  <c r="BO35" i="29"/>
  <c r="BN35" i="29"/>
  <c r="BL35" i="29"/>
  <c r="BI35" i="29"/>
  <c r="AM35" i="29"/>
  <c r="AW35" i="29" s="1"/>
  <c r="AI35" i="29"/>
  <c r="AL35" i="29"/>
  <c r="BC35" i="29" s="1"/>
  <c r="AN35" i="29"/>
  <c r="DG34" i="29"/>
  <c r="DH34" i="29"/>
  <c r="N34" i="29"/>
  <c r="AI34" i="29"/>
  <c r="AJ34" i="29"/>
  <c r="CV34" i="29" s="1"/>
  <c r="AK34" i="29"/>
  <c r="AL34" i="29"/>
  <c r="O34" i="29"/>
  <c r="BS34" i="29" s="1"/>
  <c r="R34" i="29"/>
  <c r="I34" i="29"/>
  <c r="L34" i="29"/>
  <c r="BO34" i="29" s="1"/>
  <c r="Z34" i="29"/>
  <c r="AG34" i="29"/>
  <c r="BW34" i="29"/>
  <c r="BU34" i="29"/>
  <c r="BN34" i="29"/>
  <c r="BT34" i="29"/>
  <c r="BP34" i="29"/>
  <c r="BM34" i="29"/>
  <c r="AM34" i="29"/>
  <c r="H34" i="29"/>
  <c r="CM34" i="29" s="1"/>
  <c r="DH33" i="29"/>
  <c r="DG33" i="29"/>
  <c r="U33" i="29"/>
  <c r="AK33" i="29"/>
  <c r="AU33" i="29" s="1"/>
  <c r="I33" i="29"/>
  <c r="L33" i="29"/>
  <c r="BO33" i="29" s="1"/>
  <c r="AI33" i="29"/>
  <c r="AL33" i="29"/>
  <c r="BC33" i="29" s="1"/>
  <c r="H33" i="29"/>
  <c r="O33" i="29"/>
  <c r="BW33" i="29"/>
  <c r="BU33" i="29"/>
  <c r="BN33" i="29"/>
  <c r="BT33" i="29"/>
  <c r="BP33" i="29"/>
  <c r="BM33" i="29"/>
  <c r="AM33" i="29"/>
  <c r="BD33" i="29" s="1"/>
  <c r="AG33" i="29"/>
  <c r="R33" i="29"/>
  <c r="BV33" i="29" s="1"/>
  <c r="N33" i="29"/>
  <c r="CK33" i="29" s="1"/>
  <c r="DH32" i="29"/>
  <c r="DG32" i="29"/>
  <c r="DB32" i="29"/>
  <c r="AI32" i="29"/>
  <c r="AS32" i="29" s="1"/>
  <c r="AJ32" i="29"/>
  <c r="CH32" i="29" s="1"/>
  <c r="AK32" i="29"/>
  <c r="AL32" i="29"/>
  <c r="CS32" i="29"/>
  <c r="CP32" i="29"/>
  <c r="AG32" i="29"/>
  <c r="CK32" i="29" s="1"/>
  <c r="CG32" i="29"/>
  <c r="BN32" i="29"/>
  <c r="BU32" i="29"/>
  <c r="BM32" i="29"/>
  <c r="BT32" i="29"/>
  <c r="BW32" i="29"/>
  <c r="BV32" i="29"/>
  <c r="BS32" i="29"/>
  <c r="BP32" i="29"/>
  <c r="BO32" i="29"/>
  <c r="BL32" i="29"/>
  <c r="BH32" i="29"/>
  <c r="BG32" i="29"/>
  <c r="AV32" i="29"/>
  <c r="AM32" i="29"/>
  <c r="AW32" i="29" s="1"/>
  <c r="BC32" i="29"/>
  <c r="Z32" i="29"/>
  <c r="DH31" i="29"/>
  <c r="DG31" i="29"/>
  <c r="DB31" i="29"/>
  <c r="CS31" i="29"/>
  <c r="CP31" i="29"/>
  <c r="Z31" i="29"/>
  <c r="CJ31" i="29" s="1"/>
  <c r="AG31" i="29"/>
  <c r="CG31" i="29"/>
  <c r="AJ31" i="29"/>
  <c r="BA31" i="29" s="1"/>
  <c r="AK31" i="29"/>
  <c r="BM31" i="29"/>
  <c r="BT31" i="29"/>
  <c r="BW31" i="29"/>
  <c r="BV31" i="29"/>
  <c r="BU31" i="29"/>
  <c r="BS31" i="29"/>
  <c r="BP31" i="29"/>
  <c r="BO31" i="29"/>
  <c r="BN31" i="29"/>
  <c r="CA31" i="29" s="1"/>
  <c r="BL31" i="29"/>
  <c r="BH31" i="29"/>
  <c r="BG31" i="29"/>
  <c r="AL31" i="29"/>
  <c r="BB31" i="29"/>
  <c r="AT31" i="29"/>
  <c r="AM31" i="29"/>
  <c r="AW31" i="29" s="1"/>
  <c r="AI31" i="29"/>
  <c r="DH30" i="29"/>
  <c r="DG30" i="29"/>
  <c r="DB30" i="29"/>
  <c r="AJ30" i="29"/>
  <c r="AT30" i="29" s="1"/>
  <c r="AK30" i="29"/>
  <c r="CS30" i="29"/>
  <c r="CP30" i="29"/>
  <c r="AG30" i="29"/>
  <c r="CK30" i="29" s="1"/>
  <c r="CG30" i="29"/>
  <c r="BN30" i="29"/>
  <c r="BU30" i="29"/>
  <c r="BS30" i="29"/>
  <c r="BT30" i="29"/>
  <c r="BV30" i="29"/>
  <c r="BW30" i="29"/>
  <c r="BM30" i="29"/>
  <c r="BP30" i="29"/>
  <c r="BO30" i="29"/>
  <c r="BL30" i="29"/>
  <c r="BH30" i="29"/>
  <c r="BG30" i="29"/>
  <c r="AM30" i="29"/>
  <c r="AW30" i="29" s="1"/>
  <c r="AL30" i="29"/>
  <c r="CY30" i="29" s="1"/>
  <c r="AI30" i="29"/>
  <c r="Z30" i="29"/>
  <c r="DH29" i="29"/>
  <c r="DG29" i="29"/>
  <c r="DB29" i="29"/>
  <c r="CS29" i="29"/>
  <c r="CP29" i="29"/>
  <c r="Z29" i="29"/>
  <c r="AG29" i="29"/>
  <c r="CK29" i="29" s="1"/>
  <c r="CG29" i="29"/>
  <c r="BM29" i="29"/>
  <c r="BT29" i="29"/>
  <c r="BS29" i="29"/>
  <c r="BU29" i="29"/>
  <c r="BV29" i="29"/>
  <c r="BW29" i="29"/>
  <c r="BL29" i="29"/>
  <c r="BN29" i="29"/>
  <c r="CA29" i="29" s="1"/>
  <c r="BO29" i="29"/>
  <c r="BP29" i="29"/>
  <c r="AK29" i="29"/>
  <c r="CY29" i="29" s="1"/>
  <c r="BH29" i="29"/>
  <c r="BG29" i="29"/>
  <c r="AM29" i="29"/>
  <c r="AW29" i="29" s="1"/>
  <c r="AJ29" i="29"/>
  <c r="BA29" i="29" s="1"/>
  <c r="AI29" i="29"/>
  <c r="AZ29" i="29" s="1"/>
  <c r="AL29" i="29"/>
  <c r="AV29" i="29" s="1"/>
  <c r="CJ29" i="29"/>
  <c r="DH28" i="29"/>
  <c r="DG28" i="29"/>
  <c r="O28" i="29"/>
  <c r="BH28" i="29" s="1"/>
  <c r="R28" i="29"/>
  <c r="BW28" i="29"/>
  <c r="BU28" i="29"/>
  <c r="BT28" i="29"/>
  <c r="BP28" i="29"/>
  <c r="L28" i="29"/>
  <c r="BO28" i="29" s="1"/>
  <c r="BN28" i="29"/>
  <c r="AK28" i="29"/>
  <c r="BB28" i="29" s="1"/>
  <c r="AL28" i="29"/>
  <c r="AV28" i="29" s="1"/>
  <c r="AM28" i="29"/>
  <c r="AU28" i="29"/>
  <c r="T28" i="29"/>
  <c r="AG28" i="29"/>
  <c r="U28" i="29"/>
  <c r="AJ28" i="29" s="1"/>
  <c r="N28" i="29"/>
  <c r="I28" i="29"/>
  <c r="H28" i="29"/>
  <c r="DH27" i="29"/>
  <c r="DG27" i="29"/>
  <c r="H27" i="29"/>
  <c r="AI27" i="29"/>
  <c r="AJ27" i="29"/>
  <c r="AT27" i="29" s="1"/>
  <c r="AK27" i="29"/>
  <c r="AL27" i="29"/>
  <c r="O27" i="29"/>
  <c r="R27" i="29"/>
  <c r="BV27" i="29" s="1"/>
  <c r="BW27" i="29"/>
  <c r="BU27" i="29"/>
  <c r="BT27" i="29"/>
  <c r="BM27" i="29"/>
  <c r="BP27" i="29"/>
  <c r="L27" i="29"/>
  <c r="BO27" i="29" s="1"/>
  <c r="BN27" i="29"/>
  <c r="I27" i="29"/>
  <c r="BL27" i="29" s="1"/>
  <c r="BI27" i="29"/>
  <c r="AM27" i="29"/>
  <c r="AW27" i="29" s="1"/>
  <c r="AG27" i="29"/>
  <c r="Z27" i="29"/>
  <c r="N27" i="29"/>
  <c r="DH26" i="29"/>
  <c r="DG26" i="29"/>
  <c r="AJ26" i="29"/>
  <c r="AT26" i="29" s="1"/>
  <c r="AK26" i="29"/>
  <c r="O26" i="29"/>
  <c r="R26" i="29"/>
  <c r="BV26" i="29" s="1"/>
  <c r="AI26" i="29"/>
  <c r="AL26" i="29"/>
  <c r="BN26" i="29"/>
  <c r="BU26" i="29"/>
  <c r="BM26" i="29"/>
  <c r="BT26" i="29"/>
  <c r="BW26" i="29"/>
  <c r="BP26" i="29"/>
  <c r="L26" i="29"/>
  <c r="BO26" i="29" s="1"/>
  <c r="BI26" i="29"/>
  <c r="AM26" i="29"/>
  <c r="AW26" i="29" s="1"/>
  <c r="AG26" i="29"/>
  <c r="Z26" i="29"/>
  <c r="N26" i="29"/>
  <c r="I26" i="29"/>
  <c r="CP26" i="29" s="1"/>
  <c r="H26" i="29"/>
  <c r="DH25" i="29"/>
  <c r="DG25" i="29"/>
  <c r="AJ25" i="29"/>
  <c r="BA25" i="29" s="1"/>
  <c r="AK25" i="29"/>
  <c r="AU25" i="29" s="1"/>
  <c r="O25" i="29"/>
  <c r="R25" i="29"/>
  <c r="BM25" i="29"/>
  <c r="BT25" i="29"/>
  <c r="BW25" i="29"/>
  <c r="BU25" i="29"/>
  <c r="BP25" i="29"/>
  <c r="L25" i="29"/>
  <c r="BN25" i="29"/>
  <c r="BI25" i="29"/>
  <c r="AI25" i="29"/>
  <c r="AZ25" i="29" s="1"/>
  <c r="AL25" i="29"/>
  <c r="AM25" i="29"/>
  <c r="AW25" i="29" s="1"/>
  <c r="AG25" i="29"/>
  <c r="Z25" i="29"/>
  <c r="N25" i="29"/>
  <c r="I25" i="29"/>
  <c r="CP25" i="29" s="1"/>
  <c r="H25" i="29"/>
  <c r="DH24" i="29"/>
  <c r="DG24" i="29"/>
  <c r="AJ24" i="29"/>
  <c r="AT24" i="29" s="1"/>
  <c r="AK24" i="29"/>
  <c r="BB24" i="29" s="1"/>
  <c r="O24" i="29"/>
  <c r="BS24" i="29" s="1"/>
  <c r="R24" i="29"/>
  <c r="AI24" i="29"/>
  <c r="AL24" i="29"/>
  <c r="BN24" i="29"/>
  <c r="BU24" i="29"/>
  <c r="BM24" i="29"/>
  <c r="BT24" i="29"/>
  <c r="BW24" i="29"/>
  <c r="BV24" i="29"/>
  <c r="BP24" i="29"/>
  <c r="L24" i="29"/>
  <c r="BO24" i="29" s="1"/>
  <c r="BI24" i="29"/>
  <c r="AM24" i="29"/>
  <c r="AW24" i="29" s="1"/>
  <c r="AG24" i="29"/>
  <c r="Z24" i="29"/>
  <c r="N24" i="29"/>
  <c r="I24" i="29"/>
  <c r="H24" i="29"/>
  <c r="CJ24" i="29" s="1"/>
  <c r="DH23" i="29"/>
  <c r="DG23" i="29"/>
  <c r="N23" i="29"/>
  <c r="AJ23" i="29"/>
  <c r="AK23" i="29"/>
  <c r="O23" i="29"/>
  <c r="AZ23" i="29" s="1"/>
  <c r="R23" i="29"/>
  <c r="H23" i="29"/>
  <c r="T23" i="29"/>
  <c r="Z23" i="29" s="1"/>
  <c r="AG23" i="29"/>
  <c r="BN23" i="29"/>
  <c r="BU23" i="29"/>
  <c r="BM23" i="29"/>
  <c r="BT23" i="29"/>
  <c r="BW23" i="29"/>
  <c r="BP23" i="29"/>
  <c r="I23" i="29"/>
  <c r="BL23" i="29" s="1"/>
  <c r="BI23" i="29"/>
  <c r="AM23" i="29"/>
  <c r="AL23" i="29"/>
  <c r="AI23" i="29"/>
  <c r="L23" i="29"/>
  <c r="BO23" i="29" s="1"/>
  <c r="DH22" i="29"/>
  <c r="DG22" i="29"/>
  <c r="I22" i="29"/>
  <c r="BG22" i="29" s="1"/>
  <c r="O22" i="29"/>
  <c r="AJ22" i="29"/>
  <c r="BA22" i="29" s="1"/>
  <c r="AK22" i="29"/>
  <c r="BM22" i="29"/>
  <c r="BT22" i="29"/>
  <c r="BN22" i="29"/>
  <c r="BU22" i="29"/>
  <c r="BW22" i="29"/>
  <c r="AA22" i="29"/>
  <c r="BS22" i="29" s="1"/>
  <c r="BP22" i="29"/>
  <c r="AM22" i="29"/>
  <c r="AW22" i="29" s="1"/>
  <c r="AL22" i="29"/>
  <c r="AV22" i="29" s="1"/>
  <c r="R22" i="29"/>
  <c r="BV22" i="29" s="1"/>
  <c r="T22" i="29"/>
  <c r="AI22" i="29" s="1"/>
  <c r="N22" i="29"/>
  <c r="L22" i="29"/>
  <c r="H22" i="29"/>
  <c r="DG21" i="29"/>
  <c r="DH21" i="29"/>
  <c r="I21" i="29"/>
  <c r="BL21" i="29" s="1"/>
  <c r="L21" i="29"/>
  <c r="BO21" i="29" s="1"/>
  <c r="H21" i="29"/>
  <c r="Z21" i="29"/>
  <c r="O21" i="29"/>
  <c r="CG21" i="29" s="1"/>
  <c r="AJ21" i="29"/>
  <c r="AK21" i="29"/>
  <c r="AU21" i="29" s="1"/>
  <c r="BW21" i="29"/>
  <c r="BU21" i="29"/>
  <c r="BN21" i="29"/>
  <c r="BT21" i="29"/>
  <c r="BP21" i="29"/>
  <c r="BM21" i="29"/>
  <c r="BI21" i="29"/>
  <c r="AM21" i="29"/>
  <c r="AW21" i="29" s="1"/>
  <c r="R21" i="29"/>
  <c r="BV21" i="29" s="1"/>
  <c r="AL21" i="29"/>
  <c r="AI21" i="29"/>
  <c r="AG21" i="29"/>
  <c r="CK21" i="29" s="1"/>
  <c r="N21" i="29"/>
  <c r="DB21" i="29" s="1"/>
  <c r="DH20" i="29"/>
  <c r="DG20" i="29"/>
  <c r="O20" i="29"/>
  <c r="BS20" i="29" s="1"/>
  <c r="AI20" i="29"/>
  <c r="AJ20" i="29"/>
  <c r="BA20" i="29" s="1"/>
  <c r="AK20" i="29"/>
  <c r="R20" i="29"/>
  <c r="AL20" i="29"/>
  <c r="I20" i="29"/>
  <c r="L20" i="29"/>
  <c r="BO20" i="29" s="1"/>
  <c r="H20" i="29"/>
  <c r="Z20" i="29"/>
  <c r="BM20" i="29"/>
  <c r="BT20" i="29"/>
  <c r="BN20" i="29"/>
  <c r="BU20" i="29"/>
  <c r="BW20" i="29"/>
  <c r="BP20" i="29"/>
  <c r="BI20" i="29"/>
  <c r="AM20" i="29"/>
  <c r="AG20" i="29"/>
  <c r="N20" i="29"/>
  <c r="DB20" i="29" s="1"/>
  <c r="DG19" i="29"/>
  <c r="DH19" i="29"/>
  <c r="DB19" i="29"/>
  <c r="AI19" i="29"/>
  <c r="AS19" i="29" s="1"/>
  <c r="AJ19" i="29"/>
  <c r="AK19" i="29"/>
  <c r="AL19" i="29"/>
  <c r="AV19" i="29" s="1"/>
  <c r="CS19" i="29"/>
  <c r="CP19" i="29"/>
  <c r="AG19" i="29"/>
  <c r="CK19" i="29" s="1"/>
  <c r="CG19" i="29"/>
  <c r="BW19" i="29"/>
  <c r="BV19" i="29"/>
  <c r="BU19" i="29"/>
  <c r="BN19" i="29"/>
  <c r="BT19" i="29"/>
  <c r="BS19" i="29"/>
  <c r="BP19" i="29"/>
  <c r="BO19" i="29"/>
  <c r="BL19" i="29"/>
  <c r="BM19" i="29"/>
  <c r="BI19" i="29"/>
  <c r="AM19" i="29"/>
  <c r="BD19" i="29" s="1"/>
  <c r="Z19" i="29"/>
  <c r="CJ19" i="29" s="1"/>
  <c r="DH18" i="29"/>
  <c r="DG18" i="29"/>
  <c r="DB18" i="29"/>
  <c r="CS18" i="29"/>
  <c r="CP18" i="29"/>
  <c r="AG18" i="29"/>
  <c r="Z18" i="29"/>
  <c r="CJ18" i="29" s="1"/>
  <c r="CG18" i="29"/>
  <c r="BW18" i="29"/>
  <c r="BV18" i="29"/>
  <c r="BU18" i="29"/>
  <c r="BN18" i="29"/>
  <c r="AK18" i="29"/>
  <c r="BB18" i="29" s="1"/>
  <c r="BT18" i="29"/>
  <c r="BS18" i="29"/>
  <c r="BL18" i="29"/>
  <c r="BM18" i="29"/>
  <c r="BO18" i="29"/>
  <c r="BP18" i="29"/>
  <c r="BI18" i="29"/>
  <c r="AM18" i="29"/>
  <c r="BD18" i="29" s="1"/>
  <c r="AJ18" i="29"/>
  <c r="BA18" i="29" s="1"/>
  <c r="AI18" i="29"/>
  <c r="AS18" i="29" s="1"/>
  <c r="AL18" i="29"/>
  <c r="AV18" i="29" s="1"/>
  <c r="DG17" i="29"/>
  <c r="DH17" i="29"/>
  <c r="I17" i="29"/>
  <c r="L17" i="29"/>
  <c r="H17" i="29"/>
  <c r="Z17" i="29"/>
  <c r="O17" i="29"/>
  <c r="AJ17" i="29"/>
  <c r="AT17" i="29" s="1"/>
  <c r="AK17" i="29"/>
  <c r="BB17" i="29" s="1"/>
  <c r="BW17" i="29"/>
  <c r="BU17" i="29"/>
  <c r="BN17" i="29"/>
  <c r="BT17" i="29"/>
  <c r="BP17" i="29"/>
  <c r="BL17" i="29"/>
  <c r="BM17" i="29"/>
  <c r="BI17" i="29"/>
  <c r="AM17" i="29"/>
  <c r="BD17" i="29" s="1"/>
  <c r="R17" i="29"/>
  <c r="AL17" i="29"/>
  <c r="AU17" i="29"/>
  <c r="AI17" i="29"/>
  <c r="AG17" i="29"/>
  <c r="N17" i="29"/>
  <c r="DB17" i="29" s="1"/>
  <c r="DH16" i="29"/>
  <c r="DG16" i="29"/>
  <c r="O16" i="29"/>
  <c r="AI16" i="29"/>
  <c r="AJ16" i="29"/>
  <c r="BA16" i="29" s="1"/>
  <c r="AK16" i="29"/>
  <c r="BB16" i="29" s="1"/>
  <c r="R16" i="29"/>
  <c r="BV16" i="29" s="1"/>
  <c r="AL16" i="29"/>
  <c r="I16" i="29"/>
  <c r="BL16" i="29" s="1"/>
  <c r="L16" i="29"/>
  <c r="H16" i="29"/>
  <c r="Z16" i="29"/>
  <c r="BM16" i="29"/>
  <c r="BT16" i="29"/>
  <c r="BN16" i="29"/>
  <c r="BU16" i="29"/>
  <c r="BW16" i="29"/>
  <c r="BP16" i="29"/>
  <c r="BI16" i="29"/>
  <c r="AM16" i="29"/>
  <c r="BD16" i="29" s="1"/>
  <c r="AG16" i="29"/>
  <c r="N16" i="29"/>
  <c r="DB16" i="29" s="1"/>
  <c r="DG15" i="29"/>
  <c r="DH15" i="29"/>
  <c r="I15" i="29"/>
  <c r="O15" i="29"/>
  <c r="BS15" i="29" s="1"/>
  <c r="AJ15" i="29"/>
  <c r="AT15" i="29" s="1"/>
  <c r="AK15" i="29"/>
  <c r="BB15" i="29" s="1"/>
  <c r="BN15" i="29"/>
  <c r="BU15" i="29"/>
  <c r="BW15" i="29"/>
  <c r="BT15" i="29"/>
  <c r="BP15" i="29"/>
  <c r="BM15" i="29"/>
  <c r="BI15" i="29"/>
  <c r="AM15" i="29"/>
  <c r="BD15" i="29" s="1"/>
  <c r="AI15" i="29"/>
  <c r="AL15" i="29"/>
  <c r="R15" i="29"/>
  <c r="AG15" i="29"/>
  <c r="Z15" i="29"/>
  <c r="N15" i="29"/>
  <c r="DB15" i="29" s="1"/>
  <c r="L15" i="29"/>
  <c r="AV15" i="29" s="1"/>
  <c r="H15" i="29"/>
  <c r="A15" i="29"/>
  <c r="A16" i="29" s="1"/>
  <c r="A17" i="29" s="1"/>
  <c r="A18" i="29" s="1"/>
  <c r="A19" i="29" s="1"/>
  <c r="A20" i="29" s="1"/>
  <c r="A21" i="29" s="1"/>
  <c r="A22" i="29" s="1"/>
  <c r="A23" i="29" s="1"/>
  <c r="A24" i="29" s="1"/>
  <c r="A25" i="29" s="1"/>
  <c r="A26" i="29" s="1"/>
  <c r="A27" i="29" s="1"/>
  <c r="A28" i="29" s="1"/>
  <c r="A29" i="29" s="1"/>
  <c r="A30" i="29" s="1"/>
  <c r="A31" i="29" s="1"/>
  <c r="A32" i="29" s="1"/>
  <c r="A33" i="29" s="1"/>
  <c r="A34" i="29" s="1"/>
  <c r="A35" i="29" s="1"/>
  <c r="A36" i="29" s="1"/>
  <c r="A37" i="29" s="1"/>
  <c r="A38" i="29" s="1"/>
  <c r="A39" i="29" s="1"/>
  <c r="A40" i="29" s="1"/>
  <c r="A41" i="29" s="1"/>
  <c r="A42" i="29" s="1"/>
  <c r="A43" i="29" s="1"/>
  <c r="A44" i="29" s="1"/>
  <c r="A45" i="29" s="1"/>
  <c r="A46" i="29" s="1"/>
  <c r="A47" i="29" s="1"/>
  <c r="A48" i="29" s="1"/>
  <c r="A49" i="29" s="1"/>
  <c r="A50" i="29" s="1"/>
  <c r="A51" i="29" s="1"/>
  <c r="A52" i="29" s="1"/>
  <c r="A53" i="29" s="1"/>
  <c r="A54" i="29" s="1"/>
  <c r="A55" i="29" s="1"/>
  <c r="A56" i="29" s="1"/>
  <c r="A57" i="29" s="1"/>
  <c r="A58" i="29" s="1"/>
  <c r="A59" i="29" s="1"/>
  <c r="A60" i="29" s="1"/>
  <c r="A61" i="29" s="1"/>
  <c r="A62" i="29" s="1"/>
  <c r="A63" i="29" s="1"/>
  <c r="A64" i="29" s="1"/>
  <c r="A65" i="29" s="1"/>
  <c r="A66" i="29" s="1"/>
  <c r="A67" i="29" s="1"/>
  <c r="A68" i="29" s="1"/>
  <c r="A69" i="29" s="1"/>
  <c r="A70" i="29" s="1"/>
  <c r="A71" i="29" s="1"/>
  <c r="A72" i="29" s="1"/>
  <c r="A73" i="29" s="1"/>
  <c r="A74" i="29" s="1"/>
  <c r="A75" i="29" s="1"/>
  <c r="A76" i="29" s="1"/>
  <c r="A77" i="29" s="1"/>
  <c r="A78" i="29" s="1"/>
  <c r="A79" i="29" s="1"/>
  <c r="A80" i="29" s="1"/>
  <c r="A81" i="29" s="1"/>
  <c r="A82" i="29" s="1"/>
  <c r="A83" i="29" s="1"/>
  <c r="A84" i="29" s="1"/>
  <c r="A85" i="29" s="1"/>
  <c r="A86" i="29" s="1"/>
  <c r="A87" i="29" s="1"/>
  <c r="A88" i="29" s="1"/>
  <c r="A89" i="29" s="1"/>
  <c r="A90" i="29" s="1"/>
  <c r="A91" i="29" s="1"/>
  <c r="A92" i="29" s="1"/>
  <c r="A93" i="29" s="1"/>
  <c r="A94" i="29" s="1"/>
  <c r="A95" i="29" s="1"/>
  <c r="A96" i="29" s="1"/>
  <c r="A97" i="29" s="1"/>
  <c r="A98" i="29" s="1"/>
  <c r="A101" i="29" s="1"/>
  <c r="A102" i="29" s="1"/>
  <c r="A103" i="29" s="1"/>
  <c r="A104" i="29" s="1"/>
  <c r="A105" i="29" s="1"/>
  <c r="A106" i="29" s="1"/>
  <c r="A107" i="29" s="1"/>
  <c r="A108" i="29" s="1"/>
  <c r="A109" i="29" s="1"/>
  <c r="A110" i="29" s="1"/>
  <c r="A111" i="29" s="1"/>
  <c r="A112" i="29" s="1"/>
  <c r="A113" i="29" s="1"/>
  <c r="A114" i="29" s="1"/>
  <c r="A115" i="29" s="1"/>
  <c r="A116" i="29" s="1"/>
  <c r="A117" i="29" s="1"/>
  <c r="A118" i="29" s="1"/>
  <c r="A119" i="29" s="1"/>
  <c r="A120" i="29" s="1"/>
  <c r="A121" i="29" s="1"/>
  <c r="A122" i="29" s="1"/>
  <c r="A123" i="29" s="1"/>
  <c r="A124" i="29" s="1"/>
  <c r="A125" i="29" s="1"/>
  <c r="A126" i="29" s="1"/>
  <c r="A127" i="29" s="1"/>
  <c r="A128" i="29" s="1"/>
  <c r="A129" i="29" s="1"/>
  <c r="A130" i="29" s="1"/>
  <c r="A131" i="29" s="1"/>
  <c r="A132" i="29" s="1"/>
  <c r="A133" i="29" s="1"/>
  <c r="A134" i="29" s="1"/>
  <c r="A135" i="29" s="1"/>
  <c r="A136" i="29" s="1"/>
  <c r="A137" i="29" s="1"/>
  <c r="A138" i="29" s="1"/>
  <c r="A139" i="29" s="1"/>
  <c r="A140" i="29" s="1"/>
  <c r="A141" i="29" s="1"/>
  <c r="A146" i="29" s="1"/>
  <c r="A147" i="29" s="1"/>
  <c r="A148" i="29" s="1"/>
  <c r="A149" i="29" s="1"/>
  <c r="A150" i="29" s="1"/>
  <c r="A151" i="29" s="1"/>
  <c r="A152" i="29" s="1"/>
  <c r="A153" i="29" s="1"/>
  <c r="A154" i="29" s="1"/>
  <c r="A155" i="29" s="1"/>
  <c r="A156" i="29" s="1"/>
  <c r="A157" i="29" s="1"/>
  <c r="A158" i="29" s="1"/>
  <c r="A159" i="29" s="1"/>
  <c r="A160" i="29" s="1"/>
  <c r="A161" i="29" s="1"/>
  <c r="A162" i="29" s="1"/>
  <c r="A163" i="29" s="1"/>
  <c r="A164" i="29" s="1"/>
  <c r="A165" i="29" s="1"/>
  <c r="A166" i="29" s="1"/>
  <c r="A167" i="29" s="1"/>
  <c r="A168" i="29" s="1"/>
  <c r="DH14" i="29"/>
  <c r="DG14" i="29"/>
  <c r="AJ14" i="29"/>
  <c r="AT14" i="29" s="1"/>
  <c r="AK14" i="29"/>
  <c r="I14" i="29"/>
  <c r="BL14" i="29" s="1"/>
  <c r="L14" i="29"/>
  <c r="BO14" i="29" s="1"/>
  <c r="BW14" i="29"/>
  <c r="BU14" i="29"/>
  <c r="BN14" i="29"/>
  <c r="BT14" i="29"/>
  <c r="O14" i="29"/>
  <c r="BS14" i="29" s="1"/>
  <c r="BP14" i="29"/>
  <c r="BM14" i="29"/>
  <c r="BZ14" i="29" s="1"/>
  <c r="BI14" i="29"/>
  <c r="AM14" i="29"/>
  <c r="AW14" i="29" s="1"/>
  <c r="AL14" i="29"/>
  <c r="BC14" i="29" s="1"/>
  <c r="AI14" i="29"/>
  <c r="AG14" i="29"/>
  <c r="Z14" i="29"/>
  <c r="R14" i="29"/>
  <c r="BV14" i="29" s="1"/>
  <c r="N14" i="29"/>
  <c r="DB14" i="29" s="1"/>
  <c r="DB143" i="29" s="1"/>
  <c r="H14" i="29"/>
  <c r="BI13" i="29"/>
  <c r="BI12" i="29"/>
  <c r="C9" i="29"/>
  <c r="D9" i="29" s="1"/>
  <c r="E9" i="29" s="1"/>
  <c r="F9" i="29" s="1"/>
  <c r="G9" i="29" s="1"/>
  <c r="H9" i="29" s="1"/>
  <c r="I9" i="29" s="1"/>
  <c r="J9" i="29" s="1"/>
  <c r="K9" i="29" s="1"/>
  <c r="L9" i="29" s="1"/>
  <c r="M9" i="29" s="1"/>
  <c r="N9" i="29" s="1"/>
  <c r="O9" i="29" s="1"/>
  <c r="P9" i="29" s="1"/>
  <c r="Q9" i="29" s="1"/>
  <c r="R9" i="29" s="1"/>
  <c r="S9" i="29" s="1"/>
  <c r="T9" i="29" s="1"/>
  <c r="U9" i="29" s="1"/>
  <c r="V9" i="29" s="1"/>
  <c r="W9" i="29" s="1"/>
  <c r="X9" i="29" s="1"/>
  <c r="Y9" i="29" s="1"/>
  <c r="Z9" i="29" s="1"/>
  <c r="AA9" i="29" s="1"/>
  <c r="AB9" i="29" s="1"/>
  <c r="AC9" i="29" s="1"/>
  <c r="AD9" i="29" s="1"/>
  <c r="AE9" i="29" s="1"/>
  <c r="AF9" i="29" s="1"/>
  <c r="AG9" i="29" s="1"/>
  <c r="AH9" i="29" s="1"/>
  <c r="AI9" i="29" s="1"/>
  <c r="AJ9" i="29" s="1"/>
  <c r="AK9" i="29" s="1"/>
  <c r="AL9" i="29" s="1"/>
  <c r="AM9" i="29" s="1"/>
  <c r="AN9" i="29" s="1"/>
  <c r="AO9" i="29" s="1"/>
  <c r="AP9" i="29" s="1"/>
  <c r="AQ9" i="29" s="1"/>
  <c r="AR9" i="29" s="1"/>
  <c r="AS9" i="29" s="1"/>
  <c r="AT9" i="29" s="1"/>
  <c r="AU9" i="29" s="1"/>
  <c r="AV9" i="29" s="1"/>
  <c r="AW9" i="29" s="1"/>
  <c r="AX9" i="29" s="1"/>
  <c r="AY9" i="29" s="1"/>
  <c r="AZ9" i="29" s="1"/>
  <c r="BA9" i="29" s="1"/>
  <c r="BB9" i="29" s="1"/>
  <c r="BC9" i="29" s="1"/>
  <c r="BD9" i="29" s="1"/>
  <c r="BE9" i="29" s="1"/>
  <c r="BF9" i="29" s="1"/>
  <c r="BG9" i="29" s="1"/>
  <c r="BH9" i="29" s="1"/>
  <c r="BI9" i="29" s="1"/>
  <c r="BL9" i="29" s="1"/>
  <c r="BM9" i="29" s="1"/>
  <c r="BN9" i="29" s="1"/>
  <c r="BO9" i="29" s="1"/>
  <c r="BP9" i="29" s="1"/>
  <c r="BQ9" i="29" s="1"/>
  <c r="BR9" i="29" s="1"/>
  <c r="BS9" i="29" s="1"/>
  <c r="BT9" i="29" s="1"/>
  <c r="BU9" i="29" s="1"/>
  <c r="BV9" i="29" s="1"/>
  <c r="BW9" i="29" s="1"/>
  <c r="BX9" i="29" s="1"/>
  <c r="BY9" i="29" s="1"/>
  <c r="BZ9" i="29" s="1"/>
  <c r="CA9" i="29" s="1"/>
  <c r="CB9" i="29" s="1"/>
  <c r="CC9" i="29" s="1"/>
  <c r="CD9" i="29" s="1"/>
  <c r="CE9" i="29" s="1"/>
  <c r="CF9" i="29" s="1"/>
  <c r="CG9" i="29" s="1"/>
  <c r="CH9" i="29" s="1"/>
  <c r="CI9" i="29" s="1"/>
  <c r="CJ9" i="29" s="1"/>
  <c r="CK9" i="29" s="1"/>
  <c r="CL9" i="29" s="1"/>
  <c r="CM9" i="29" s="1"/>
  <c r="CN9" i="29" s="1"/>
  <c r="CO9" i="29" s="1"/>
  <c r="CP9" i="29" s="1"/>
  <c r="CQ9" i="29" s="1"/>
  <c r="CR9" i="29" s="1"/>
  <c r="CS9" i="29" s="1"/>
  <c r="CT9" i="29" s="1"/>
  <c r="CU9" i="29" s="1"/>
  <c r="CV9" i="29" s="1"/>
  <c r="CW9" i="29" s="1"/>
  <c r="CX9" i="29" s="1"/>
  <c r="CY9" i="29" s="1"/>
  <c r="CZ9" i="29" s="1"/>
  <c r="CO8" i="29"/>
  <c r="AN8" i="29"/>
  <c r="AD8" i="29"/>
  <c r="AC8" i="29"/>
  <c r="AB8" i="29"/>
  <c r="AA8" i="29"/>
  <c r="W8" i="29"/>
  <c r="R7" i="29"/>
  <c r="O7" i="29"/>
  <c r="BH7" i="29" s="1"/>
  <c r="N7" i="29"/>
  <c r="I7" i="29"/>
  <c r="BG7" i="29" s="1"/>
  <c r="H7" i="29"/>
  <c r="Z6" i="29"/>
  <c r="CK5" i="29"/>
  <c r="CJ5" i="29"/>
  <c r="C1" i="29"/>
  <c r="D1" i="29" s="1"/>
  <c r="E1" i="29" s="1"/>
  <c r="F1" i="29" s="1"/>
  <c r="G1" i="29" s="1"/>
  <c r="H1" i="29" s="1"/>
  <c r="I1" i="29" s="1"/>
  <c r="J1" i="29" s="1"/>
  <c r="K1" i="29" s="1"/>
  <c r="L1" i="29" s="1"/>
  <c r="M1" i="29" s="1"/>
  <c r="N1" i="29" s="1"/>
  <c r="O1" i="29" s="1"/>
  <c r="P1" i="29" s="1"/>
  <c r="Q1" i="29" s="1"/>
  <c r="R1" i="29" s="1"/>
  <c r="S1" i="29" s="1"/>
  <c r="T1" i="29" s="1"/>
  <c r="U1" i="29" s="1"/>
  <c r="V1" i="29" s="1"/>
  <c r="W1" i="29" s="1"/>
  <c r="X1" i="29" s="1"/>
  <c r="Y1" i="29" s="1"/>
  <c r="Z1" i="29" s="1"/>
  <c r="AA1" i="29" s="1"/>
  <c r="AB1" i="29" s="1"/>
  <c r="AC1" i="29" s="1"/>
  <c r="AD1" i="29" s="1"/>
  <c r="AE1" i="29" s="1"/>
  <c r="AF1" i="29" s="1"/>
  <c r="AG1" i="29" s="1"/>
  <c r="AH1" i="29" s="1"/>
  <c r="AI1" i="29" s="1"/>
  <c r="AJ1" i="29" s="1"/>
  <c r="AK1" i="29" s="1"/>
  <c r="AL1" i="29" s="1"/>
  <c r="AM1" i="29" s="1"/>
  <c r="AN1" i="29" s="1"/>
  <c r="AO1" i="29" s="1"/>
  <c r="AP1" i="29" s="1"/>
  <c r="AQ1" i="29" s="1"/>
  <c r="AR1" i="29" s="1"/>
  <c r="AS1" i="29" s="1"/>
  <c r="AT1" i="29" s="1"/>
  <c r="AU1" i="29" s="1"/>
  <c r="AV1" i="29" s="1"/>
  <c r="AW1" i="29" s="1"/>
  <c r="AX1" i="29" s="1"/>
  <c r="AY1" i="29" s="1"/>
  <c r="AZ1" i="29" s="1"/>
  <c r="BA1" i="29" s="1"/>
  <c r="BB1" i="29" s="1"/>
  <c r="BC1" i="29" s="1"/>
  <c r="BD1" i="29" s="1"/>
  <c r="BE1" i="29" s="1"/>
  <c r="BF1" i="29" s="1"/>
  <c r="BG1" i="29" s="1"/>
  <c r="BH1" i="29" s="1"/>
  <c r="BI1" i="29" s="1"/>
  <c r="BL1" i="29" s="1"/>
  <c r="BM1" i="29" s="1"/>
  <c r="BN1" i="29" s="1"/>
  <c r="BO1" i="29" s="1"/>
  <c r="BP1" i="29" s="1"/>
  <c r="BQ1" i="29" s="1"/>
  <c r="BR1" i="29" s="1"/>
  <c r="BS1" i="29" s="1"/>
  <c r="BT1" i="29" s="1"/>
  <c r="BU1" i="29" s="1"/>
  <c r="BV1" i="29" s="1"/>
  <c r="BW1" i="29" s="1"/>
  <c r="BX1" i="29" s="1"/>
  <c r="BY1" i="29" s="1"/>
  <c r="BZ1" i="29" s="1"/>
  <c r="CA1" i="29" s="1"/>
  <c r="CB1" i="29" s="1"/>
  <c r="CC1" i="29" s="1"/>
  <c r="CD1" i="29" s="1"/>
  <c r="CE1" i="29" s="1"/>
  <c r="CF1" i="29" s="1"/>
  <c r="CG1" i="29" s="1"/>
  <c r="CH1" i="29" s="1"/>
  <c r="CI1" i="29" s="1"/>
  <c r="CJ1" i="29" s="1"/>
  <c r="CK1" i="29" s="1"/>
  <c r="CL1" i="29" s="1"/>
  <c r="CM1" i="29" s="1"/>
  <c r="CN1" i="29" s="1"/>
  <c r="CO1" i="29" s="1"/>
  <c r="CP1" i="29" s="1"/>
  <c r="CQ1" i="29" s="1"/>
  <c r="CR1" i="29" s="1"/>
  <c r="CS1" i="29" s="1"/>
  <c r="CT1" i="29" s="1"/>
  <c r="CU1" i="29" s="1"/>
  <c r="CV1" i="29" s="1"/>
  <c r="CW1" i="29" s="1"/>
  <c r="CX1" i="29" s="1"/>
  <c r="CY1" i="29" s="1"/>
  <c r="CZ1" i="29" s="1"/>
  <c r="CW40" i="29"/>
  <c r="DB27" i="29"/>
  <c r="CK41" i="29"/>
  <c r="DB41" i="29"/>
  <c r="CK46" i="29"/>
  <c r="CZ46" i="29"/>
  <c r="AQ46" i="29"/>
  <c r="AZ46" i="29"/>
  <c r="DB53" i="29"/>
  <c r="CK53" i="29"/>
  <c r="AZ56" i="29"/>
  <c r="CS56" i="29"/>
  <c r="BS56" i="29"/>
  <c r="BV60" i="29"/>
  <c r="DB61" i="29"/>
  <c r="AZ61" i="29"/>
  <c r="BV62" i="29"/>
  <c r="CV71" i="29"/>
  <c r="AS31" i="29"/>
  <c r="AT19" i="29"/>
  <c r="AT21" i="29"/>
  <c r="AG22" i="29"/>
  <c r="CK22" i="29" s="1"/>
  <c r="CG24" i="29"/>
  <c r="AS24" i="29"/>
  <c r="CG26" i="29"/>
  <c r="CK27" i="29"/>
  <c r="CK28" i="29"/>
  <c r="BH40" i="29"/>
  <c r="AO47" i="29"/>
  <c r="AS47" i="29"/>
  <c r="CA58" i="29"/>
  <c r="BB72" i="29"/>
  <c r="CK25" i="29"/>
  <c r="BS23" i="29"/>
  <c r="BD24" i="29"/>
  <c r="DB25" i="29"/>
  <c r="BD26" i="29"/>
  <c r="AZ31" i="29"/>
  <c r="BB32" i="29"/>
  <c r="AU32" i="29"/>
  <c r="CJ34" i="29"/>
  <c r="BA35" i="29"/>
  <c r="AT35" i="29"/>
  <c r="CJ39" i="29"/>
  <c r="BA40" i="29"/>
  <c r="AO40" i="29"/>
  <c r="AT40" i="29"/>
  <c r="AZ45" i="29"/>
  <c r="AS45" i="29"/>
  <c r="AH45" i="29"/>
  <c r="BC53" i="29"/>
  <c r="BV53" i="29"/>
  <c r="DB115" i="29"/>
  <c r="CK115" i="29"/>
  <c r="BO16" i="29"/>
  <c r="AZ20" i="29"/>
  <c r="AT20" i="29"/>
  <c r="BA37" i="29"/>
  <c r="AT37" i="29"/>
  <c r="CJ37" i="29"/>
  <c r="CS40" i="29"/>
  <c r="AZ40" i="29"/>
  <c r="BS40" i="29"/>
  <c r="CQ40" i="29"/>
  <c r="CA47" i="29"/>
  <c r="CD47" i="29" s="1"/>
  <c r="O50" i="29"/>
  <c r="BD64" i="29"/>
  <c r="AW64" i="29"/>
  <c r="BV72" i="29"/>
  <c r="BL109" i="29"/>
  <c r="CG109" i="29"/>
  <c r="CP109" i="29"/>
  <c r="BS17" i="29"/>
  <c r="BO22" i="29"/>
  <c r="CP27" i="29"/>
  <c r="CG27" i="29"/>
  <c r="BD28" i="29"/>
  <c r="AW28" i="29"/>
  <c r="AW43" i="29"/>
  <c r="AW48" i="29"/>
  <c r="AW56" i="29"/>
  <c r="AW58" i="29"/>
  <c r="AW65" i="29"/>
  <c r="AW70" i="29"/>
  <c r="AW73" i="29"/>
  <c r="AW82" i="29"/>
  <c r="AW86" i="29"/>
  <c r="AW87" i="29"/>
  <c r="AW107" i="29"/>
  <c r="AW109" i="29"/>
  <c r="AW114" i="29"/>
  <c r="AW115" i="29"/>
  <c r="AW116" i="29"/>
  <c r="AW118" i="29"/>
  <c r="AW133" i="29"/>
  <c r="AW134" i="29"/>
  <c r="AM136" i="29"/>
  <c r="AW136" i="29" s="1"/>
  <c r="AW138" i="29"/>
  <c r="DB28" i="29"/>
  <c r="CS38" i="29"/>
  <c r="BS38" i="29"/>
  <c r="BH38" i="29"/>
  <c r="CV38" i="29"/>
  <c r="BL42" i="29"/>
  <c r="BC52" i="29"/>
  <c r="AV52" i="29"/>
  <c r="CM53" i="29"/>
  <c r="CK55" i="29"/>
  <c r="DB55" i="29"/>
  <c r="CK68" i="29"/>
  <c r="AH68" i="29"/>
  <c r="BB69" i="29"/>
  <c r="CV69" i="29"/>
  <c r="AU69" i="29"/>
  <c r="CS72" i="29"/>
  <c r="BV92" i="29"/>
  <c r="BA26" i="29"/>
  <c r="CN30" i="29"/>
  <c r="AZ30" i="29"/>
  <c r="AS30" i="29"/>
  <c r="BO15" i="29"/>
  <c r="BA19" i="29"/>
  <c r="AV21" i="29"/>
  <c r="BA21" i="29"/>
  <c r="BH22" i="29"/>
  <c r="CS22" i="29"/>
  <c r="BL24" i="29"/>
  <c r="DB24" i="29"/>
  <c r="BD25" i="29"/>
  <c r="CO26" i="29"/>
  <c r="DB26" i="29"/>
  <c r="CW27" i="29"/>
  <c r="BV28" i="29"/>
  <c r="CK31" i="29"/>
  <c r="BD32" i="29"/>
  <c r="AU36" i="29"/>
  <c r="AH43" i="29"/>
  <c r="CJ43" i="29"/>
  <c r="CL43" i="29" s="1"/>
  <c r="CM43" i="29"/>
  <c r="BD43" i="29"/>
  <c r="DB46" i="29"/>
  <c r="CG49" i="29"/>
  <c r="CH49" i="29" s="1"/>
  <c r="AG50" i="29"/>
  <c r="CK50" i="29" s="1"/>
  <c r="BT50" i="29"/>
  <c r="BZ50" i="29" s="1"/>
  <c r="AU51" i="29"/>
  <c r="BC60" i="29"/>
  <c r="CA62" i="29"/>
  <c r="BD65" i="29"/>
  <c r="CK16" i="29"/>
  <c r="CK17" i="29"/>
  <c r="BS25" i="29"/>
  <c r="BS26" i="29"/>
  <c r="BS27" i="29"/>
  <c r="AS29" i="29"/>
  <c r="CJ30" i="29"/>
  <c r="CV30" i="29"/>
  <c r="AU31" i="29"/>
  <c r="AT34" i="29"/>
  <c r="BL37" i="29"/>
  <c r="AT39" i="29"/>
  <c r="AZ39" i="29"/>
  <c r="CG40" i="29"/>
  <c r="CH40" i="29" s="1"/>
  <c r="AT41" i="29"/>
  <c r="CJ42" i="29"/>
  <c r="BS44" i="29"/>
  <c r="BH44" i="29"/>
  <c r="BA44" i="29"/>
  <c r="BD44" i="29"/>
  <c r="BL44" i="29"/>
  <c r="AH48" i="29"/>
  <c r="CS51" i="29"/>
  <c r="AZ51" i="29"/>
  <c r="BS51" i="29"/>
  <c r="BH51" i="29"/>
  <c r="CV51" i="29"/>
  <c r="CS53" i="29"/>
  <c r="BX57" i="29"/>
  <c r="BY57" i="29" s="1"/>
  <c r="BB62" i="29"/>
  <c r="AU62" i="29"/>
  <c r="CW62" i="29"/>
  <c r="AS63" i="29"/>
  <c r="AS65" i="29"/>
  <c r="BL65" i="29"/>
  <c r="BG65" i="29"/>
  <c r="AU72" i="29"/>
  <c r="CA74" i="29"/>
  <c r="CP75" i="29"/>
  <c r="BL75" i="29"/>
  <c r="Z75" i="29"/>
  <c r="CJ75" i="29" s="1"/>
  <c r="BB104" i="29"/>
  <c r="AU104" i="29"/>
  <c r="CO104" i="29"/>
  <c r="DB22" i="29"/>
  <c r="BL33" i="29"/>
  <c r="DB34" i="29"/>
  <c r="BH39" i="29"/>
  <c r="BA41" i="29"/>
  <c r="AU49" i="29"/>
  <c r="CW49" i="29"/>
  <c r="DB50" i="29"/>
  <c r="AS50" i="29"/>
  <c r="AZ52" i="29"/>
  <c r="AS64" i="29"/>
  <c r="CP65" i="29"/>
  <c r="BC67" i="29"/>
  <c r="BL69" i="29"/>
  <c r="AS69" i="29"/>
  <c r="AT76" i="29"/>
  <c r="CS77" i="29"/>
  <c r="BS77" i="29"/>
  <c r="BX77" i="29" s="1"/>
  <c r="BY77" i="29" s="1"/>
  <c r="AG77" i="29"/>
  <c r="CK77" i="29" s="1"/>
  <c r="BB105" i="29"/>
  <c r="AU105" i="29"/>
  <c r="CW105" i="29"/>
  <c r="CH105" i="29"/>
  <c r="CV105" i="29"/>
  <c r="BO37" i="29"/>
  <c r="AQ39" i="29"/>
  <c r="CV39" i="29"/>
  <c r="BA42" i="29"/>
  <c r="DB42" i="29"/>
  <c r="AS48" i="29"/>
  <c r="BL48" i="29"/>
  <c r="CG48" i="29"/>
  <c r="BG48" i="29"/>
  <c r="BA48" i="29"/>
  <c r="AT48" i="29"/>
  <c r="CC49" i="29"/>
  <c r="BD56" i="29"/>
  <c r="AS57" i="29"/>
  <c r="AZ57" i="29"/>
  <c r="BL70" i="29"/>
  <c r="CP70" i="29"/>
  <c r="BD73" i="29"/>
  <c r="CC76" i="29"/>
  <c r="CJ78" i="29"/>
  <c r="BC87" i="29"/>
  <c r="AV87" i="29"/>
  <c r="CS96" i="29"/>
  <c r="BS96" i="29"/>
  <c r="BX96" i="29" s="1"/>
  <c r="BY96" i="29" s="1"/>
  <c r="BA96" i="29"/>
  <c r="AT96" i="29"/>
  <c r="AZ18" i="29"/>
  <c r="BA23" i="29"/>
  <c r="BA24" i="29"/>
  <c r="BA27" i="29"/>
  <c r="BS28" i="29"/>
  <c r="AT42" i="29"/>
  <c r="AS43" i="29"/>
  <c r="BG44" i="29"/>
  <c r="CK44" i="29"/>
  <c r="CJ46" i="29"/>
  <c r="CL46" i="29" s="1"/>
  <c r="AS54" i="29"/>
  <c r="AZ54" i="29"/>
  <c r="CG56" i="29"/>
  <c r="AS56" i="29"/>
  <c r="AT58" i="29"/>
  <c r="CH58" i="29"/>
  <c r="CG60" i="29"/>
  <c r="CS60" i="29"/>
  <c r="BH60" i="29"/>
  <c r="AT60" i="29"/>
  <c r="BA60" i="29"/>
  <c r="BV67" i="29"/>
  <c r="BB68" i="29"/>
  <c r="AU68" i="29"/>
  <c r="CW72" i="29"/>
  <c r="BB77" i="29"/>
  <c r="AU77" i="29"/>
  <c r="AZ94" i="29"/>
  <c r="CS94" i="29"/>
  <c r="BS94" i="29"/>
  <c r="CV94" i="29"/>
  <c r="BA94" i="29"/>
  <c r="AT94" i="29"/>
  <c r="AV55" i="29"/>
  <c r="CK60" i="29"/>
  <c r="BS61" i="29"/>
  <c r="BX61" i="29" s="1"/>
  <c r="BY61" i="29" s="1"/>
  <c r="CV62" i="29"/>
  <c r="BA63" i="29"/>
  <c r="AT63" i="29"/>
  <c r="CV72" i="29"/>
  <c r="AI76" i="29"/>
  <c r="BL76" i="29"/>
  <c r="CP76" i="29"/>
  <c r="BO82" i="29"/>
  <c r="BG82" i="29"/>
  <c r="BI82" i="29" s="1"/>
  <c r="BC84" i="29"/>
  <c r="DB94" i="29"/>
  <c r="CJ101" i="29"/>
  <c r="CM101" i="29"/>
  <c r="CS106" i="29"/>
  <c r="BS106" i="29"/>
  <c r="BS108" i="29"/>
  <c r="BH108" i="29"/>
  <c r="CS108" i="29"/>
  <c r="BD109" i="29"/>
  <c r="BV110" i="29"/>
  <c r="BC110" i="29"/>
  <c r="AV112" i="29"/>
  <c r="CN112" i="29"/>
  <c r="AS113" i="29"/>
  <c r="BL113" i="29"/>
  <c r="AV117" i="29"/>
  <c r="BO117" i="29"/>
  <c r="BA65" i="29"/>
  <c r="BA73" i="29"/>
  <c r="CJ76" i="29"/>
  <c r="BB78" i="29"/>
  <c r="AU78" i="29"/>
  <c r="CW83" i="29"/>
  <c r="CV83" i="29"/>
  <c r="BA83" i="29"/>
  <c r="AT83" i="29"/>
  <c r="BO85" i="29"/>
  <c r="BC86" i="29"/>
  <c r="AV86" i="29"/>
  <c r="CJ87" i="29"/>
  <c r="BD87" i="29"/>
  <c r="BL88" i="29"/>
  <c r="CP88" i="29"/>
  <c r="CG88" i="29"/>
  <c r="BG88" i="29"/>
  <c r="BD90" i="29"/>
  <c r="BB103" i="29"/>
  <c r="AU103" i="29"/>
  <c r="BC104" i="29"/>
  <c r="AV104" i="29"/>
  <c r="BC105" i="29"/>
  <c r="AV105" i="29"/>
  <c r="BO114" i="29"/>
  <c r="AV114" i="29"/>
  <c r="AV56" i="29"/>
  <c r="AS60" i="29"/>
  <c r="CG61" i="29"/>
  <c r="CH61" i="29" s="1"/>
  <c r="CV63" i="29"/>
  <c r="AT65" i="29"/>
  <c r="AG74" i="29"/>
  <c r="CK74" i="29" s="1"/>
  <c r="CJ79" i="29"/>
  <c r="BB83" i="29"/>
  <c r="AU83" i="29"/>
  <c r="AT84" i="29"/>
  <c r="AU84" i="29"/>
  <c r="CK85" i="29"/>
  <c r="CJ86" i="29"/>
  <c r="BD86" i="29"/>
  <c r="AV88" i="29"/>
  <c r="CV89" i="29"/>
  <c r="DB93" i="29"/>
  <c r="AZ97" i="29"/>
  <c r="AS97" i="29"/>
  <c r="CJ104" i="29"/>
  <c r="BL107" i="29"/>
  <c r="BD107" i="29"/>
  <c r="AV53" i="29"/>
  <c r="DB60" i="29"/>
  <c r="CS61" i="29"/>
  <c r="CS66" i="29"/>
  <c r="AU70" i="29"/>
  <c r="BL78" i="29"/>
  <c r="CP78" i="29"/>
  <c r="CH83" i="29"/>
  <c r="BB84" i="29"/>
  <c r="BA89" i="29"/>
  <c r="CW89" i="29"/>
  <c r="AT89" i="29"/>
  <c r="BB89" i="29"/>
  <c r="BG90" i="29"/>
  <c r="CV93" i="29"/>
  <c r="BA93" i="29"/>
  <c r="AT93" i="29"/>
  <c r="CW93" i="29"/>
  <c r="CV95" i="29"/>
  <c r="CW95" i="29"/>
  <c r="BA95" i="29"/>
  <c r="AT95" i="29"/>
  <c r="BA97" i="29"/>
  <c r="AT97" i="29"/>
  <c r="DB102" i="29"/>
  <c r="CJ105" i="29"/>
  <c r="CG107" i="29"/>
  <c r="AT108" i="29"/>
  <c r="CG113" i="29"/>
  <c r="BD116" i="29"/>
  <c r="CK81" i="29"/>
  <c r="CM92" i="29"/>
  <c r="CW108" i="29"/>
  <c r="BA108" i="29"/>
  <c r="BC109" i="29"/>
  <c r="AZ120" i="29"/>
  <c r="AS120" i="29"/>
  <c r="R128" i="29"/>
  <c r="BV128" i="29" s="1"/>
  <c r="AU129" i="29"/>
  <c r="BD134" i="29"/>
  <c r="CS110" i="29"/>
  <c r="AZ110" i="29"/>
  <c r="BS110" i="29"/>
  <c r="BX110" i="29" s="1"/>
  <c r="BY110" i="29" s="1"/>
  <c r="BH110" i="29"/>
  <c r="BD114" i="29"/>
  <c r="CP114" i="29"/>
  <c r="AK119" i="29"/>
  <c r="CG119" i="29"/>
  <c r="BG119" i="29"/>
  <c r="AS119" i="29"/>
  <c r="DI123" i="29"/>
  <c r="CV85" i="29"/>
  <c r="BO88" i="29"/>
  <c r="DB90" i="29"/>
  <c r="AV109" i="29"/>
  <c r="BO109" i="29"/>
  <c r="CP112" i="29"/>
  <c r="AZ114" i="29"/>
  <c r="BL114" i="29"/>
  <c r="CK117" i="29"/>
  <c r="CM118" i="29"/>
  <c r="BS128" i="29"/>
  <c r="O156" i="29"/>
  <c r="BH129" i="29"/>
  <c r="CS129" i="29"/>
  <c r="AZ129" i="29"/>
  <c r="CR129" i="29"/>
  <c r="BS129" i="29"/>
  <c r="CO130" i="29"/>
  <c r="CG135" i="29"/>
  <c r="CH135" i="29" s="1"/>
  <c r="BG135" i="29"/>
  <c r="BI135" i="29" s="1"/>
  <c r="CK137" i="29"/>
  <c r="AS140" i="29"/>
  <c r="CW69" i="29"/>
  <c r="CW70" i="29"/>
  <c r="AI74" i="29"/>
  <c r="CZ74" i="29" s="1"/>
  <c r="BL85" i="29"/>
  <c r="CW85" i="29"/>
  <c r="CX85" i="29" s="1"/>
  <c r="BB86" i="29"/>
  <c r="BB88" i="29"/>
  <c r="BV88" i="29"/>
  <c r="BA91" i="29"/>
  <c r="BA92" i="29"/>
  <c r="AS94" i="29"/>
  <c r="BO94" i="29"/>
  <c r="CG94" i="29"/>
  <c r="CH94" i="29" s="1"/>
  <c r="CG95" i="29"/>
  <c r="CH95" i="29" s="1"/>
  <c r="BO96" i="29"/>
  <c r="CG96" i="29"/>
  <c r="BS98" i="29"/>
  <c r="BA101" i="29"/>
  <c r="BG101" i="29"/>
  <c r="BI101" i="29" s="1"/>
  <c r="CG101" i="29"/>
  <c r="AS102" i="29"/>
  <c r="AZ103" i="29"/>
  <c r="CJ103" i="29"/>
  <c r="BA105" i="29"/>
  <c r="CG106" i="29"/>
  <c r="CG111" i="29"/>
  <c r="AS114" i="29"/>
  <c r="BC115" i="29"/>
  <c r="CG116" i="29"/>
  <c r="CH116" i="29" s="1"/>
  <c r="BD118" i="29"/>
  <c r="BA119" i="29"/>
  <c r="AT119" i="29"/>
  <c r="BL119" i="29"/>
  <c r="BO119" i="29"/>
  <c r="AZ123" i="29"/>
  <c r="CZ123" i="29"/>
  <c r="AS123" i="29"/>
  <c r="AZ126" i="29"/>
  <c r="CN126" i="29"/>
  <c r="AS126" i="29"/>
  <c r="DI126" i="29"/>
  <c r="BA137" i="29"/>
  <c r="BS66" i="29"/>
  <c r="BS81" i="29"/>
  <c r="CZ84" i="29"/>
  <c r="BS85" i="29"/>
  <c r="AZ89" i="29"/>
  <c r="CW104" i="29"/>
  <c r="BL112" i="29"/>
  <c r="DI112" i="29"/>
  <c r="BC114" i="29"/>
  <c r="CM115" i="29"/>
  <c r="BC117" i="29"/>
  <c r="CP119" i="29"/>
  <c r="DI122" i="29"/>
  <c r="DI125" i="29"/>
  <c r="CW132" i="29"/>
  <c r="CV132" i="29"/>
  <c r="BA132" i="29"/>
  <c r="AT132" i="29"/>
  <c r="BD133" i="29"/>
  <c r="BP136" i="29"/>
  <c r="W136" i="29"/>
  <c r="AL136" i="29" s="1"/>
  <c r="DI138" i="29"/>
  <c r="AQ104" i="29"/>
  <c r="DI111" i="29"/>
  <c r="BD115" i="29"/>
  <c r="CG115" i="29"/>
  <c r="CM117" i="29"/>
  <c r="DI120" i="29"/>
  <c r="AT127" i="29"/>
  <c r="AT129" i="29"/>
  <c r="BB131" i="29"/>
  <c r="AU131" i="29"/>
  <c r="BC134" i="29"/>
  <c r="BB135" i="29"/>
  <c r="AU135" i="29"/>
  <c r="CJ141" i="29"/>
  <c r="CZ127" i="29"/>
  <c r="R132" i="29"/>
  <c r="BV132" i="29" s="1"/>
  <c r="CY132" i="29"/>
  <c r="CJ133" i="29"/>
  <c r="AO134" i="29"/>
  <c r="CJ134" i="29"/>
  <c r="BS135" i="29"/>
  <c r="AU137" i="29"/>
  <c r="CQ137" i="29"/>
  <c r="CW137" i="29"/>
  <c r="AP138" i="29"/>
  <c r="AJ139" i="29"/>
  <c r="AT139" i="29" s="1"/>
  <c r="BM139" i="29"/>
  <c r="BZ139" i="29" s="1"/>
  <c r="DI144" i="29"/>
  <c r="N156" i="29"/>
  <c r="AG119" i="29"/>
  <c r="AG170" i="29" s="1"/>
  <c r="CS119" i="29"/>
  <c r="DB127" i="29"/>
  <c r="CM128" i="29"/>
  <c r="AS132" i="29"/>
  <c r="CN132" i="29"/>
  <c r="AV133" i="29"/>
  <c r="AP134" i="29"/>
  <c r="AV134" i="29"/>
  <c r="CQ134" i="29"/>
  <c r="CS135" i="29"/>
  <c r="CR137" i="29"/>
  <c r="CY138" i="29"/>
  <c r="BS115" i="29"/>
  <c r="BS116" i="29"/>
  <c r="BA127" i="29"/>
  <c r="CP127" i="29"/>
  <c r="L128" i="29"/>
  <c r="CG128" i="29"/>
  <c r="BA129" i="29"/>
  <c r="BG129" i="29"/>
  <c r="CG129" i="29"/>
  <c r="CZ129" i="29"/>
  <c r="DB132" i="29"/>
  <c r="AQ134" i="29"/>
  <c r="CR134" i="29"/>
  <c r="AQ137" i="29"/>
  <c r="CN137" i="29"/>
  <c r="CB141" i="29"/>
  <c r="CE141" i="29" s="1"/>
  <c r="CN134" i="29"/>
  <c r="BM140" i="29"/>
  <c r="LW11" i="26"/>
  <c r="LT12" i="26"/>
  <c r="LW14" i="26"/>
  <c r="LW18" i="26"/>
  <c r="LT29" i="26"/>
  <c r="LW19" i="26"/>
  <c r="K27" i="26"/>
  <c r="K24" i="26"/>
  <c r="LT34" i="26"/>
  <c r="AU119" i="29"/>
  <c r="CV119" i="29"/>
  <c r="CW119" i="29"/>
  <c r="BA139" i="29"/>
  <c r="CX69" i="29"/>
  <c r="AD37" i="13"/>
  <c r="M128" i="13"/>
  <c r="AD38" i="13"/>
  <c r="AB132" i="13"/>
  <c r="A10" i="13"/>
  <c r="A11" i="13" s="1"/>
  <c r="A12" i="13" s="1"/>
  <c r="A13" i="13" s="1"/>
  <c r="A14" i="13" s="1"/>
  <c r="A15" i="13" s="1"/>
  <c r="A16" i="13" s="1"/>
  <c r="A17" i="13" s="1"/>
  <c r="A18" i="13" s="1"/>
  <c r="A19" i="13" s="1"/>
  <c r="A20" i="13" s="1"/>
  <c r="A21" i="13" s="1"/>
  <c r="A22" i="13" s="1"/>
  <c r="A23" i="13" s="1"/>
  <c r="A24" i="13" s="1"/>
  <c r="A25" i="13" s="1"/>
  <c r="A26" i="13" s="1"/>
  <c r="A27" i="13" s="1"/>
  <c r="A28" i="13" s="1"/>
  <c r="A29" i="13" s="1"/>
  <c r="A30" i="13" s="1"/>
  <c r="A31" i="13" s="1"/>
  <c r="A32" i="13" s="1"/>
  <c r="A33" i="13" s="1"/>
  <c r="A34" i="13" s="1"/>
  <c r="A35" i="13" s="1"/>
  <c r="A36" i="13" s="1"/>
  <c r="A37" i="13" s="1"/>
  <c r="A38" i="13" s="1"/>
  <c r="A39" i="13" s="1"/>
  <c r="A40" i="13" s="1"/>
  <c r="A41" i="13" s="1"/>
  <c r="A42" i="13" s="1"/>
  <c r="A43" i="13" s="1"/>
  <c r="A44" i="13" s="1"/>
  <c r="A45" i="13" s="1"/>
  <c r="A46" i="13" s="1"/>
  <c r="A47" i="13" s="1"/>
  <c r="A48" i="13" s="1"/>
  <c r="A49" i="13" s="1"/>
  <c r="A50" i="13" s="1"/>
  <c r="A51" i="13" s="1"/>
  <c r="A52" i="13" s="1"/>
  <c r="A53" i="13" s="1"/>
  <c r="A54" i="13" s="1"/>
  <c r="A55" i="13" s="1"/>
  <c r="A56" i="13" s="1"/>
  <c r="A57" i="13" s="1"/>
  <c r="AD132" i="13"/>
  <c r="U438" i="31"/>
  <c r="AO132" i="29" l="1"/>
  <c r="AO84" i="29"/>
  <c r="AP113" i="29"/>
  <c r="AO130" i="29"/>
  <c r="AP114" i="29"/>
  <c r="AT102" i="29"/>
  <c r="AS80" i="29"/>
  <c r="AO86" i="29"/>
  <c r="CH76" i="29"/>
  <c r="BD88" i="29"/>
  <c r="CZ30" i="29"/>
  <c r="AP23" i="29"/>
  <c r="BQ30" i="29"/>
  <c r="BR30" i="29" s="1"/>
  <c r="BC34" i="29"/>
  <c r="CM81" i="29"/>
  <c r="BI84" i="29"/>
  <c r="CR81" i="31"/>
  <c r="CX109" i="31"/>
  <c r="CY109" i="31"/>
  <c r="AW23" i="31"/>
  <c r="CN138" i="29"/>
  <c r="BS111" i="29"/>
  <c r="CW131" i="29"/>
  <c r="CR138" i="29"/>
  <c r="CV131" i="29"/>
  <c r="AQ113" i="29"/>
  <c r="AO113" i="29"/>
  <c r="CS101" i="29"/>
  <c r="CP62" i="29"/>
  <c r="BI108" i="29"/>
  <c r="AV77" i="29"/>
  <c r="CH52" i="29"/>
  <c r="CV21" i="29"/>
  <c r="AS42" i="29"/>
  <c r="DI44" i="29"/>
  <c r="DI45" i="29"/>
  <c r="AI77" i="29"/>
  <c r="CH79" i="29"/>
  <c r="CH88" i="31"/>
  <c r="AO85" i="31"/>
  <c r="BC98" i="31"/>
  <c r="AU114" i="31"/>
  <c r="AT122" i="31"/>
  <c r="BR143" i="33"/>
  <c r="BT140" i="29"/>
  <c r="AK136" i="29"/>
  <c r="BB136" i="29" s="1"/>
  <c r="AQ138" i="29"/>
  <c r="CN127" i="29"/>
  <c r="AP127" i="29"/>
  <c r="CN114" i="29"/>
  <c r="BD111" i="29"/>
  <c r="CP135" i="29"/>
  <c r="BA84" i="29"/>
  <c r="CO52" i="29"/>
  <c r="CO39" i="29"/>
  <c r="CS44" i="29"/>
  <c r="AO21" i="29"/>
  <c r="CG42" i="29"/>
  <c r="CY46" i="29"/>
  <c r="CM60" i="29"/>
  <c r="BQ62" i="29"/>
  <c r="BR62" i="29" s="1"/>
  <c r="CM63" i="29"/>
  <c r="CK65" i="29"/>
  <c r="AP66" i="29"/>
  <c r="CZ89" i="29"/>
  <c r="CH53" i="31"/>
  <c r="CR95" i="31"/>
  <c r="CY65" i="31"/>
  <c r="BL119" i="31"/>
  <c r="AT109" i="31"/>
  <c r="AT131" i="29"/>
  <c r="AS110" i="29"/>
  <c r="AP86" i="29"/>
  <c r="AQ130" i="29"/>
  <c r="AR130" i="29" s="1"/>
  <c r="CG117" i="29"/>
  <c r="CQ86" i="29"/>
  <c r="CW77" i="29"/>
  <c r="BF97" i="29"/>
  <c r="CP90" i="29"/>
  <c r="CW84" i="29"/>
  <c r="CX84" i="29" s="1"/>
  <c r="AZ19" i="29"/>
  <c r="AP52" i="29"/>
  <c r="AB147" i="29"/>
  <c r="AO19" i="29"/>
  <c r="AO131" i="31"/>
  <c r="CG136" i="31"/>
  <c r="CH122" i="31"/>
  <c r="CG95" i="31"/>
  <c r="CH74" i="31"/>
  <c r="CR119" i="31"/>
  <c r="BL115" i="31"/>
  <c r="O90" i="31"/>
  <c r="BH90" i="31" s="1"/>
  <c r="AU102" i="31"/>
  <c r="CW127" i="29"/>
  <c r="AS139" i="29"/>
  <c r="AP132" i="29"/>
  <c r="CG108" i="29"/>
  <c r="CH108" i="29" s="1"/>
  <c r="CR130" i="29"/>
  <c r="BD113" i="29"/>
  <c r="CR76" i="29"/>
  <c r="BL64" i="29"/>
  <c r="CQ52" i="29"/>
  <c r="CW22" i="29"/>
  <c r="CY52" i="29"/>
  <c r="CA124" i="29"/>
  <c r="CB124" i="29" s="1"/>
  <c r="CF124" i="29" s="1"/>
  <c r="CH134" i="31"/>
  <c r="BH42" i="31"/>
  <c r="CA101" i="31"/>
  <c r="CD101" i="31" s="1"/>
  <c r="CU107" i="31"/>
  <c r="CX134" i="31"/>
  <c r="CX53" i="31"/>
  <c r="AW93" i="31"/>
  <c r="CN72" i="29"/>
  <c r="AT112" i="31"/>
  <c r="BX135" i="29"/>
  <c r="BY135" i="29" s="1"/>
  <c r="AT110" i="29"/>
  <c r="AU127" i="29"/>
  <c r="BX94" i="29"/>
  <c r="BY94" i="29" s="1"/>
  <c r="CW76" i="29"/>
  <c r="CX76" i="29" s="1"/>
  <c r="AQ52" i="29"/>
  <c r="AQ30" i="29"/>
  <c r="CO30" i="29"/>
  <c r="BQ74" i="29"/>
  <c r="BR74" i="29" s="1"/>
  <c r="AU118" i="29"/>
  <c r="AW131" i="29"/>
  <c r="CC135" i="29"/>
  <c r="CH75" i="31"/>
  <c r="AO125" i="31"/>
  <c r="AO16" i="31"/>
  <c r="CX127" i="31"/>
  <c r="CY41" i="31"/>
  <c r="BS64" i="31"/>
  <c r="AT41" i="31"/>
  <c r="CH132" i="31"/>
  <c r="CH107" i="31"/>
  <c r="CH70" i="31"/>
  <c r="CH35" i="31"/>
  <c r="CX68" i="31"/>
  <c r="CC22" i="31"/>
  <c r="AH136" i="31"/>
  <c r="CM136" i="31" s="1"/>
  <c r="BX72" i="31"/>
  <c r="BY72" i="31" s="1"/>
  <c r="CV127" i="29"/>
  <c r="CH115" i="29"/>
  <c r="AQ131" i="29"/>
  <c r="CL134" i="29"/>
  <c r="CQ130" i="29"/>
  <c r="AS130" i="29"/>
  <c r="BB127" i="29"/>
  <c r="CZ86" i="29"/>
  <c r="AT75" i="29"/>
  <c r="BQ37" i="29"/>
  <c r="BR37" i="29" s="1"/>
  <c r="CN52" i="29"/>
  <c r="AP19" i="29"/>
  <c r="BH72" i="29"/>
  <c r="CY88" i="29"/>
  <c r="CY102" i="29"/>
  <c r="BF105" i="29"/>
  <c r="BQ117" i="29"/>
  <c r="BR117" i="29" s="1"/>
  <c r="CR120" i="29"/>
  <c r="CC124" i="29"/>
  <c r="CY126" i="29"/>
  <c r="CY127" i="29"/>
  <c r="CV129" i="29"/>
  <c r="AO124" i="31"/>
  <c r="CR111" i="31"/>
  <c r="CX125" i="31"/>
  <c r="DB16" i="31"/>
  <c r="AW74" i="31"/>
  <c r="AO133" i="31"/>
  <c r="AO112" i="31"/>
  <c r="AU88" i="31"/>
  <c r="AO140" i="29"/>
  <c r="CO132" i="29"/>
  <c r="CN130" i="29"/>
  <c r="CW81" i="29"/>
  <c r="CO86" i="29"/>
  <c r="CW86" i="29"/>
  <c r="BA75" i="29"/>
  <c r="BC112" i="29"/>
  <c r="AN143" i="29"/>
  <c r="CR30" i="29"/>
  <c r="BD31" i="29"/>
  <c r="AT43" i="29"/>
  <c r="CH84" i="29"/>
  <c r="CQ85" i="29"/>
  <c r="AH14" i="31"/>
  <c r="CR107" i="31"/>
  <c r="CX122" i="31"/>
  <c r="CY139" i="31"/>
  <c r="BL107" i="31"/>
  <c r="AW69" i="31"/>
  <c r="BD51" i="31"/>
  <c r="BB25" i="29"/>
  <c r="CK141" i="29"/>
  <c r="BA131" i="29"/>
  <c r="AO127" i="29"/>
  <c r="AH134" i="29"/>
  <c r="AQ86" i="29"/>
  <c r="CG93" i="29"/>
  <c r="CH93" i="29" s="1"/>
  <c r="CZ130" i="29"/>
  <c r="CV81" i="29"/>
  <c r="CN108" i="29"/>
  <c r="CH113" i="29"/>
  <c r="CN86" i="29"/>
  <c r="CR86" i="29"/>
  <c r="AH18" i="29"/>
  <c r="AH81" i="29"/>
  <c r="AO114" i="31"/>
  <c r="BS70" i="29"/>
  <c r="AQ102" i="29"/>
  <c r="CW96" i="29"/>
  <c r="CY72" i="29"/>
  <c r="CO127" i="29"/>
  <c r="AP131" i="29"/>
  <c r="CY130" i="29"/>
  <c r="AS138" i="29"/>
  <c r="AO131" i="29"/>
  <c r="CZ132" i="29"/>
  <c r="AS93" i="29"/>
  <c r="CV108" i="29"/>
  <c r="CY21" i="29"/>
  <c r="CO72" i="29"/>
  <c r="DI92" i="29"/>
  <c r="BQ133" i="29"/>
  <c r="BR133" i="29" s="1"/>
  <c r="BX134" i="29"/>
  <c r="BY134" i="29" s="1"/>
  <c r="DI140" i="29"/>
  <c r="LW16" i="26"/>
  <c r="LW17" i="26"/>
  <c r="LW28" i="26"/>
  <c r="K33" i="26"/>
  <c r="J33" i="26" s="1"/>
  <c r="E33" i="26" s="1"/>
  <c r="H33" i="26" s="1"/>
  <c r="AO110" i="31"/>
  <c r="CY122" i="31"/>
  <c r="AU77" i="31"/>
  <c r="CM90" i="31"/>
  <c r="B20" i="13"/>
  <c r="BS87" i="31"/>
  <c r="BH87" i="31"/>
  <c r="AQ77" i="29"/>
  <c r="CQ77" i="29"/>
  <c r="AP77" i="29"/>
  <c r="AS77" i="29"/>
  <c r="AZ77" i="29"/>
  <c r="CN77" i="29"/>
  <c r="CZ77" i="29"/>
  <c r="CO77" i="29"/>
  <c r="CR77" i="29"/>
  <c r="CY77" i="29"/>
  <c r="CE124" i="29"/>
  <c r="CQ124" i="29"/>
  <c r="BD112" i="29"/>
  <c r="CY124" i="29"/>
  <c r="AZ74" i="29"/>
  <c r="CR74" i="29"/>
  <c r="J27" i="26"/>
  <c r="E27" i="26" s="1"/>
  <c r="H27" i="26" s="1"/>
  <c r="AT121" i="29"/>
  <c r="CY129" i="29"/>
  <c r="CN133" i="29"/>
  <c r="AL139" i="29"/>
  <c r="BC139" i="29" s="1"/>
  <c r="AT135" i="29"/>
  <c r="AQ105" i="29"/>
  <c r="CY105" i="29"/>
  <c r="AQ72" i="29"/>
  <c r="CN123" i="29"/>
  <c r="CK109" i="29"/>
  <c r="CW129" i="29"/>
  <c r="CX89" i="29"/>
  <c r="CZ97" i="29"/>
  <c r="CP61" i="29"/>
  <c r="CN88" i="29"/>
  <c r="CO112" i="29"/>
  <c r="AS82" i="29"/>
  <c r="BD74" i="29"/>
  <c r="BA36" i="29"/>
  <c r="CN104" i="29"/>
  <c r="CQ72" i="29"/>
  <c r="CP23" i="29"/>
  <c r="AT22" i="29"/>
  <c r="CQ23" i="29"/>
  <c r="BB41" i="29"/>
  <c r="Z22" i="29"/>
  <c r="AH22" i="29" s="1"/>
  <c r="AP61" i="29"/>
  <c r="CW14" i="29"/>
  <c r="AQ15" i="29"/>
  <c r="BQ91" i="29"/>
  <c r="BR91" i="29" s="1"/>
  <c r="AS131" i="29"/>
  <c r="CH82" i="31"/>
  <c r="AQ129" i="29"/>
  <c r="CN129" i="29"/>
  <c r="BS118" i="29"/>
  <c r="CK131" i="29"/>
  <c r="L131" i="29"/>
  <c r="CN131" i="29" s="1"/>
  <c r="AP104" i="29"/>
  <c r="BS67" i="29"/>
  <c r="CZ126" i="29"/>
  <c r="CR107" i="29"/>
  <c r="BB129" i="29"/>
  <c r="CV102" i="29"/>
  <c r="CN102" i="29"/>
  <c r="CS78" i="29"/>
  <c r="CO97" i="29"/>
  <c r="CH104" i="29"/>
  <c r="CG82" i="29"/>
  <c r="BC68" i="29"/>
  <c r="AZ60" i="29"/>
  <c r="CK48" i="29"/>
  <c r="AZ96" i="29"/>
  <c r="AV72" i="29"/>
  <c r="CM65" i="29"/>
  <c r="CZ32" i="29"/>
  <c r="CZ72" i="29"/>
  <c r="AQ55" i="29"/>
  <c r="BC18" i="29"/>
  <c r="AQ99" i="29"/>
  <c r="CW21" i="29"/>
  <c r="CW23" i="29"/>
  <c r="AH39" i="29"/>
  <c r="CM41" i="29"/>
  <c r="CR14" i="31"/>
  <c r="AQ64" i="31"/>
  <c r="CM75" i="29"/>
  <c r="CH129" i="29"/>
  <c r="CJ131" i="29"/>
  <c r="CY131" i="29"/>
  <c r="BQ112" i="29"/>
  <c r="BR112" i="29" s="1"/>
  <c r="CO123" i="29"/>
  <c r="CJ113" i="29"/>
  <c r="CH106" i="29"/>
  <c r="BA102" i="29"/>
  <c r="AO102" i="29"/>
  <c r="AO97" i="29"/>
  <c r="BL61" i="29"/>
  <c r="CZ112" i="29"/>
  <c r="CO105" i="29"/>
  <c r="CP82" i="29"/>
  <c r="DB63" i="29"/>
  <c r="CM46" i="29"/>
  <c r="CQ87" i="29"/>
  <c r="CG70" i="29"/>
  <c r="CH70" i="29" s="1"/>
  <c r="AP32" i="29"/>
  <c r="CN32" i="29"/>
  <c r="BV69" i="29"/>
  <c r="AH91" i="29"/>
  <c r="AO30" i="29"/>
  <c r="CV58" i="29"/>
  <c r="AS99" i="29"/>
  <c r="AO61" i="29"/>
  <c r="CC14" i="29"/>
  <c r="CC143" i="29" s="1"/>
  <c r="CN20" i="29"/>
  <c r="AH27" i="29"/>
  <c r="CQ29" i="29"/>
  <c r="AP31" i="29"/>
  <c r="AZ33" i="29"/>
  <c r="CP127" i="31"/>
  <c r="CR78" i="31"/>
  <c r="O24" i="31"/>
  <c r="BX116" i="29"/>
  <c r="BY116" i="29" s="1"/>
  <c r="AP129" i="29"/>
  <c r="BC113" i="29"/>
  <c r="AP112" i="29"/>
  <c r="AH89" i="29"/>
  <c r="CO126" i="29"/>
  <c r="CW102" i="29"/>
  <c r="CX102" i="29" s="1"/>
  <c r="CZ102" i="29"/>
  <c r="AI78" i="29"/>
  <c r="CK96" i="29"/>
  <c r="CR104" i="29"/>
  <c r="CQ105" i="29"/>
  <c r="AO32" i="29"/>
  <c r="BD68" i="29"/>
  <c r="BD66" i="29"/>
  <c r="AU58" i="29"/>
  <c r="BD27" i="29"/>
  <c r="BA14" i="29"/>
  <c r="CA26" i="29"/>
  <c r="AS41" i="29"/>
  <c r="CS70" i="29"/>
  <c r="CO70" i="29"/>
  <c r="CS18" i="31"/>
  <c r="BS65" i="31"/>
  <c r="AZ45" i="31"/>
  <c r="CX141" i="31"/>
  <c r="DD20" i="31"/>
  <c r="BH27" i="31"/>
  <c r="CG65" i="31"/>
  <c r="CH65" i="31" s="1"/>
  <c r="CQ127" i="31"/>
  <c r="CC56" i="31"/>
  <c r="CH128" i="31"/>
  <c r="DA103" i="31"/>
  <c r="CH89" i="31"/>
  <c r="CH78" i="31"/>
  <c r="CH19" i="31"/>
  <c r="CS138" i="31"/>
  <c r="CY126" i="31"/>
  <c r="CY113" i="31"/>
  <c r="AO101" i="31"/>
  <c r="DB87" i="31"/>
  <c r="CP30" i="31"/>
  <c r="CP18" i="31"/>
  <c r="AH46" i="31"/>
  <c r="CM46" i="31" s="1"/>
  <c r="CO18" i="31"/>
  <c r="BA135" i="29"/>
  <c r="AO105" i="29"/>
  <c r="CM95" i="29"/>
  <c r="AZ63" i="29"/>
  <c r="CV41" i="29"/>
  <c r="BQ132" i="29"/>
  <c r="BR132" i="29" s="1"/>
  <c r="L8" i="26"/>
  <c r="AO129" i="29"/>
  <c r="CQ117" i="29"/>
  <c r="AO111" i="29"/>
  <c r="AO112" i="29"/>
  <c r="CV104" i="29"/>
  <c r="CH96" i="29"/>
  <c r="CO111" i="29"/>
  <c r="CO129" i="29"/>
  <c r="AQ120" i="29"/>
  <c r="BC101" i="29"/>
  <c r="BS84" i="29"/>
  <c r="BX84" i="29" s="1"/>
  <c r="BY84" i="29" s="1"/>
  <c r="AQ106" i="29"/>
  <c r="CP72" i="29"/>
  <c r="CW58" i="29"/>
  <c r="CV79" i="29"/>
  <c r="CS63" i="29"/>
  <c r="CG23" i="29"/>
  <c r="CH23" i="29" s="1"/>
  <c r="AI75" i="29"/>
  <c r="BX51" i="29"/>
  <c r="BY51" i="29" s="1"/>
  <c r="AQ41" i="29"/>
  <c r="BL26" i="29"/>
  <c r="CM20" i="29"/>
  <c r="AT55" i="29"/>
  <c r="CH109" i="29"/>
  <c r="BD98" i="29"/>
  <c r="BS75" i="29"/>
  <c r="BX56" i="29"/>
  <c r="BY56" i="29" s="1"/>
  <c r="AQ23" i="29"/>
  <c r="CJ14" i="29"/>
  <c r="BZ24" i="29"/>
  <c r="CO34" i="29"/>
  <c r="AH64" i="29"/>
  <c r="CY65" i="29"/>
  <c r="AT74" i="29"/>
  <c r="DI141" i="31"/>
  <c r="AO127" i="31"/>
  <c r="CU27" i="31"/>
  <c r="AQ112" i="29"/>
  <c r="CQ120" i="29"/>
  <c r="CN23" i="29"/>
  <c r="CO122" i="29"/>
  <c r="CN125" i="29"/>
  <c r="R8" i="26"/>
  <c r="BE97" i="29"/>
  <c r="CN124" i="29"/>
  <c r="AP111" i="29"/>
  <c r="CV135" i="29"/>
  <c r="AV118" i="29"/>
  <c r="CP110" i="29"/>
  <c r="BX85" i="29"/>
  <c r="BY85" i="29" s="1"/>
  <c r="CZ111" i="29"/>
  <c r="BA104" i="29"/>
  <c r="BF104" i="29" s="1"/>
  <c r="BQ96" i="29"/>
  <c r="BR96" i="29" s="1"/>
  <c r="CQ127" i="29"/>
  <c r="CY111" i="29"/>
  <c r="AT106" i="29"/>
  <c r="CH97" i="29"/>
  <c r="CR84" i="29"/>
  <c r="CG72" i="29"/>
  <c r="CH72" i="29" s="1"/>
  <c r="AZ125" i="29"/>
  <c r="BF125" i="29" s="1"/>
  <c r="CW79" i="29"/>
  <c r="CO57" i="29"/>
  <c r="CG63" i="29"/>
  <c r="CH63" i="29" s="1"/>
  <c r="AS23" i="29"/>
  <c r="BQ75" i="29"/>
  <c r="BR75" i="29" s="1"/>
  <c r="CZ38" i="29"/>
  <c r="BA55" i="29"/>
  <c r="AP24" i="29"/>
  <c r="CS75" i="29"/>
  <c r="V8" i="29"/>
  <c r="AZ69" i="29"/>
  <c r="BB79" i="29"/>
  <c r="BX102" i="29"/>
  <c r="BY102" i="29" s="1"/>
  <c r="CM107" i="29"/>
  <c r="CQ108" i="29"/>
  <c r="CZ109" i="29"/>
  <c r="CM111" i="29"/>
  <c r="CR111" i="29"/>
  <c r="BX112" i="29"/>
  <c r="BY112" i="29" s="1"/>
  <c r="BX113" i="29"/>
  <c r="BY113" i="29" s="1"/>
  <c r="CA118" i="29"/>
  <c r="CD118" i="29" s="1"/>
  <c r="DD87" i="31"/>
  <c r="CM17" i="29"/>
  <c r="AK156" i="29"/>
  <c r="AS74" i="29"/>
  <c r="CM131" i="29"/>
  <c r="AQ133" i="29"/>
  <c r="CO117" i="29"/>
  <c r="CG110" i="29"/>
  <c r="AQ123" i="29"/>
  <c r="CH111" i="29"/>
  <c r="AO104" i="29"/>
  <c r="Z110" i="29"/>
  <c r="AH110" i="29" s="1"/>
  <c r="CV106" i="29"/>
  <c r="AZ84" i="29"/>
  <c r="BG72" i="29"/>
  <c r="AQ97" i="29"/>
  <c r="AH109" i="29"/>
  <c r="CJ112" i="29"/>
  <c r="CH57" i="29"/>
  <c r="BA79" i="29"/>
  <c r="CR105" i="29"/>
  <c r="AS66" i="29"/>
  <c r="AH57" i="29"/>
  <c r="BH63" i="29"/>
  <c r="BI63" i="29" s="1"/>
  <c r="CS39" i="29"/>
  <c r="CV36" i="29"/>
  <c r="AO25" i="29"/>
  <c r="CW55" i="29"/>
  <c r="AS25" i="29"/>
  <c r="CD58" i="29"/>
  <c r="AU23" i="29"/>
  <c r="CM25" i="29"/>
  <c r="CA27" i="29"/>
  <c r="CD27" i="29" s="1"/>
  <c r="CM94" i="29"/>
  <c r="AO96" i="29"/>
  <c r="CM96" i="29"/>
  <c r="BX139" i="31"/>
  <c r="BY139" i="31" s="1"/>
  <c r="AQ88" i="29"/>
  <c r="CW41" i="29"/>
  <c r="AP123" i="29"/>
  <c r="AT125" i="29"/>
  <c r="AO133" i="29"/>
  <c r="CP117" i="29"/>
  <c r="BG110" i="29"/>
  <c r="CW109" i="29"/>
  <c r="AQ126" i="29"/>
  <c r="CR123" i="29"/>
  <c r="CW87" i="29"/>
  <c r="AS117" i="29"/>
  <c r="BM110" i="29"/>
  <c r="CW106" i="29"/>
  <c r="CM91" i="29"/>
  <c r="CW97" i="29"/>
  <c r="CS84" i="29"/>
  <c r="CY97" i="29"/>
  <c r="CM112" i="29"/>
  <c r="AT79" i="29"/>
  <c r="CG66" i="29"/>
  <c r="CH66" i="29" s="1"/>
  <c r="CK57" i="29"/>
  <c r="CL57" i="29" s="1"/>
  <c r="CV55" i="29"/>
  <c r="CY36" i="29"/>
  <c r="BC24" i="29"/>
  <c r="BZ33" i="29"/>
  <c r="CY81" i="29"/>
  <c r="CM84" i="29"/>
  <c r="DI84" i="29"/>
  <c r="CM85" i="29"/>
  <c r="BX86" i="29"/>
  <c r="BY86" i="29" s="1"/>
  <c r="BL78" i="31"/>
  <c r="BQ78" i="31" s="1"/>
  <c r="BR78" i="31" s="1"/>
  <c r="AP133" i="29"/>
  <c r="CQ118" i="29"/>
  <c r="CO121" i="29"/>
  <c r="LU8" i="26"/>
  <c r="LU9" i="26" s="1"/>
  <c r="JT8" i="26"/>
  <c r="AT122" i="29"/>
  <c r="AP137" i="29"/>
  <c r="CV109" i="29"/>
  <c r="CN105" i="29"/>
  <c r="CT105" i="29" s="1"/>
  <c r="AH83" i="29"/>
  <c r="CR126" i="29"/>
  <c r="BO110" i="29"/>
  <c r="BO95" i="29"/>
  <c r="BQ95" i="29" s="1"/>
  <c r="BR95" i="29" s="1"/>
  <c r="BB87" i="29"/>
  <c r="CZ105" i="29"/>
  <c r="CH107" i="29"/>
  <c r="CV97" i="29"/>
  <c r="CP66" i="29"/>
  <c r="CY104" i="29"/>
  <c r="CV22" i="29"/>
  <c r="DB33" i="29"/>
  <c r="BB53" i="29"/>
  <c r="BB23" i="29"/>
  <c r="CQ56" i="29"/>
  <c r="CG65" i="29"/>
  <c r="CH65" i="29" s="1"/>
  <c r="AH70" i="29"/>
  <c r="CA93" i="29"/>
  <c r="CY103" i="29"/>
  <c r="CG27" i="31"/>
  <c r="BS27" i="31"/>
  <c r="AW59" i="31"/>
  <c r="BX115" i="29"/>
  <c r="BY115" i="29" s="1"/>
  <c r="CJ116" i="29"/>
  <c r="CL116" i="29" s="1"/>
  <c r="AP105" i="29"/>
  <c r="CQ104" i="29"/>
  <c r="CT104" i="29" s="1"/>
  <c r="CN97" i="29"/>
  <c r="AP88" i="29"/>
  <c r="CH88" i="29"/>
  <c r="CV96" i="29"/>
  <c r="CX96" i="29" s="1"/>
  <c r="CZ104" i="29"/>
  <c r="CK20" i="29"/>
  <c r="AW71" i="29"/>
  <c r="AP100" i="29"/>
  <c r="DB127" i="31"/>
  <c r="V139" i="29"/>
  <c r="BN139" i="29" s="1"/>
  <c r="CG133" i="29"/>
  <c r="CH133" i="29" s="1"/>
  <c r="BS133" i="29"/>
  <c r="AZ76" i="29"/>
  <c r="BO139" i="29"/>
  <c r="CN128" i="29"/>
  <c r="CR115" i="29"/>
  <c r="AP118" i="29"/>
  <c r="AS124" i="29"/>
  <c r="AZ112" i="29"/>
  <c r="BF112" i="29" s="1"/>
  <c r="AO126" i="29"/>
  <c r="AP109" i="29"/>
  <c r="CN96" i="29"/>
  <c r="BP140" i="29"/>
  <c r="AZ127" i="29"/>
  <c r="BF127" i="29" s="1"/>
  <c r="BQ109" i="29"/>
  <c r="BR109" i="29" s="1"/>
  <c r="AP125" i="29"/>
  <c r="CO89" i="29"/>
  <c r="CY64" i="29"/>
  <c r="AO95" i="29"/>
  <c r="CW63" i="29"/>
  <c r="CX63" i="29" s="1"/>
  <c r="BC56" i="29"/>
  <c r="CH73" i="29"/>
  <c r="CZ125" i="29"/>
  <c r="CZ96" i="29"/>
  <c r="CQ61" i="29"/>
  <c r="CZ64" i="29"/>
  <c r="CZ54" i="29"/>
  <c r="AP96" i="29"/>
  <c r="BH33" i="29"/>
  <c r="CM16" i="29"/>
  <c r="AW137" i="29"/>
  <c r="CO109" i="29"/>
  <c r="AU53" i="29"/>
  <c r="AZ37" i="29"/>
  <c r="AO51" i="29"/>
  <c r="CN53" i="29"/>
  <c r="BX54" i="29"/>
  <c r="BY54" i="29" s="1"/>
  <c r="BC55" i="29"/>
  <c r="BZ88" i="29"/>
  <c r="CC88" i="29" s="1"/>
  <c r="DD114" i="31"/>
  <c r="CO56" i="31"/>
  <c r="CS31" i="31"/>
  <c r="CX103" i="31"/>
  <c r="CY101" i="31"/>
  <c r="DA87" i="31"/>
  <c r="BS142" i="31"/>
  <c r="CH52" i="31"/>
  <c r="CR114" i="29"/>
  <c r="AP117" i="29"/>
  <c r="AP121" i="29"/>
  <c r="CO101" i="29"/>
  <c r="CO108" i="29"/>
  <c r="BS127" i="29"/>
  <c r="BX127" i="29" s="1"/>
  <c r="BY127" i="29" s="1"/>
  <c r="AQ122" i="29"/>
  <c r="CG102" i="29"/>
  <c r="CH102" i="29" s="1"/>
  <c r="CL109" i="29"/>
  <c r="CZ95" i="29"/>
  <c r="AH86" i="29"/>
  <c r="CO125" i="29"/>
  <c r="AQ94" i="29"/>
  <c r="CH82" i="29"/>
  <c r="CR61" i="29"/>
  <c r="CR94" i="29"/>
  <c r="AV62" i="29"/>
  <c r="CQ63" i="29"/>
  <c r="CY42" i="29"/>
  <c r="AO53" i="29"/>
  <c r="AP115" i="29"/>
  <c r="BX75" i="29"/>
  <c r="BY75" i="29" s="1"/>
  <c r="BH34" i="29"/>
  <c r="CW37" i="29"/>
  <c r="CW42" i="29"/>
  <c r="CH126" i="31"/>
  <c r="AO109" i="31"/>
  <c r="CA134" i="31"/>
  <c r="CD134" i="31" s="1"/>
  <c r="CQ138" i="31"/>
  <c r="CX87" i="31"/>
  <c r="CX30" i="31"/>
  <c r="CY89" i="31"/>
  <c r="CY18" i="31"/>
  <c r="DA18" i="31"/>
  <c r="AZ140" i="31"/>
  <c r="CZ124" i="29"/>
  <c r="AQ82" i="29"/>
  <c r="J24" i="26"/>
  <c r="E24" i="26" s="1"/>
  <c r="H24" i="26" s="1"/>
  <c r="BS114" i="29"/>
  <c r="BX114" i="29" s="1"/>
  <c r="BY114" i="29" s="1"/>
  <c r="CQ116" i="29"/>
  <c r="AZ124" i="29"/>
  <c r="AQ101" i="29"/>
  <c r="CM133" i="29"/>
  <c r="AQ121" i="29"/>
  <c r="AV116" i="29"/>
  <c r="AP91" i="29"/>
  <c r="AZ113" i="29"/>
  <c r="BB82" i="29"/>
  <c r="BX129" i="29"/>
  <c r="BY129" i="29" s="1"/>
  <c r="CR127" i="29"/>
  <c r="BQ88" i="29"/>
  <c r="BR88" i="29" s="1"/>
  <c r="CN119" i="29"/>
  <c r="CR122" i="29"/>
  <c r="AZ102" i="29"/>
  <c r="BF102" i="29" s="1"/>
  <c r="AP81" i="29"/>
  <c r="AV108" i="29"/>
  <c r="AU101" i="29"/>
  <c r="CQ78" i="29"/>
  <c r="CL86" i="29"/>
  <c r="CY63" i="29"/>
  <c r="BS65" i="29"/>
  <c r="CY94" i="29"/>
  <c r="CN82" i="29"/>
  <c r="CQ94" i="29"/>
  <c r="AP62" i="29"/>
  <c r="BS21" i="29"/>
  <c r="AZ115" i="29"/>
  <c r="AH35" i="29"/>
  <c r="CH18" i="29"/>
  <c r="AP20" i="29"/>
  <c r="CM21" i="29"/>
  <c r="BQ23" i="29"/>
  <c r="BR23" i="29" s="1"/>
  <c r="CY44" i="29"/>
  <c r="AV113" i="29"/>
  <c r="BZ131" i="29"/>
  <c r="DD33" i="31"/>
  <c r="DD56" i="31"/>
  <c r="CH103" i="31"/>
  <c r="AO138" i="31"/>
  <c r="AO103" i="31"/>
  <c r="AO31" i="31"/>
  <c r="BH37" i="31"/>
  <c r="CX76" i="31"/>
  <c r="CX18" i="31"/>
  <c r="CY87" i="31"/>
  <c r="AW115" i="31"/>
  <c r="CR113" i="29"/>
  <c r="AP116" i="29"/>
  <c r="CO124" i="29"/>
  <c r="CN89" i="29"/>
  <c r="CR121" i="29"/>
  <c r="CO115" i="29"/>
  <c r="CY89" i="29"/>
  <c r="CZ101" i="29"/>
  <c r="CN95" i="29"/>
  <c r="CH117" i="29"/>
  <c r="CY122" i="29"/>
  <c r="AQ81" i="29"/>
  <c r="AR81" i="29" s="1"/>
  <c r="BB101" i="29"/>
  <c r="AZ95" i="29"/>
  <c r="CQ89" i="29"/>
  <c r="CM86" i="29"/>
  <c r="BA64" i="29"/>
  <c r="AO94" i="29"/>
  <c r="CO82" i="29"/>
  <c r="AP54" i="29"/>
  <c r="BM28" i="29"/>
  <c r="AO64" i="29"/>
  <c r="CS37" i="29"/>
  <c r="AO115" i="29"/>
  <c r="CS17" i="29"/>
  <c r="AP55" i="29"/>
  <c r="AV84" i="29"/>
  <c r="AQ93" i="29"/>
  <c r="BQ97" i="29"/>
  <c r="BR97" i="29" s="1"/>
  <c r="CH43" i="31"/>
  <c r="DD14" i="31"/>
  <c r="DD145" i="31" s="1"/>
  <c r="AO18" i="31"/>
  <c r="CM14" i="31"/>
  <c r="CC18" i="31"/>
  <c r="CQ64" i="31"/>
  <c r="CX126" i="31"/>
  <c r="CY76" i="31"/>
  <c r="AP18" i="31"/>
  <c r="AT76" i="31"/>
  <c r="CJ111" i="29"/>
  <c r="AP89" i="29"/>
  <c r="CY121" i="29"/>
  <c r="CK107" i="29"/>
  <c r="CN101" i="29"/>
  <c r="CR89" i="29"/>
  <c r="CY118" i="29"/>
  <c r="CG112" i="29"/>
  <c r="CH112" i="29" s="1"/>
  <c r="BD117" i="29"/>
  <c r="AS122" i="29"/>
  <c r="AP108" i="29"/>
  <c r="CO94" i="29"/>
  <c r="CQ112" i="29"/>
  <c r="AO125" i="29"/>
  <c r="CO113" i="29"/>
  <c r="AQ54" i="29"/>
  <c r="CR96" i="29"/>
  <c r="AQ64" i="29"/>
  <c r="CS55" i="29"/>
  <c r="CN62" i="29"/>
  <c r="AP64" i="29"/>
  <c r="CG37" i="29"/>
  <c r="CH37" i="29" s="1"/>
  <c r="CQ115" i="29"/>
  <c r="CN19" i="29"/>
  <c r="CM38" i="29"/>
  <c r="AH40" i="29"/>
  <c r="AZ66" i="29"/>
  <c r="BQ85" i="29"/>
  <c r="BR85" i="29" s="1"/>
  <c r="BX87" i="29"/>
  <c r="BY87" i="29" s="1"/>
  <c r="BV93" i="29"/>
  <c r="CS102" i="29"/>
  <c r="BO113" i="29"/>
  <c r="BQ113" i="29" s="1"/>
  <c r="BR113" i="29" s="1"/>
  <c r="DD86" i="31"/>
  <c r="CH138" i="31"/>
  <c r="AO98" i="31"/>
  <c r="CM66" i="31"/>
  <c r="CQ18" i="31"/>
  <c r="CY138" i="31"/>
  <c r="DA138" i="31"/>
  <c r="CC64" i="31"/>
  <c r="AT64" i="31"/>
  <c r="CR118" i="29"/>
  <c r="CR112" i="29"/>
  <c r="AS121" i="29"/>
  <c r="AO89" i="29"/>
  <c r="CH118" i="29"/>
  <c r="CH101" i="29"/>
  <c r="BX88" i="29"/>
  <c r="BY88" i="29" s="1"/>
  <c r="CQ122" i="29"/>
  <c r="CB93" i="29"/>
  <c r="AO82" i="29"/>
  <c r="AQ109" i="29"/>
  <c r="AQ125" i="29"/>
  <c r="CY101" i="29"/>
  <c r="CZ94" i="29"/>
  <c r="AU54" i="29"/>
  <c r="AT78" i="29"/>
  <c r="CQ54" i="29"/>
  <c r="CT54" i="29" s="1"/>
  <c r="CU54" i="29" s="1"/>
  <c r="CQ96" i="29"/>
  <c r="CQ55" i="29"/>
  <c r="CZ42" i="29"/>
  <c r="CZ62" i="29"/>
  <c r="BH37" i="29"/>
  <c r="AQ115" i="29"/>
  <c r="CO22" i="29"/>
  <c r="CQ27" i="29"/>
  <c r="BZ122" i="29"/>
  <c r="CC122" i="29" s="1"/>
  <c r="BZ125" i="29"/>
  <c r="CC125" i="29" s="1"/>
  <c r="CH30" i="31"/>
  <c r="V146" i="31"/>
  <c r="CP138" i="31"/>
  <c r="CV138" i="31" s="1"/>
  <c r="CT138" i="31"/>
  <c r="CX64" i="31"/>
  <c r="O62" i="31"/>
  <c r="BH62" i="31" s="1"/>
  <c r="BI62" i="31" s="1"/>
  <c r="AT52" i="31"/>
  <c r="AO137" i="29"/>
  <c r="CN78" i="29"/>
  <c r="AH132" i="29"/>
  <c r="CC139" i="29"/>
  <c r="CN121" i="29"/>
  <c r="CY115" i="29"/>
  <c r="CQ109" i="29"/>
  <c r="AS95" i="29"/>
  <c r="BI129" i="29"/>
  <c r="AQ117" i="29"/>
  <c r="AI136" i="29"/>
  <c r="AS136" i="29" s="1"/>
  <c r="CN122" i="29"/>
  <c r="CZ82" i="29"/>
  <c r="BI72" i="29"/>
  <c r="CR125" i="29"/>
  <c r="BA78" i="29"/>
  <c r="CP69" i="29"/>
  <c r="CO64" i="29"/>
  <c r="AQ45" i="29"/>
  <c r="BL22" i="29"/>
  <c r="BQ22" i="29" s="1"/>
  <c r="BR22" i="29" s="1"/>
  <c r="BC61" i="29"/>
  <c r="AH71" i="29"/>
  <c r="AO89" i="31"/>
  <c r="CM56" i="31"/>
  <c r="CO14" i="31"/>
  <c r="CT30" i="31"/>
  <c r="CY64" i="31"/>
  <c r="DB64" i="31"/>
  <c r="CR117" i="29"/>
  <c r="CQ82" i="29"/>
  <c r="CZ121" i="29"/>
  <c r="CN117" i="29"/>
  <c r="CT117" i="29" s="1"/>
  <c r="CN94" i="29"/>
  <c r="AP128" i="29"/>
  <c r="CZ122" i="29"/>
  <c r="CR109" i="29"/>
  <c r="CH78" i="29"/>
  <c r="AP80" i="29"/>
  <c r="CY125" i="29"/>
  <c r="AQ96" i="29"/>
  <c r="CV78" i="29"/>
  <c r="CR54" i="29"/>
  <c r="CJ41" i="29"/>
  <c r="CH42" i="29"/>
  <c r="CW29" i="29"/>
  <c r="CZ115" i="29"/>
  <c r="CK24" i="29"/>
  <c r="CL24" i="29" s="1"/>
  <c r="DI30" i="29"/>
  <c r="CO47" i="29"/>
  <c r="AO69" i="29"/>
  <c r="AH69" i="29"/>
  <c r="AV119" i="29"/>
  <c r="CW135" i="29"/>
  <c r="CX135" i="29" s="1"/>
  <c r="CC76" i="31"/>
  <c r="CP31" i="31"/>
  <c r="CT18" i="31"/>
  <c r="DB18" i="31"/>
  <c r="BZ36" i="31"/>
  <c r="CC36" i="31" s="1"/>
  <c r="BZ24" i="31"/>
  <c r="CC24" i="31" s="1"/>
  <c r="AT42" i="31"/>
  <c r="BE79" i="33"/>
  <c r="CK133" i="29"/>
  <c r="AP124" i="29"/>
  <c r="CZ128" i="29"/>
  <c r="AQ124" i="29"/>
  <c r="AZ121" i="29"/>
  <c r="AZ122" i="29"/>
  <c r="AQ80" i="29"/>
  <c r="CR95" i="29"/>
  <c r="AS125" i="29"/>
  <c r="CY96" i="29"/>
  <c r="CZ63" i="29"/>
  <c r="CY54" i="29"/>
  <c r="CV42" i="29"/>
  <c r="CX42" i="29" s="1"/>
  <c r="CN64" i="29"/>
  <c r="BX24" i="29"/>
  <c r="BY24" i="29" s="1"/>
  <c r="CN109" i="29"/>
  <c r="CT109" i="29" s="1"/>
  <c r="CU109" i="29" s="1"/>
  <c r="CN40" i="29"/>
  <c r="CN63" i="29"/>
  <c r="CM64" i="29"/>
  <c r="AH96" i="29"/>
  <c r="CA129" i="29"/>
  <c r="CD129" i="29" s="1"/>
  <c r="CH31" i="31"/>
  <c r="CH76" i="31"/>
  <c r="DD81" i="31"/>
  <c r="BX138" i="31"/>
  <c r="BY138" i="31" s="1"/>
  <c r="CX113" i="31"/>
  <c r="CY52" i="31"/>
  <c r="CO136" i="31"/>
  <c r="AH119" i="31"/>
  <c r="CM119" i="31" s="1"/>
  <c r="AO108" i="29"/>
  <c r="CH128" i="29"/>
  <c r="CR116" i="29"/>
  <c r="CR124" i="29"/>
  <c r="CX109" i="29"/>
  <c r="W147" i="29"/>
  <c r="CY128" i="29"/>
  <c r="CN115" i="29"/>
  <c r="AZ128" i="29"/>
  <c r="AQ128" i="29"/>
  <c r="AO109" i="29"/>
  <c r="CQ102" i="29"/>
  <c r="CO96" i="29"/>
  <c r="CR80" i="29"/>
  <c r="AQ95" i="29"/>
  <c r="CV64" i="29"/>
  <c r="CL87" i="29"/>
  <c r="CQ125" i="29"/>
  <c r="CR108" i="29"/>
  <c r="AH87" i="29"/>
  <c r="BB63" i="29"/>
  <c r="BO40" i="29"/>
  <c r="BQ40" i="29" s="1"/>
  <c r="BR40" i="29" s="1"/>
  <c r="AO55" i="29"/>
  <c r="AH19" i="29"/>
  <c r="AW140" i="29"/>
  <c r="AS109" i="29"/>
  <c r="CN15" i="29"/>
  <c r="BX19" i="29"/>
  <c r="BY19" i="29" s="1"/>
  <c r="CR38" i="29"/>
  <c r="CK39" i="29"/>
  <c r="BZ40" i="29"/>
  <c r="AH42" i="29"/>
  <c r="BQ60" i="29"/>
  <c r="BR60" i="29" s="1"/>
  <c r="BB81" i="29"/>
  <c r="V147" i="31"/>
  <c r="CC42" i="31"/>
  <c r="CX52" i="31"/>
  <c r="CT108" i="29"/>
  <c r="CP131" i="29"/>
  <c r="AS128" i="29"/>
  <c r="CM132" i="29"/>
  <c r="CS127" i="29"/>
  <c r="CM87" i="29"/>
  <c r="CL76" i="29"/>
  <c r="CY82" i="29"/>
  <c r="CQ71" i="29"/>
  <c r="AR39" i="29"/>
  <c r="CW53" i="29"/>
  <c r="CX53" i="29" s="1"/>
  <c r="AT18" i="29"/>
  <c r="BL28" i="29"/>
  <c r="BQ28" i="29" s="1"/>
  <c r="BR28" i="29" s="1"/>
  <c r="BC90" i="29"/>
  <c r="AO64" i="31"/>
  <c r="CX42" i="31"/>
  <c r="CY42" i="31"/>
  <c r="DA42" i="31"/>
  <c r="CP59" i="29"/>
  <c r="CV28" i="29"/>
  <c r="CW28" i="29"/>
  <c r="CE76" i="29"/>
  <c r="CF76" i="29"/>
  <c r="CY76" i="29"/>
  <c r="CQ140" i="29"/>
  <c r="CO75" i="29"/>
  <c r="CN74" i="29"/>
  <c r="CR85" i="29"/>
  <c r="CY93" i="29"/>
  <c r="AS88" i="29"/>
  <c r="AX88" i="29" s="1"/>
  <c r="AO88" i="29"/>
  <c r="CK64" i="29"/>
  <c r="CH60" i="29"/>
  <c r="CZ87" i="29"/>
  <c r="AV74" i="29"/>
  <c r="CH48" i="29"/>
  <c r="AQ48" i="29"/>
  <c r="AR48" i="29" s="1"/>
  <c r="CY41" i="29"/>
  <c r="CZ29" i="29"/>
  <c r="CQ65" i="29"/>
  <c r="CT65" i="29" s="1"/>
  <c r="CR44" i="29"/>
  <c r="CR29" i="29"/>
  <c r="BB60" i="29"/>
  <c r="CW18" i="29"/>
  <c r="AZ53" i="29"/>
  <c r="CY58" i="29"/>
  <c r="CW38" i="29"/>
  <c r="CX38" i="29" s="1"/>
  <c r="CS62" i="29"/>
  <c r="CZ45" i="29"/>
  <c r="CM27" i="29"/>
  <c r="AU29" i="29"/>
  <c r="CJ62" i="29"/>
  <c r="CV67" i="29"/>
  <c r="CX67" i="29" s="1"/>
  <c r="AZ70" i="29"/>
  <c r="CA71" i="29"/>
  <c r="CA75" i="29"/>
  <c r="CD75" i="29" s="1"/>
  <c r="CA82" i="29"/>
  <c r="CX139" i="31"/>
  <c r="CY53" i="31"/>
  <c r="CX31" i="31"/>
  <c r="BE127" i="29"/>
  <c r="AQ140" i="29"/>
  <c r="AO75" i="29"/>
  <c r="AP74" i="29"/>
  <c r="CT124" i="29"/>
  <c r="BX66" i="29"/>
  <c r="BY66" i="29" s="1"/>
  <c r="CR68" i="29"/>
  <c r="AO93" i="29"/>
  <c r="CR83" i="29"/>
  <c r="AP69" i="29"/>
  <c r="CZ88" i="29"/>
  <c r="CO58" i="29"/>
  <c r="AO87" i="29"/>
  <c r="AR64" i="29"/>
  <c r="CN48" i="29"/>
  <c r="AO48" i="29"/>
  <c r="CN29" i="29"/>
  <c r="CD74" i="29"/>
  <c r="CN65" i="29"/>
  <c r="CK15" i="29"/>
  <c r="BQ26" i="29"/>
  <c r="BR26" i="29" s="1"/>
  <c r="AP53" i="29"/>
  <c r="CQ58" i="29"/>
  <c r="AT38" i="29"/>
  <c r="AV34" i="29"/>
  <c r="BG49" i="29"/>
  <c r="BI49" i="29" s="1"/>
  <c r="AO45" i="29"/>
  <c r="CZ40" i="29"/>
  <c r="CV35" i="29"/>
  <c r="BC27" i="29"/>
  <c r="BB29" i="29"/>
  <c r="BC51" i="29"/>
  <c r="BX127" i="31"/>
  <c r="BY127" i="31" s="1"/>
  <c r="AW135" i="31"/>
  <c r="AZ75" i="29"/>
  <c r="CZ140" i="29"/>
  <c r="AQ78" i="29"/>
  <c r="CP136" i="29"/>
  <c r="CQ74" i="29"/>
  <c r="CT74" i="29" s="1"/>
  <c r="CO83" i="29"/>
  <c r="CO85" i="29"/>
  <c r="CY87" i="29"/>
  <c r="AP72" i="29"/>
  <c r="BZ28" i="29"/>
  <c r="BQ48" i="29"/>
  <c r="BR48" i="29" s="1"/>
  <c r="AQ34" i="29"/>
  <c r="CR48" i="29"/>
  <c r="AO29" i="29"/>
  <c r="CO65" i="29"/>
  <c r="CG28" i="29"/>
  <c r="CL31" i="29"/>
  <c r="CN16" i="29"/>
  <c r="CY53" i="29"/>
  <c r="AO58" i="29"/>
  <c r="CP34" i="29"/>
  <c r="CX22" i="29"/>
  <c r="BL49" i="29"/>
  <c r="BQ49" i="29" s="1"/>
  <c r="BR49" i="29" s="1"/>
  <c r="CR36" i="29"/>
  <c r="CP55" i="29"/>
  <c r="CM39" i="29"/>
  <c r="CH29" i="29"/>
  <c r="CV44" i="29"/>
  <c r="CZ24" i="29"/>
  <c r="CC24" i="29"/>
  <c r="CP40" i="29"/>
  <c r="AH51" i="29"/>
  <c r="CA79" i="29"/>
  <c r="BB126" i="29"/>
  <c r="BZ121" i="31"/>
  <c r="CC121" i="31" s="1"/>
  <c r="BZ94" i="31"/>
  <c r="BZ70" i="31"/>
  <c r="CC70" i="31" s="1"/>
  <c r="CG81" i="31"/>
  <c r="CH81" i="31" s="1"/>
  <c r="BF74" i="29"/>
  <c r="AQ68" i="29"/>
  <c r="AR68" i="29" s="1"/>
  <c r="AP140" i="29"/>
  <c r="CY78" i="29"/>
  <c r="CN140" i="29"/>
  <c r="Z136" i="29"/>
  <c r="CJ136" i="29" s="1"/>
  <c r="CY75" i="29"/>
  <c r="AQ74" i="29"/>
  <c r="CN84" i="29"/>
  <c r="AZ83" i="29"/>
  <c r="CZ93" i="29"/>
  <c r="CQ88" i="29"/>
  <c r="CT88" i="29" s="1"/>
  <c r="CM71" i="29"/>
  <c r="AP60" i="29"/>
  <c r="AV68" i="29"/>
  <c r="AO44" i="29"/>
  <c r="CO32" i="29"/>
  <c r="BB67" i="29"/>
  <c r="DB39" i="29"/>
  <c r="CP28" i="29"/>
  <c r="CR62" i="29"/>
  <c r="CM42" i="29"/>
  <c r="AZ34" i="29"/>
  <c r="BG28" i="29"/>
  <c r="BI28" i="29" s="1"/>
  <c r="CR53" i="29"/>
  <c r="CZ41" i="29"/>
  <c r="AP30" i="29"/>
  <c r="AQ25" i="29"/>
  <c r="CZ20" i="29"/>
  <c r="AQ53" i="29"/>
  <c r="AR53" i="29" s="1"/>
  <c r="BX92" i="29"/>
  <c r="BY92" i="29" s="1"/>
  <c r="AQ58" i="29"/>
  <c r="CQ38" i="29"/>
  <c r="AS27" i="29"/>
  <c r="AQ36" i="29"/>
  <c r="CO45" i="29"/>
  <c r="CY39" i="29"/>
  <c r="CY47" i="29"/>
  <c r="CQ21" i="29"/>
  <c r="BZ57" i="29"/>
  <c r="DI61" i="29"/>
  <c r="CT122" i="31"/>
  <c r="AW85" i="31"/>
  <c r="CY85" i="31"/>
  <c r="CY73" i="31"/>
  <c r="CY61" i="31"/>
  <c r="CZ78" i="29"/>
  <c r="BO136" i="29"/>
  <c r="BQ136" i="29" s="1"/>
  <c r="BR136" i="29" s="1"/>
  <c r="CQ75" i="29"/>
  <c r="AO83" i="29"/>
  <c r="BX98" i="29"/>
  <c r="BY98" i="29" s="1"/>
  <c r="BL81" i="29"/>
  <c r="BQ81" i="29" s="1"/>
  <c r="BR81" i="29" s="1"/>
  <c r="BQ78" i="29"/>
  <c r="BR78" i="29" s="1"/>
  <c r="CG62" i="29"/>
  <c r="CH62" i="29" s="1"/>
  <c r="AP85" i="29"/>
  <c r="BL79" i="29"/>
  <c r="BQ79" i="29" s="1"/>
  <c r="BR79" i="29" s="1"/>
  <c r="CO88" i="29"/>
  <c r="CN83" i="29"/>
  <c r="BX65" i="29"/>
  <c r="BY65" i="29" s="1"/>
  <c r="CP79" i="29"/>
  <c r="CZ60" i="29"/>
  <c r="CR60" i="29"/>
  <c r="AS70" i="29"/>
  <c r="CO29" i="29"/>
  <c r="AQ42" i="29"/>
  <c r="AR42" i="29" s="1"/>
  <c r="AO72" i="29"/>
  <c r="CO41" i="29"/>
  <c r="CV29" i="29"/>
  <c r="CQ53" i="29"/>
  <c r="AQ29" i="29"/>
  <c r="CO27" i="29"/>
  <c r="AS36" i="29"/>
  <c r="CV20" i="29"/>
  <c r="CR45" i="29"/>
  <c r="CP38" i="29"/>
  <c r="CQ17" i="29"/>
  <c r="AW69" i="29"/>
  <c r="AU24" i="29"/>
  <c r="BH62" i="29"/>
  <c r="AP143" i="33"/>
  <c r="CR78" i="29"/>
  <c r="CN75" i="29"/>
  <c r="AO77" i="29"/>
  <c r="AZ133" i="29"/>
  <c r="CN93" i="29"/>
  <c r="CH119" i="29"/>
  <c r="CR87" i="29"/>
  <c r="CX77" i="29"/>
  <c r="AV91" i="29"/>
  <c r="AQ85" i="29"/>
  <c r="CY60" i="29"/>
  <c r="CZ83" i="29"/>
  <c r="CR65" i="29"/>
  <c r="AQ83" i="29"/>
  <c r="AR83" i="29" s="1"/>
  <c r="AI79" i="29"/>
  <c r="AP58" i="29"/>
  <c r="AP29" i="29"/>
  <c r="AO42" i="29"/>
  <c r="CM88" i="29"/>
  <c r="CR32" i="29"/>
  <c r="CO24" i="29"/>
  <c r="CY20" i="29"/>
  <c r="CZ18" i="29"/>
  <c r="CY45" i="29"/>
  <c r="AO24" i="29"/>
  <c r="CH24" i="29"/>
  <c r="DI14" i="29"/>
  <c r="AH17" i="29"/>
  <c r="CA28" i="29"/>
  <c r="BX31" i="29"/>
  <c r="BY31" i="29" s="1"/>
  <c r="CQ42" i="29"/>
  <c r="AT45" i="29"/>
  <c r="CA72" i="29"/>
  <c r="DA64" i="31"/>
  <c r="CY14" i="29"/>
  <c r="CO78" i="29"/>
  <c r="CO131" i="29"/>
  <c r="AS78" i="29"/>
  <c r="AQ75" i="29"/>
  <c r="CO74" i="29"/>
  <c r="AP87" i="29"/>
  <c r="AZ93" i="29"/>
  <c r="CV74" i="29"/>
  <c r="CY85" i="29"/>
  <c r="AS58" i="29"/>
  <c r="CV48" i="29"/>
  <c r="CW43" i="29"/>
  <c r="CR41" i="29"/>
  <c r="AP63" i="29"/>
  <c r="AZ41" i="29"/>
  <c r="CW60" i="29"/>
  <c r="BQ24" i="29"/>
  <c r="BR24" i="29" s="1"/>
  <c r="AV35" i="29"/>
  <c r="CW20" i="29"/>
  <c r="CX20" i="29" s="1"/>
  <c r="CQ44" i="29"/>
  <c r="CP24" i="29"/>
  <c r="BX62" i="29"/>
  <c r="BY62" i="29" s="1"/>
  <c r="BZ15" i="29"/>
  <c r="BB20" i="29"/>
  <c r="AV20" i="29"/>
  <c r="BA45" i="29"/>
  <c r="AV127" i="29"/>
  <c r="BX27" i="29"/>
  <c r="BY27" i="29" s="1"/>
  <c r="CL39" i="29"/>
  <c r="AO78" i="29"/>
  <c r="BO131" i="29"/>
  <c r="BQ131" i="29" s="1"/>
  <c r="BR131" i="29" s="1"/>
  <c r="AZ78" i="29"/>
  <c r="CR75" i="29"/>
  <c r="CY74" i="29"/>
  <c r="BZ140" i="29"/>
  <c r="AP83" i="29"/>
  <c r="AV85" i="29"/>
  <c r="CS92" i="29"/>
  <c r="CN58" i="29"/>
  <c r="CZ48" i="29"/>
  <c r="CP60" i="29"/>
  <c r="BS41" i="29"/>
  <c r="BX41" i="29" s="1"/>
  <c r="BY41" i="29" s="1"/>
  <c r="CY18" i="29"/>
  <c r="CO63" i="29"/>
  <c r="CS41" i="29"/>
  <c r="AO60" i="29"/>
  <c r="AP25" i="29"/>
  <c r="CO18" i="29"/>
  <c r="AQ35" i="29"/>
  <c r="CP22" i="29"/>
  <c r="CZ53" i="29"/>
  <c r="AU20" i="29"/>
  <c r="AS40" i="29"/>
  <c r="AZ82" i="29"/>
  <c r="CZ65" i="29"/>
  <c r="CN35" i="29"/>
  <c r="AO46" i="29"/>
  <c r="AZ62" i="29"/>
  <c r="CD71" i="29"/>
  <c r="CM141" i="29"/>
  <c r="AP78" i="29"/>
  <c r="CZ58" i="29"/>
  <c r="BD77" i="29"/>
  <c r="CQ60" i="29"/>
  <c r="CT60" i="29" s="1"/>
  <c r="BQ70" i="29"/>
  <c r="BR70" i="29" s="1"/>
  <c r="AO63" i="29"/>
  <c r="AQ60" i="29"/>
  <c r="AQ27" i="29"/>
  <c r="AR27" i="29" s="1"/>
  <c r="AV131" i="29"/>
  <c r="AO74" i="29"/>
  <c r="CT134" i="29"/>
  <c r="AQ87" i="29"/>
  <c r="AR87" i="29" s="1"/>
  <c r="CG92" i="29"/>
  <c r="CR93" i="29"/>
  <c r="BQ76" i="29"/>
  <c r="BR76" i="29" s="1"/>
  <c r="CN87" i="29"/>
  <c r="CT87" i="29" s="1"/>
  <c r="AU67" i="29"/>
  <c r="CQ18" i="29"/>
  <c r="CO60" i="29"/>
  <c r="AP46" i="29"/>
  <c r="CQ35" i="29"/>
  <c r="AZ27" i="29"/>
  <c r="CZ35" i="29"/>
  <c r="AH31" i="29"/>
  <c r="CQ41" i="29"/>
  <c r="BZ46" i="29"/>
  <c r="CM52" i="29"/>
  <c r="CN55" i="29"/>
  <c r="CM66" i="29"/>
  <c r="AH67" i="29"/>
  <c r="CM68" i="29"/>
  <c r="AO70" i="29"/>
  <c r="DI74" i="29"/>
  <c r="CO87" i="29"/>
  <c r="AU60" i="29"/>
  <c r="CL29" i="29"/>
  <c r="CH35" i="29"/>
  <c r="K123" i="13"/>
  <c r="K117" i="13"/>
  <c r="BS80" i="31"/>
  <c r="BH80" i="31"/>
  <c r="BI80" i="31" s="1"/>
  <c r="CK140" i="31"/>
  <c r="AH140" i="31"/>
  <c r="CM140" i="31" s="1"/>
  <c r="AH110" i="31"/>
  <c r="CM110" i="31" s="1"/>
  <c r="CO110" i="31"/>
  <c r="CJ96" i="31"/>
  <c r="CO96" i="31"/>
  <c r="AH96" i="31"/>
  <c r="CM96" i="31" s="1"/>
  <c r="CJ71" i="31"/>
  <c r="CO71" i="31"/>
  <c r="CJ42" i="31"/>
  <c r="CO42" i="31"/>
  <c r="CJ38" i="31"/>
  <c r="CO38" i="31"/>
  <c r="AH38" i="31"/>
  <c r="CM38" i="31" s="1"/>
  <c r="CJ27" i="31"/>
  <c r="CO27" i="31"/>
  <c r="AH27" i="31"/>
  <c r="CM27" i="31" s="1"/>
  <c r="CJ23" i="31"/>
  <c r="CO23" i="31"/>
  <c r="DN51" i="31"/>
  <c r="BH81" i="31"/>
  <c r="BI81" i="31" s="1"/>
  <c r="AH42" i="31"/>
  <c r="CM42" i="31" s="1"/>
  <c r="CG80" i="31"/>
  <c r="CH80" i="31" s="1"/>
  <c r="CY127" i="31"/>
  <c r="CY31" i="31"/>
  <c r="BD122" i="31"/>
  <c r="AW122" i="31"/>
  <c r="BD87" i="31"/>
  <c r="AO87" i="31"/>
  <c r="BD63" i="31"/>
  <c r="AW63" i="31"/>
  <c r="BD46" i="31"/>
  <c r="AW46" i="31"/>
  <c r="BD26" i="31"/>
  <c r="AW26" i="31"/>
  <c r="BS38" i="31"/>
  <c r="BH38" i="31"/>
  <c r="AU16" i="31"/>
  <c r="BB16" i="31"/>
  <c r="CX16" i="31"/>
  <c r="AT139" i="31"/>
  <c r="DB139" i="31"/>
  <c r="CQ139" i="31"/>
  <c r="CP139" i="31"/>
  <c r="BA135" i="31"/>
  <c r="AT135" i="31"/>
  <c r="CY135" i="31"/>
  <c r="CX135" i="31"/>
  <c r="CX123" i="31"/>
  <c r="CY123" i="31"/>
  <c r="BA114" i="31"/>
  <c r="CX114" i="31"/>
  <c r="CY114" i="31"/>
  <c r="BA110" i="31"/>
  <c r="AT110" i="31"/>
  <c r="CY110" i="31"/>
  <c r="CX110" i="31"/>
  <c r="BA102" i="31"/>
  <c r="CY102" i="31"/>
  <c r="AT102" i="31"/>
  <c r="CX102" i="31"/>
  <c r="BA96" i="31"/>
  <c r="AT96" i="31"/>
  <c r="DA96" i="31"/>
  <c r="CY96" i="31"/>
  <c r="BA92" i="31"/>
  <c r="DA92" i="31"/>
  <c r="CY92" i="31"/>
  <c r="DB92" i="31"/>
  <c r="CX92" i="31"/>
  <c r="CX88" i="31"/>
  <c r="CY88" i="31"/>
  <c r="BA81" i="31"/>
  <c r="CX81" i="31"/>
  <c r="CX77" i="31"/>
  <c r="CY77" i="31"/>
  <c r="BA69" i="31"/>
  <c r="CX69" i="31"/>
  <c r="CY69" i="31"/>
  <c r="AO69" i="31"/>
  <c r="AT65" i="31"/>
  <c r="CX65" i="31"/>
  <c r="BA57" i="31"/>
  <c r="CX57" i="31"/>
  <c r="AT46" i="31"/>
  <c r="CX46" i="31"/>
  <c r="CX43" i="31"/>
  <c r="CY43" i="31"/>
  <c r="BA35" i="31"/>
  <c r="AT35" i="31"/>
  <c r="CY19" i="31"/>
  <c r="CX19" i="31"/>
  <c r="CJ135" i="31"/>
  <c r="CO135" i="31"/>
  <c r="AH135" i="31"/>
  <c r="CM135" i="31" s="1"/>
  <c r="CK125" i="31"/>
  <c r="AH125" i="31"/>
  <c r="CM125" i="31" s="1"/>
  <c r="AH115" i="31"/>
  <c r="CM115" i="31" s="1"/>
  <c r="CO115" i="31"/>
  <c r="CJ92" i="31"/>
  <c r="CO92" i="31"/>
  <c r="AH92" i="31"/>
  <c r="CM92" i="31" s="1"/>
  <c r="CJ83" i="31"/>
  <c r="AH83" i="31"/>
  <c r="CM83" i="31" s="1"/>
  <c r="AH40" i="31"/>
  <c r="CO40" i="31"/>
  <c r="AH106" i="31"/>
  <c r="CM106" i="31" s="1"/>
  <c r="AH71" i="31"/>
  <c r="CM71" i="31" s="1"/>
  <c r="AH23" i="31"/>
  <c r="CM23" i="31" s="1"/>
  <c r="CO119" i="31"/>
  <c r="CO83" i="31"/>
  <c r="CX96" i="31"/>
  <c r="CY81" i="31"/>
  <c r="CG68" i="31"/>
  <c r="CH68" i="31" s="1"/>
  <c r="BH68" i="31"/>
  <c r="AS127" i="31"/>
  <c r="AZ127" i="31"/>
  <c r="DA127" i="31"/>
  <c r="CT127" i="31"/>
  <c r="CS127" i="31"/>
  <c r="CV127" i="31" s="1"/>
  <c r="CS125" i="31"/>
  <c r="CQ125" i="31"/>
  <c r="CP125" i="31"/>
  <c r="AS121" i="31"/>
  <c r="AQ121" i="31"/>
  <c r="AZ121" i="31"/>
  <c r="CG116" i="31"/>
  <c r="CR116" i="31"/>
  <c r="BL116" i="31"/>
  <c r="BL108" i="31"/>
  <c r="CR108" i="31"/>
  <c r="DB101" i="31"/>
  <c r="DA101" i="31"/>
  <c r="AZ85" i="31"/>
  <c r="CQ85" i="31"/>
  <c r="AS67" i="31"/>
  <c r="AZ67" i="31"/>
  <c r="CP63" i="31"/>
  <c r="BL63" i="31"/>
  <c r="CR63" i="31"/>
  <c r="CG63" i="31"/>
  <c r="BL56" i="31"/>
  <c r="CR56" i="31"/>
  <c r="AV54" i="31"/>
  <c r="BC54" i="31"/>
  <c r="AQ40" i="31"/>
  <c r="DB40" i="31"/>
  <c r="CQ40" i="31"/>
  <c r="AS36" i="31"/>
  <c r="AZ36" i="31"/>
  <c r="AS31" i="31"/>
  <c r="AZ31" i="31"/>
  <c r="DA31" i="31"/>
  <c r="CT31" i="31"/>
  <c r="DB31" i="31"/>
  <c r="CQ31" i="31"/>
  <c r="CR25" i="31"/>
  <c r="BL25" i="31"/>
  <c r="BQ25" i="31" s="1"/>
  <c r="BR25" i="31" s="1"/>
  <c r="BL21" i="31"/>
  <c r="CR21" i="31"/>
  <c r="AV19" i="31"/>
  <c r="BC19" i="31"/>
  <c r="CP16" i="31"/>
  <c r="DA16" i="31"/>
  <c r="BL15" i="31"/>
  <c r="CG15" i="31"/>
  <c r="CH15" i="31" s="1"/>
  <c r="AO100" i="31"/>
  <c r="AT23" i="31"/>
  <c r="BB124" i="31"/>
  <c r="AU124" i="31"/>
  <c r="BB111" i="31"/>
  <c r="AU111" i="31"/>
  <c r="CS103" i="31"/>
  <c r="DB103" i="31"/>
  <c r="CT103" i="31"/>
  <c r="CQ103" i="31"/>
  <c r="CP103" i="31"/>
  <c r="CV103" i="31" s="1"/>
  <c r="CY103" i="31"/>
  <c r="CX97" i="31"/>
  <c r="CY97" i="31"/>
  <c r="DB89" i="31"/>
  <c r="CX89" i="31"/>
  <c r="BB78" i="31"/>
  <c r="CX78" i="31"/>
  <c r="CY78" i="31"/>
  <c r="BB74" i="31"/>
  <c r="AU74" i="31"/>
  <c r="CX74" i="31"/>
  <c r="BB66" i="31"/>
  <c r="AU66" i="31"/>
  <c r="CY66" i="31"/>
  <c r="CX66" i="31"/>
  <c r="BB62" i="31"/>
  <c r="CY62" i="31"/>
  <c r="BB54" i="31"/>
  <c r="CX54" i="31"/>
  <c r="CY54" i="31"/>
  <c r="CY35" i="31"/>
  <c r="CY23" i="31"/>
  <c r="CH54" i="31"/>
  <c r="CO123" i="31"/>
  <c r="AW88" i="31"/>
  <c r="AW31" i="31"/>
  <c r="BC121" i="31"/>
  <c r="AZ105" i="31"/>
  <c r="CG56" i="31"/>
  <c r="CH56" i="31" s="1"/>
  <c r="AZ18" i="31"/>
  <c r="CQ69" i="31"/>
  <c r="CP52" i="31"/>
  <c r="CQ44" i="31"/>
  <c r="AT62" i="31"/>
  <c r="AH26" i="31"/>
  <c r="BQ135" i="31"/>
  <c r="BR135" i="31" s="1"/>
  <c r="CH127" i="31"/>
  <c r="CH123" i="31"/>
  <c r="CH119" i="31"/>
  <c r="CA67" i="31"/>
  <c r="AW43" i="31"/>
  <c r="AW15" i="31"/>
  <c r="AO40" i="31"/>
  <c r="AO36" i="31"/>
  <c r="BC127" i="31"/>
  <c r="AZ112" i="31"/>
  <c r="AZ103" i="31"/>
  <c r="BC85" i="31"/>
  <c r="BC36" i="31"/>
  <c r="BC31" i="31"/>
  <c r="AT97" i="31"/>
  <c r="AT74" i="31"/>
  <c r="CH97" i="31"/>
  <c r="CH27" i="31"/>
  <c r="CC81" i="31"/>
  <c r="CC69" i="31"/>
  <c r="BZ48" i="31"/>
  <c r="CC48" i="31" s="1"/>
  <c r="AZ64" i="31"/>
  <c r="DA15" i="31"/>
  <c r="BU137" i="31"/>
  <c r="BU51" i="31"/>
  <c r="CL133" i="29"/>
  <c r="CX131" i="29"/>
  <c r="CX104" i="29"/>
  <c r="CX106" i="29"/>
  <c r="CX72" i="29"/>
  <c r="BF63" i="29"/>
  <c r="BE53" i="29"/>
  <c r="AR45" i="29"/>
  <c r="CT61" i="29"/>
  <c r="AO14" i="29"/>
  <c r="CZ16" i="29"/>
  <c r="AV17" i="29"/>
  <c r="CA22" i="29"/>
  <c r="CD22" i="29" s="1"/>
  <c r="CO31" i="29"/>
  <c r="BQ31" i="29"/>
  <c r="BR31" i="29" s="1"/>
  <c r="CA32" i="29"/>
  <c r="CD32" i="29" s="1"/>
  <c r="BZ34" i="29"/>
  <c r="CC34" i="29" s="1"/>
  <c r="CA39" i="29"/>
  <c r="CD39" i="29" s="1"/>
  <c r="CA50" i="29"/>
  <c r="CD50" i="29" s="1"/>
  <c r="CA67" i="29"/>
  <c r="CD67" i="29" s="1"/>
  <c r="BX68" i="29"/>
  <c r="BY68" i="29" s="1"/>
  <c r="AV70" i="29"/>
  <c r="BZ75" i="29"/>
  <c r="CK101" i="29"/>
  <c r="CL101" i="29" s="1"/>
  <c r="AO120" i="29"/>
  <c r="CW138" i="29"/>
  <c r="CV125" i="31"/>
  <c r="CY128" i="31"/>
  <c r="CO111" i="31"/>
  <c r="E58" i="13"/>
  <c r="E59" i="13" s="1"/>
  <c r="E60" i="13" s="1"/>
  <c r="E61" i="13" s="1"/>
  <c r="E62" i="13" s="1"/>
  <c r="E63" i="13" s="1"/>
  <c r="E64" i="13" s="1"/>
  <c r="E65" i="13" s="1"/>
  <c r="E66" i="13" s="1"/>
  <c r="E67" i="13" s="1"/>
  <c r="E68" i="13" s="1"/>
  <c r="E69" i="13" s="1"/>
  <c r="E70" i="13" s="1"/>
  <c r="E71" i="13" s="1"/>
  <c r="E72" i="13" s="1"/>
  <c r="E73" i="13" s="1"/>
  <c r="E74" i="13" s="1"/>
  <c r="E75" i="13" s="1"/>
  <c r="E76" i="13" s="1"/>
  <c r="E77" i="13" s="1"/>
  <c r="E78" i="13" s="1"/>
  <c r="E79" i="13" s="1"/>
  <c r="E80" i="13" s="1"/>
  <c r="E81" i="13" s="1"/>
  <c r="E82" i="13" s="1"/>
  <c r="E83" i="13" s="1"/>
  <c r="E84" i="13" s="1"/>
  <c r="E85" i="13" s="1"/>
  <c r="E86" i="13" s="1"/>
  <c r="E87" i="13" s="1"/>
  <c r="E88" i="13" s="1"/>
  <c r="E89" i="13" s="1"/>
  <c r="E90" i="13" s="1"/>
  <c r="E91" i="13" s="1"/>
  <c r="E92" i="13" s="1"/>
  <c r="E93" i="13" s="1"/>
  <c r="E94" i="13" s="1"/>
  <c r="E95" i="13" s="1"/>
  <c r="E96" i="13" s="1"/>
  <c r="E97" i="13" s="1"/>
  <c r="E98" i="13" s="1"/>
  <c r="E99" i="13" s="1"/>
  <c r="E100" i="13" s="1"/>
  <c r="E101" i="13" s="1"/>
  <c r="E102" i="13" s="1"/>
  <c r="E103" i="13" s="1"/>
  <c r="E104" i="13" s="1"/>
  <c r="E105" i="13" s="1"/>
  <c r="E106" i="13" s="1"/>
  <c r="E107" i="13" s="1"/>
  <c r="E108" i="13" s="1"/>
  <c r="E109" i="13" s="1"/>
  <c r="E110" i="13" s="1"/>
  <c r="E111" i="13" s="1"/>
  <c r="E112" i="13" s="1"/>
  <c r="E113" i="13" s="1"/>
  <c r="E114" i="13" s="1"/>
  <c r="E115" i="13" s="1"/>
  <c r="E116" i="13" s="1"/>
  <c r="E117" i="13" s="1"/>
  <c r="E118" i="13" s="1"/>
  <c r="E119" i="13" s="1"/>
  <c r="E120" i="13" s="1"/>
  <c r="E121" i="13" s="1"/>
  <c r="E122" i="13" s="1"/>
  <c r="E123" i="13" s="1"/>
  <c r="E124" i="13" s="1"/>
  <c r="E125" i="13" s="1"/>
  <c r="E126" i="13" s="1"/>
  <c r="E127" i="13" s="1"/>
  <c r="E128" i="13" s="1"/>
  <c r="E129" i="13" s="1"/>
  <c r="E130" i="13" s="1"/>
  <c r="E131" i="13" s="1"/>
  <c r="E132" i="13" s="1"/>
  <c r="E133" i="13" s="1"/>
  <c r="E134" i="13" s="1"/>
  <c r="A58" i="13"/>
  <c r="A59" i="13" s="1"/>
  <c r="A60" i="13" s="1"/>
  <c r="A61" i="13" s="1"/>
  <c r="A62" i="13" s="1"/>
  <c r="A63" i="13" s="1"/>
  <c r="A64" i="13" s="1"/>
  <c r="A65" i="13" s="1"/>
  <c r="A66" i="13" s="1"/>
  <c r="A67" i="13" s="1"/>
  <c r="A68" i="13" s="1"/>
  <c r="A69" i="13" s="1"/>
  <c r="A70" i="13" s="1"/>
  <c r="A71" i="13" s="1"/>
  <c r="A72" i="13" s="1"/>
  <c r="A73" i="13" s="1"/>
  <c r="A74" i="13" s="1"/>
  <c r="A75" i="13" s="1"/>
  <c r="A76" i="13" s="1"/>
  <c r="A77" i="13" s="1"/>
  <c r="A78" i="13" s="1"/>
  <c r="A79" i="13" s="1"/>
  <c r="A80" i="13" s="1"/>
  <c r="A81" i="13" s="1"/>
  <c r="A82" i="13" s="1"/>
  <c r="A83" i="13" s="1"/>
  <c r="A84" i="13" s="1"/>
  <c r="A85" i="13" s="1"/>
  <c r="A86" i="13" s="1"/>
  <c r="A87" i="13" s="1"/>
  <c r="A88" i="13" s="1"/>
  <c r="A89" i="13" s="1"/>
  <c r="A90" i="13" s="1"/>
  <c r="A91" i="13" s="1"/>
  <c r="A92" i="13" s="1"/>
  <c r="A93" i="13" s="1"/>
  <c r="A94" i="13" s="1"/>
  <c r="A95" i="13" s="1"/>
  <c r="A96" i="13" s="1"/>
  <c r="A97" i="13" s="1"/>
  <c r="A98" i="13" s="1"/>
  <c r="A99" i="13" s="1"/>
  <c r="A100" i="13" s="1"/>
  <c r="A101" i="13" s="1"/>
  <c r="A102" i="13" s="1"/>
  <c r="A103" i="13" s="1"/>
  <c r="A104" i="13" s="1"/>
  <c r="A105" i="13" s="1"/>
  <c r="A106" i="13" s="1"/>
  <c r="A107" i="13" s="1"/>
  <c r="A108" i="13" s="1"/>
  <c r="A109" i="13" s="1"/>
  <c r="A110" i="13" s="1"/>
  <c r="A111" i="13" s="1"/>
  <c r="A112" i="13" s="1"/>
  <c r="A113" i="13" s="1"/>
  <c r="A114" i="13" s="1"/>
  <c r="A115" i="13" s="1"/>
  <c r="A116" i="13" s="1"/>
  <c r="A117" i="13" s="1"/>
  <c r="A118" i="13" s="1"/>
  <c r="A119" i="13" s="1"/>
  <c r="A120" i="13" s="1"/>
  <c r="A121" i="13" s="1"/>
  <c r="A122" i="13" s="1"/>
  <c r="A123" i="13" s="1"/>
  <c r="A124" i="13" s="1"/>
  <c r="A125" i="13" s="1"/>
  <c r="A126" i="13" s="1"/>
  <c r="A127" i="13" s="1"/>
  <c r="A128" i="13" s="1"/>
  <c r="A129" i="13" s="1"/>
  <c r="A130" i="13" s="1"/>
  <c r="A131" i="13" s="1"/>
  <c r="A132" i="13" s="1"/>
  <c r="A133" i="13" s="1"/>
  <c r="A134" i="13" s="1"/>
  <c r="A135" i="13" s="1"/>
  <c r="A136" i="13" s="1"/>
  <c r="A137" i="13" s="1"/>
  <c r="A138" i="13" s="1"/>
  <c r="A139" i="13" s="1"/>
  <c r="A140" i="13" s="1"/>
  <c r="A141" i="13" s="1"/>
  <c r="A142" i="13" s="1"/>
  <c r="A143" i="13" s="1"/>
  <c r="A144" i="13" s="1"/>
  <c r="A145" i="13" s="1"/>
  <c r="CT137" i="29"/>
  <c r="CL141" i="29"/>
  <c r="BQ140" i="29"/>
  <c r="BR140" i="29" s="1"/>
  <c r="AY88" i="29"/>
  <c r="BE87" i="29"/>
  <c r="AY41" i="29"/>
  <c r="BX14" i="29"/>
  <c r="BY14" i="29" s="1"/>
  <c r="CJ15" i="29"/>
  <c r="CL15" i="29" s="1"/>
  <c r="AO15" i="29"/>
  <c r="CO15" i="29"/>
  <c r="AZ16" i="29"/>
  <c r="DI26" i="29"/>
  <c r="AP27" i="29"/>
  <c r="CD29" i="29"/>
  <c r="AH36" i="29"/>
  <c r="CM40" i="29"/>
  <c r="CA43" i="29"/>
  <c r="CD43" i="29" s="1"/>
  <c r="BS49" i="29"/>
  <c r="BQ50" i="29"/>
  <c r="BR50" i="29" s="1"/>
  <c r="BQ53" i="29"/>
  <c r="BR53" i="29" s="1"/>
  <c r="CT55" i="29"/>
  <c r="BX55" i="29"/>
  <c r="BY55" i="29" s="1"/>
  <c r="BQ57" i="29"/>
  <c r="BR57" i="29" s="1"/>
  <c r="AQ57" i="29"/>
  <c r="AR57" i="29" s="1"/>
  <c r="BQ58" i="29"/>
  <c r="BR58" i="29" s="1"/>
  <c r="BQ66" i="29"/>
  <c r="BR66" i="29" s="1"/>
  <c r="AZ67" i="29"/>
  <c r="CN68" i="29"/>
  <c r="BE69" i="29"/>
  <c r="CD72" i="29"/>
  <c r="AS81" i="29"/>
  <c r="BX82" i="29"/>
  <c r="BY82" i="29" s="1"/>
  <c r="AH90" i="29"/>
  <c r="BC93" i="29"/>
  <c r="BZ118" i="29"/>
  <c r="CV122" i="29"/>
  <c r="K12" i="26"/>
  <c r="LW42" i="26"/>
  <c r="CA53" i="31"/>
  <c r="CD53" i="31" s="1"/>
  <c r="CA19" i="31"/>
  <c r="CD19" i="31" s="1"/>
  <c r="BZ134" i="31"/>
  <c r="CC134" i="31" s="1"/>
  <c r="BZ130" i="31"/>
  <c r="CC130" i="31" s="1"/>
  <c r="BZ117" i="31"/>
  <c r="CC117" i="31" s="1"/>
  <c r="BZ109" i="31"/>
  <c r="CC109" i="31" s="1"/>
  <c r="BZ95" i="31"/>
  <c r="CC95" i="31" s="1"/>
  <c r="BZ91" i="31"/>
  <c r="BZ83" i="31"/>
  <c r="CC83" i="31" s="1"/>
  <c r="BZ79" i="31"/>
  <c r="BZ71" i="31"/>
  <c r="CC71" i="31" s="1"/>
  <c r="BZ67" i="31"/>
  <c r="BZ63" i="31"/>
  <c r="CC63" i="31" s="1"/>
  <c r="BZ54" i="31"/>
  <c r="CC54" i="31" s="1"/>
  <c r="CX83" i="31"/>
  <c r="CX71" i="31"/>
  <c r="CY63" i="31"/>
  <c r="CQ45" i="31"/>
  <c r="CX33" i="31"/>
  <c r="AJ8" i="31"/>
  <c r="CO130" i="31"/>
  <c r="AH121" i="31"/>
  <c r="AH114" i="31"/>
  <c r="CM114" i="31" s="1"/>
  <c r="AZ110" i="31"/>
  <c r="DB102" i="31"/>
  <c r="AH93" i="31"/>
  <c r="CM93" i="31" s="1"/>
  <c r="CK59" i="31"/>
  <c r="CK56" i="31"/>
  <c r="AH54" i="31"/>
  <c r="CM54" i="31" s="1"/>
  <c r="CO52" i="31"/>
  <c r="CO46" i="31"/>
  <c r="CO41" i="31"/>
  <c r="CO37" i="31"/>
  <c r="AH31" i="31"/>
  <c r="CM31" i="31" s="1"/>
  <c r="CM26" i="31"/>
  <c r="CO22" i="31"/>
  <c r="K126" i="13"/>
  <c r="C58" i="13"/>
  <c r="C59" i="13" s="1"/>
  <c r="C60" i="13" s="1"/>
  <c r="C61" i="13" s="1"/>
  <c r="C62" i="13" s="1"/>
  <c r="C63" i="13" s="1"/>
  <c r="C64" i="13" s="1"/>
  <c r="C65" i="13" s="1"/>
  <c r="C66" i="13" s="1"/>
  <c r="C67" i="13" s="1"/>
  <c r="C68" i="13" s="1"/>
  <c r="C69" i="13" s="1"/>
  <c r="C70" i="13" s="1"/>
  <c r="C71" i="13" s="1"/>
  <c r="C72" i="13" s="1"/>
  <c r="C73" i="13" s="1"/>
  <c r="C74" i="13" s="1"/>
  <c r="C75" i="13" s="1"/>
  <c r="C76" i="13" s="1"/>
  <c r="C77" i="13" s="1"/>
  <c r="C78" i="13" s="1"/>
  <c r="C79" i="13" s="1"/>
  <c r="C80" i="13" s="1"/>
  <c r="C81" i="13" s="1"/>
  <c r="C82" i="13" s="1"/>
  <c r="C83" i="13" s="1"/>
  <c r="C84" i="13" s="1"/>
  <c r="C85" i="13" s="1"/>
  <c r="C86" i="13" s="1"/>
  <c r="C87" i="13" s="1"/>
  <c r="C88" i="13" s="1"/>
  <c r="C89" i="13" s="1"/>
  <c r="C90" i="13" s="1"/>
  <c r="C91" i="13" s="1"/>
  <c r="C92" i="13" s="1"/>
  <c r="C93" i="13" s="1"/>
  <c r="C94" i="13" s="1"/>
  <c r="C95" i="13" s="1"/>
  <c r="C96" i="13" s="1"/>
  <c r="C97" i="13" s="1"/>
  <c r="C98" i="13" s="1"/>
  <c r="C99" i="13" s="1"/>
  <c r="C100" i="13" s="1"/>
  <c r="C101" i="13" s="1"/>
  <c r="C102" i="13" s="1"/>
  <c r="C103" i="13" s="1"/>
  <c r="C104" i="13" s="1"/>
  <c r="C105" i="13" s="1"/>
  <c r="C106" i="13" s="1"/>
  <c r="C107" i="13" s="1"/>
  <c r="C108" i="13" s="1"/>
  <c r="C109" i="13" s="1"/>
  <c r="C110" i="13" s="1"/>
  <c r="C111" i="13" s="1"/>
  <c r="C112" i="13" s="1"/>
  <c r="C113" i="13" s="1"/>
  <c r="C114" i="13" s="1"/>
  <c r="C115" i="13" s="1"/>
  <c r="C116" i="13" s="1"/>
  <c r="C117" i="13" s="1"/>
  <c r="C118" i="13" s="1"/>
  <c r="C119" i="13" s="1"/>
  <c r="C120" i="13" s="1"/>
  <c r="C121" i="13" s="1"/>
  <c r="C122" i="13" s="1"/>
  <c r="C123" i="13" s="1"/>
  <c r="C124" i="13" s="1"/>
  <c r="C125" i="13" s="1"/>
  <c r="C126" i="13" s="1"/>
  <c r="C127" i="13" s="1"/>
  <c r="C128" i="13" s="1"/>
  <c r="C129" i="13" s="1"/>
  <c r="C130" i="13" s="1"/>
  <c r="C131" i="13" s="1"/>
  <c r="C132" i="13" s="1"/>
  <c r="C133" i="13" s="1"/>
  <c r="C134" i="13" s="1"/>
  <c r="O129" i="13"/>
  <c r="AN154" i="31"/>
  <c r="AO28" i="31"/>
  <c r="BQ103" i="31"/>
  <c r="BR103" i="31" s="1"/>
  <c r="BQ52" i="31"/>
  <c r="BR52" i="31" s="1"/>
  <c r="CY86" i="31"/>
  <c r="CX86" i="31"/>
  <c r="BA41" i="31"/>
  <c r="CX41" i="31"/>
  <c r="CY25" i="31"/>
  <c r="CX25" i="31"/>
  <c r="BD65" i="31"/>
  <c r="AW65" i="31"/>
  <c r="CK18" i="31"/>
  <c r="AH18" i="31"/>
  <c r="CM18" i="31" s="1"/>
  <c r="CK15" i="31"/>
  <c r="AH15" i="31"/>
  <c r="CM15" i="31" s="1"/>
  <c r="CO15" i="31"/>
  <c r="CK58" i="31"/>
  <c r="CO58" i="31"/>
  <c r="AW68" i="31"/>
  <c r="BD68" i="31"/>
  <c r="BA75" i="31"/>
  <c r="AT75" i="31"/>
  <c r="CY75" i="31"/>
  <c r="BA51" i="31"/>
  <c r="AT51" i="31"/>
  <c r="CY37" i="31"/>
  <c r="CX37" i="31"/>
  <c r="Z51" i="31"/>
  <c r="BN51" i="31"/>
  <c r="CG51" i="31"/>
  <c r="CR51" i="31"/>
  <c r="CJ33" i="31"/>
  <c r="CO33" i="31"/>
  <c r="CJ24" i="31"/>
  <c r="AH24" i="31"/>
  <c r="CM24" i="31" s="1"/>
  <c r="W8" i="31"/>
  <c r="CH83" i="31"/>
  <c r="DI86" i="31"/>
  <c r="V144" i="31"/>
  <c r="AO63" i="31"/>
  <c r="AO24" i="31"/>
  <c r="BX122" i="31"/>
  <c r="BY122" i="31" s="1"/>
  <c r="BX105" i="31"/>
  <c r="BY105" i="31" s="1"/>
  <c r="BX31" i="31"/>
  <c r="BY31" i="31" s="1"/>
  <c r="AH130" i="31"/>
  <c r="CM130" i="31" s="1"/>
  <c r="AH62" i="31"/>
  <c r="CM62" i="31" s="1"/>
  <c r="AH37" i="31"/>
  <c r="CM37" i="31" s="1"/>
  <c r="AH22" i="31"/>
  <c r="CM22" i="31" s="1"/>
  <c r="CG86" i="31"/>
  <c r="CH86" i="31" s="1"/>
  <c r="CO62" i="31"/>
  <c r="AP40" i="31"/>
  <c r="BD113" i="31"/>
  <c r="AW113" i="31"/>
  <c r="BD109" i="31"/>
  <c r="AW109" i="31"/>
  <c r="BD101" i="31"/>
  <c r="AP101" i="31"/>
  <c r="BD95" i="31"/>
  <c r="AW95" i="31"/>
  <c r="AZ16" i="31"/>
  <c r="BS16" i="31"/>
  <c r="CQ134" i="31"/>
  <c r="DB134" i="31"/>
  <c r="AV130" i="31"/>
  <c r="BC130" i="31"/>
  <c r="DB114" i="31"/>
  <c r="DA114" i="31"/>
  <c r="CP113" i="31"/>
  <c r="CR113" i="31"/>
  <c r="DB110" i="31"/>
  <c r="DA110" i="31"/>
  <c r="CP110" i="31"/>
  <c r="AQ110" i="31"/>
  <c r="AS106" i="31"/>
  <c r="AZ106" i="31"/>
  <c r="CR101" i="31"/>
  <c r="BL101" i="31"/>
  <c r="CQ101" i="31"/>
  <c r="CP101" i="31"/>
  <c r="BL90" i="31"/>
  <c r="BQ90" i="31" s="1"/>
  <c r="BR90" i="31" s="1"/>
  <c r="CR90" i="31"/>
  <c r="CG90" i="31"/>
  <c r="CH90" i="31" s="1"/>
  <c r="AV81" i="31"/>
  <c r="CQ81" i="31"/>
  <c r="DB81" i="31"/>
  <c r="DA81" i="31"/>
  <c r="CP81" i="31"/>
  <c r="DA71" i="31"/>
  <c r="CP64" i="31"/>
  <c r="CR64" i="31"/>
  <c r="CG64" i="31"/>
  <c r="CH64" i="31" s="1"/>
  <c r="BL64" i="31"/>
  <c r="AV50" i="31"/>
  <c r="AQ50" i="31"/>
  <c r="AP50" i="31"/>
  <c r="CR40" i="31"/>
  <c r="CP40" i="31"/>
  <c r="BL40" i="31"/>
  <c r="BQ40" i="31" s="1"/>
  <c r="BR40" i="31" s="1"/>
  <c r="AV35" i="31"/>
  <c r="BC35" i="31"/>
  <c r="AV32" i="31"/>
  <c r="BC32" i="31"/>
  <c r="AV30" i="31"/>
  <c r="DA30" i="31"/>
  <c r="DB30" i="31"/>
  <c r="CQ30" i="31"/>
  <c r="BC30" i="31"/>
  <c r="CS30" i="31"/>
  <c r="CV30" i="31" s="1"/>
  <c r="CR26" i="31"/>
  <c r="BL26" i="31"/>
  <c r="BQ26" i="31" s="1"/>
  <c r="BR26" i="31" s="1"/>
  <c r="AS22" i="31"/>
  <c r="CR22" i="31"/>
  <c r="CG22" i="31"/>
  <c r="CH22" i="31" s="1"/>
  <c r="BL22" i="31"/>
  <c r="BQ22" i="31" s="1"/>
  <c r="BR22" i="31" s="1"/>
  <c r="CP22" i="31"/>
  <c r="CQ19" i="31"/>
  <c r="CS19" i="31"/>
  <c r="CP19" i="31"/>
  <c r="DA19" i="31"/>
  <c r="CT19" i="31"/>
  <c r="CR16" i="31"/>
  <c r="BL16" i="31"/>
  <c r="CQ16" i="31"/>
  <c r="CG16" i="31"/>
  <c r="CH16" i="31" s="1"/>
  <c r="CQ133" i="31"/>
  <c r="CP133" i="31"/>
  <c r="CY133" i="31"/>
  <c r="CX133" i="31"/>
  <c r="BB125" i="31"/>
  <c r="CY125" i="31"/>
  <c r="CT125" i="31"/>
  <c r="BB121" i="31"/>
  <c r="DB121" i="31"/>
  <c r="DA121" i="31"/>
  <c r="CT121" i="31"/>
  <c r="AU121" i="31"/>
  <c r="CY121" i="31"/>
  <c r="CQ121" i="31"/>
  <c r="CS121" i="31"/>
  <c r="CP121" i="31"/>
  <c r="BB112" i="31"/>
  <c r="DB112" i="31"/>
  <c r="DA112" i="31"/>
  <c r="CQ112" i="31"/>
  <c r="CP112" i="31"/>
  <c r="CY112" i="31"/>
  <c r="BB108" i="31"/>
  <c r="AU108" i="31"/>
  <c r="BB98" i="31"/>
  <c r="AU98" i="31"/>
  <c r="AU40" i="31"/>
  <c r="DA40" i="31"/>
  <c r="CY40" i="31"/>
  <c r="DB28" i="31"/>
  <c r="CY28" i="31"/>
  <c r="CX28" i="31"/>
  <c r="CY136" i="31"/>
  <c r="CX136" i="31"/>
  <c r="BA124" i="31"/>
  <c r="CY124" i="31"/>
  <c r="CX124" i="31"/>
  <c r="BA111" i="31"/>
  <c r="CQ111" i="31"/>
  <c r="CY111" i="31"/>
  <c r="CX111" i="31"/>
  <c r="AW53" i="31"/>
  <c r="AZ44" i="31"/>
  <c r="CG44" i="31"/>
  <c r="BS44" i="31"/>
  <c r="BA98" i="31"/>
  <c r="CX98" i="31"/>
  <c r="CT98" i="31"/>
  <c r="BA63" i="31"/>
  <c r="AT63" i="31"/>
  <c r="AP63" i="31"/>
  <c r="CQ63" i="31"/>
  <c r="CY48" i="31"/>
  <c r="CX48" i="31"/>
  <c r="BA29" i="31"/>
  <c r="AT29" i="31"/>
  <c r="CY29" i="31"/>
  <c r="CX29" i="31"/>
  <c r="BA17" i="31"/>
  <c r="CY17" i="31"/>
  <c r="CX17" i="31"/>
  <c r="AT17" i="31"/>
  <c r="CJ140" i="31"/>
  <c r="CO140" i="31"/>
  <c r="CJ125" i="31"/>
  <c r="CO125" i="31"/>
  <c r="R110" i="31"/>
  <c r="CU110" i="31" s="1"/>
  <c r="CG110" i="31"/>
  <c r="CH110" i="31" s="1"/>
  <c r="BS110" i="31"/>
  <c r="CJ106" i="31"/>
  <c r="CO106" i="31"/>
  <c r="CJ101" i="31"/>
  <c r="CO101" i="31"/>
  <c r="CJ87" i="31"/>
  <c r="CO87" i="31"/>
  <c r="CK85" i="31"/>
  <c r="CO85" i="31"/>
  <c r="CK70" i="31"/>
  <c r="CL70" i="31" s="1"/>
  <c r="CO70" i="31"/>
  <c r="CJ66" i="31"/>
  <c r="CO66" i="31"/>
  <c r="CK57" i="31"/>
  <c r="CO57" i="31"/>
  <c r="AH47" i="31"/>
  <c r="CO47" i="31"/>
  <c r="CJ29" i="31"/>
  <c r="AH29" i="31"/>
  <c r="CM29" i="31" s="1"/>
  <c r="CO29" i="31"/>
  <c r="V438" i="31"/>
  <c r="CC37" i="31"/>
  <c r="CH63" i="31"/>
  <c r="BH56" i="31"/>
  <c r="BI56" i="31" s="1"/>
  <c r="BH44" i="31"/>
  <c r="BQ126" i="31"/>
  <c r="BR126" i="31" s="1"/>
  <c r="BQ122" i="31"/>
  <c r="BR122" i="31" s="1"/>
  <c r="BQ95" i="31"/>
  <c r="BR95" i="31" s="1"/>
  <c r="BQ47" i="31"/>
  <c r="BR47" i="31" s="1"/>
  <c r="BX30" i="31"/>
  <c r="BY30" i="31" s="1"/>
  <c r="AH143" i="31"/>
  <c r="AH101" i="31"/>
  <c r="CM101" i="31" s="1"/>
  <c r="AH87" i="31"/>
  <c r="CM87" i="31" s="1"/>
  <c r="AH70" i="31"/>
  <c r="CM70" i="31" s="1"/>
  <c r="AH58" i="31"/>
  <c r="CM58" i="31" s="1"/>
  <c r="AH52" i="31"/>
  <c r="CM52" i="31" s="1"/>
  <c r="CO143" i="31"/>
  <c r="CX63" i="31"/>
  <c r="V154" i="31"/>
  <c r="AW101" i="31"/>
  <c r="BC139" i="31"/>
  <c r="CT139" i="31"/>
  <c r="DA139" i="31"/>
  <c r="CS139" i="31"/>
  <c r="CV139" i="31" s="1"/>
  <c r="CW139" i="31" s="1"/>
  <c r="BC132" i="31"/>
  <c r="AT98" i="31"/>
  <c r="AT86" i="31"/>
  <c r="CH136" i="31"/>
  <c r="CH116" i="31"/>
  <c r="CH98" i="31"/>
  <c r="CC51" i="31"/>
  <c r="CH47" i="31"/>
  <c r="DA126" i="31"/>
  <c r="CQ110" i="31"/>
  <c r="CL85" i="31"/>
  <c r="CN85" i="31" s="1"/>
  <c r="CH121" i="31"/>
  <c r="CH112" i="31"/>
  <c r="CA29" i="31"/>
  <c r="CD29" i="31" s="1"/>
  <c r="CC108" i="31"/>
  <c r="CC94" i="31"/>
  <c r="BZ138" i="31"/>
  <c r="BZ126" i="31"/>
  <c r="BZ113" i="31"/>
  <c r="CC113" i="31" s="1"/>
  <c r="BZ101" i="31"/>
  <c r="CC101" i="31" s="1"/>
  <c r="BZ87" i="31"/>
  <c r="CC87" i="31" s="1"/>
  <c r="BZ75" i="31"/>
  <c r="CC75" i="31" s="1"/>
  <c r="BZ89" i="31"/>
  <c r="CC89" i="31" s="1"/>
  <c r="BZ77" i="31"/>
  <c r="CC77" i="31" s="1"/>
  <c r="AH39" i="31"/>
  <c r="CM39" i="31" s="1"/>
  <c r="CO24" i="31"/>
  <c r="CH104" i="31"/>
  <c r="AZ68" i="31"/>
  <c r="CS123" i="31"/>
  <c r="AO117" i="31"/>
  <c r="AQ109" i="31"/>
  <c r="AS101" i="31"/>
  <c r="AO88" i="31"/>
  <c r="CQ79" i="31"/>
  <c r="CP46" i="31"/>
  <c r="CP116" i="31"/>
  <c r="BE51" i="29"/>
  <c r="BF51" i="29"/>
  <c r="AR121" i="31"/>
  <c r="CM121" i="31"/>
  <c r="AZ47" i="29"/>
  <c r="R47" i="29"/>
  <c r="CS47" i="29" s="1"/>
  <c r="CY67" i="29"/>
  <c r="CF141" i="29"/>
  <c r="CN76" i="29"/>
  <c r="BB119" i="29"/>
  <c r="BX67" i="29"/>
  <c r="BY67" i="29" s="1"/>
  <c r="BQ61" i="29"/>
  <c r="BR61" i="29" s="1"/>
  <c r="AH141" i="29"/>
  <c r="AR141" i="29" s="1"/>
  <c r="CO67" i="29"/>
  <c r="CY68" i="29"/>
  <c r="AR54" i="29"/>
  <c r="CG64" i="29"/>
  <c r="CH64" i="29" s="1"/>
  <c r="CW56" i="29"/>
  <c r="CZ51" i="29"/>
  <c r="BQ65" i="29"/>
  <c r="BR65" i="29" s="1"/>
  <c r="CQ62" i="29"/>
  <c r="AT51" i="29"/>
  <c r="AP51" i="29"/>
  <c r="AS14" i="29"/>
  <c r="AP15" i="29"/>
  <c r="BL25" i="29"/>
  <c r="CR56" i="29"/>
  <c r="AU38" i="29"/>
  <c r="BB38" i="29"/>
  <c r="AU40" i="29"/>
  <c r="BB40" i="29"/>
  <c r="BA71" i="29"/>
  <c r="AT71" i="29"/>
  <c r="CP140" i="29"/>
  <c r="Z140" i="29"/>
  <c r="CJ140" i="29" s="1"/>
  <c r="AO65" i="31"/>
  <c r="BW129" i="31"/>
  <c r="CO121" i="31"/>
  <c r="CB67" i="31"/>
  <c r="CD67" i="31"/>
  <c r="BC78" i="31"/>
  <c r="BF67" i="29"/>
  <c r="BE74" i="29"/>
  <c r="CZ76" i="29"/>
  <c r="CR22" i="29"/>
  <c r="CO128" i="29"/>
  <c r="AV139" i="29"/>
  <c r="AT120" i="29"/>
  <c r="CY119" i="29"/>
  <c r="AO81" i="29"/>
  <c r="AS67" i="29"/>
  <c r="CO51" i="29"/>
  <c r="AO68" i="29"/>
  <c r="CR57" i="29"/>
  <c r="CX105" i="29"/>
  <c r="BD70" i="29"/>
  <c r="CQ64" i="29"/>
  <c r="BA56" i="29"/>
  <c r="CN51" i="29"/>
  <c r="AO62" i="29"/>
  <c r="CY51" i="29"/>
  <c r="AO27" i="29"/>
  <c r="AZ22" i="29"/>
  <c r="CY16" i="29"/>
  <c r="BB14" i="29"/>
  <c r="CN27" i="29"/>
  <c r="CR14" i="29"/>
  <c r="AP14" i="29"/>
  <c r="CW51" i="29"/>
  <c r="CX51" i="29" s="1"/>
  <c r="CZ15" i="29"/>
  <c r="BB39" i="29"/>
  <c r="AU39" i="29"/>
  <c r="CH98" i="29"/>
  <c r="CH67" i="31"/>
  <c r="CB143" i="31"/>
  <c r="CF143" i="31" s="1"/>
  <c r="CD143" i="31"/>
  <c r="CX120" i="31"/>
  <c r="DD120" i="31"/>
  <c r="AR110" i="31"/>
  <c r="AZ101" i="31"/>
  <c r="BH101" i="31"/>
  <c r="BS101" i="31"/>
  <c r="CG101" i="31"/>
  <c r="CH101" i="31" s="1"/>
  <c r="AQ20" i="31"/>
  <c r="DB20" i="31"/>
  <c r="DA20" i="31"/>
  <c r="AO20" i="31"/>
  <c r="CN22" i="29"/>
  <c r="CQ69" i="29"/>
  <c r="AQ67" i="29"/>
  <c r="AR67" i="29" s="1"/>
  <c r="CS46" i="29"/>
  <c r="CY31" i="29"/>
  <c r="CV15" i="29"/>
  <c r="CQ15" i="29"/>
  <c r="BD34" i="31"/>
  <c r="AW34" i="31"/>
  <c r="BL42" i="31"/>
  <c r="BQ42" i="31" s="1"/>
  <c r="BR42" i="31" s="1"/>
  <c r="CR42" i="31"/>
  <c r="AO33" i="31"/>
  <c r="DB33" i="31"/>
  <c r="DA33" i="31"/>
  <c r="BL28" i="31"/>
  <c r="CQ28" i="31"/>
  <c r="CR28" i="31"/>
  <c r="CP28" i="31"/>
  <c r="CG24" i="31"/>
  <c r="CR24" i="31"/>
  <c r="BL20" i="31"/>
  <c r="CR20" i="31"/>
  <c r="CG20" i="31"/>
  <c r="CH20" i="31" s="1"/>
  <c r="CQ20" i="31"/>
  <c r="L65" i="13"/>
  <c r="CM70" i="29"/>
  <c r="CS69" i="29"/>
  <c r="AP41" i="29"/>
  <c r="BA120" i="29"/>
  <c r="CH120" i="29"/>
  <c r="BD33" i="31"/>
  <c r="AW33" i="31"/>
  <c r="AS135" i="31"/>
  <c r="CS135" i="31"/>
  <c r="CT135" i="31"/>
  <c r="AO135" i="31"/>
  <c r="AP135" i="31"/>
  <c r="DA135" i="31"/>
  <c r="CQ135" i="31"/>
  <c r="AS129" i="31"/>
  <c r="AO129" i="31"/>
  <c r="DA129" i="31"/>
  <c r="CP129" i="31"/>
  <c r="CQ129" i="31"/>
  <c r="AS123" i="31"/>
  <c r="AQ123" i="31"/>
  <c r="CP123" i="31"/>
  <c r="AZ123" i="31"/>
  <c r="CQ123" i="31"/>
  <c r="AO123" i="31"/>
  <c r="CT123" i="31"/>
  <c r="AO113" i="31"/>
  <c r="DA113" i="31"/>
  <c r="DA109" i="31"/>
  <c r="AP109" i="31"/>
  <c r="AV104" i="31"/>
  <c r="BC104" i="31"/>
  <c r="AS79" i="31"/>
  <c r="CS79" i="31"/>
  <c r="AP79" i="31"/>
  <c r="CT79" i="31"/>
  <c r="AQ79" i="31"/>
  <c r="DA79" i="31"/>
  <c r="AO79" i="31"/>
  <c r="AS70" i="31"/>
  <c r="AZ70" i="31"/>
  <c r="AV57" i="31"/>
  <c r="BC57" i="31"/>
  <c r="AV46" i="31"/>
  <c r="DB46" i="31"/>
  <c r="AO46" i="31"/>
  <c r="DA46" i="31"/>
  <c r="CQ46" i="31"/>
  <c r="AV41" i="31"/>
  <c r="CP41" i="31"/>
  <c r="CQ41" i="31"/>
  <c r="AV37" i="31"/>
  <c r="DA37" i="31"/>
  <c r="CP37" i="31"/>
  <c r="CQ37" i="31"/>
  <c r="DB37" i="31"/>
  <c r="AO37" i="31"/>
  <c r="CP33" i="31"/>
  <c r="CQ33" i="31"/>
  <c r="BL33" i="31"/>
  <c r="CG33" i="31"/>
  <c r="CH33" i="31" s="1"/>
  <c r="CR33" i="31"/>
  <c r="AV27" i="31"/>
  <c r="DB27" i="31"/>
  <c r="CT27" i="31"/>
  <c r="CZ22" i="29"/>
  <c r="CM110" i="29"/>
  <c r="CW68" i="29"/>
  <c r="CR67" i="29"/>
  <c r="AO22" i="29"/>
  <c r="AH75" i="29"/>
  <c r="BI110" i="29"/>
  <c r="CT82" i="29"/>
  <c r="AP68" i="29"/>
  <c r="CN81" i="29"/>
  <c r="CV57" i="29"/>
  <c r="CN57" i="29"/>
  <c r="AZ55" i="29"/>
  <c r="CR51" i="29"/>
  <c r="AO41" i="29"/>
  <c r="CQ22" i="29"/>
  <c r="CN71" i="29"/>
  <c r="AQ14" i="29"/>
  <c r="CM47" i="29"/>
  <c r="CV16" i="29"/>
  <c r="BL55" i="29"/>
  <c r="CY15" i="29"/>
  <c r="AU71" i="29"/>
  <c r="AU15" i="29"/>
  <c r="AO45" i="31"/>
  <c r="BX125" i="31"/>
  <c r="BY125" i="31" s="1"/>
  <c r="BZ47" i="31"/>
  <c r="CC47" i="31" s="1"/>
  <c r="BZ35" i="31"/>
  <c r="CC35" i="31" s="1"/>
  <c r="BZ23" i="31"/>
  <c r="CC23" i="31" s="1"/>
  <c r="AP129" i="31"/>
  <c r="AW129" i="31"/>
  <c r="R116" i="31"/>
  <c r="BV116" i="31" s="1"/>
  <c r="BS116" i="31"/>
  <c r="AS141" i="31"/>
  <c r="DB141" i="31"/>
  <c r="CP141" i="31"/>
  <c r="CQ141" i="31"/>
  <c r="DA141" i="31"/>
  <c r="AV134" i="31"/>
  <c r="CS134" i="31"/>
  <c r="CT134" i="31"/>
  <c r="AO134" i="31"/>
  <c r="DA134" i="31"/>
  <c r="CP134" i="31"/>
  <c r="BC134" i="31"/>
  <c r="AV128" i="31"/>
  <c r="BC128" i="31"/>
  <c r="AV122" i="31"/>
  <c r="CP122" i="31"/>
  <c r="CQ122" i="31"/>
  <c r="DB122" i="31"/>
  <c r="AO122" i="31"/>
  <c r="CS122" i="31"/>
  <c r="BL117" i="31"/>
  <c r="CR117" i="31"/>
  <c r="CQ117" i="31"/>
  <c r="CP117" i="31"/>
  <c r="CQ113" i="31"/>
  <c r="BL109" i="31"/>
  <c r="CP109" i="31"/>
  <c r="CR109" i="31"/>
  <c r="CQ109" i="31"/>
  <c r="DA104" i="31"/>
  <c r="CS104" i="31"/>
  <c r="CP104" i="31"/>
  <c r="CT104" i="31"/>
  <c r="CQ104" i="31"/>
  <c r="AO104" i="31"/>
  <c r="AQ104" i="31"/>
  <c r="DB104" i="31"/>
  <c r="AS97" i="31"/>
  <c r="CS97" i="31"/>
  <c r="CP97" i="31"/>
  <c r="AO97" i="31"/>
  <c r="CT97" i="31"/>
  <c r="CQ97" i="31"/>
  <c r="DB97" i="31"/>
  <c r="AZ97" i="31"/>
  <c r="DA97" i="31"/>
  <c r="BL93" i="31"/>
  <c r="BQ93" i="31" s="1"/>
  <c r="BR93" i="31" s="1"/>
  <c r="CR93" i="31"/>
  <c r="AS88" i="31"/>
  <c r="CP88" i="31"/>
  <c r="CS88" i="31"/>
  <c r="DB88" i="31"/>
  <c r="CT88" i="31"/>
  <c r="CQ88" i="31"/>
  <c r="DA88" i="31"/>
  <c r="AV69" i="31"/>
  <c r="DA69" i="31"/>
  <c r="CP69" i="31"/>
  <c r="AQ65" i="31"/>
  <c r="CP65" i="31"/>
  <c r="DB65" i="31"/>
  <c r="CQ65" i="31"/>
  <c r="CP61" i="31"/>
  <c r="AS57" i="31"/>
  <c r="CP57" i="31"/>
  <c r="CQ57" i="31"/>
  <c r="DB57" i="31"/>
  <c r="AO57" i="31"/>
  <c r="DA57" i="31"/>
  <c r="CT57" i="31"/>
  <c r="CQ52" i="31"/>
  <c r="DB52" i="31"/>
  <c r="DA52" i="31"/>
  <c r="CY130" i="31"/>
  <c r="CX130" i="31"/>
  <c r="BB117" i="31"/>
  <c r="CY117" i="31"/>
  <c r="CX117" i="31"/>
  <c r="BB80" i="31"/>
  <c r="AU80" i="31"/>
  <c r="BB68" i="31"/>
  <c r="AU68" i="31"/>
  <c r="BB56" i="31"/>
  <c r="AU56" i="31"/>
  <c r="BB33" i="31"/>
  <c r="AU33" i="31"/>
  <c r="P141" i="31"/>
  <c r="BT141" i="31" s="1"/>
  <c r="AZ141" i="31"/>
  <c r="CG141" i="31"/>
  <c r="CH141" i="31" s="1"/>
  <c r="BA129" i="31"/>
  <c r="DI129" i="31"/>
  <c r="CX129" i="31"/>
  <c r="AT129" i="31"/>
  <c r="CY129" i="31"/>
  <c r="BA116" i="31"/>
  <c r="CY116" i="31"/>
  <c r="CQ116" i="31"/>
  <c r="AO116" i="31"/>
  <c r="DB116" i="31"/>
  <c r="CX116" i="31"/>
  <c r="DA116" i="31"/>
  <c r="BA105" i="31"/>
  <c r="AT105" i="31"/>
  <c r="CH105" i="31"/>
  <c r="CC105" i="31"/>
  <c r="CY105" i="31"/>
  <c r="AO105" i="31"/>
  <c r="CX105" i="31"/>
  <c r="BA91" i="31"/>
  <c r="CX91" i="31"/>
  <c r="CH91" i="31"/>
  <c r="CC91" i="31"/>
  <c r="CY91" i="31"/>
  <c r="AT91" i="31"/>
  <c r="BA80" i="31"/>
  <c r="AQ80" i="31"/>
  <c r="DA80" i="31"/>
  <c r="AO80" i="31"/>
  <c r="AT80" i="31"/>
  <c r="CX80" i="31"/>
  <c r="DB80" i="31"/>
  <c r="CY80" i="31"/>
  <c r="CQ80" i="31"/>
  <c r="AO68" i="31"/>
  <c r="AQ68" i="31"/>
  <c r="CY68" i="31"/>
  <c r="CP68" i="31"/>
  <c r="DB68" i="31"/>
  <c r="CQ68" i="31"/>
  <c r="DA68" i="31"/>
  <c r="CX56" i="31"/>
  <c r="CP56" i="31"/>
  <c r="CQ56" i="31"/>
  <c r="DB56" i="31"/>
  <c r="CY56" i="31"/>
  <c r="AO56" i="31"/>
  <c r="DA56" i="31"/>
  <c r="Q46" i="31"/>
  <c r="BU46" i="31" s="1"/>
  <c r="CA46" i="31" s="1"/>
  <c r="BT46" i="31"/>
  <c r="BZ46" i="31" s="1"/>
  <c r="CC46" i="31" s="1"/>
  <c r="CY34" i="31"/>
  <c r="CC34" i="31"/>
  <c r="CQ22" i="31"/>
  <c r="AO22" i="31"/>
  <c r="DB22" i="31"/>
  <c r="CX22" i="31"/>
  <c r="DA22" i="31"/>
  <c r="CY22" i="31"/>
  <c r="N174" i="31"/>
  <c r="CM174" i="31" s="1"/>
  <c r="CN174" i="31" s="1"/>
  <c r="DD142" i="31"/>
  <c r="CG137" i="31"/>
  <c r="AC149" i="31"/>
  <c r="AC144" i="31"/>
  <c r="CJ133" i="31"/>
  <c r="AH133" i="31"/>
  <c r="CM133" i="31" s="1"/>
  <c r="CO133" i="31"/>
  <c r="CJ117" i="31"/>
  <c r="CO117" i="31"/>
  <c r="AH117" i="31"/>
  <c r="CM117" i="31" s="1"/>
  <c r="CJ113" i="31"/>
  <c r="AH113" i="31"/>
  <c r="CM113" i="31" s="1"/>
  <c r="CO113" i="31"/>
  <c r="CJ108" i="31"/>
  <c r="CO108" i="31"/>
  <c r="AH108" i="31"/>
  <c r="CM108" i="31" s="1"/>
  <c r="CJ89" i="31"/>
  <c r="CO89" i="31"/>
  <c r="O84" i="31"/>
  <c r="DD84" i="31"/>
  <c r="CJ80" i="31"/>
  <c r="AH80" i="31"/>
  <c r="CM80" i="31" s="1"/>
  <c r="CO80" i="31"/>
  <c r="AG74" i="31"/>
  <c r="CK74" i="31" s="1"/>
  <c r="BS74" i="31"/>
  <c r="O69" i="31"/>
  <c r="R69" i="31" s="1"/>
  <c r="DD69" i="31"/>
  <c r="CJ65" i="31"/>
  <c r="CO65" i="31"/>
  <c r="CJ60" i="31"/>
  <c r="AH60" i="31"/>
  <c r="CM60" i="31" s="1"/>
  <c r="CJ55" i="31"/>
  <c r="AH55" i="31"/>
  <c r="CM55" i="31" s="1"/>
  <c r="CO55" i="31"/>
  <c r="Z49" i="31"/>
  <c r="AI49" i="31"/>
  <c r="AZ49" i="31" s="1"/>
  <c r="BL49" i="31"/>
  <c r="O111" i="31"/>
  <c r="AZ111" i="31" s="1"/>
  <c r="DD111" i="31"/>
  <c r="CQ76" i="29"/>
  <c r="BC128" i="29"/>
  <c r="AQ22" i="29"/>
  <c r="AZ81" i="29"/>
  <c r="CR81" i="29"/>
  <c r="CQ81" i="29"/>
  <c r="CY120" i="29"/>
  <c r="CY80" i="29"/>
  <c r="CK69" i="29"/>
  <c r="AT57" i="29"/>
  <c r="CZ57" i="29"/>
  <c r="CO44" i="29"/>
  <c r="CL41" i="29"/>
  <c r="CL30" i="29"/>
  <c r="AP18" i="29"/>
  <c r="CY40" i="29"/>
  <c r="CW15" i="29"/>
  <c r="CZ69" i="29"/>
  <c r="DB47" i="29"/>
  <c r="CO55" i="29"/>
  <c r="CO14" i="29"/>
  <c r="CO71" i="29"/>
  <c r="CR46" i="29"/>
  <c r="BA15" i="29"/>
  <c r="AV36" i="29"/>
  <c r="BC36" i="29"/>
  <c r="AH92" i="29"/>
  <c r="AU96" i="29"/>
  <c r="CS115" i="29"/>
  <c r="CP20" i="31"/>
  <c r="CS57" i="31"/>
  <c r="DA117" i="31"/>
  <c r="DA65" i="31"/>
  <c r="BD116" i="31"/>
  <c r="AW116" i="31"/>
  <c r="R115" i="31"/>
  <c r="CU115" i="31" s="1"/>
  <c r="BS115" i="31"/>
  <c r="BH115" i="31"/>
  <c r="CG115" i="31"/>
  <c r="CH115" i="31" s="1"/>
  <c r="BB79" i="31"/>
  <c r="AU79" i="31"/>
  <c r="BB44" i="31"/>
  <c r="AO44" i="31"/>
  <c r="CH44" i="31"/>
  <c r="DA44" i="31"/>
  <c r="CX44" i="31"/>
  <c r="CP44" i="31"/>
  <c r="DB44" i="31"/>
  <c r="CH32" i="31"/>
  <c r="CY32" i="31"/>
  <c r="CP32" i="31"/>
  <c r="CQ32" i="31"/>
  <c r="AO32" i="31"/>
  <c r="DB32" i="31"/>
  <c r="CX32" i="31"/>
  <c r="CS32" i="31"/>
  <c r="CX20" i="31"/>
  <c r="CY20" i="31"/>
  <c r="CP140" i="31"/>
  <c r="CX140" i="31"/>
  <c r="CQ140" i="31"/>
  <c r="CS140" i="31"/>
  <c r="CH140" i="31"/>
  <c r="CY140" i="31"/>
  <c r="CT140" i="31"/>
  <c r="AO140" i="31"/>
  <c r="DB140" i="31"/>
  <c r="CS128" i="31"/>
  <c r="CT128" i="31"/>
  <c r="DA128" i="31"/>
  <c r="CX128" i="31"/>
  <c r="CP128" i="31"/>
  <c r="CQ128" i="31"/>
  <c r="DB128" i="31"/>
  <c r="CX115" i="31"/>
  <c r="CY115" i="31"/>
  <c r="CY104" i="31"/>
  <c r="AT90" i="31"/>
  <c r="CX90" i="31"/>
  <c r="CP90" i="31"/>
  <c r="CQ90" i="31"/>
  <c r="DB90" i="31"/>
  <c r="CY90" i="31"/>
  <c r="DA90" i="31"/>
  <c r="AO90" i="31"/>
  <c r="BA79" i="31"/>
  <c r="CX79" i="31"/>
  <c r="BA67" i="31"/>
  <c r="CT67" i="31"/>
  <c r="CY67" i="31"/>
  <c r="CP67" i="31"/>
  <c r="DB67" i="31"/>
  <c r="CQ67" i="31"/>
  <c r="CC67" i="31"/>
  <c r="CX67" i="31"/>
  <c r="CS67" i="31"/>
  <c r="AO67" i="31"/>
  <c r="BA55" i="31"/>
  <c r="CQ55" i="31"/>
  <c r="DB55" i="31"/>
  <c r="CY55" i="31"/>
  <c r="AO55" i="31"/>
  <c r="DA55" i="31"/>
  <c r="CX55" i="31"/>
  <c r="CP55" i="31"/>
  <c r="BA45" i="31"/>
  <c r="DA45" i="31"/>
  <c r="CX45" i="31"/>
  <c r="CP45" i="31"/>
  <c r="BA33" i="31"/>
  <c r="CY33" i="31"/>
  <c r="BA21" i="31"/>
  <c r="CX21" i="31"/>
  <c r="CY21" i="31"/>
  <c r="Z142" i="31"/>
  <c r="CJ142" i="31" s="1"/>
  <c r="CR142" i="31"/>
  <c r="BV142" i="31"/>
  <c r="BO137" i="31"/>
  <c r="AL137" i="31"/>
  <c r="AV137" i="31" s="1"/>
  <c r="CR137" i="31"/>
  <c r="CK132" i="31"/>
  <c r="CO132" i="31"/>
  <c r="DD132" i="31"/>
  <c r="CM132" i="31"/>
  <c r="CJ127" i="31"/>
  <c r="AH127" i="31"/>
  <c r="CM127" i="31" s="1"/>
  <c r="CO127" i="31"/>
  <c r="CO116" i="31"/>
  <c r="AH116" i="31"/>
  <c r="CM116" i="31" s="1"/>
  <c r="AH112" i="31"/>
  <c r="CM112" i="31" s="1"/>
  <c r="CO112" i="31"/>
  <c r="CO107" i="31"/>
  <c r="AH107" i="31"/>
  <c r="CM107" i="31" s="1"/>
  <c r="CM102" i="31"/>
  <c r="CO102" i="31"/>
  <c r="O102" i="31"/>
  <c r="DD102" i="31"/>
  <c r="CJ97" i="31"/>
  <c r="CL97" i="31" s="1"/>
  <c r="AH97" i="31"/>
  <c r="CM97" i="31" s="1"/>
  <c r="CO97" i="31"/>
  <c r="CJ93" i="31"/>
  <c r="CO93" i="31"/>
  <c r="CK88" i="31"/>
  <c r="CL88" i="31" s="1"/>
  <c r="AH88" i="31"/>
  <c r="CM88" i="31" s="1"/>
  <c r="CO88" i="31"/>
  <c r="CJ84" i="31"/>
  <c r="AH84" i="31"/>
  <c r="CM84" i="31" s="1"/>
  <c r="CO84" i="31"/>
  <c r="CK79" i="31"/>
  <c r="AH79" i="31"/>
  <c r="CM79" i="31" s="1"/>
  <c r="CO79" i="31"/>
  <c r="Z74" i="31"/>
  <c r="AH74" i="31" s="1"/>
  <c r="CM74" i="31" s="1"/>
  <c r="BL74" i="31"/>
  <c r="CR74" i="31"/>
  <c r="CJ69" i="31"/>
  <c r="CO69" i="31"/>
  <c r="AH69" i="31"/>
  <c r="CM69" i="31" s="1"/>
  <c r="CK64" i="31"/>
  <c r="AH64" i="31"/>
  <c r="CK54" i="31"/>
  <c r="CO54" i="31"/>
  <c r="DD49" i="31"/>
  <c r="CM40" i="31"/>
  <c r="O40" i="31"/>
  <c r="R40" i="31" s="1"/>
  <c r="DD40" i="31"/>
  <c r="CJ31" i="31"/>
  <c r="CL31" i="31" s="1"/>
  <c r="CN31" i="31" s="1"/>
  <c r="CO31" i="31"/>
  <c r="O21" i="31"/>
  <c r="DD21" i="31"/>
  <c r="AQ76" i="29"/>
  <c r="AT80" i="29"/>
  <c r="CQ67" i="29"/>
  <c r="AP56" i="29"/>
  <c r="CJ68" i="29"/>
  <c r="CY62" i="29"/>
  <c r="AP70" i="29"/>
  <c r="CK66" i="29"/>
  <c r="BA57" i="29"/>
  <c r="AO67" i="29"/>
  <c r="CM69" i="29"/>
  <c r="CJ52" i="29"/>
  <c r="CL52" i="29" s="1"/>
  <c r="CW16" i="29"/>
  <c r="AS55" i="29"/>
  <c r="AY55" i="29" s="1"/>
  <c r="CY71" i="29"/>
  <c r="BB30" i="29"/>
  <c r="AU30" i="29"/>
  <c r="AO41" i="31"/>
  <c r="CG42" i="31"/>
  <c r="CH42" i="31" s="1"/>
  <c r="CS45" i="31"/>
  <c r="AZ23" i="31"/>
  <c r="BS23" i="31"/>
  <c r="CG23" i="31"/>
  <c r="CH23" i="31" s="1"/>
  <c r="CN67" i="29"/>
  <c r="AO76" i="29"/>
  <c r="AS76" i="29"/>
  <c r="AQ119" i="29"/>
  <c r="CN120" i="29"/>
  <c r="CT120" i="29" s="1"/>
  <c r="CN80" i="29"/>
  <c r="CZ56" i="29"/>
  <c r="CO62" i="29"/>
  <c r="AO56" i="29"/>
  <c r="BC71" i="29"/>
  <c r="CQ68" i="29"/>
  <c r="CO56" i="29"/>
  <c r="BI44" i="29"/>
  <c r="CB49" i="29"/>
  <c r="BX43" i="29"/>
  <c r="BY43" i="29" s="1"/>
  <c r="CN69" i="29"/>
  <c r="CT69" i="29" s="1"/>
  <c r="CU69" i="29" s="1"/>
  <c r="CM36" i="29"/>
  <c r="CR17" i="29"/>
  <c r="CS15" i="29"/>
  <c r="CG25" i="29"/>
  <c r="CH25" i="29" s="1"/>
  <c r="CQ14" i="29"/>
  <c r="CT40" i="29"/>
  <c r="CU40" i="29" s="1"/>
  <c r="AT16" i="29"/>
  <c r="CG55" i="29"/>
  <c r="CH55" i="29" s="1"/>
  <c r="CV17" i="29"/>
  <c r="CZ71" i="29"/>
  <c r="CH80" i="29"/>
  <c r="DM142" i="31"/>
  <c r="CP135" i="31"/>
  <c r="CP80" i="31"/>
  <c r="DB79" i="31"/>
  <c r="AW21" i="31"/>
  <c r="BS22" i="31"/>
  <c r="BH22" i="31"/>
  <c r="BI22" i="31" s="1"/>
  <c r="AV128" i="29"/>
  <c r="CO76" i="29"/>
  <c r="AS22" i="29"/>
  <c r="CK119" i="29"/>
  <c r="CJ110" i="29"/>
  <c r="CZ119" i="29"/>
  <c r="AR86" i="29"/>
  <c r="AQ71" i="29"/>
  <c r="AR71" i="29" s="1"/>
  <c r="CZ120" i="29"/>
  <c r="CZ80" i="29"/>
  <c r="CJ67" i="29"/>
  <c r="CP53" i="29"/>
  <c r="CR71" i="29"/>
  <c r="CT29" i="29"/>
  <c r="CS34" i="29"/>
  <c r="CG38" i="29"/>
  <c r="CH38" i="29" s="1"/>
  <c r="BA17" i="29"/>
  <c r="AZ15" i="29"/>
  <c r="CO53" i="29"/>
  <c r="AQ51" i="29"/>
  <c r="CN25" i="29"/>
  <c r="CS14" i="29"/>
  <c r="CO36" i="29"/>
  <c r="AP16" i="29"/>
  <c r="CW17" i="29"/>
  <c r="AO31" i="29"/>
  <c r="AO71" i="29"/>
  <c r="CQ46" i="29"/>
  <c r="BD23" i="29"/>
  <c r="AW23" i="29"/>
  <c r="AT49" i="29"/>
  <c r="CV49" i="29"/>
  <c r="CX49" i="29" s="1"/>
  <c r="BB76" i="29"/>
  <c r="AU76" i="29"/>
  <c r="CH55" i="31"/>
  <c r="CG38" i="31"/>
  <c r="CH38" i="31" s="1"/>
  <c r="CP79" i="31"/>
  <c r="CX104" i="31"/>
  <c r="CY79" i="31"/>
  <c r="DA140" i="31"/>
  <c r="DA32" i="31"/>
  <c r="DB69" i="31"/>
  <c r="BL24" i="31"/>
  <c r="AQ56" i="31"/>
  <c r="AR56" i="31" s="1"/>
  <c r="CG48" i="31"/>
  <c r="CH48" i="31" s="1"/>
  <c r="BH48" i="31"/>
  <c r="BS34" i="31"/>
  <c r="BH34" i="31"/>
  <c r="BI34" i="31" s="1"/>
  <c r="AU21" i="31"/>
  <c r="BO128" i="29"/>
  <c r="AP76" i="29"/>
  <c r="AP22" i="29"/>
  <c r="BF129" i="29"/>
  <c r="AO119" i="29"/>
  <c r="CT127" i="29"/>
  <c r="CU127" i="29" s="1"/>
  <c r="CW71" i="29"/>
  <c r="CX71" i="29" s="1"/>
  <c r="CX93" i="29"/>
  <c r="AS53" i="29"/>
  <c r="CH56" i="29"/>
  <c r="CQ51" i="29"/>
  <c r="CX79" i="29"/>
  <c r="CH71" i="29"/>
  <c r="CR42" i="29"/>
  <c r="CO69" i="29"/>
  <c r="CP44" i="29"/>
  <c r="CX41" i="29"/>
  <c r="AO17" i="29"/>
  <c r="AZ14" i="29"/>
  <c r="BF14" i="29" s="1"/>
  <c r="CG50" i="29"/>
  <c r="CR15" i="29"/>
  <c r="CN31" i="29"/>
  <c r="BB71" i="29"/>
  <c r="AU18" i="29"/>
  <c r="BX18" i="29"/>
  <c r="BY18" i="29" s="1"/>
  <c r="CS23" i="29"/>
  <c r="BL39" i="29"/>
  <c r="CG39" i="29"/>
  <c r="CH39" i="29" s="1"/>
  <c r="AU48" i="29"/>
  <c r="BB48" i="29"/>
  <c r="BA134" i="29"/>
  <c r="AT134" i="29"/>
  <c r="CC33" i="31"/>
  <c r="CT45" i="31"/>
  <c r="BL38" i="31"/>
  <c r="AQ55" i="31"/>
  <c r="AR55" i="31" s="1"/>
  <c r="AZ61" i="31"/>
  <c r="CG61" i="31"/>
  <c r="CH61" i="31" s="1"/>
  <c r="BS61" i="31"/>
  <c r="CZ70" i="29"/>
  <c r="CP128" i="29"/>
  <c r="CQ119" i="29"/>
  <c r="BS69" i="29"/>
  <c r="BX69" i="29" s="1"/>
  <c r="BY69" i="29" s="1"/>
  <c r="AP71" i="29"/>
  <c r="CO120" i="29"/>
  <c r="CO80" i="29"/>
  <c r="CR69" i="29"/>
  <c r="CG53" i="29"/>
  <c r="CH53" i="29" s="1"/>
  <c r="CM54" i="29"/>
  <c r="CN56" i="29"/>
  <c r="CT56" i="29" s="1"/>
  <c r="BQ69" i="29"/>
  <c r="BR69" i="29" s="1"/>
  <c r="CG14" i="29"/>
  <c r="CH14" i="29" s="1"/>
  <c r="CH143" i="29" s="1"/>
  <c r="CM24" i="29"/>
  <c r="AO36" i="29"/>
  <c r="BG39" i="29"/>
  <c r="AO141" i="31"/>
  <c r="CT32" i="31"/>
  <c r="DB41" i="31"/>
  <c r="AW57" i="31"/>
  <c r="CM19" i="29"/>
  <c r="CJ20" i="29"/>
  <c r="BZ25" i="29"/>
  <c r="CC25" i="29" s="1"/>
  <c r="BC40" i="29"/>
  <c r="AH94" i="29"/>
  <c r="AR94" i="29" s="1"/>
  <c r="BZ95" i="29"/>
  <c r="AH101" i="29"/>
  <c r="AR101" i="29" s="1"/>
  <c r="CA117" i="29"/>
  <c r="CA121" i="29"/>
  <c r="DI135" i="29"/>
  <c r="LT14" i="26"/>
  <c r="LW15" i="26"/>
  <c r="K21" i="26"/>
  <c r="AO128" i="31"/>
  <c r="BQ123" i="31"/>
  <c r="BR123" i="31" s="1"/>
  <c r="BQ84" i="31"/>
  <c r="BR84" i="31" s="1"/>
  <c r="BQ60" i="31"/>
  <c r="BR60" i="31" s="1"/>
  <c r="BQ36" i="31"/>
  <c r="BR36" i="31" s="1"/>
  <c r="BZ137" i="31"/>
  <c r="CC137" i="31" s="1"/>
  <c r="BZ125" i="31"/>
  <c r="CC125" i="31" s="1"/>
  <c r="BZ112" i="31"/>
  <c r="CC112" i="31" s="1"/>
  <c r="BZ98" i="31"/>
  <c r="CC98" i="31" s="1"/>
  <c r="BZ86" i="31"/>
  <c r="CC86" i="31" s="1"/>
  <c r="BZ74" i="31"/>
  <c r="CC74" i="31" s="1"/>
  <c r="BZ62" i="31"/>
  <c r="CC62" i="31" s="1"/>
  <c r="DB117" i="31"/>
  <c r="CD28" i="29"/>
  <c r="CK47" i="29"/>
  <c r="CL47" i="29" s="1"/>
  <c r="BC66" i="29"/>
  <c r="CD76" i="29"/>
  <c r="CS81" i="29"/>
  <c r="AH85" i="29"/>
  <c r="AR85" i="29" s="1"/>
  <c r="CK113" i="29"/>
  <c r="CL113" i="29" s="1"/>
  <c r="AH115" i="29"/>
  <c r="BZ128" i="29"/>
  <c r="BX124" i="31"/>
  <c r="BY124" i="31" s="1"/>
  <c r="CH79" i="31"/>
  <c r="CC79" i="31"/>
  <c r="AW49" i="31"/>
  <c r="AS61" i="31"/>
  <c r="AP37" i="31"/>
  <c r="AP103" i="31"/>
  <c r="AQ89" i="31"/>
  <c r="AR89" i="31" s="1"/>
  <c r="CG44" i="29"/>
  <c r="CH44" i="29" s="1"/>
  <c r="BD84" i="29"/>
  <c r="BE84" i="29" s="1"/>
  <c r="BC96" i="29"/>
  <c r="CV101" i="29"/>
  <c r="CW123" i="29"/>
  <c r="BD132" i="29"/>
  <c r="DI134" i="29"/>
  <c r="BX123" i="31"/>
  <c r="BY123" i="31" s="1"/>
  <c r="BX36" i="31"/>
  <c r="BY36" i="31" s="1"/>
  <c r="AZ20" i="31"/>
  <c r="CD64" i="29"/>
  <c r="BQ91" i="31"/>
  <c r="BR91" i="31" s="1"/>
  <c r="BQ79" i="31"/>
  <c r="BR79" i="31" s="1"/>
  <c r="BX35" i="31"/>
  <c r="BY35" i="31" s="1"/>
  <c r="AW132" i="31"/>
  <c r="DI48" i="29"/>
  <c r="CP84" i="29"/>
  <c r="AQ100" i="29"/>
  <c r="CV116" i="29"/>
  <c r="AH138" i="29"/>
  <c r="AR138" i="29" s="1"/>
  <c r="LW34" i="26"/>
  <c r="LW38" i="26"/>
  <c r="LW40" i="26"/>
  <c r="LT44" i="26"/>
  <c r="AO121" i="31"/>
  <c r="BQ30" i="31"/>
  <c r="BR30" i="31" s="1"/>
  <c r="BQ18" i="31"/>
  <c r="CA83" i="31"/>
  <c r="CC80" i="31"/>
  <c r="CC68" i="31"/>
  <c r="CC55" i="31"/>
  <c r="CK95" i="31"/>
  <c r="BC42" i="29"/>
  <c r="BD47" i="29"/>
  <c r="CH103" i="29"/>
  <c r="BX104" i="29"/>
  <c r="BY104" i="29" s="1"/>
  <c r="CN106" i="29"/>
  <c r="CS117" i="29"/>
  <c r="CA127" i="29"/>
  <c r="CD127" i="29" s="1"/>
  <c r="BZ130" i="29"/>
  <c r="CC130" i="29" s="1"/>
  <c r="LT19" i="26"/>
  <c r="DN42" i="31"/>
  <c r="BQ128" i="31"/>
  <c r="BR128" i="31" s="1"/>
  <c r="BQ115" i="31"/>
  <c r="BR115" i="31" s="1"/>
  <c r="BQ65" i="31"/>
  <c r="BR65" i="31" s="1"/>
  <c r="BQ41" i="31"/>
  <c r="BR41" i="31" s="1"/>
  <c r="BQ29" i="31"/>
  <c r="BR29" i="31" s="1"/>
  <c r="CN42" i="29"/>
  <c r="BQ43" i="29"/>
  <c r="BR43" i="29" s="1"/>
  <c r="BZ63" i="29"/>
  <c r="CC63" i="29" s="1"/>
  <c r="BZ136" i="29"/>
  <c r="CG140" i="29"/>
  <c r="CH140" i="29" s="1"/>
  <c r="BQ127" i="31"/>
  <c r="BR127" i="31" s="1"/>
  <c r="BQ51" i="31"/>
  <c r="BR51" i="31" s="1"/>
  <c r="BX131" i="31"/>
  <c r="BY131" i="31" s="1"/>
  <c r="BX106" i="31"/>
  <c r="BY106" i="31" s="1"/>
  <c r="CA20" i="31"/>
  <c r="CB20" i="31" s="1"/>
  <c r="CF20" i="31" s="1"/>
  <c r="CC45" i="31"/>
  <c r="CR120" i="31"/>
  <c r="BE70" i="33"/>
  <c r="BF70" i="33"/>
  <c r="CM32" i="29"/>
  <c r="BZ55" i="29"/>
  <c r="CC55" i="29" s="1"/>
  <c r="CA61" i="29"/>
  <c r="CD61" i="29" s="1"/>
  <c r="BL73" i="29"/>
  <c r="DI90" i="29"/>
  <c r="CA111" i="29"/>
  <c r="CD111" i="29" s="1"/>
  <c r="CK128" i="29"/>
  <c r="LT17" i="26"/>
  <c r="AO132" i="31"/>
  <c r="AO71" i="31"/>
  <c r="BI50" i="31"/>
  <c r="BQ139" i="31"/>
  <c r="BR139" i="31" s="1"/>
  <c r="BQ27" i="31"/>
  <c r="BR27" i="31" s="1"/>
  <c r="BQ15" i="31"/>
  <c r="BR15" i="31" s="1"/>
  <c r="BX67" i="31"/>
  <c r="BY67" i="31" s="1"/>
  <c r="BX54" i="31"/>
  <c r="BY54" i="31" s="1"/>
  <c r="BQ132" i="31"/>
  <c r="BR132" i="31" s="1"/>
  <c r="BC27" i="31"/>
  <c r="DA123" i="31"/>
  <c r="BZ39" i="31"/>
  <c r="CC39" i="31" s="1"/>
  <c r="BZ27" i="31"/>
  <c r="CC27" i="31" s="1"/>
  <c r="BZ15" i="31"/>
  <c r="CC15" i="31" s="1"/>
  <c r="CW64" i="29"/>
  <c r="BZ66" i="29"/>
  <c r="CM67" i="29"/>
  <c r="BZ105" i="29"/>
  <c r="DN22" i="31"/>
  <c r="DN16" i="31"/>
  <c r="AO94" i="31"/>
  <c r="BI18" i="31"/>
  <c r="BQ111" i="31"/>
  <c r="BR111" i="31" s="1"/>
  <c r="BQ61" i="31"/>
  <c r="BR61" i="31" s="1"/>
  <c r="DA122" i="31"/>
  <c r="AZ83" i="31"/>
  <c r="DA130" i="31"/>
  <c r="O65" i="13"/>
  <c r="AG59" i="29"/>
  <c r="CK59" i="29" s="1"/>
  <c r="AY139" i="31"/>
  <c r="AX139" i="31"/>
  <c r="CK141" i="31"/>
  <c r="CO141" i="31"/>
  <c r="AH141" i="31"/>
  <c r="R113" i="31"/>
  <c r="CT113" i="31" s="1"/>
  <c r="BH113" i="31"/>
  <c r="BS113" i="31"/>
  <c r="CG113" i="31"/>
  <c r="CH113" i="31" s="1"/>
  <c r="CJ74" i="31"/>
  <c r="BE129" i="29"/>
  <c r="CW31" i="29"/>
  <c r="CJ36" i="29"/>
  <c r="CY38" i="29"/>
  <c r="CJ55" i="29"/>
  <c r="CA56" i="29"/>
  <c r="CD56" i="29" s="1"/>
  <c r="AO57" i="29"/>
  <c r="CZ66" i="29"/>
  <c r="CA81" i="29"/>
  <c r="CD81" i="29" s="1"/>
  <c r="AQ90" i="29"/>
  <c r="AR90" i="29" s="1"/>
  <c r="BX103" i="29"/>
  <c r="BY103" i="29" s="1"/>
  <c r="BX105" i="29"/>
  <c r="BY105" i="29" s="1"/>
  <c r="CJ106" i="29"/>
  <c r="CN107" i="29"/>
  <c r="CJ117" i="29"/>
  <c r="CL117" i="29" s="1"/>
  <c r="BB122" i="29"/>
  <c r="BQ124" i="29"/>
  <c r="BR124" i="29" s="1"/>
  <c r="AW127" i="29"/>
  <c r="BA128" i="29"/>
  <c r="CD132" i="29"/>
  <c r="DN135" i="31"/>
  <c r="BI33" i="31"/>
  <c r="BI20" i="31"/>
  <c r="BQ140" i="31"/>
  <c r="BR140" i="31" s="1"/>
  <c r="BQ88" i="31"/>
  <c r="BR88" i="31" s="1"/>
  <c r="BQ76" i="31"/>
  <c r="BR76" i="31" s="1"/>
  <c r="CA126" i="31"/>
  <c r="CD126" i="31" s="1"/>
  <c r="BN145" i="31"/>
  <c r="CA69" i="31"/>
  <c r="CS124" i="31"/>
  <c r="CS89" i="31"/>
  <c r="CQ124" i="31"/>
  <c r="CQ105" i="31"/>
  <c r="CR110" i="31"/>
  <c r="CR94" i="31"/>
  <c r="CR80" i="31"/>
  <c r="BL110" i="31"/>
  <c r="BQ110" i="31" s="1"/>
  <c r="BR110" i="31" s="1"/>
  <c r="BS95" i="31"/>
  <c r="BD18" i="31"/>
  <c r="AQ135" i="31"/>
  <c r="AR135" i="31" s="1"/>
  <c r="AU76" i="31"/>
  <c r="AT44" i="31"/>
  <c r="Z137" i="31"/>
  <c r="CJ132" i="31"/>
  <c r="CK41" i="31"/>
  <c r="CL41" i="31" s="1"/>
  <c r="CN41" i="31" s="1"/>
  <c r="CL18" i="31"/>
  <c r="CN18" i="31" s="1"/>
  <c r="BF53" i="29"/>
  <c r="AH99" i="29"/>
  <c r="BZ116" i="29"/>
  <c r="AT123" i="29"/>
  <c r="DI141" i="29"/>
  <c r="CP105" i="31"/>
  <c r="CT124" i="31"/>
  <c r="CT89" i="31"/>
  <c r="CY47" i="31"/>
  <c r="DA89" i="31"/>
  <c r="DB105" i="31"/>
  <c r="BS20" i="31"/>
  <c r="AW136" i="31"/>
  <c r="AW94" i="31"/>
  <c r="AZ124" i="31"/>
  <c r="AT70" i="31"/>
  <c r="CA142" i="31"/>
  <c r="CD142" i="31" s="1"/>
  <c r="BF41" i="33"/>
  <c r="BE41" i="33"/>
  <c r="BC29" i="29"/>
  <c r="CM37" i="29"/>
  <c r="AH41" i="29"/>
  <c r="AR41" i="29" s="1"/>
  <c r="AT53" i="29"/>
  <c r="AP65" i="29"/>
  <c r="AV73" i="29"/>
  <c r="CH122" i="29"/>
  <c r="BA123" i="29"/>
  <c r="AU132" i="29"/>
  <c r="AY132" i="29" s="1"/>
  <c r="BQ138" i="31"/>
  <c r="BR138" i="31" s="1"/>
  <c r="CA136" i="31"/>
  <c r="CD136" i="31" s="1"/>
  <c r="CA36" i="31"/>
  <c r="CD36" i="31" s="1"/>
  <c r="CP124" i="31"/>
  <c r="CV124" i="31" s="1"/>
  <c r="DA29" i="31"/>
  <c r="AQ44" i="31"/>
  <c r="AZ95" i="31"/>
  <c r="AZ46" i="31"/>
  <c r="AU126" i="31"/>
  <c r="AT66" i="31"/>
  <c r="AQ141" i="31"/>
  <c r="DH141" i="31" s="1"/>
  <c r="CK116" i="31"/>
  <c r="CT112" i="29"/>
  <c r="BC17" i="29"/>
  <c r="BM143" i="29"/>
  <c r="BQ36" i="29"/>
  <c r="BR36" i="29" s="1"/>
  <c r="AW37" i="29"/>
  <c r="CM89" i="29"/>
  <c r="DI119" i="29"/>
  <c r="CH123" i="29"/>
  <c r="CM124" i="29"/>
  <c r="CJ127" i="29"/>
  <c r="AW130" i="29"/>
  <c r="CQ136" i="31"/>
  <c r="DA124" i="31"/>
  <c r="DA105" i="31"/>
  <c r="AG8" i="29"/>
  <c r="AF8" i="29" s="1"/>
  <c r="AT113" i="29"/>
  <c r="BZ134" i="29"/>
  <c r="CC134" i="29" s="1"/>
  <c r="LW12" i="26"/>
  <c r="CA117" i="31"/>
  <c r="CD117" i="31" s="1"/>
  <c r="CQ98" i="31"/>
  <c r="CR118" i="31"/>
  <c r="DB124" i="31"/>
  <c r="BX134" i="31"/>
  <c r="BY134" i="31" s="1"/>
  <c r="AX46" i="31"/>
  <c r="AP46" i="31"/>
  <c r="AQ35" i="31"/>
  <c r="AR35" i="31" s="1"/>
  <c r="AS116" i="31"/>
  <c r="AU64" i="31"/>
  <c r="AT36" i="31"/>
  <c r="CK130" i="31"/>
  <c r="CW140" i="29"/>
  <c r="AR36" i="29"/>
  <c r="BX29" i="29"/>
  <c r="BY29" i="29" s="1"/>
  <c r="BG37" i="29"/>
  <c r="BI37" i="29" s="1"/>
  <c r="BQ41" i="29"/>
  <c r="BR41" i="29" s="1"/>
  <c r="BC62" i="29"/>
  <c r="BE62" i="29" s="1"/>
  <c r="CV111" i="29"/>
  <c r="AQ116" i="29"/>
  <c r="AV141" i="29"/>
  <c r="CD20" i="31"/>
  <c r="DN44" i="31"/>
  <c r="DN14" i="31"/>
  <c r="CA91" i="31"/>
  <c r="CP98" i="31"/>
  <c r="DB70" i="31"/>
  <c r="AW125" i="31"/>
  <c r="AQ32" i="31"/>
  <c r="AR32" i="31" s="1"/>
  <c r="BC89" i="31"/>
  <c r="AO82" i="31"/>
  <c r="AT127" i="31"/>
  <c r="AY127" i="31" s="1"/>
  <c r="AH59" i="31"/>
  <c r="BC72" i="29"/>
  <c r="AS86" i="29"/>
  <c r="CA122" i="29"/>
  <c r="LO12" i="26"/>
  <c r="LG12" i="26" s="1"/>
  <c r="CE20" i="31"/>
  <c r="CQ114" i="31"/>
  <c r="DB98" i="31"/>
  <c r="AW41" i="31"/>
  <c r="AQ31" i="31"/>
  <c r="AR31" i="31" s="1"/>
  <c r="AO126" i="31"/>
  <c r="AO102" i="31"/>
  <c r="AU54" i="31"/>
  <c r="AT32" i="31"/>
  <c r="BF60" i="29"/>
  <c r="CN17" i="29"/>
  <c r="CT17" i="29" s="1"/>
  <c r="CP33" i="29"/>
  <c r="BZ53" i="29"/>
  <c r="CC53" i="29" s="1"/>
  <c r="CJ71" i="29"/>
  <c r="CK72" i="29"/>
  <c r="BZ73" i="29"/>
  <c r="AT90" i="29"/>
  <c r="AT112" i="29"/>
  <c r="K19" i="26"/>
  <c r="LT24" i="26"/>
  <c r="BX97" i="31"/>
  <c r="BY97" i="31" s="1"/>
  <c r="CA103" i="31"/>
  <c r="CD103" i="31" s="1"/>
  <c r="CS105" i="31"/>
  <c r="CV31" i="31"/>
  <c r="CQ130" i="31"/>
  <c r="CQ89" i="31"/>
  <c r="DA98" i="31"/>
  <c r="AP116" i="31"/>
  <c r="O117" i="31"/>
  <c r="R117" i="31" s="1"/>
  <c r="AQ132" i="31"/>
  <c r="AR132" i="31" s="1"/>
  <c r="DB115" i="31"/>
  <c r="AU113" i="31"/>
  <c r="AT82" i="31"/>
  <c r="AT58" i="31"/>
  <c r="BQ114" i="29"/>
  <c r="BR114" i="29" s="1"/>
  <c r="AR51" i="29"/>
  <c r="BZ78" i="29"/>
  <c r="DN149" i="31"/>
  <c r="CA21" i="31"/>
  <c r="CD21" i="31" s="1"/>
  <c r="CP114" i="31"/>
  <c r="CP89" i="31"/>
  <c r="CT105" i="31"/>
  <c r="CR114" i="31"/>
  <c r="BC116" i="31"/>
  <c r="AS81" i="31"/>
  <c r="DA67" i="31"/>
  <c r="AU43" i="31"/>
  <c r="AT54" i="31"/>
  <c r="AT24" i="31"/>
  <c r="BF89" i="33"/>
  <c r="BE89" i="33"/>
  <c r="BX49" i="29"/>
  <c r="BY49" i="29" s="1"/>
  <c r="AH55" i="29"/>
  <c r="AR55" i="29" s="1"/>
  <c r="BZ101" i="29"/>
  <c r="CC101" i="29" s="1"/>
  <c r="CW122" i="29"/>
  <c r="CA126" i="29"/>
  <c r="CM100" i="31"/>
  <c r="CP130" i="31"/>
  <c r="CQ29" i="31"/>
  <c r="CT130" i="31"/>
  <c r="BO142" i="31"/>
  <c r="BS24" i="31"/>
  <c r="AQ112" i="31"/>
  <c r="AR65" i="31"/>
  <c r="AZ142" i="31"/>
  <c r="AT78" i="31"/>
  <c r="DB138" i="31"/>
  <c r="BF84" i="29"/>
  <c r="CX48" i="29"/>
  <c r="AH24" i="29"/>
  <c r="BQ35" i="29"/>
  <c r="BR35" i="29" s="1"/>
  <c r="BQ45" i="29"/>
  <c r="BR45" i="29" s="1"/>
  <c r="AH63" i="29"/>
  <c r="DI63" i="29"/>
  <c r="BZ65" i="29"/>
  <c r="DI76" i="29"/>
  <c r="AW78" i="29"/>
  <c r="CL89" i="29"/>
  <c r="BZ103" i="29"/>
  <c r="CC103" i="29" s="1"/>
  <c r="DI115" i="29"/>
  <c r="BZ127" i="29"/>
  <c r="CA32" i="31"/>
  <c r="CD32" i="31" s="1"/>
  <c r="CS98" i="31"/>
  <c r="CX58" i="31"/>
  <c r="AZ128" i="31"/>
  <c r="AS136" i="31"/>
  <c r="AS114" i="31"/>
  <c r="AU78" i="31"/>
  <c r="AU31" i="31"/>
  <c r="AT20" i="31"/>
  <c r="CK117" i="31"/>
  <c r="CK80" i="31"/>
  <c r="AL146" i="29"/>
  <c r="CV140" i="29"/>
  <c r="BT146" i="29"/>
  <c r="AO106" i="29"/>
  <c r="CQ90" i="29"/>
  <c r="CZ92" i="29"/>
  <c r="CO106" i="29"/>
  <c r="CO91" i="29"/>
  <c r="CZ103" i="29"/>
  <c r="BV20" i="29"/>
  <c r="CS20" i="29"/>
  <c r="CQ20" i="29"/>
  <c r="DB23" i="29"/>
  <c r="CZ23" i="29"/>
  <c r="CQ25" i="29"/>
  <c r="AT25" i="29"/>
  <c r="CY25" i="29"/>
  <c r="BA34" i="29"/>
  <c r="CY34" i="29"/>
  <c r="BA47" i="29"/>
  <c r="AQ47" i="29"/>
  <c r="CN47" i="29"/>
  <c r="CZ47" i="29"/>
  <c r="BZ68" i="29"/>
  <c r="BQ68" i="29"/>
  <c r="BR68" i="29" s="1"/>
  <c r="AT77" i="29"/>
  <c r="BA77" i="29"/>
  <c r="BE77" i="29" s="1"/>
  <c r="CA89" i="29"/>
  <c r="BD130" i="31"/>
  <c r="AW130" i="31"/>
  <c r="AO130" i="31"/>
  <c r="BD106" i="31"/>
  <c r="AO106" i="31"/>
  <c r="BD92" i="31"/>
  <c r="AO92" i="31"/>
  <c r="AW92" i="31"/>
  <c r="AQ107" i="29"/>
  <c r="CN92" i="29"/>
  <c r="CQ107" i="29"/>
  <c r="AH105" i="29"/>
  <c r="CN90" i="29"/>
  <c r="CN103" i="29"/>
  <c r="AP57" i="29"/>
  <c r="CQ66" i="29"/>
  <c r="AW57" i="29"/>
  <c r="BB19" i="29"/>
  <c r="CR19" i="29"/>
  <c r="CW19" i="29"/>
  <c r="BL46" i="29"/>
  <c r="AS46" i="29"/>
  <c r="CN46" i="29"/>
  <c r="CT46" i="29" s="1"/>
  <c r="BG51" i="29"/>
  <c r="BL51" i="29"/>
  <c r="BQ51" i="29" s="1"/>
  <c r="BR51" i="29" s="1"/>
  <c r="BA54" i="29"/>
  <c r="AT54" i="29"/>
  <c r="BB65" i="29"/>
  <c r="AU65" i="29"/>
  <c r="CJ82" i="31"/>
  <c r="CL82" i="31" s="1"/>
  <c r="AH82" i="31"/>
  <c r="CM82" i="31" s="1"/>
  <c r="CO82" i="31"/>
  <c r="Z77" i="31"/>
  <c r="CR77" i="31"/>
  <c r="BL77" i="31"/>
  <c r="AI77" i="31"/>
  <c r="CJ68" i="31"/>
  <c r="AH68" i="31"/>
  <c r="CO68" i="31"/>
  <c r="CO63" i="31"/>
  <c r="AH63" i="31"/>
  <c r="L59" i="31"/>
  <c r="BG59" i="31"/>
  <c r="CJ53" i="31"/>
  <c r="AH53" i="31"/>
  <c r="CM53" i="31" s="1"/>
  <c r="CO53" i="31"/>
  <c r="DB48" i="31"/>
  <c r="DD48" i="31"/>
  <c r="CM48" i="31"/>
  <c r="CK43" i="31"/>
  <c r="CL43" i="31" s="1"/>
  <c r="AH43" i="31"/>
  <c r="CO43" i="31"/>
  <c r="CO39" i="31"/>
  <c r="DD39" i="31"/>
  <c r="DB39" i="31"/>
  <c r="CK34" i="31"/>
  <c r="CO34" i="31"/>
  <c r="AH34" i="31"/>
  <c r="CM34" i="31" s="1"/>
  <c r="AP37" i="29"/>
  <c r="CO37" i="29"/>
  <c r="AO37" i="29"/>
  <c r="CY37" i="29"/>
  <c r="BE60" i="29"/>
  <c r="CH92" i="29"/>
  <c r="AP107" i="29"/>
  <c r="AV106" i="29"/>
  <c r="AO107" i="29"/>
  <c r="CM105" i="29"/>
  <c r="AU91" i="29"/>
  <c r="AY91" i="29" s="1"/>
  <c r="AQ103" i="29"/>
  <c r="CR43" i="29"/>
  <c r="BF69" i="29"/>
  <c r="BD57" i="29"/>
  <c r="CS16" i="29"/>
  <c r="CQ16" i="29"/>
  <c r="CT16" i="29" s="1"/>
  <c r="BS16" i="29"/>
  <c r="BX16" i="29" s="1"/>
  <c r="BY16" i="29" s="1"/>
  <c r="BC44" i="29"/>
  <c r="AV44" i="29"/>
  <c r="AQ65" i="29"/>
  <c r="AO65" i="29"/>
  <c r="BL67" i="29"/>
  <c r="BQ67" i="29" s="1"/>
  <c r="BR67" i="29" s="1"/>
  <c r="CP67" i="29"/>
  <c r="CG67" i="29"/>
  <c r="CH67" i="29" s="1"/>
  <c r="AO99" i="29"/>
  <c r="AP99" i="29"/>
  <c r="BN119" i="29"/>
  <c r="Z119" i="29"/>
  <c r="AH119" i="29" s="1"/>
  <c r="CR140" i="29"/>
  <c r="CY107" i="29"/>
  <c r="CW66" i="29"/>
  <c r="CM106" i="29"/>
  <c r="AP106" i="29"/>
  <c r="CM104" i="29"/>
  <c r="BB91" i="29"/>
  <c r="BF91" i="29" s="1"/>
  <c r="CO90" i="29"/>
  <c r="CQ106" i="29"/>
  <c r="AO66" i="29"/>
  <c r="CO103" i="29"/>
  <c r="CV19" i="29"/>
  <c r="CM14" i="29"/>
  <c r="BC39" i="29"/>
  <c r="BF39" i="29" s="1"/>
  <c r="AV39" i="29"/>
  <c r="CP50" i="29"/>
  <c r="AJ50" i="29"/>
  <c r="CS74" i="29"/>
  <c r="BS74" i="29"/>
  <c r="BX74" i="29" s="1"/>
  <c r="BY74" i="29" s="1"/>
  <c r="CY140" i="29"/>
  <c r="CO140" i="29"/>
  <c r="BE86" i="29"/>
  <c r="CY106" i="29"/>
  <c r="CL105" i="29"/>
  <c r="CY91" i="29"/>
  <c r="AH104" i="29"/>
  <c r="CU104" i="29" s="1"/>
  <c r="AO90" i="29"/>
  <c r="CX83" i="29"/>
  <c r="AT103" i="29"/>
  <c r="AX103" i="29" s="1"/>
  <c r="AQ43" i="29"/>
  <c r="CO66" i="29"/>
  <c r="AP43" i="29"/>
  <c r="CQ19" i="29"/>
  <c r="CT19" i="29" s="1"/>
  <c r="CU19" i="29" s="1"/>
  <c r="CL55" i="29"/>
  <c r="AJ33" i="29"/>
  <c r="U8" i="29"/>
  <c r="Z33" i="29"/>
  <c r="CM33" i="29" s="1"/>
  <c r="BS42" i="29"/>
  <c r="BX42" i="29" s="1"/>
  <c r="BY42" i="29" s="1"/>
  <c r="AZ42" i="29"/>
  <c r="BB73" i="29"/>
  <c r="AU73" i="29"/>
  <c r="BA95" i="31"/>
  <c r="AT95" i="31"/>
  <c r="AO95" i="31"/>
  <c r="DA95" i="31"/>
  <c r="CP95" i="31"/>
  <c r="DB95" i="31"/>
  <c r="CS95" i="31"/>
  <c r="CY95" i="31"/>
  <c r="AQ95" i="31"/>
  <c r="CQ95" i="31"/>
  <c r="CT95" i="31"/>
  <c r="CX95" i="31"/>
  <c r="CH95" i="31"/>
  <c r="BA84" i="31"/>
  <c r="AO84" i="31"/>
  <c r="DA84" i="31"/>
  <c r="CP84" i="31"/>
  <c r="DB84" i="31"/>
  <c r="AT84" i="31"/>
  <c r="CY84" i="31"/>
  <c r="CX84" i="31"/>
  <c r="CQ84" i="31"/>
  <c r="CC84" i="31"/>
  <c r="BA72" i="31"/>
  <c r="AT72" i="31"/>
  <c r="CY72" i="31"/>
  <c r="CH72" i="31"/>
  <c r="CC72" i="31"/>
  <c r="CX72" i="31"/>
  <c r="BA60" i="31"/>
  <c r="AT60" i="31"/>
  <c r="AO60" i="31"/>
  <c r="CY60" i="31"/>
  <c r="CH60" i="31"/>
  <c r="CC60" i="31"/>
  <c r="CY49" i="31"/>
  <c r="BH49" i="31"/>
  <c r="CU49" i="31"/>
  <c r="BT49" i="31"/>
  <c r="BZ49" i="31" s="1"/>
  <c r="CC49" i="31" s="1"/>
  <c r="AO38" i="31"/>
  <c r="CY38" i="31"/>
  <c r="CX38" i="31"/>
  <c r="CP38" i="31"/>
  <c r="DA38" i="31"/>
  <c r="CQ38" i="31"/>
  <c r="DB38" i="31"/>
  <c r="CC38" i="31"/>
  <c r="AO26" i="31"/>
  <c r="CY26" i="31"/>
  <c r="CX26" i="31"/>
  <c r="CP26" i="31"/>
  <c r="CQ26" i="31"/>
  <c r="DB26" i="31"/>
  <c r="AO14" i="31"/>
  <c r="CY14" i="31"/>
  <c r="CX14" i="31"/>
  <c r="CP14" i="31"/>
  <c r="CQ14" i="31"/>
  <c r="CC14" i="31"/>
  <c r="CC145" i="31" s="1"/>
  <c r="AJ145" i="31"/>
  <c r="DB14" i="31"/>
  <c r="AJ144" i="31"/>
  <c r="DG128" i="29"/>
  <c r="AW128" i="29"/>
  <c r="BP128" i="29"/>
  <c r="BP143" i="29" s="1"/>
  <c r="AY131" i="29"/>
  <c r="AO92" i="29"/>
  <c r="CH91" i="29"/>
  <c r="CL104" i="29"/>
  <c r="CV103" i="29"/>
  <c r="AO43" i="29"/>
  <c r="CM55" i="29"/>
  <c r="CY23" i="29"/>
  <c r="CR23" i="29"/>
  <c r="AV23" i="29"/>
  <c r="CO23" i="29"/>
  <c r="AI28" i="29"/>
  <c r="CN28" i="29" s="1"/>
  <c r="Z28" i="29"/>
  <c r="T147" i="29"/>
  <c r="AH61" i="29"/>
  <c r="CK61" i="29"/>
  <c r="CL61" i="29" s="1"/>
  <c r="CM61" i="29"/>
  <c r="BB95" i="29"/>
  <c r="AU95" i="29"/>
  <c r="BD124" i="29"/>
  <c r="AW124" i="29"/>
  <c r="I156" i="29"/>
  <c r="CP129" i="29"/>
  <c r="BL129" i="29"/>
  <c r="BQ129" i="29" s="1"/>
  <c r="BR129" i="29" s="1"/>
  <c r="AS129" i="29"/>
  <c r="AY129" i="29" s="1"/>
  <c r="BO58" i="31"/>
  <c r="CR58" i="31"/>
  <c r="CP58" i="31"/>
  <c r="AS54" i="31"/>
  <c r="AO54" i="31"/>
  <c r="AZ54" i="31"/>
  <c r="BF54" i="31" s="1"/>
  <c r="AQ54" i="31"/>
  <c r="AR54" i="31" s="1"/>
  <c r="CS54" i="31"/>
  <c r="CP54" i="31"/>
  <c r="DA54" i="31"/>
  <c r="DB54" i="31"/>
  <c r="AP54" i="31"/>
  <c r="CT54" i="31"/>
  <c r="CQ54" i="31"/>
  <c r="AV48" i="31"/>
  <c r="AO48" i="31"/>
  <c r="AZ43" i="31"/>
  <c r="DA43" i="31"/>
  <c r="AQ43" i="31"/>
  <c r="CQ43" i="31"/>
  <c r="DB43" i="31"/>
  <c r="CS43" i="31"/>
  <c r="AO43" i="31"/>
  <c r="CT43" i="31"/>
  <c r="CP43" i="31"/>
  <c r="CR39" i="31"/>
  <c r="CP39" i="31"/>
  <c r="BL39" i="31"/>
  <c r="CQ39" i="31"/>
  <c r="AQ34" i="31"/>
  <c r="DA34" i="31"/>
  <c r="AP34" i="31"/>
  <c r="DB34" i="31"/>
  <c r="AO34" i="31"/>
  <c r="AV25" i="31"/>
  <c r="AO25" i="31"/>
  <c r="AV21" i="31"/>
  <c r="CP21" i="31"/>
  <c r="DA17" i="31"/>
  <c r="DB17" i="31"/>
  <c r="AO17" i="31"/>
  <c r="AQ17" i="31"/>
  <c r="CQ17" i="31"/>
  <c r="AO99" i="31"/>
  <c r="BO42" i="29"/>
  <c r="BQ42" i="29" s="1"/>
  <c r="BR42" i="29" s="1"/>
  <c r="AV42" i="29"/>
  <c r="BS50" i="29"/>
  <c r="CX132" i="29"/>
  <c r="CQ103" i="29"/>
  <c r="CV91" i="29"/>
  <c r="CX91" i="29" s="1"/>
  <c r="AP90" i="29"/>
  <c r="AS90" i="29"/>
  <c r="BA103" i="29"/>
  <c r="CQ43" i="29"/>
  <c r="AP38" i="29"/>
  <c r="BB27" i="29"/>
  <c r="CH27" i="29"/>
  <c r="AU27" i="29"/>
  <c r="BZ56" i="29"/>
  <c r="BQ56" i="29"/>
  <c r="BR56" i="29" s="1"/>
  <c r="BH65" i="29"/>
  <c r="BI65" i="29" s="1"/>
  <c r="AZ65" i="29"/>
  <c r="BM146" i="29"/>
  <c r="AP103" i="29"/>
  <c r="AO103" i="29"/>
  <c r="CW103" i="29"/>
  <c r="CN43" i="29"/>
  <c r="AM8" i="29"/>
  <c r="AZ17" i="29"/>
  <c r="CY17" i="29"/>
  <c r="CZ17" i="29"/>
  <c r="AU19" i="29"/>
  <c r="AY19" i="29" s="1"/>
  <c r="CK26" i="29"/>
  <c r="CM26" i="29"/>
  <c r="CY26" i="29"/>
  <c r="AS26" i="29"/>
  <c r="BC31" i="29"/>
  <c r="CQ31" i="29"/>
  <c r="AQ31" i="29"/>
  <c r="CZ31" i="29"/>
  <c r="CR31" i="29"/>
  <c r="CG34" i="29"/>
  <c r="BG34" i="29"/>
  <c r="BI34" i="29" s="1"/>
  <c r="AS34" i="29"/>
  <c r="BL34" i="29"/>
  <c r="BQ34" i="29" s="1"/>
  <c r="BR34" i="29" s="1"/>
  <c r="AZ35" i="29"/>
  <c r="CO35" i="29"/>
  <c r="CR35" i="29"/>
  <c r="CY35" i="29"/>
  <c r="CS42" i="29"/>
  <c r="BF42" i="29"/>
  <c r="CJ120" i="29"/>
  <c r="AH120" i="29"/>
  <c r="AR120" i="29" s="1"/>
  <c r="R50" i="29"/>
  <c r="CS50" i="29" s="1"/>
  <c r="AO91" i="29"/>
  <c r="AS107" i="29"/>
  <c r="BX28" i="29"/>
  <c r="BY28" i="29" s="1"/>
  <c r="CZ43" i="29"/>
  <c r="CA103" i="29"/>
  <c r="CO46" i="29"/>
  <c r="CN37" i="29"/>
  <c r="AW34" i="29"/>
  <c r="BD34" i="29"/>
  <c r="CP46" i="29"/>
  <c r="BC54" i="29"/>
  <c r="AV54" i="29"/>
  <c r="BA109" i="29"/>
  <c r="AT109" i="29"/>
  <c r="BC121" i="29"/>
  <c r="AV121" i="29"/>
  <c r="AM143" i="29"/>
  <c r="AZ50" i="29"/>
  <c r="AT140" i="29"/>
  <c r="AQ92" i="29"/>
  <c r="AR92" i="29" s="1"/>
  <c r="AM146" i="29"/>
  <c r="CO92" i="29"/>
  <c r="AU92" i="29"/>
  <c r="BQ33" i="29"/>
  <c r="BR33" i="29" s="1"/>
  <c r="CY19" i="29"/>
  <c r="CT62" i="29"/>
  <c r="CP42" i="29"/>
  <c r="CO17" i="29"/>
  <c r="AL8" i="29"/>
  <c r="AQ44" i="29"/>
  <c r="AR44" i="29" s="1"/>
  <c r="CZ37" i="29"/>
  <c r="CK14" i="29"/>
  <c r="CL14" i="29" s="1"/>
  <c r="AQ24" i="29"/>
  <c r="AR24" i="29" s="1"/>
  <c r="CY24" i="29"/>
  <c r="CN24" i="29"/>
  <c r="CN44" i="29"/>
  <c r="CT44" i="29" s="1"/>
  <c r="CU44" i="29" s="1"/>
  <c r="AP44" i="29"/>
  <c r="CW44" i="29"/>
  <c r="CX44" i="29" s="1"/>
  <c r="CZ44" i="29"/>
  <c r="AU44" i="29"/>
  <c r="AY44" i="29" s="1"/>
  <c r="BG61" i="29"/>
  <c r="CO61" i="29"/>
  <c r="CY61" i="29"/>
  <c r="AT61" i="29"/>
  <c r="AQ61" i="29"/>
  <c r="CZ61" i="29"/>
  <c r="R108" i="31"/>
  <c r="BV108" i="31" s="1"/>
  <c r="BS108" i="31"/>
  <c r="BH108" i="31"/>
  <c r="AZ108" i="31"/>
  <c r="CG108" i="31"/>
  <c r="CH108" i="31" s="1"/>
  <c r="BH50" i="29"/>
  <c r="BI50" i="29" s="1"/>
  <c r="AQ91" i="29"/>
  <c r="CZ107" i="29"/>
  <c r="CY92" i="29"/>
  <c r="CK56" i="29"/>
  <c r="CR103" i="29"/>
  <c r="CY55" i="29"/>
  <c r="CQ37" i="29"/>
  <c r="CT27" i="29"/>
  <c r="AV37" i="29"/>
  <c r="CH19" i="29"/>
  <c r="AH15" i="29"/>
  <c r="CM15" i="29"/>
  <c r="CC57" i="29"/>
  <c r="CY22" i="29"/>
  <c r="BC19" i="29"/>
  <c r="BC37" i="29"/>
  <c r="BG38" i="29"/>
  <c r="BI38" i="29" s="1"/>
  <c r="CJ49" i="29"/>
  <c r="AS51" i="29"/>
  <c r="AQ56" i="29"/>
  <c r="AV57" i="29"/>
  <c r="BQ83" i="29"/>
  <c r="BR83" i="29" s="1"/>
  <c r="AT86" i="29"/>
  <c r="AX86" i="29" s="1"/>
  <c r="AW102" i="29"/>
  <c r="CW112" i="29"/>
  <c r="BC118" i="29"/>
  <c r="CA119" i="29"/>
  <c r="CH121" i="29"/>
  <c r="BL128" i="29"/>
  <c r="K43" i="26"/>
  <c r="J43" i="26" s="1"/>
  <c r="E43" i="26" s="1"/>
  <c r="H43" i="26" s="1"/>
  <c r="K44" i="26"/>
  <c r="J44" i="26" s="1"/>
  <c r="E44" i="26" s="1"/>
  <c r="H44" i="26" s="1"/>
  <c r="K51" i="26"/>
  <c r="J51" i="26" s="1"/>
  <c r="E51" i="26" s="1"/>
  <c r="H51" i="26" s="1"/>
  <c r="K52" i="26"/>
  <c r="J52" i="26" s="1"/>
  <c r="E52" i="26" s="1"/>
  <c r="H52" i="26" s="1"/>
  <c r="DN134" i="31"/>
  <c r="DN128" i="31"/>
  <c r="DN122" i="31"/>
  <c r="DN116" i="31"/>
  <c r="DN110" i="31"/>
  <c r="DN104" i="31"/>
  <c r="DN96" i="31"/>
  <c r="DN90" i="31"/>
  <c r="DN84" i="31"/>
  <c r="AZ99" i="31"/>
  <c r="AQ99" i="31"/>
  <c r="AS99" i="31"/>
  <c r="BL71" i="31"/>
  <c r="BQ71" i="31" s="1"/>
  <c r="BR71" i="31" s="1"/>
  <c r="CQ71" i="31"/>
  <c r="CG71" i="31"/>
  <c r="CH71" i="31" s="1"/>
  <c r="CR71" i="31"/>
  <c r="CP71" i="31"/>
  <c r="AQ66" i="31"/>
  <c r="AR66" i="31" s="1"/>
  <c r="AO66" i="31"/>
  <c r="AP66" i="31"/>
  <c r="DA66" i="31"/>
  <c r="DB66" i="31"/>
  <c r="DA62" i="31"/>
  <c r="DB62" i="31"/>
  <c r="AO62" i="31"/>
  <c r="AP58" i="31"/>
  <c r="AO58" i="31"/>
  <c r="DA58" i="31"/>
  <c r="DB58" i="31"/>
  <c r="CQ58" i="31"/>
  <c r="AQ58" i="31"/>
  <c r="AV53" i="31"/>
  <c r="AO53" i="31"/>
  <c r="CS53" i="31"/>
  <c r="CP53" i="31"/>
  <c r="DA53" i="31"/>
  <c r="DB53" i="31"/>
  <c r="CT53" i="31"/>
  <c r="CQ53" i="31"/>
  <c r="AS48" i="31"/>
  <c r="CP48" i="31"/>
  <c r="DA48" i="31"/>
  <c r="CQ48" i="31"/>
  <c r="AV42" i="31"/>
  <c r="CQ42" i="31"/>
  <c r="CP42" i="31"/>
  <c r="CP34" i="31"/>
  <c r="BL34" i="31"/>
  <c r="BQ34" i="31" s="1"/>
  <c r="BR34" i="31" s="1"/>
  <c r="CQ34" i="31"/>
  <c r="CG34" i="31"/>
  <c r="CH34" i="31" s="1"/>
  <c r="CR34" i="31"/>
  <c r="CT29" i="31"/>
  <c r="DB29" i="31"/>
  <c r="AO29" i="31"/>
  <c r="CP29" i="31"/>
  <c r="CS29" i="31"/>
  <c r="CP25" i="31"/>
  <c r="CQ25" i="31"/>
  <c r="DA25" i="31"/>
  <c r="DB25" i="31"/>
  <c r="AP21" i="31"/>
  <c r="CQ21" i="31"/>
  <c r="DA21" i="31"/>
  <c r="DB21" i="31"/>
  <c r="AO21" i="31"/>
  <c r="CG17" i="31"/>
  <c r="CH17" i="31" s="1"/>
  <c r="CR17" i="31"/>
  <c r="CP17" i="31"/>
  <c r="BL17" i="31"/>
  <c r="BQ17" i="31" s="1"/>
  <c r="BR17" i="31" s="1"/>
  <c r="BB83" i="31"/>
  <c r="AO83" i="31"/>
  <c r="AQ83" i="31"/>
  <c r="AR83" i="31" s="1"/>
  <c r="DA83" i="31"/>
  <c r="CP83" i="31"/>
  <c r="DB83" i="31"/>
  <c r="CY83" i="31"/>
  <c r="CQ83" i="31"/>
  <c r="BB71" i="31"/>
  <c r="DB71" i="31"/>
  <c r="AQ71" i="31"/>
  <c r="AR71" i="31" s="1"/>
  <c r="CY71" i="31"/>
  <c r="BB59" i="31"/>
  <c r="AO59" i="31"/>
  <c r="AQ59" i="31"/>
  <c r="CX47" i="31"/>
  <c r="CP47" i="31"/>
  <c r="AQ47" i="31"/>
  <c r="DA47" i="31"/>
  <c r="DB47" i="31"/>
  <c r="CQ47" i="31"/>
  <c r="AU47" i="31"/>
  <c r="AO47" i="31"/>
  <c r="CY36" i="31"/>
  <c r="CS36" i="31"/>
  <c r="CX36" i="31"/>
  <c r="CP36" i="31"/>
  <c r="CT36" i="31"/>
  <c r="DA36" i="31"/>
  <c r="CQ36" i="31"/>
  <c r="DB36" i="31"/>
  <c r="CY24" i="31"/>
  <c r="CX24" i="31"/>
  <c r="CP24" i="31"/>
  <c r="CQ24" i="31"/>
  <c r="AQ24" i="31"/>
  <c r="DA24" i="31"/>
  <c r="DB24" i="31"/>
  <c r="CX142" i="31"/>
  <c r="CY132" i="31"/>
  <c r="CX132" i="31"/>
  <c r="CY119" i="31"/>
  <c r="CX119" i="31"/>
  <c r="AO108" i="31"/>
  <c r="DA108" i="31"/>
  <c r="CP108" i="31"/>
  <c r="DB108" i="31"/>
  <c r="CY108" i="31"/>
  <c r="CQ108" i="31"/>
  <c r="CX108" i="31"/>
  <c r="DA94" i="31"/>
  <c r="CP94" i="31"/>
  <c r="DB94" i="31"/>
  <c r="CY94" i="31"/>
  <c r="CQ94" i="31"/>
  <c r="CX94" i="31"/>
  <c r="CJ95" i="31"/>
  <c r="AH95" i="31"/>
  <c r="CM95" i="31" s="1"/>
  <c r="CO95" i="31"/>
  <c r="DB91" i="31"/>
  <c r="CO91" i="31"/>
  <c r="CO86" i="31"/>
  <c r="AH86" i="31"/>
  <c r="CM86" i="31" s="1"/>
  <c r="AH81" i="31"/>
  <c r="CM81" i="31" s="1"/>
  <c r="CO81" i="31"/>
  <c r="AG76" i="31"/>
  <c r="BS76" i="31"/>
  <c r="CU76" i="31"/>
  <c r="AI76" i="31"/>
  <c r="Z72" i="31"/>
  <c r="AI72" i="31"/>
  <c r="AQ72" i="31" s="1"/>
  <c r="BL72" i="31"/>
  <c r="BQ72" i="31" s="1"/>
  <c r="BR72" i="31" s="1"/>
  <c r="CR72" i="31"/>
  <c r="CK67" i="31"/>
  <c r="AH67" i="31"/>
  <c r="CM67" i="31" s="1"/>
  <c r="CO67" i="31"/>
  <c r="AO23" i="29"/>
  <c r="CM45" i="29"/>
  <c r="AV46" i="29"/>
  <c r="CA53" i="29"/>
  <c r="CS73" i="29"/>
  <c r="BZ85" i="29"/>
  <c r="CJ102" i="29"/>
  <c r="CL102" i="29" s="1"/>
  <c r="CP111" i="29"/>
  <c r="BX123" i="29"/>
  <c r="BY123" i="29" s="1"/>
  <c r="CP115" i="31"/>
  <c r="DA115" i="31"/>
  <c r="BX133" i="31"/>
  <c r="BY133" i="31" s="1"/>
  <c r="AZ59" i="31"/>
  <c r="R59" i="31"/>
  <c r="BC59" i="31" s="1"/>
  <c r="BH59" i="31"/>
  <c r="BI59" i="31" s="1"/>
  <c r="CR66" i="31"/>
  <c r="CP66" i="31"/>
  <c r="BL66" i="31"/>
  <c r="BQ66" i="31" s="1"/>
  <c r="BR66" i="31" s="1"/>
  <c r="CQ66" i="31"/>
  <c r="CG66" i="31"/>
  <c r="CH66" i="31" s="1"/>
  <c r="CP62" i="31"/>
  <c r="BL62" i="31"/>
  <c r="CQ62" i="31"/>
  <c r="CG62" i="31"/>
  <c r="CH62" i="31" s="1"/>
  <c r="BB132" i="31"/>
  <c r="AU132" i="31"/>
  <c r="BB93" i="31"/>
  <c r="AO93" i="31"/>
  <c r="DA93" i="31"/>
  <c r="CP93" i="31"/>
  <c r="DB93" i="31"/>
  <c r="CY93" i="31"/>
  <c r="CQ93" i="31"/>
  <c r="CX93" i="31"/>
  <c r="BB82" i="31"/>
  <c r="CY82" i="31"/>
  <c r="CX82" i="31"/>
  <c r="BB70" i="31"/>
  <c r="CQ70" i="31"/>
  <c r="CT70" i="31"/>
  <c r="AU70" i="31"/>
  <c r="AO70" i="31"/>
  <c r="CY70" i="31"/>
  <c r="CP70" i="31"/>
  <c r="DA70" i="31"/>
  <c r="CX70" i="31"/>
  <c r="CS70" i="31"/>
  <c r="BB58" i="31"/>
  <c r="CY58" i="31"/>
  <c r="BB35" i="31"/>
  <c r="CS35" i="31"/>
  <c r="CX35" i="31"/>
  <c r="CP35" i="31"/>
  <c r="CT35" i="31"/>
  <c r="AU35" i="31"/>
  <c r="DA35" i="31"/>
  <c r="CQ35" i="31"/>
  <c r="DB35" i="31"/>
  <c r="BB23" i="31"/>
  <c r="AU23" i="31"/>
  <c r="CX23" i="31"/>
  <c r="CP23" i="31"/>
  <c r="AP23" i="31"/>
  <c r="CQ23" i="31"/>
  <c r="AQ23" i="31"/>
  <c r="AR23" i="31" s="1"/>
  <c r="DA23" i="31"/>
  <c r="DB23" i="31"/>
  <c r="AO23" i="31"/>
  <c r="BT142" i="31"/>
  <c r="BZ142" i="31" s="1"/>
  <c r="CC142" i="31" s="1"/>
  <c r="CY142" i="31"/>
  <c r="BA131" i="31"/>
  <c r="CT131" i="31"/>
  <c r="DB131" i="31"/>
  <c r="CP131" i="31"/>
  <c r="DA131" i="31"/>
  <c r="AT131" i="31"/>
  <c r="CY131" i="31"/>
  <c r="CQ131" i="31"/>
  <c r="CX131" i="31"/>
  <c r="CS131" i="31"/>
  <c r="BA118" i="31"/>
  <c r="AT118" i="31"/>
  <c r="DA118" i="31"/>
  <c r="CP118" i="31"/>
  <c r="CY118" i="31"/>
  <c r="CQ118" i="31"/>
  <c r="CX118" i="31"/>
  <c r="CY107" i="31"/>
  <c r="CX107" i="31"/>
  <c r="CO138" i="31"/>
  <c r="AH138" i="31"/>
  <c r="CM138" i="31" s="1"/>
  <c r="AH129" i="31"/>
  <c r="CM129" i="31" s="1"/>
  <c r="CO129" i="31"/>
  <c r="CJ123" i="31"/>
  <c r="AH123" i="31"/>
  <c r="DB118" i="31"/>
  <c r="O118" i="31"/>
  <c r="AZ114" i="31"/>
  <c r="CG114" i="31"/>
  <c r="CH114" i="31" s="1"/>
  <c r="BH114" i="31"/>
  <c r="O109" i="31"/>
  <c r="R109" i="31" s="1"/>
  <c r="DB109" i="31"/>
  <c r="AH94" i="31"/>
  <c r="CM94" i="31" s="1"/>
  <c r="CO94" i="31"/>
  <c r="CK90" i="31"/>
  <c r="CL90" i="31" s="1"/>
  <c r="CN90" i="31" s="1"/>
  <c r="CO90" i="31"/>
  <c r="BD14" i="29"/>
  <c r="BE14" i="29" s="1"/>
  <c r="CG17" i="29"/>
  <c r="CH17" i="29" s="1"/>
  <c r="CJ26" i="29"/>
  <c r="CL26" i="29" s="1"/>
  <c r="AW54" i="29"/>
  <c r="AG73" i="29"/>
  <c r="CK73" i="29" s="1"/>
  <c r="BX78" i="29"/>
  <c r="BY78" i="29" s="1"/>
  <c r="AW96" i="29"/>
  <c r="AS112" i="29"/>
  <c r="CK132" i="29"/>
  <c r="CL132" i="29" s="1"/>
  <c r="J19" i="26"/>
  <c r="E19" i="26" s="1"/>
  <c r="H19" i="26" s="1"/>
  <c r="K20" i="26"/>
  <c r="J20" i="26" s="1"/>
  <c r="E20" i="26" s="1"/>
  <c r="H20" i="26" s="1"/>
  <c r="AQ126" i="31"/>
  <c r="AR126" i="31" s="1"/>
  <c r="AZ58" i="31"/>
  <c r="CG58" i="31"/>
  <c r="CH58" i="31" s="1"/>
  <c r="BH58" i="31"/>
  <c r="BI58" i="31" s="1"/>
  <c r="BS58" i="31"/>
  <c r="AT142" i="31"/>
  <c r="BB106" i="31"/>
  <c r="DA106" i="31"/>
  <c r="CS106" i="31"/>
  <c r="CP106" i="31"/>
  <c r="DB106" i="31"/>
  <c r="CY106" i="31"/>
  <c r="CT106" i="31"/>
  <c r="CQ106" i="31"/>
  <c r="AU106" i="31"/>
  <c r="CX106" i="31"/>
  <c r="AD142" i="31"/>
  <c r="AM142" i="31"/>
  <c r="AM145" i="31" s="1"/>
  <c r="CJ134" i="31"/>
  <c r="AH134" i="31"/>
  <c r="CM134" i="31" s="1"/>
  <c r="CO134" i="31"/>
  <c r="O129" i="31"/>
  <c r="AZ129" i="31" s="1"/>
  <c r="DB129" i="31"/>
  <c r="CK123" i="31"/>
  <c r="DB123" i="31"/>
  <c r="CJ118" i="31"/>
  <c r="AH118" i="31"/>
  <c r="CM118" i="31" s="1"/>
  <c r="CO118" i="31"/>
  <c r="CJ114" i="31"/>
  <c r="CO114" i="31"/>
  <c r="CJ109" i="31"/>
  <c r="AH109" i="31"/>
  <c r="CM109" i="31" s="1"/>
  <c r="CO109" i="31"/>
  <c r="CJ104" i="31"/>
  <c r="CL104" i="31" s="1"/>
  <c r="AH104" i="31"/>
  <c r="CO104" i="31"/>
  <c r="CJ99" i="31"/>
  <c r="CL99" i="31" s="1"/>
  <c r="AH99" i="31"/>
  <c r="BF15" i="33"/>
  <c r="T8" i="29"/>
  <c r="CZ25" i="29"/>
  <c r="BQ39" i="29"/>
  <c r="BR39" i="29" s="1"/>
  <c r="AW63" i="29"/>
  <c r="AT66" i="29"/>
  <c r="AV66" i="29"/>
  <c r="AI73" i="29"/>
  <c r="BD79" i="29"/>
  <c r="BH88" i="29"/>
  <c r="BI88" i="29" s="1"/>
  <c r="BC88" i="29"/>
  <c r="AV93" i="29"/>
  <c r="BZ94" i="29"/>
  <c r="CC94" i="29" s="1"/>
  <c r="CP101" i="29"/>
  <c r="CS112" i="29"/>
  <c r="AW129" i="29"/>
  <c r="AH129" i="29"/>
  <c r="AR129" i="29" s="1"/>
  <c r="BZ132" i="29"/>
  <c r="CB132" i="29" s="1"/>
  <c r="AV135" i="29"/>
  <c r="CV138" i="29"/>
  <c r="CX138" i="29" s="1"/>
  <c r="LW24" i="26"/>
  <c r="CA58" i="31"/>
  <c r="BC70" i="31"/>
  <c r="AV77" i="31"/>
  <c r="BC77" i="31"/>
  <c r="CX21" i="29"/>
  <c r="BX60" i="29"/>
  <c r="BY60" i="29" s="1"/>
  <c r="AS15" i="29"/>
  <c r="AY15" i="29" s="1"/>
  <c r="U147" i="29"/>
  <c r="CM31" i="29"/>
  <c r="AH33" i="29"/>
  <c r="AV33" i="29"/>
  <c r="CA37" i="29"/>
  <c r="CN38" i="29"/>
  <c r="BZ39" i="29"/>
  <c r="CN41" i="29"/>
  <c r="CT41" i="29" s="1"/>
  <c r="CU41" i="29" s="1"/>
  <c r="BH48" i="29"/>
  <c r="BI48" i="29" s="1"/>
  <c r="AH72" i="29"/>
  <c r="AR72" i="29" s="1"/>
  <c r="BV81" i="29"/>
  <c r="BX81" i="29" s="1"/>
  <c r="BY81" i="29" s="1"/>
  <c r="DI81" i="29"/>
  <c r="BX83" i="29"/>
  <c r="BY83" i="29" s="1"/>
  <c r="AH88" i="29"/>
  <c r="AR88" i="29" s="1"/>
  <c r="CA92" i="29"/>
  <c r="CD92" i="29" s="1"/>
  <c r="AZ101" i="29"/>
  <c r="BF101" i="29" s="1"/>
  <c r="BZ108" i="29"/>
  <c r="DI109" i="29"/>
  <c r="AH112" i="29"/>
  <c r="AR112" i="29" s="1"/>
  <c r="AH113" i="29"/>
  <c r="CD121" i="29"/>
  <c r="CD126" i="29"/>
  <c r="CH137" i="29"/>
  <c r="AV138" i="29"/>
  <c r="DB141" i="29"/>
  <c r="K11" i="26"/>
  <c r="J11" i="26" s="1"/>
  <c r="E11" i="26" s="1"/>
  <c r="H11" i="26" s="1"/>
  <c r="LT22" i="26"/>
  <c r="LT37" i="26"/>
  <c r="LT38" i="26"/>
  <c r="LT41" i="26"/>
  <c r="CM35" i="31"/>
  <c r="DN76" i="31"/>
  <c r="CA119" i="31"/>
  <c r="BH130" i="31"/>
  <c r="CU130" i="31"/>
  <c r="BS130" i="31"/>
  <c r="CS130" i="31"/>
  <c r="CV130" i="31" s="1"/>
  <c r="CW130" i="31" s="1"/>
  <c r="CG130" i="31"/>
  <c r="CH130" i="31" s="1"/>
  <c r="BE109" i="33"/>
  <c r="BF109" i="33"/>
  <c r="BC20" i="29"/>
  <c r="BF20" i="29" s="1"/>
  <c r="BI22" i="29"/>
  <c r="BZ47" i="29"/>
  <c r="CA48" i="29"/>
  <c r="CD48" i="29" s="1"/>
  <c r="CP63" i="29"/>
  <c r="DI67" i="29"/>
  <c r="BZ74" i="29"/>
  <c r="AV75" i="29"/>
  <c r="AV81" i="29"/>
  <c r="AY81" i="29" s="1"/>
  <c r="CA85" i="29"/>
  <c r="CD85" i="29" s="1"/>
  <c r="BZ98" i="29"/>
  <c r="CC98" i="29" s="1"/>
  <c r="AH100" i="29"/>
  <c r="BZ117" i="29"/>
  <c r="BZ123" i="29"/>
  <c r="CC123" i="29" s="1"/>
  <c r="AU133" i="29"/>
  <c r="AV137" i="29"/>
  <c r="LT21" i="26"/>
  <c r="BD19" i="31"/>
  <c r="AO19" i="31"/>
  <c r="CG96" i="31"/>
  <c r="CH96" i="31" s="1"/>
  <c r="BL96" i="31"/>
  <c r="BQ96" i="31" s="1"/>
  <c r="BR96" i="31" s="1"/>
  <c r="CP96" i="31"/>
  <c r="CR96" i="31"/>
  <c r="CP92" i="31"/>
  <c r="CR92" i="31"/>
  <c r="CQ92" i="31"/>
  <c r="CR87" i="31"/>
  <c r="CQ87" i="31"/>
  <c r="BL87" i="31"/>
  <c r="BQ87" i="31" s="1"/>
  <c r="BR87" i="31" s="1"/>
  <c r="CG87" i="31"/>
  <c r="CH87" i="31" s="1"/>
  <c r="CP87" i="31"/>
  <c r="AS82" i="31"/>
  <c r="AY82" i="31" s="1"/>
  <c r="CS82" i="31"/>
  <c r="AQ82" i="31"/>
  <c r="AR82" i="31" s="1"/>
  <c r="DA82" i="31"/>
  <c r="CP82" i="31"/>
  <c r="DB82" i="31"/>
  <c r="CT82" i="31"/>
  <c r="CQ82" i="31"/>
  <c r="CJ119" i="29"/>
  <c r="CL119" i="29" s="1"/>
  <c r="CL169" i="29" s="1"/>
  <c r="BD30" i="31"/>
  <c r="AO30" i="31"/>
  <c r="AV126" i="31"/>
  <c r="BC126" i="31"/>
  <c r="AV111" i="31"/>
  <c r="AV91" i="31"/>
  <c r="CP91" i="31"/>
  <c r="CQ91" i="31"/>
  <c r="CS91" i="31"/>
  <c r="BC91" i="31"/>
  <c r="AV86" i="31"/>
  <c r="CQ86" i="31"/>
  <c r="DA86" i="31"/>
  <c r="CP86" i="31"/>
  <c r="DB86" i="31"/>
  <c r="CJ28" i="31"/>
  <c r="AH28" i="31"/>
  <c r="CM28" i="31" s="1"/>
  <c r="CO28" i="31"/>
  <c r="L64" i="13"/>
  <c r="CS49" i="29"/>
  <c r="AO54" i="29"/>
  <c r="CW65" i="29"/>
  <c r="CX65" i="29" s="1"/>
  <c r="CG85" i="29"/>
  <c r="CH85" i="29" s="1"/>
  <c r="DI98" i="29"/>
  <c r="CA107" i="29"/>
  <c r="CD107" i="29" s="1"/>
  <c r="CQ121" i="29"/>
  <c r="CT121" i="29" s="1"/>
  <c r="BZ129" i="29"/>
  <c r="AH131" i="29"/>
  <c r="AR131" i="29" s="1"/>
  <c r="BQ134" i="29"/>
  <c r="BR134" i="29" s="1"/>
  <c r="BC135" i="29"/>
  <c r="CH138" i="29"/>
  <c r="BM145" i="31"/>
  <c r="AO107" i="31"/>
  <c r="AW19" i="31"/>
  <c r="BD52" i="31"/>
  <c r="AO52" i="31"/>
  <c r="AW52" i="31"/>
  <c r="BD29" i="31"/>
  <c r="AW29" i="31"/>
  <c r="AS132" i="31"/>
  <c r="AZ132" i="31"/>
  <c r="CT132" i="31"/>
  <c r="DB132" i="31"/>
  <c r="CP132" i="31"/>
  <c r="DA132" i="31"/>
  <c r="AP132" i="31"/>
  <c r="CQ132" i="31"/>
  <c r="CS132" i="31"/>
  <c r="AS126" i="31"/>
  <c r="CQ126" i="31"/>
  <c r="AZ126" i="31"/>
  <c r="CS126" i="31"/>
  <c r="CT126" i="31"/>
  <c r="DB126" i="31"/>
  <c r="CP126" i="31"/>
  <c r="AP119" i="31"/>
  <c r="DB119" i="31"/>
  <c r="DA119" i="31"/>
  <c r="CP119" i="31"/>
  <c r="CQ119" i="31"/>
  <c r="AP115" i="31"/>
  <c r="CT115" i="31"/>
  <c r="CQ115" i="31"/>
  <c r="AO115" i="31"/>
  <c r="AO111" i="31"/>
  <c r="DA111" i="31"/>
  <c r="CP111" i="31"/>
  <c r="DB111" i="31"/>
  <c r="DA107" i="31"/>
  <c r="CS107" i="31"/>
  <c r="CP107" i="31"/>
  <c r="DB107" i="31"/>
  <c r="CT107" i="31"/>
  <c r="CQ107" i="31"/>
  <c r="CR102" i="31"/>
  <c r="CQ102" i="31"/>
  <c r="CG102" i="31"/>
  <c r="CH102" i="31" s="1"/>
  <c r="BL102" i="31"/>
  <c r="BQ102" i="31" s="1"/>
  <c r="BR102" i="31" s="1"/>
  <c r="AP95" i="31"/>
  <c r="CS21" i="29"/>
  <c r="BG33" i="29"/>
  <c r="BI33" i="29" s="1"/>
  <c r="CR39" i="29"/>
  <c r="BS48" i="29"/>
  <c r="BX48" i="29" s="1"/>
  <c r="BY48" i="29" s="1"/>
  <c r="BZ52" i="29"/>
  <c r="AV64" i="29"/>
  <c r="CK70" i="29"/>
  <c r="CA78" i="29"/>
  <c r="CD78" i="29" s="1"/>
  <c r="BX80" i="29"/>
  <c r="BY80" i="29" s="1"/>
  <c r="CA94" i="29"/>
  <c r="CD94" i="29" s="1"/>
  <c r="CJ95" i="29"/>
  <c r="CS109" i="29"/>
  <c r="CS114" i="29"/>
  <c r="AO124" i="29"/>
  <c r="BZ133" i="29"/>
  <c r="CC133" i="29" s="1"/>
  <c r="LG11" i="26"/>
  <c r="LF11" i="26" s="1"/>
  <c r="LW47" i="26"/>
  <c r="DN136" i="31"/>
  <c r="DN130" i="31"/>
  <c r="DN124" i="31"/>
  <c r="DN118" i="31"/>
  <c r="DN112" i="31"/>
  <c r="DN106" i="31"/>
  <c r="DN98" i="31"/>
  <c r="DN92" i="31"/>
  <c r="DN86" i="31"/>
  <c r="AO91" i="31"/>
  <c r="CQ96" i="31"/>
  <c r="BC82" i="31"/>
  <c r="AV131" i="31"/>
  <c r="BC131" i="31"/>
  <c r="CJ17" i="31"/>
  <c r="AH17" i="31"/>
  <c r="CM17" i="31" s="1"/>
  <c r="CO17" i="31"/>
  <c r="CJ111" i="31"/>
  <c r="AH111" i="31"/>
  <c r="CM111" i="31" s="1"/>
  <c r="AZ21" i="29"/>
  <c r="AU16" i="29"/>
  <c r="AV51" i="29"/>
  <c r="AY51" i="29" s="1"/>
  <c r="DI53" i="29"/>
  <c r="AW55" i="29"/>
  <c r="AX55" i="29" s="1"/>
  <c r="AH62" i="29"/>
  <c r="CU62" i="29" s="1"/>
  <c r="AP82" i="29"/>
  <c r="BD85" i="29"/>
  <c r="BZ96" i="29"/>
  <c r="CC96" i="29" s="1"/>
  <c r="AH117" i="29"/>
  <c r="BZ119" i="29"/>
  <c r="CC119" i="29" s="1"/>
  <c r="AI135" i="29"/>
  <c r="AQ135" i="29" s="1"/>
  <c r="BQ77" i="31"/>
  <c r="BR77" i="31" s="1"/>
  <c r="CB117" i="31"/>
  <c r="CT91" i="31"/>
  <c r="BD83" i="31"/>
  <c r="AW83" i="31"/>
  <c r="AZ82" i="31"/>
  <c r="AZ26" i="31"/>
  <c r="BS26" i="31"/>
  <c r="BH26" i="31"/>
  <c r="CG26" i="31"/>
  <c r="CH26" i="31" s="1"/>
  <c r="AZ15" i="31"/>
  <c r="BH15" i="31"/>
  <c r="BI15" i="31" s="1"/>
  <c r="BS15" i="31"/>
  <c r="AV136" i="31"/>
  <c r="DB136" i="31"/>
  <c r="DA136" i="31"/>
  <c r="CP136" i="31"/>
  <c r="CJ25" i="31"/>
  <c r="AH25" i="31"/>
  <c r="CM25" i="31" s="1"/>
  <c r="CO25" i="31"/>
  <c r="CJ21" i="31"/>
  <c r="CO21" i="31"/>
  <c r="AH21" i="31"/>
  <c r="CM21" i="31" s="1"/>
  <c r="CK16" i="31"/>
  <c r="AH16" i="31"/>
  <c r="CM16" i="31" s="1"/>
  <c r="CO16" i="31"/>
  <c r="CO61" i="31"/>
  <c r="AH61" i="31"/>
  <c r="CM61" i="31" s="1"/>
  <c r="BX53" i="29"/>
  <c r="BY53" i="29" s="1"/>
  <c r="AH14" i="29"/>
  <c r="AR14" i="29" s="1"/>
  <c r="AW16" i="29"/>
  <c r="CA18" i="29"/>
  <c r="CD18" i="29" s="1"/>
  <c r="CA33" i="29"/>
  <c r="CD33" i="29" s="1"/>
  <c r="CY48" i="29"/>
  <c r="CR52" i="29"/>
  <c r="CV61" i="29"/>
  <c r="BZ71" i="29"/>
  <c r="CC71" i="29" s="1"/>
  <c r="CK82" i="29"/>
  <c r="CA101" i="29"/>
  <c r="CP108" i="29"/>
  <c r="BZ111" i="29"/>
  <c r="CM120" i="29"/>
  <c r="AW126" i="29"/>
  <c r="LT16" i="26"/>
  <c r="DN129" i="31"/>
  <c r="DN123" i="31"/>
  <c r="DN117" i="31"/>
  <c r="DN111" i="31"/>
  <c r="DN105" i="31"/>
  <c r="DN97" i="31"/>
  <c r="DN91" i="31"/>
  <c r="AO119" i="31"/>
  <c r="CP102" i="31"/>
  <c r="DA102" i="31"/>
  <c r="AW119" i="31"/>
  <c r="BD119" i="31"/>
  <c r="BD107" i="31"/>
  <c r="AW107" i="31"/>
  <c r="BD70" i="31"/>
  <c r="BE70" i="31" s="1"/>
  <c r="AW70" i="31"/>
  <c r="BD61" i="31"/>
  <c r="AW61" i="31"/>
  <c r="R96" i="31"/>
  <c r="CT96" i="31" s="1"/>
  <c r="BS96" i="31"/>
  <c r="BH96" i="31"/>
  <c r="BI96" i="31" s="1"/>
  <c r="BC49" i="31"/>
  <c r="BV49" i="31"/>
  <c r="BH25" i="31"/>
  <c r="BI25" i="31" s="1"/>
  <c r="CG25" i="31"/>
  <c r="CH25" i="31" s="1"/>
  <c r="AZ14" i="31"/>
  <c r="BH14" i="31"/>
  <c r="BI14" i="31" s="1"/>
  <c r="BS14" i="31"/>
  <c r="CG14" i="31"/>
  <c r="CH14" i="31" s="1"/>
  <c r="CH145" i="31" s="1"/>
  <c r="BA85" i="31"/>
  <c r="CX85" i="31"/>
  <c r="CS85" i="31"/>
  <c r="DA85" i="31"/>
  <c r="CT85" i="31"/>
  <c r="CP85" i="31"/>
  <c r="DB85" i="31"/>
  <c r="BA73" i="31"/>
  <c r="CX73" i="31"/>
  <c r="BA61" i="31"/>
  <c r="CX61" i="31"/>
  <c r="DA61" i="31"/>
  <c r="DB61" i="31"/>
  <c r="CQ61" i="31"/>
  <c r="AT49" i="31"/>
  <c r="CX49" i="31"/>
  <c r="BA39" i="31"/>
  <c r="AO39" i="31"/>
  <c r="CY39" i="31"/>
  <c r="CX39" i="31"/>
  <c r="DA39" i="31"/>
  <c r="BA27" i="31"/>
  <c r="AO27" i="31"/>
  <c r="CY27" i="31"/>
  <c r="AT27" i="31"/>
  <c r="CX27" i="31"/>
  <c r="CP27" i="31"/>
  <c r="CS27" i="31"/>
  <c r="DA27" i="31"/>
  <c r="CQ27" i="31"/>
  <c r="BA15" i="31"/>
  <c r="AT15" i="31"/>
  <c r="DB15" i="31"/>
  <c r="AP15" i="31"/>
  <c r="AO15" i="31"/>
  <c r="AQ15" i="31"/>
  <c r="CY15" i="31"/>
  <c r="CX15" i="31"/>
  <c r="CP15" i="31"/>
  <c r="CQ15" i="31"/>
  <c r="CJ64" i="31"/>
  <c r="CL64" i="31" s="1"/>
  <c r="CO64" i="31"/>
  <c r="CO48" i="31"/>
  <c r="CJ44" i="31"/>
  <c r="CO44" i="31"/>
  <c r="AH44" i="31"/>
  <c r="CJ35" i="31"/>
  <c r="CL35" i="31" s="1"/>
  <c r="CN35" i="31" s="1"/>
  <c r="CO35" i="31"/>
  <c r="CJ30" i="31"/>
  <c r="AH30" i="31"/>
  <c r="CM30" i="31" s="1"/>
  <c r="CO20" i="31"/>
  <c r="AH20" i="31"/>
  <c r="BI110" i="31"/>
  <c r="BQ75" i="31"/>
  <c r="BR75" i="31" s="1"/>
  <c r="BQ28" i="31"/>
  <c r="BR28" i="31" s="1"/>
  <c r="CA113" i="31"/>
  <c r="CD113" i="31" s="1"/>
  <c r="CA87" i="31"/>
  <c r="CD87" i="31" s="1"/>
  <c r="CA44" i="31"/>
  <c r="BC107" i="31"/>
  <c r="BC95" i="31"/>
  <c r="AZ48" i="31"/>
  <c r="AS119" i="31"/>
  <c r="BF114" i="33"/>
  <c r="BE114" i="33"/>
  <c r="BQ112" i="31"/>
  <c r="BR112" i="31" s="1"/>
  <c r="BQ98" i="31"/>
  <c r="BR98" i="31" s="1"/>
  <c r="BX70" i="31"/>
  <c r="BY70" i="31" s="1"/>
  <c r="AW117" i="31"/>
  <c r="AW86" i="31"/>
  <c r="AQ92" i="31"/>
  <c r="AR92" i="31" s="1"/>
  <c r="AQ29" i="31"/>
  <c r="AR29" i="31" s="1"/>
  <c r="BC79" i="31"/>
  <c r="AQ125" i="31"/>
  <c r="AR125" i="31" s="1"/>
  <c r="AU136" i="31"/>
  <c r="BQ62" i="31"/>
  <c r="BR62" i="31" s="1"/>
  <c r="BQ38" i="31"/>
  <c r="BR38" i="31" s="1"/>
  <c r="BQ14" i="31"/>
  <c r="BR14" i="31" s="1"/>
  <c r="BX45" i="31"/>
  <c r="BY45" i="31" s="1"/>
  <c r="CA75" i="31"/>
  <c r="CD75" i="31" s="1"/>
  <c r="AP36" i="31"/>
  <c r="AQ91" i="31"/>
  <c r="AZ91" i="31"/>
  <c r="DB130" i="31"/>
  <c r="AY46" i="31"/>
  <c r="AT106" i="31"/>
  <c r="BQ49" i="31"/>
  <c r="BR49" i="31" s="1"/>
  <c r="BQ37" i="31"/>
  <c r="BR37" i="31" s="1"/>
  <c r="BX32" i="31"/>
  <c r="BY32" i="31" s="1"/>
  <c r="CH36" i="31"/>
  <c r="CA105" i="31"/>
  <c r="AW54" i="31"/>
  <c r="AZ21" i="31"/>
  <c r="AU105" i="31"/>
  <c r="BA90" i="31"/>
  <c r="AO86" i="31"/>
  <c r="BI66" i="31"/>
  <c r="BQ133" i="31"/>
  <c r="BR133" i="31" s="1"/>
  <c r="BQ83" i="31"/>
  <c r="BR83" i="31" s="1"/>
  <c r="BX19" i="31"/>
  <c r="BY19" i="31" s="1"/>
  <c r="CA85" i="31"/>
  <c r="CD85" i="31" s="1"/>
  <c r="CV134" i="31"/>
  <c r="AP86" i="31"/>
  <c r="DH86" i="31" s="1"/>
  <c r="AT130" i="31"/>
  <c r="BE44" i="33"/>
  <c r="BQ119" i="31"/>
  <c r="BR119" i="31" s="1"/>
  <c r="BQ108" i="31"/>
  <c r="BR108" i="31" s="1"/>
  <c r="BX104" i="31"/>
  <c r="BY104" i="31" s="1"/>
  <c r="BX53" i="31"/>
  <c r="BY53" i="31" s="1"/>
  <c r="BX18" i="31"/>
  <c r="BY18" i="31" s="1"/>
  <c r="CV121" i="31"/>
  <c r="CW121" i="31" s="1"/>
  <c r="BD134" i="31"/>
  <c r="AZ134" i="31"/>
  <c r="AZ53" i="31"/>
  <c r="AS109" i="31"/>
  <c r="AQ84" i="31"/>
  <c r="AR84" i="31" s="1"/>
  <c r="AV72" i="31"/>
  <c r="CK55" i="31"/>
  <c r="CK22" i="31"/>
  <c r="CK14" i="31"/>
  <c r="CL14" i="31" s="1"/>
  <c r="BE61" i="33"/>
  <c r="BI107" i="31"/>
  <c r="BQ142" i="31"/>
  <c r="BR142" i="31" s="1"/>
  <c r="BQ131" i="31"/>
  <c r="BR131" i="31" s="1"/>
  <c r="BQ81" i="31"/>
  <c r="BR81" i="31" s="1"/>
  <c r="BQ57" i="31"/>
  <c r="BR57" i="31" s="1"/>
  <c r="BX103" i="31"/>
  <c r="BY103" i="31" s="1"/>
  <c r="BX29" i="31"/>
  <c r="BY29" i="31" s="1"/>
  <c r="CA122" i="31"/>
  <c r="AQ101" i="31"/>
  <c r="AZ102" i="31"/>
  <c r="AZ86" i="31"/>
  <c r="BC76" i="31"/>
  <c r="BE82" i="33"/>
  <c r="CN136" i="33"/>
  <c r="BI31" i="31"/>
  <c r="BQ130" i="31"/>
  <c r="BR130" i="31" s="1"/>
  <c r="BQ80" i="31"/>
  <c r="BR80" i="31" s="1"/>
  <c r="BQ69" i="31"/>
  <c r="BR69" i="31" s="1"/>
  <c r="BX88" i="31"/>
  <c r="BY88" i="31" s="1"/>
  <c r="BX76" i="31"/>
  <c r="BY76" i="31" s="1"/>
  <c r="AW50" i="31"/>
  <c r="AP117" i="31"/>
  <c r="AQ100" i="31"/>
  <c r="AQ63" i="31"/>
  <c r="CL45" i="31"/>
  <c r="CN45" i="31" s="1"/>
  <c r="BQ117" i="31"/>
  <c r="BR117" i="31" s="1"/>
  <c r="BQ105" i="31"/>
  <c r="BR105" i="31" s="1"/>
  <c r="BQ32" i="31"/>
  <c r="BR32" i="31" s="1"/>
  <c r="BQ20" i="31"/>
  <c r="BR20" i="31" s="1"/>
  <c r="BX126" i="31"/>
  <c r="BY126" i="31" s="1"/>
  <c r="BX50" i="31"/>
  <c r="BY50" i="31" s="1"/>
  <c r="CA109" i="31"/>
  <c r="CA40" i="31"/>
  <c r="CD40" i="31" s="1"/>
  <c r="DA91" i="31"/>
  <c r="BC122" i="31"/>
  <c r="BC50" i="31"/>
  <c r="AZ38" i="31"/>
  <c r="AZ29" i="31"/>
  <c r="AU92" i="31"/>
  <c r="CK91" i="31"/>
  <c r="BX74" i="31"/>
  <c r="BY74" i="31" s="1"/>
  <c r="CA138" i="31"/>
  <c r="CD138" i="31" s="1"/>
  <c r="CA71" i="31"/>
  <c r="AP131" i="31"/>
  <c r="AQ138" i="31"/>
  <c r="AS92" i="31"/>
  <c r="AU22" i="31"/>
  <c r="AT117" i="31"/>
  <c r="CJ91" i="31"/>
  <c r="BX64" i="29"/>
  <c r="BY64" i="29" s="1"/>
  <c r="CC65" i="29"/>
  <c r="CB28" i="29"/>
  <c r="CF28" i="29" s="1"/>
  <c r="CC28" i="29"/>
  <c r="BE43" i="29"/>
  <c r="BF43" i="29"/>
  <c r="BV50" i="29"/>
  <c r="CT76" i="29"/>
  <c r="CT75" i="29"/>
  <c r="CU75" i="29" s="1"/>
  <c r="CQ50" i="29"/>
  <c r="AR105" i="29"/>
  <c r="CU105" i="29"/>
  <c r="BE91" i="29"/>
  <c r="CX108" i="29"/>
  <c r="CX95" i="29"/>
  <c r="AR69" i="29"/>
  <c r="AR109" i="29"/>
  <c r="CL68" i="29"/>
  <c r="CT53" i="29"/>
  <c r="CU53" i="29" s="1"/>
  <c r="CT125" i="29"/>
  <c r="BQ82" i="29"/>
  <c r="BR82" i="29" s="1"/>
  <c r="CT58" i="29"/>
  <c r="BI51" i="29"/>
  <c r="CL20" i="29"/>
  <c r="CX60" i="29"/>
  <c r="CX55" i="29"/>
  <c r="BC15" i="29"/>
  <c r="BV17" i="29"/>
  <c r="BX17" i="29" s="1"/>
  <c r="BY17" i="29" s="1"/>
  <c r="AQ17" i="29"/>
  <c r="BZ17" i="29"/>
  <c r="CC17" i="29" s="1"/>
  <c r="CA17" i="29"/>
  <c r="CD17" i="29" s="1"/>
  <c r="CP17" i="29"/>
  <c r="CV18" i="29"/>
  <c r="CX18" i="29" s="1"/>
  <c r="BZ18" i="29"/>
  <c r="DI19" i="29"/>
  <c r="AH20" i="29"/>
  <c r="CA20" i="29"/>
  <c r="CD20" i="29" s="1"/>
  <c r="AS21" i="29"/>
  <c r="AY21" i="29" s="1"/>
  <c r="BC21" i="29"/>
  <c r="BD21" i="29"/>
  <c r="CA21" i="29"/>
  <c r="CD21" i="29" s="1"/>
  <c r="CP21" i="29"/>
  <c r="BC22" i="29"/>
  <c r="BX22" i="29"/>
  <c r="BY22" i="29" s="1"/>
  <c r="CG22" i="29"/>
  <c r="BZ23" i="29"/>
  <c r="CA23" i="29"/>
  <c r="CD23" i="29" s="1"/>
  <c r="CW24" i="29"/>
  <c r="CS28" i="29"/>
  <c r="DI28" i="29"/>
  <c r="BI29" i="29"/>
  <c r="BZ29" i="29"/>
  <c r="CC29" i="29" s="1"/>
  <c r="CM29" i="29"/>
  <c r="CM30" i="29"/>
  <c r="BI30" i="29"/>
  <c r="CH30" i="29"/>
  <c r="CD31" i="29"/>
  <c r="CV31" i="29"/>
  <c r="CV32" i="29"/>
  <c r="AU35" i="29"/>
  <c r="BB35" i="29"/>
  <c r="BF35" i="29" s="1"/>
  <c r="CA35" i="29"/>
  <c r="CD35" i="29" s="1"/>
  <c r="BZ35" i="29"/>
  <c r="CM35" i="29"/>
  <c r="AS37" i="29"/>
  <c r="DI37" i="29"/>
  <c r="CO38" i="29"/>
  <c r="AQ38" i="29"/>
  <c r="AS38" i="29"/>
  <c r="AP39" i="29"/>
  <c r="AO39" i="29"/>
  <c r="CQ39" i="29"/>
  <c r="CW39" i="29"/>
  <c r="CX39" i="29" s="1"/>
  <c r="AS39" i="29"/>
  <c r="AY39" i="29" s="1"/>
  <c r="AP40" i="29"/>
  <c r="AQ40" i="29"/>
  <c r="AR40" i="29" s="1"/>
  <c r="CJ40" i="29"/>
  <c r="CV40" i="29"/>
  <c r="CX40" i="29" s="1"/>
  <c r="CP41" i="29"/>
  <c r="BC41" i="29"/>
  <c r="BG41" i="29"/>
  <c r="BI41" i="29" s="1"/>
  <c r="CA41" i="29"/>
  <c r="CD41" i="29" s="1"/>
  <c r="BZ42" i="29"/>
  <c r="CC42" i="29" s="1"/>
  <c r="BZ43" i="29"/>
  <c r="CC43" i="29" s="1"/>
  <c r="CA44" i="29"/>
  <c r="CD44" i="29" s="1"/>
  <c r="AV45" i="29"/>
  <c r="AY45" i="29" s="1"/>
  <c r="BB45" i="29"/>
  <c r="BZ45" i="29"/>
  <c r="BX45" i="29"/>
  <c r="BY45" i="29" s="1"/>
  <c r="CA45" i="29"/>
  <c r="CD45" i="29" s="1"/>
  <c r="CL45" i="29"/>
  <c r="AH46" i="29"/>
  <c r="AR46" i="29" s="1"/>
  <c r="AW46" i="29"/>
  <c r="CA46" i="29"/>
  <c r="CD46" i="29" s="1"/>
  <c r="CW46" i="29"/>
  <c r="AT47" i="29"/>
  <c r="CQ48" i="29"/>
  <c r="CT48" i="29" s="1"/>
  <c r="CU48" i="29" s="1"/>
  <c r="AV48" i="29"/>
  <c r="CJ48" i="29"/>
  <c r="CL48" i="29" s="1"/>
  <c r="AZ48" i="29"/>
  <c r="BE48" i="29" s="1"/>
  <c r="BA49" i="29"/>
  <c r="AI49" i="29"/>
  <c r="CQ49" i="29" s="1"/>
  <c r="BD50" i="29"/>
  <c r="BB50" i="29"/>
  <c r="AW51" i="29"/>
  <c r="BZ51" i="29"/>
  <c r="CM51" i="29"/>
  <c r="CK51" i="29"/>
  <c r="DI51" i="29"/>
  <c r="CR58" i="29"/>
  <c r="AR61" i="29"/>
  <c r="CN70" i="29"/>
  <c r="CT70" i="29" s="1"/>
  <c r="CU70" i="29" s="1"/>
  <c r="CV70" i="29"/>
  <c r="CX70" i="29" s="1"/>
  <c r="BA70" i="29"/>
  <c r="CY70" i="29"/>
  <c r="CK80" i="29"/>
  <c r="CL80" i="29" s="1"/>
  <c r="CM80" i="29"/>
  <c r="AH82" i="29"/>
  <c r="CU82" i="29" s="1"/>
  <c r="AV90" i="29"/>
  <c r="BO90" i="29"/>
  <c r="BQ90" i="29" s="1"/>
  <c r="BR90" i="29" s="1"/>
  <c r="BH90" i="29"/>
  <c r="BI90" i="29" s="1"/>
  <c r="AZ90" i="29"/>
  <c r="CW94" i="29"/>
  <c r="CX94" i="29" s="1"/>
  <c r="AU94" i="29"/>
  <c r="AG98" i="29"/>
  <c r="CK98" i="29" s="1"/>
  <c r="CS98" i="29"/>
  <c r="BO101" i="29"/>
  <c r="BQ101" i="29" s="1"/>
  <c r="BR101" i="29" s="1"/>
  <c r="BD108" i="29"/>
  <c r="AW108" i="29"/>
  <c r="BA111" i="29"/>
  <c r="AU113" i="29"/>
  <c r="BB113" i="29"/>
  <c r="DB114" i="29"/>
  <c r="CZ114" i="29"/>
  <c r="CK121" i="29"/>
  <c r="CL121" i="29" s="1"/>
  <c r="AH121" i="29"/>
  <c r="AR121" i="29" s="1"/>
  <c r="CW121" i="29"/>
  <c r="BB121" i="29"/>
  <c r="BF121" i="29" s="1"/>
  <c r="CK126" i="29"/>
  <c r="AH126" i="29"/>
  <c r="BC126" i="29"/>
  <c r="AV126" i="29"/>
  <c r="CW126" i="29"/>
  <c r="BA126" i="29"/>
  <c r="CL75" i="29"/>
  <c r="CX64" i="29"/>
  <c r="CU87" i="29"/>
  <c r="BX44" i="29"/>
  <c r="BY44" i="29" s="1"/>
  <c r="CL35" i="29"/>
  <c r="CT38" i="29"/>
  <c r="BX21" i="29"/>
  <c r="BY21" i="29" s="1"/>
  <c r="CL19" i="29"/>
  <c r="CZ14" i="29"/>
  <c r="AV14" i="29"/>
  <c r="BQ21" i="29"/>
  <c r="BR21" i="29" s="1"/>
  <c r="CA25" i="29"/>
  <c r="BZ26" i="29"/>
  <c r="CC26" i="29" s="1"/>
  <c r="CJ28" i="29"/>
  <c r="CL28" i="29" s="1"/>
  <c r="CV52" i="29"/>
  <c r="DI52" i="29"/>
  <c r="BQ54" i="29"/>
  <c r="BR54" i="29" s="1"/>
  <c r="BZ54" i="29"/>
  <c r="DI54" i="29"/>
  <c r="DI55" i="29"/>
  <c r="CV56" i="29"/>
  <c r="CX56" i="29" s="1"/>
  <c r="CQ57" i="29"/>
  <c r="CT57" i="29" s="1"/>
  <c r="CU57" i="29" s="1"/>
  <c r="AU57" i="29"/>
  <c r="CD57" i="29"/>
  <c r="CW57" i="29"/>
  <c r="CX57" i="29" s="1"/>
  <c r="DI57" i="29"/>
  <c r="CM58" i="29"/>
  <c r="BZ58" i="29"/>
  <c r="DI58" i="29"/>
  <c r="BZ60" i="29"/>
  <c r="CC60" i="29" s="1"/>
  <c r="CJ60" i="29"/>
  <c r="CL60" i="29" s="1"/>
  <c r="BZ62" i="29"/>
  <c r="CC62" i="29" s="1"/>
  <c r="CK62" i="29"/>
  <c r="BE63" i="29"/>
  <c r="CA63" i="29"/>
  <c r="BO64" i="29"/>
  <c r="BQ64" i="29" s="1"/>
  <c r="BR64" i="29" s="1"/>
  <c r="CS64" i="29"/>
  <c r="BC64" i="29"/>
  <c r="CR64" i="29"/>
  <c r="DI64" i="29"/>
  <c r="CS65" i="29"/>
  <c r="BC65" i="29"/>
  <c r="CA65" i="29"/>
  <c r="CD65" i="29" s="1"/>
  <c r="CJ65" i="29"/>
  <c r="CL65" i="29" s="1"/>
  <c r="DI65" i="29"/>
  <c r="BA68" i="29"/>
  <c r="AT68" i="29"/>
  <c r="BC70" i="29"/>
  <c r="BQ73" i="29"/>
  <c r="BR73" i="29" s="1"/>
  <c r="CP77" i="29"/>
  <c r="Z77" i="29"/>
  <c r="BL77" i="29"/>
  <c r="BC78" i="29"/>
  <c r="BF78" i="29" s="1"/>
  <c r="AV78" i="29"/>
  <c r="BB85" i="29"/>
  <c r="AU85" i="29"/>
  <c r="BL92" i="29"/>
  <c r="AS92" i="29"/>
  <c r="BD94" i="29"/>
  <c r="AW94" i="29"/>
  <c r="BL94" i="29"/>
  <c r="BQ94" i="29" s="1"/>
  <c r="BR94" i="29" s="1"/>
  <c r="CP94" i="29"/>
  <c r="BV95" i="29"/>
  <c r="BC95" i="29"/>
  <c r="CK97" i="29"/>
  <c r="CL97" i="29" s="1"/>
  <c r="AH97" i="29"/>
  <c r="AR97" i="29" s="1"/>
  <c r="BB106" i="29"/>
  <c r="AU106" i="29"/>
  <c r="CS107" i="29"/>
  <c r="AZ107" i="29"/>
  <c r="AT107" i="29"/>
  <c r="BA107" i="29"/>
  <c r="CK114" i="29"/>
  <c r="AO114" i="29"/>
  <c r="CW115" i="29"/>
  <c r="BB115" i="29"/>
  <c r="AU115" i="29"/>
  <c r="BB116" i="29"/>
  <c r="AZ116" i="29"/>
  <c r="CS116" i="29"/>
  <c r="AT117" i="29"/>
  <c r="BL118" i="29"/>
  <c r="BQ118" i="29" s="1"/>
  <c r="BR118" i="29" s="1"/>
  <c r="AS118" i="29"/>
  <c r="AQ118" i="29"/>
  <c r="BD120" i="29"/>
  <c r="AW120" i="29"/>
  <c r="CV120" i="29"/>
  <c r="BB120" i="29"/>
  <c r="BF120" i="29" s="1"/>
  <c r="AU120" i="29"/>
  <c r="AU121" i="29"/>
  <c r="BX122" i="29"/>
  <c r="BY122" i="29" s="1"/>
  <c r="BC123" i="29"/>
  <c r="AV123" i="29"/>
  <c r="CJ124" i="29"/>
  <c r="CL124" i="29" s="1"/>
  <c r="AH124" i="29"/>
  <c r="CU124" i="29" s="1"/>
  <c r="BB124" i="29"/>
  <c r="AU124" i="29"/>
  <c r="AU125" i="29"/>
  <c r="AT126" i="29"/>
  <c r="CJ128" i="29"/>
  <c r="CL128" i="29" s="1"/>
  <c r="AH128" i="29"/>
  <c r="AR128" i="29" s="1"/>
  <c r="BB128" i="29"/>
  <c r="BF128" i="29" s="1"/>
  <c r="AU128" i="29"/>
  <c r="CJ130" i="29"/>
  <c r="CL130" i="29" s="1"/>
  <c r="CM130" i="29"/>
  <c r="CV130" i="29"/>
  <c r="BB130" i="29"/>
  <c r="AU130" i="29"/>
  <c r="CV134" i="29"/>
  <c r="BB134" i="29"/>
  <c r="AU134" i="29"/>
  <c r="CW134" i="29"/>
  <c r="CA66" i="29"/>
  <c r="CD66" i="29" s="1"/>
  <c r="CJ66" i="29"/>
  <c r="CL66" i="29" s="1"/>
  <c r="CL67" i="29"/>
  <c r="CV68" i="29"/>
  <c r="CX68" i="29" s="1"/>
  <c r="CZ68" i="29"/>
  <c r="DI68" i="29"/>
  <c r="CG69" i="29"/>
  <c r="CH69" i="29" s="1"/>
  <c r="BZ69" i="29"/>
  <c r="CA69" i="29"/>
  <c r="CD69" i="29" s="1"/>
  <c r="CJ69" i="29"/>
  <c r="CL69" i="29" s="1"/>
  <c r="BZ70" i="29"/>
  <c r="BQ71" i="29"/>
  <c r="BR71" i="29" s="1"/>
  <c r="AZ72" i="29"/>
  <c r="DI78" i="29"/>
  <c r="BZ79" i="29"/>
  <c r="CD79" i="29"/>
  <c r="CV80" i="29"/>
  <c r="CG81" i="29"/>
  <c r="CH81" i="29" s="1"/>
  <c r="CJ81" i="29"/>
  <c r="CL81" i="29" s="1"/>
  <c r="AV82" i="29"/>
  <c r="BZ82" i="29"/>
  <c r="CD82" i="29"/>
  <c r="DI82" i="29"/>
  <c r="CJ85" i="29"/>
  <c r="CL85" i="29" s="1"/>
  <c r="CP85" i="29"/>
  <c r="CK88" i="29"/>
  <c r="CL88" i="29" s="1"/>
  <c r="AQ89" i="29"/>
  <c r="AR89" i="29" s="1"/>
  <c r="BQ89" i="29"/>
  <c r="BR89" i="29" s="1"/>
  <c r="CH89" i="29"/>
  <c r="DI89" i="29"/>
  <c r="CG90" i="29"/>
  <c r="CH90" i="29" s="1"/>
  <c r="BZ90" i="29"/>
  <c r="CC90" i="29" s="1"/>
  <c r="CS90" i="29"/>
  <c r="CY90" i="29"/>
  <c r="BZ91" i="29"/>
  <c r="CC91" i="29" s="1"/>
  <c r="CN91" i="29"/>
  <c r="CK92" i="29"/>
  <c r="CL92" i="29" s="1"/>
  <c r="CK93" i="29"/>
  <c r="DI93" i="29"/>
  <c r="BC94" i="29"/>
  <c r="CJ94" i="29"/>
  <c r="CL94" i="29" s="1"/>
  <c r="DI95" i="29"/>
  <c r="AV96" i="29"/>
  <c r="BZ97" i="29"/>
  <c r="CC97" i="29" s="1"/>
  <c r="DI97" i="29"/>
  <c r="CW101" i="29"/>
  <c r="BE102" i="29"/>
  <c r="BZ102" i="29"/>
  <c r="CC102" i="29" s="1"/>
  <c r="DI102" i="29"/>
  <c r="CM103" i="29"/>
  <c r="BZ104" i="29"/>
  <c r="CC104" i="29" s="1"/>
  <c r="DI104" i="29"/>
  <c r="BZ106" i="29"/>
  <c r="CC106" i="29" s="1"/>
  <c r="BC106" i="29"/>
  <c r="DI107" i="29"/>
  <c r="AH111" i="29"/>
  <c r="AR111" i="29" s="1"/>
  <c r="CW111" i="29"/>
  <c r="CX111" i="29" s="1"/>
  <c r="CK112" i="29"/>
  <c r="CL112" i="29" s="1"/>
  <c r="BZ112" i="29"/>
  <c r="CC112" i="29" s="1"/>
  <c r="CA113" i="29"/>
  <c r="CD113" i="29" s="1"/>
  <c r="BZ113" i="29"/>
  <c r="CB113" i="29" s="1"/>
  <c r="CO114" i="29"/>
  <c r="CA114" i="29"/>
  <c r="CD114" i="29" s="1"/>
  <c r="BZ114" i="29"/>
  <c r="DI114" i="29"/>
  <c r="AV115" i="29"/>
  <c r="BZ115" i="29"/>
  <c r="CC115" i="29" s="1"/>
  <c r="CJ115" i="29"/>
  <c r="CL115" i="29" s="1"/>
  <c r="CV115" i="29"/>
  <c r="CA116" i="29"/>
  <c r="CD116" i="29" s="1"/>
  <c r="AZ118" i="29"/>
  <c r="CV118" i="29"/>
  <c r="AP120" i="29"/>
  <c r="BZ120" i="29"/>
  <c r="CC120" i="29" s="1"/>
  <c r="BZ121" i="29"/>
  <c r="CC121" i="29" s="1"/>
  <c r="BX121" i="29"/>
  <c r="BY121" i="29" s="1"/>
  <c r="CV121" i="29"/>
  <c r="DI121" i="29"/>
  <c r="AP122" i="29"/>
  <c r="CD124" i="29"/>
  <c r="CH124" i="29"/>
  <c r="DI124" i="29"/>
  <c r="BX125" i="29"/>
  <c r="BY125" i="29" s="1"/>
  <c r="BZ126" i="29"/>
  <c r="CC126" i="29" s="1"/>
  <c r="CD128" i="29"/>
  <c r="CV128" i="29"/>
  <c r="BQ130" i="29"/>
  <c r="BR130" i="29" s="1"/>
  <c r="CA130" i="29"/>
  <c r="CA131" i="29"/>
  <c r="DI131" i="29"/>
  <c r="CM134" i="29"/>
  <c r="CH134" i="29"/>
  <c r="CB136" i="29"/>
  <c r="CF136" i="29" s="1"/>
  <c r="CA137" i="29"/>
  <c r="CD137" i="29" s="1"/>
  <c r="CY137" i="29"/>
  <c r="DI137" i="29"/>
  <c r="BQ138" i="29"/>
  <c r="BR138" i="29" s="1"/>
  <c r="J12" i="26"/>
  <c r="E12" i="26" s="1"/>
  <c r="H12" i="26" s="1"/>
  <c r="K14" i="26"/>
  <c r="J14" i="26" s="1"/>
  <c r="E14" i="26" s="1"/>
  <c r="H14" i="26" s="1"/>
  <c r="K16" i="26"/>
  <c r="J16" i="26" s="1"/>
  <c r="E16" i="26" s="1"/>
  <c r="H16" i="26" s="1"/>
  <c r="K17" i="26"/>
  <c r="J17" i="26" s="1"/>
  <c r="E17" i="26" s="1"/>
  <c r="H17" i="26" s="1"/>
  <c r="LW20" i="26"/>
  <c r="LW23" i="26"/>
  <c r="K25" i="26"/>
  <c r="J25" i="26" s="1"/>
  <c r="E25" i="26" s="1"/>
  <c r="H25" i="26" s="1"/>
  <c r="K28" i="26"/>
  <c r="J28" i="26" s="1"/>
  <c r="E28" i="26" s="1"/>
  <c r="H28" i="26" s="1"/>
  <c r="K29" i="26"/>
  <c r="J29" i="26" s="1"/>
  <c r="E29" i="26" s="1"/>
  <c r="H29" i="26" s="1"/>
  <c r="LT25" i="26"/>
  <c r="LT30" i="26"/>
  <c r="LT33" i="26"/>
  <c r="CB122" i="31"/>
  <c r="CD122" i="31"/>
  <c r="BD139" i="29"/>
  <c r="DI142" i="29"/>
  <c r="DI145" i="29"/>
  <c r="K35" i="26"/>
  <c r="J35" i="26" s="1"/>
  <c r="E35" i="26" s="1"/>
  <c r="H35" i="26" s="1"/>
  <c r="LW35" i="26"/>
  <c r="K36" i="26"/>
  <c r="J36" i="26" s="1"/>
  <c r="E36" i="26" s="1"/>
  <c r="H36" i="26" s="1"/>
  <c r="LW46" i="26"/>
  <c r="LT49" i="26"/>
  <c r="LT50" i="26"/>
  <c r="LW50" i="26"/>
  <c r="LW52" i="26"/>
  <c r="LT53" i="26"/>
  <c r="DN82" i="31"/>
  <c r="DN66" i="31"/>
  <c r="DN64" i="31"/>
  <c r="DN57" i="31"/>
  <c r="DN47" i="31"/>
  <c r="DN40" i="31"/>
  <c r="DN34" i="31"/>
  <c r="DN26" i="31"/>
  <c r="DN25" i="31"/>
  <c r="BQ35" i="31"/>
  <c r="BR35" i="31" s="1"/>
  <c r="BQ43" i="31"/>
  <c r="BR43" i="31" s="1"/>
  <c r="CB36" i="31"/>
  <c r="BX132" i="31"/>
  <c r="BY132" i="31" s="1"/>
  <c r="AZ118" i="31"/>
  <c r="AZ96" i="31"/>
  <c r="AQ119" i="31"/>
  <c r="AR119" i="31" s="1"/>
  <c r="AS110" i="31"/>
  <c r="AS95" i="31"/>
  <c r="AS44" i="31"/>
  <c r="AQ30" i="31"/>
  <c r="AP29" i="31"/>
  <c r="AS26" i="31"/>
  <c r="AQ25" i="31"/>
  <c r="AQ22" i="31"/>
  <c r="AR22" i="31" s="1"/>
  <c r="AP17" i="31"/>
  <c r="AQ36" i="31"/>
  <c r="AR36" i="31" s="1"/>
  <c r="AZ137" i="31"/>
  <c r="DJ141" i="31"/>
  <c r="DN18" i="31"/>
  <c r="DN146" i="31"/>
  <c r="BI130" i="31"/>
  <c r="BI115" i="31"/>
  <c r="BI114" i="31"/>
  <c r="BI113" i="31"/>
  <c r="BI112" i="31"/>
  <c r="BI108" i="31"/>
  <c r="BI87" i="31"/>
  <c r="BI68" i="31"/>
  <c r="BI27" i="31"/>
  <c r="BI16" i="31"/>
  <c r="CW103" i="31"/>
  <c r="CA133" i="31"/>
  <c r="CA132" i="31"/>
  <c r="CA129" i="31"/>
  <c r="CA116" i="31"/>
  <c r="CA115" i="31"/>
  <c r="CD115" i="31" s="1"/>
  <c r="CA112" i="31"/>
  <c r="CD112" i="31" s="1"/>
  <c r="CA98" i="31"/>
  <c r="CA97" i="31"/>
  <c r="CD97" i="31" s="1"/>
  <c r="CA94" i="31"/>
  <c r="BX91" i="31"/>
  <c r="BY91" i="31" s="1"/>
  <c r="CA82" i="31"/>
  <c r="CA81" i="31"/>
  <c r="CD81" i="31" s="1"/>
  <c r="CA78" i="31"/>
  <c r="BX75" i="31"/>
  <c r="BY75" i="31" s="1"/>
  <c r="CA66" i="31"/>
  <c r="CA65" i="31"/>
  <c r="CD65" i="31" s="1"/>
  <c r="CA62" i="31"/>
  <c r="CA54" i="31"/>
  <c r="CA47" i="31"/>
  <c r="CD47" i="31" s="1"/>
  <c r="CA41" i="31"/>
  <c r="CA33" i="31"/>
  <c r="CA30" i="31"/>
  <c r="CA28" i="31"/>
  <c r="CD28" i="31" s="1"/>
  <c r="CA26" i="31"/>
  <c r="CD26" i="31" s="1"/>
  <c r="CA24" i="31"/>
  <c r="CD24" i="31" s="1"/>
  <c r="CA22" i="31"/>
  <c r="CA16" i="31"/>
  <c r="CD16" i="31" s="1"/>
  <c r="CW124" i="31"/>
  <c r="CV123" i="31"/>
  <c r="BZ141" i="31"/>
  <c r="CC141" i="31" s="1"/>
  <c r="BZ129" i="31"/>
  <c r="CC129" i="31" s="1"/>
  <c r="BZ116" i="31"/>
  <c r="CC116" i="31" s="1"/>
  <c r="BZ104" i="31"/>
  <c r="CC104" i="31" s="1"/>
  <c r="BZ90" i="31"/>
  <c r="CC90" i="31" s="1"/>
  <c r="BZ78" i="31"/>
  <c r="CC78" i="31" s="1"/>
  <c r="BZ66" i="31"/>
  <c r="CC66" i="31" s="1"/>
  <c r="BZ53" i="31"/>
  <c r="CC53" i="31" s="1"/>
  <c r="BZ41" i="31"/>
  <c r="CC41" i="31" s="1"/>
  <c r="BZ29" i="31"/>
  <c r="CC29" i="31" s="1"/>
  <c r="BZ17" i="31"/>
  <c r="CC17" i="31" s="1"/>
  <c r="BZ140" i="31"/>
  <c r="CC140" i="31" s="1"/>
  <c r="BZ128" i="31"/>
  <c r="CC128" i="31" s="1"/>
  <c r="BZ115" i="31"/>
  <c r="BZ103" i="31"/>
  <c r="BZ65" i="31"/>
  <c r="BZ52" i="31"/>
  <c r="CC52" i="31" s="1"/>
  <c r="BZ40" i="31"/>
  <c r="CC40" i="31" s="1"/>
  <c r="BZ28" i="31"/>
  <c r="CC28" i="31" s="1"/>
  <c r="BZ16" i="31"/>
  <c r="CC16" i="31" s="1"/>
  <c r="AO61" i="31"/>
  <c r="AW141" i="31"/>
  <c r="AW126" i="31"/>
  <c r="AW124" i="31"/>
  <c r="AW112" i="31"/>
  <c r="AW108" i="31"/>
  <c r="AW104" i="31"/>
  <c r="AW98" i="31"/>
  <c r="AW90" i="31"/>
  <c r="AW84" i="31"/>
  <c r="AW77" i="31"/>
  <c r="AW75" i="31"/>
  <c r="AW73" i="31"/>
  <c r="AW67" i="31"/>
  <c r="AW62" i="31"/>
  <c r="AW60" i="31"/>
  <c r="AW58" i="31"/>
  <c r="AW45" i="31"/>
  <c r="AW42" i="31"/>
  <c r="AW39" i="31"/>
  <c r="AW30" i="31"/>
  <c r="AW27" i="31"/>
  <c r="AW25" i="31"/>
  <c r="AP126" i="31"/>
  <c r="AP104" i="31"/>
  <c r="AP87" i="31"/>
  <c r="AP84" i="31"/>
  <c r="AP62" i="31"/>
  <c r="AP26" i="31"/>
  <c r="BD129" i="31"/>
  <c r="R26" i="31"/>
  <c r="R23" i="31"/>
  <c r="AS113" i="31"/>
  <c r="AS108" i="31"/>
  <c r="AS83" i="31"/>
  <c r="AS80" i="31"/>
  <c r="AQ60" i="31"/>
  <c r="AR60" i="31" s="1"/>
  <c r="AP56" i="31"/>
  <c r="BA40" i="31"/>
  <c r="AT40" i="31"/>
  <c r="BA38" i="31"/>
  <c r="AT38" i="31"/>
  <c r="BA30" i="31"/>
  <c r="AT30" i="31"/>
  <c r="BA28" i="31"/>
  <c r="AT28" i="31"/>
  <c r="BA26" i="31"/>
  <c r="AT26" i="31"/>
  <c r="BA18" i="31"/>
  <c r="AT18" i="31"/>
  <c r="BA16" i="31"/>
  <c r="AT16" i="31"/>
  <c r="BA14" i="31"/>
  <c r="AT14" i="31"/>
  <c r="AG51" i="31"/>
  <c r="AK51" i="31"/>
  <c r="AP51" i="31" s="1"/>
  <c r="CW141" i="33"/>
  <c r="AP107" i="31"/>
  <c r="DA41" i="31"/>
  <c r="AQ27" i="31"/>
  <c r="AR27" i="31" s="1"/>
  <c r="BA141" i="31"/>
  <c r="AQ128" i="31"/>
  <c r="AR128" i="31" s="1"/>
  <c r="DB113" i="31"/>
  <c r="AQ103" i="31"/>
  <c r="AR103" i="31" s="1"/>
  <c r="CJ138" i="31"/>
  <c r="CJ130" i="31"/>
  <c r="CL130" i="31" s="1"/>
  <c r="CN130" i="31" s="1"/>
  <c r="CL122" i="31"/>
  <c r="CN122" i="31" s="1"/>
  <c r="CJ121" i="31"/>
  <c r="CK118" i="31"/>
  <c r="CK114" i="31"/>
  <c r="CK113" i="31"/>
  <c r="CL113" i="31" s="1"/>
  <c r="CK108" i="31"/>
  <c r="CJ86" i="31"/>
  <c r="CK84" i="31"/>
  <c r="AI74" i="31"/>
  <c r="AQ74" i="31" s="1"/>
  <c r="CL67" i="31"/>
  <c r="CN67" i="31" s="1"/>
  <c r="CK65" i="31"/>
  <c r="CK62" i="31"/>
  <c r="CL62" i="31" s="1"/>
  <c r="CK52" i="31"/>
  <c r="CK44" i="31"/>
  <c r="CL44" i="31" s="1"/>
  <c r="CK38" i="31"/>
  <c r="CK37" i="31"/>
  <c r="CL37" i="31" s="1"/>
  <c r="CK17" i="31"/>
  <c r="BE23" i="33"/>
  <c r="BE33" i="33"/>
  <c r="Q52" i="13"/>
  <c r="I52" i="13" s="1"/>
  <c r="K53" i="13"/>
  <c r="K134" i="13"/>
  <c r="K131" i="13"/>
  <c r="L128" i="13"/>
  <c r="K128" i="13" s="1"/>
  <c r="K7" i="13"/>
  <c r="O122" i="13"/>
  <c r="BX26" i="29"/>
  <c r="BY26" i="29" s="1"/>
  <c r="CC66" i="29"/>
  <c r="CD119" i="29"/>
  <c r="CB119" i="29"/>
  <c r="CC95" i="29"/>
  <c r="CB95" i="29"/>
  <c r="LO13" i="26"/>
  <c r="LN14" i="26"/>
  <c r="AR113" i="29"/>
  <c r="BF41" i="29"/>
  <c r="BE41" i="29"/>
  <c r="CD122" i="29"/>
  <c r="CB122" i="29"/>
  <c r="R136" i="29"/>
  <c r="BV136" i="29" s="1"/>
  <c r="BS136" i="29"/>
  <c r="CC58" i="29"/>
  <c r="CB58" i="29"/>
  <c r="BF75" i="29"/>
  <c r="BE75" i="29"/>
  <c r="BX72" i="29"/>
  <c r="BY72" i="29" s="1"/>
  <c r="AW17" i="29"/>
  <c r="AV58" i="29"/>
  <c r="AH66" i="29"/>
  <c r="BA72" i="29"/>
  <c r="BD76" i="29"/>
  <c r="CK120" i="29"/>
  <c r="CW128" i="29"/>
  <c r="CX128" i="29" s="1"/>
  <c r="Z135" i="29"/>
  <c r="V8" i="26"/>
  <c r="LW39" i="26"/>
  <c r="LW44" i="26"/>
  <c r="DN131" i="31"/>
  <c r="DN125" i="31"/>
  <c r="DN119" i="31"/>
  <c r="DN113" i="31"/>
  <c r="DN107" i="31"/>
  <c r="DN101" i="31"/>
  <c r="DN93" i="31"/>
  <c r="DN87" i="31"/>
  <c r="CT77" i="29"/>
  <c r="BI32" i="29"/>
  <c r="CJ64" i="29"/>
  <c r="CL64" i="29" s="1"/>
  <c r="CQ80" i="29"/>
  <c r="CT80" i="29" s="1"/>
  <c r="CA97" i="29"/>
  <c r="DI105" i="29"/>
  <c r="DI132" i="29"/>
  <c r="K22" i="26"/>
  <c r="J22" i="26" s="1"/>
  <c r="E22" i="26" s="1"/>
  <c r="H22" i="26" s="1"/>
  <c r="LW43" i="26"/>
  <c r="LW48" i="26"/>
  <c r="BI7" i="31"/>
  <c r="DN144" i="31"/>
  <c r="CC126" i="31"/>
  <c r="CB126" i="31"/>
  <c r="CB101" i="31"/>
  <c r="CT20" i="29"/>
  <c r="CU20" i="29" s="1"/>
  <c r="AW18" i="29"/>
  <c r="AX18" i="29" s="1"/>
  <c r="CJ27" i="29"/>
  <c r="CL27" i="29" s="1"/>
  <c r="BC58" i="29"/>
  <c r="BF58" i="29" s="1"/>
  <c r="DI79" i="29"/>
  <c r="AZ117" i="29"/>
  <c r="CJ118" i="29"/>
  <c r="CL118" i="29" s="1"/>
  <c r="CX122" i="29"/>
  <c r="J21" i="26"/>
  <c r="E21" i="26" s="1"/>
  <c r="H21" i="26" s="1"/>
  <c r="AO35" i="31"/>
  <c r="AN145" i="31"/>
  <c r="BN148" i="31"/>
  <c r="CA63" i="31"/>
  <c r="CT63" i="29"/>
  <c r="CU63" i="29" s="1"/>
  <c r="CU46" i="29"/>
  <c r="BC26" i="29"/>
  <c r="CB26" i="29"/>
  <c r="CF26" i="29" s="1"/>
  <c r="DI27" i="29"/>
  <c r="DI34" i="29"/>
  <c r="AH37" i="29"/>
  <c r="BZ37" i="29"/>
  <c r="AW62" i="29"/>
  <c r="DI66" i="29"/>
  <c r="DI69" i="29"/>
  <c r="BV70" i="29"/>
  <c r="BX70" i="29" s="1"/>
  <c r="BY70" i="29" s="1"/>
  <c r="AV94" i="29"/>
  <c r="DI106" i="29"/>
  <c r="CV117" i="29"/>
  <c r="CC136" i="29"/>
  <c r="CS140" i="29"/>
  <c r="LZ8" i="26"/>
  <c r="LZ9" i="26" s="1"/>
  <c r="K32" i="26"/>
  <c r="J32" i="26" s="1"/>
  <c r="E32" i="26" s="1"/>
  <c r="H32" i="26" s="1"/>
  <c r="LW51" i="26"/>
  <c r="BI116" i="31"/>
  <c r="CB75" i="31"/>
  <c r="CU56" i="29"/>
  <c r="CT122" i="29"/>
  <c r="BF29" i="29"/>
  <c r="BV15" i="29"/>
  <c r="BD42" i="29"/>
  <c r="BE42" i="29" s="1"/>
  <c r="BQ52" i="29"/>
  <c r="BR52" i="29" s="1"/>
  <c r="DI87" i="29"/>
  <c r="CA134" i="29"/>
  <c r="LT11" i="26"/>
  <c r="LE11" i="26" s="1"/>
  <c r="LD11" i="26" s="1"/>
  <c r="K40" i="26"/>
  <c r="J40" i="26" s="1"/>
  <c r="E40" i="26" s="1"/>
  <c r="H40" i="26" s="1"/>
  <c r="CA79" i="31"/>
  <c r="CP14" i="29"/>
  <c r="CJ17" i="29"/>
  <c r="CL17" i="29" s="1"/>
  <c r="AV26" i="29"/>
  <c r="BX32" i="29"/>
  <c r="BY32" i="29" s="1"/>
  <c r="DI43" i="29"/>
  <c r="CM62" i="29"/>
  <c r="AS104" i="29"/>
  <c r="CJ114" i="29"/>
  <c r="CL114" i="29" s="1"/>
  <c r="DA120" i="31"/>
  <c r="CO120" i="31"/>
  <c r="BG120" i="31"/>
  <c r="BI120" i="31" s="1"/>
  <c r="BX108" i="29"/>
  <c r="BY108" i="29" s="1"/>
  <c r="AP35" i="29"/>
  <c r="CM56" i="29"/>
  <c r="DI83" i="29"/>
  <c r="K47" i="26"/>
  <c r="J47" i="26" s="1"/>
  <c r="E47" i="26" s="1"/>
  <c r="H47" i="26" s="1"/>
  <c r="K48" i="26"/>
  <c r="J48" i="26" s="1"/>
  <c r="E48" i="26" s="1"/>
  <c r="H48" i="26" s="1"/>
  <c r="CA95" i="31"/>
  <c r="AY83" i="29"/>
  <c r="BO17" i="29"/>
  <c r="CH21" i="29"/>
  <c r="CW25" i="29"/>
  <c r="CS26" i="29"/>
  <c r="CS27" i="29"/>
  <c r="CK40" i="29"/>
  <c r="DI72" i="29"/>
  <c r="AH107" i="29"/>
  <c r="AR107" i="29" s="1"/>
  <c r="CV112" i="29"/>
  <c r="CX112" i="29" s="1"/>
  <c r="AU140" i="29"/>
  <c r="AG140" i="29"/>
  <c r="CK140" i="29" s="1"/>
  <c r="CL140" i="29" s="1"/>
  <c r="MA8" i="26"/>
  <c r="AX129" i="29"/>
  <c r="CX19" i="29"/>
  <c r="CP16" i="29"/>
  <c r="DI24" i="29"/>
  <c r="AT29" i="29"/>
  <c r="AS35" i="29"/>
  <c r="AX35" i="29" s="1"/>
  <c r="CA77" i="29"/>
  <c r="CD77" i="29" s="1"/>
  <c r="CA88" i="29"/>
  <c r="CK95" i="29"/>
  <c r="BD121" i="29"/>
  <c r="CA135" i="29"/>
  <c r="DB136" i="29"/>
  <c r="K53" i="26"/>
  <c r="J53" i="26" s="1"/>
  <c r="E53" i="26" s="1"/>
  <c r="H53" i="26" s="1"/>
  <c r="CC138" i="31"/>
  <c r="CU61" i="29"/>
  <c r="AR43" i="29"/>
  <c r="CX29" i="29"/>
  <c r="CX16" i="29"/>
  <c r="AW45" i="29"/>
  <c r="AX45" i="29" s="1"/>
  <c r="BC107" i="29"/>
  <c r="CP113" i="29"/>
  <c r="LS12" i="26"/>
  <c r="LW32" i="26"/>
  <c r="LW33" i="26"/>
  <c r="AR134" i="29"/>
  <c r="AP119" i="29"/>
  <c r="BQ55" i="29"/>
  <c r="BR55" i="29" s="1"/>
  <c r="BQ16" i="29"/>
  <c r="BR16" i="29" s="1"/>
  <c r="BD22" i="29"/>
  <c r="CX31" i="29"/>
  <c r="DI118" i="29"/>
  <c r="CJ129" i="29"/>
  <c r="S8" i="26"/>
  <c r="LW36" i="26"/>
  <c r="LT45" i="26"/>
  <c r="DN147" i="31"/>
  <c r="CA130" i="31"/>
  <c r="CL103" i="29"/>
  <c r="CO119" i="29"/>
  <c r="AR96" i="29"/>
  <c r="CU27" i="29"/>
  <c r="AO34" i="29"/>
  <c r="CM48" i="29"/>
  <c r="CO54" i="29"/>
  <c r="DI85" i="29"/>
  <c r="O132" i="29"/>
  <c r="BD105" i="31"/>
  <c r="AW105" i="31"/>
  <c r="BD91" i="31"/>
  <c r="AW91" i="31"/>
  <c r="AZ90" i="31"/>
  <c r="R90" i="31"/>
  <c r="CS90" i="31" s="1"/>
  <c r="BS90" i="31"/>
  <c r="AZ56" i="31"/>
  <c r="BS56" i="31"/>
  <c r="AZ17" i="31"/>
  <c r="BS17" i="31"/>
  <c r="AV133" i="31"/>
  <c r="BC133" i="31"/>
  <c r="AV45" i="31"/>
  <c r="AP45" i="31"/>
  <c r="AQ45" i="31"/>
  <c r="AR45" i="31" s="1"/>
  <c r="AP138" i="31"/>
  <c r="AU138" i="31"/>
  <c r="BB138" i="31"/>
  <c r="CK93" i="31"/>
  <c r="CL93" i="31" s="1"/>
  <c r="O93" i="31"/>
  <c r="CK39" i="31"/>
  <c r="O39" i="31"/>
  <c r="CK28" i="31"/>
  <c r="O28" i="31"/>
  <c r="DN73" i="31"/>
  <c r="DN36" i="31"/>
  <c r="BQ137" i="31"/>
  <c r="BR137" i="31" s="1"/>
  <c r="BQ107" i="31"/>
  <c r="BR107" i="31" s="1"/>
  <c r="BQ86" i="31"/>
  <c r="BR86" i="31" s="1"/>
  <c r="BQ67" i="31"/>
  <c r="BR67" i="31" s="1"/>
  <c r="BQ56" i="31"/>
  <c r="BR56" i="31" s="1"/>
  <c r="BQ46" i="31"/>
  <c r="BR46" i="31" s="1"/>
  <c r="BQ24" i="31"/>
  <c r="BR24" i="31" s="1"/>
  <c r="DN148" i="31"/>
  <c r="CA27" i="31"/>
  <c r="CD27" i="31" s="1"/>
  <c r="CB21" i="31"/>
  <c r="DB135" i="31"/>
  <c r="AW102" i="31"/>
  <c r="AP91" i="31"/>
  <c r="BD127" i="31"/>
  <c r="AW127" i="31"/>
  <c r="BD80" i="31"/>
  <c r="AZ55" i="31"/>
  <c r="R55" i="31"/>
  <c r="BS55" i="31"/>
  <c r="AZ47" i="31"/>
  <c r="BS47" i="31"/>
  <c r="AZ25" i="31"/>
  <c r="BS25" i="31"/>
  <c r="AS104" i="31"/>
  <c r="AZ104" i="31"/>
  <c r="AV97" i="31"/>
  <c r="BC97" i="31"/>
  <c r="AS93" i="31"/>
  <c r="AQ93" i="31"/>
  <c r="AP93" i="31"/>
  <c r="AV88" i="31"/>
  <c r="AY88" i="31" s="1"/>
  <c r="BC88" i="31"/>
  <c r="AS51" i="31"/>
  <c r="BB19" i="31"/>
  <c r="AU19" i="31"/>
  <c r="BA139" i="31"/>
  <c r="AP139" i="31"/>
  <c r="AQ139" i="31"/>
  <c r="AR139" i="31" s="1"/>
  <c r="AZ107" i="31"/>
  <c r="BS107" i="31"/>
  <c r="BX107" i="31" s="1"/>
  <c r="BY107" i="31" s="1"/>
  <c r="Z75" i="31"/>
  <c r="AI75" i="31"/>
  <c r="AZ66" i="31"/>
  <c r="BS66" i="31"/>
  <c r="DN72" i="31"/>
  <c r="DN30" i="31"/>
  <c r="BI119" i="31"/>
  <c r="BI101" i="31"/>
  <c r="BI71" i="31"/>
  <c r="BQ136" i="31"/>
  <c r="BR136" i="31" s="1"/>
  <c r="BQ116" i="31"/>
  <c r="BR116" i="31" s="1"/>
  <c r="BQ106" i="31"/>
  <c r="BR106" i="31" s="1"/>
  <c r="BQ85" i="31"/>
  <c r="BR85" i="31" s="1"/>
  <c r="BQ55" i="31"/>
  <c r="BR55" i="31" s="1"/>
  <c r="BQ45" i="31"/>
  <c r="BR45" i="31" s="1"/>
  <c r="BQ23" i="31"/>
  <c r="BR23" i="31" s="1"/>
  <c r="BX142" i="31"/>
  <c r="BY142" i="31" s="1"/>
  <c r="BX121" i="31"/>
  <c r="BY121" i="31" s="1"/>
  <c r="BX95" i="31"/>
  <c r="BY95" i="31" s="1"/>
  <c r="BX73" i="31"/>
  <c r="BY73" i="31" s="1"/>
  <c r="CA128" i="31"/>
  <c r="CA111" i="31"/>
  <c r="CD111" i="31" s="1"/>
  <c r="CA93" i="31"/>
  <c r="CA77" i="31"/>
  <c r="CD77" i="31" s="1"/>
  <c r="CA61" i="31"/>
  <c r="CD61" i="31" s="1"/>
  <c r="CA48" i="31"/>
  <c r="CP60" i="31"/>
  <c r="CS48" i="31"/>
  <c r="CQ60" i="31"/>
  <c r="CT48" i="31"/>
  <c r="DB60" i="31"/>
  <c r="AW138" i="31"/>
  <c r="AP60" i="31"/>
  <c r="AW114" i="31"/>
  <c r="BD114" i="31"/>
  <c r="AX80" i="31"/>
  <c r="R87" i="31"/>
  <c r="AZ87" i="31"/>
  <c r="AZ65" i="31"/>
  <c r="R65" i="31"/>
  <c r="R24" i="31"/>
  <c r="AS112" i="31"/>
  <c r="AY112" i="31" s="1"/>
  <c r="AP112" i="31"/>
  <c r="AV108" i="31"/>
  <c r="AQ108" i="31"/>
  <c r="AP108" i="31"/>
  <c r="AV55" i="31"/>
  <c r="AP55" i="31"/>
  <c r="AP30" i="31"/>
  <c r="AT104" i="31"/>
  <c r="BA104" i="31"/>
  <c r="BA68" i="31"/>
  <c r="AT68" i="31"/>
  <c r="AP68" i="31"/>
  <c r="BA56" i="31"/>
  <c r="AT56" i="31"/>
  <c r="BA34" i="31"/>
  <c r="AT34" i="31"/>
  <c r="BA22" i="31"/>
  <c r="AT22" i="31"/>
  <c r="BQ94" i="31"/>
  <c r="BR94" i="31" s="1"/>
  <c r="BQ44" i="31"/>
  <c r="BR44" i="31" s="1"/>
  <c r="BX49" i="31"/>
  <c r="BY49" i="31" s="1"/>
  <c r="CW125" i="31"/>
  <c r="CV45" i="31"/>
  <c r="CW45" i="31" s="1"/>
  <c r="DB133" i="31"/>
  <c r="DB45" i="31"/>
  <c r="AW137" i="31"/>
  <c r="BC45" i="31"/>
  <c r="AV67" i="31"/>
  <c r="BC67" i="31"/>
  <c r="BF67" i="31" s="1"/>
  <c r="AP67" i="31"/>
  <c r="AV26" i="31"/>
  <c r="AQ26" i="31"/>
  <c r="AR26" i="31" s="1"/>
  <c r="AS19" i="31"/>
  <c r="AP19" i="31"/>
  <c r="AZ19" i="31"/>
  <c r="AQ86" i="31"/>
  <c r="AR86" i="31" s="1"/>
  <c r="AU86" i="31"/>
  <c r="BB41" i="31"/>
  <c r="AU41" i="31"/>
  <c r="AP41" i="31"/>
  <c r="CJ136" i="31"/>
  <c r="CK92" i="31"/>
  <c r="O92" i="31"/>
  <c r="CK42" i="31"/>
  <c r="DN127" i="31"/>
  <c r="DN115" i="31"/>
  <c r="DN103" i="31"/>
  <c r="DN89" i="31"/>
  <c r="DN83" i="31"/>
  <c r="DN46" i="31"/>
  <c r="BI48" i="31"/>
  <c r="BQ125" i="31"/>
  <c r="BR125" i="31" s="1"/>
  <c r="BQ114" i="31"/>
  <c r="BR114" i="31" s="1"/>
  <c r="BQ74" i="31"/>
  <c r="BR74" i="31" s="1"/>
  <c r="BQ64" i="31"/>
  <c r="BR64" i="31" s="1"/>
  <c r="BQ54" i="31"/>
  <c r="BR54" i="31" s="1"/>
  <c r="BQ33" i="31"/>
  <c r="BR33" i="31" s="1"/>
  <c r="BQ21" i="31"/>
  <c r="BR21" i="31" s="1"/>
  <c r="BX130" i="31"/>
  <c r="BY130" i="31" s="1"/>
  <c r="BX82" i="31"/>
  <c r="BY82" i="31" s="1"/>
  <c r="CA42" i="31"/>
  <c r="CD42" i="31" s="1"/>
  <c r="CA31" i="31"/>
  <c r="CA25" i="31"/>
  <c r="CD25" i="31" s="1"/>
  <c r="CP120" i="31"/>
  <c r="CQ120" i="31"/>
  <c r="AP113" i="31"/>
  <c r="BD78" i="31"/>
  <c r="AW78" i="31"/>
  <c r="AW14" i="31"/>
  <c r="BD14" i="31"/>
  <c r="AM148" i="31"/>
  <c r="AQ129" i="31"/>
  <c r="AQ53" i="31"/>
  <c r="AR53" i="31" s="1"/>
  <c r="BC138" i="31"/>
  <c r="BC53" i="31"/>
  <c r="AV102" i="31"/>
  <c r="AP102" i="31"/>
  <c r="AQ102" i="31"/>
  <c r="AR102" i="31" s="1"/>
  <c r="AS96" i="31"/>
  <c r="AQ96" i="31"/>
  <c r="AR96" i="31" s="1"/>
  <c r="AS87" i="31"/>
  <c r="AQ87" i="31"/>
  <c r="AR87" i="31" s="1"/>
  <c r="AS35" i="31"/>
  <c r="AZ35" i="31"/>
  <c r="AP35" i="31"/>
  <c r="AP110" i="31"/>
  <c r="BB97" i="31"/>
  <c r="AU97" i="31"/>
  <c r="BB86" i="31"/>
  <c r="AQ28" i="31"/>
  <c r="BB28" i="31"/>
  <c r="AU28" i="31"/>
  <c r="BA136" i="31"/>
  <c r="AJ154" i="31"/>
  <c r="AQ136" i="31"/>
  <c r="AR136" i="31" s="1"/>
  <c r="AT136" i="31"/>
  <c r="AO136" i="31"/>
  <c r="AP136" i="31"/>
  <c r="BA125" i="31"/>
  <c r="AT125" i="31"/>
  <c r="CL139" i="31"/>
  <c r="CN139" i="31" s="1"/>
  <c r="CL106" i="31"/>
  <c r="CN106" i="31" s="1"/>
  <c r="AZ33" i="31"/>
  <c r="BS33" i="31"/>
  <c r="BQ134" i="31"/>
  <c r="BR134" i="31" s="1"/>
  <c r="BQ124" i="31"/>
  <c r="BR124" i="31" s="1"/>
  <c r="BQ104" i="31"/>
  <c r="BR104" i="31" s="1"/>
  <c r="BQ92" i="31"/>
  <c r="BR92" i="31" s="1"/>
  <c r="BQ73" i="31"/>
  <c r="BR73" i="31" s="1"/>
  <c r="BQ53" i="31"/>
  <c r="BR53" i="31" s="1"/>
  <c r="BX140" i="31"/>
  <c r="BY140" i="31" s="1"/>
  <c r="BX57" i="31"/>
  <c r="BY57" i="31" s="1"/>
  <c r="BX27" i="31"/>
  <c r="BY27" i="31" s="1"/>
  <c r="CB81" i="31"/>
  <c r="CS133" i="31"/>
  <c r="CT133" i="31"/>
  <c r="DA26" i="31"/>
  <c r="DA14" i="31"/>
  <c r="DB19" i="31"/>
  <c r="BS48" i="31"/>
  <c r="BX48" i="31" s="1"/>
  <c r="BY48" i="31" s="1"/>
  <c r="AW123" i="31"/>
  <c r="BD123" i="31"/>
  <c r="BD40" i="31"/>
  <c r="AW40" i="31"/>
  <c r="AW22" i="31"/>
  <c r="BD22" i="31"/>
  <c r="BC75" i="31"/>
  <c r="AS131" i="31"/>
  <c r="AQ131" i="31"/>
  <c r="AR131" i="31" s="1"/>
  <c r="AZ131" i="31"/>
  <c r="AS115" i="31"/>
  <c r="AQ115" i="31"/>
  <c r="AR115" i="31" s="1"/>
  <c r="AS111" i="31"/>
  <c r="AP111" i="31"/>
  <c r="AQ111" i="31"/>
  <c r="AR111" i="31" s="1"/>
  <c r="AQ62" i="31"/>
  <c r="AV62" i="31"/>
  <c r="AV43" i="31"/>
  <c r="BC43" i="31"/>
  <c r="BB133" i="31"/>
  <c r="AQ133" i="31"/>
  <c r="AR133" i="31" s="1"/>
  <c r="BB122" i="31"/>
  <c r="AP122" i="31"/>
  <c r="AU122" i="31"/>
  <c r="AX122" i="31" s="1"/>
  <c r="AQ122" i="31"/>
  <c r="AR122" i="31" s="1"/>
  <c r="AQ39" i="31"/>
  <c r="AP39" i="31"/>
  <c r="BA88" i="31"/>
  <c r="AP88" i="31"/>
  <c r="BA77" i="31"/>
  <c r="AT77" i="31"/>
  <c r="BA65" i="31"/>
  <c r="AP65" i="31"/>
  <c r="BA53" i="31"/>
  <c r="AT53" i="31"/>
  <c r="AP53" i="31"/>
  <c r="BA43" i="31"/>
  <c r="AP43" i="31"/>
  <c r="AT43" i="31"/>
  <c r="BA31" i="31"/>
  <c r="AP31" i="31"/>
  <c r="AT31" i="31"/>
  <c r="AY31" i="31" s="1"/>
  <c r="BA19" i="31"/>
  <c r="AT19" i="31"/>
  <c r="AG78" i="31"/>
  <c r="BS78" i="31"/>
  <c r="BX78" i="31" s="1"/>
  <c r="BY78" i="31" s="1"/>
  <c r="DN132" i="31"/>
  <c r="DN120" i="31"/>
  <c r="DN108" i="31"/>
  <c r="DN94" i="31"/>
  <c r="DN28" i="31"/>
  <c r="DN23" i="31"/>
  <c r="BI63" i="31"/>
  <c r="BQ113" i="31"/>
  <c r="BR113" i="31" s="1"/>
  <c r="BQ82" i="31"/>
  <c r="BR82" i="31" s="1"/>
  <c r="BQ63" i="31"/>
  <c r="BR63" i="31" s="1"/>
  <c r="BQ31" i="31"/>
  <c r="BR31" i="31" s="1"/>
  <c r="BX128" i="31"/>
  <c r="BY128" i="31" s="1"/>
  <c r="BX116" i="31"/>
  <c r="BY116" i="31" s="1"/>
  <c r="AH50" i="31"/>
  <c r="AR50" i="31" s="1"/>
  <c r="CA137" i="31"/>
  <c r="CA121" i="31"/>
  <c r="CA104" i="31"/>
  <c r="CA86" i="31"/>
  <c r="CA70" i="31"/>
  <c r="DA63" i="31"/>
  <c r="DB42" i="31"/>
  <c r="BS114" i="31"/>
  <c r="AW111" i="31"/>
  <c r="AM154" i="31"/>
  <c r="BD97" i="31"/>
  <c r="AW97" i="31"/>
  <c r="AQ19" i="31"/>
  <c r="AR19" i="31" s="1"/>
  <c r="AZ84" i="31"/>
  <c r="BS84" i="31"/>
  <c r="AU25" i="31"/>
  <c r="BB84" i="31"/>
  <c r="AU84" i="31"/>
  <c r="BB72" i="31"/>
  <c r="AU72" i="31"/>
  <c r="BB49" i="31"/>
  <c r="AP123" i="31"/>
  <c r="BA123" i="31"/>
  <c r="AT123" i="31"/>
  <c r="R60" i="31"/>
  <c r="BS60" i="31"/>
  <c r="BX79" i="31"/>
  <c r="BY79" i="31" s="1"/>
  <c r="AZ41" i="31"/>
  <c r="BS41" i="31"/>
  <c r="AV135" i="31"/>
  <c r="BC135" i="31"/>
  <c r="AS130" i="31"/>
  <c r="AQ130" i="31"/>
  <c r="AR130" i="31" s="1"/>
  <c r="AS125" i="31"/>
  <c r="AZ125" i="31"/>
  <c r="AP125" i="31"/>
  <c r="AV114" i="31"/>
  <c r="AP114" i="31"/>
  <c r="AQ114" i="31"/>
  <c r="AR114" i="31" s="1"/>
  <c r="AS77" i="31"/>
  <c r="AP77" i="31"/>
  <c r="AV38" i="31"/>
  <c r="AP38" i="31"/>
  <c r="BB107" i="31"/>
  <c r="AQ107" i="31"/>
  <c r="AR107" i="31" s="1"/>
  <c r="AU107" i="31"/>
  <c r="BB94" i="31"/>
  <c r="AU94" i="31"/>
  <c r="AQ14" i="31"/>
  <c r="AR14" i="31" s="1"/>
  <c r="AP14" i="31"/>
  <c r="BA134" i="31"/>
  <c r="BF134" i="31" s="1"/>
  <c r="AQ134" i="31"/>
  <c r="AT134" i="31"/>
  <c r="AP134" i="31"/>
  <c r="Z73" i="31"/>
  <c r="Z154" i="31" s="1"/>
  <c r="AI73" i="31"/>
  <c r="CU48" i="31"/>
  <c r="DA133" i="31"/>
  <c r="BS112" i="31"/>
  <c r="AW110" i="31"/>
  <c r="AW71" i="31"/>
  <c r="AQ67" i="31"/>
  <c r="AR67" i="31" s="1"/>
  <c r="AZ71" i="31"/>
  <c r="BS71" i="31"/>
  <c r="R71" i="31"/>
  <c r="AV140" i="31"/>
  <c r="AP140" i="31"/>
  <c r="BC140" i="31"/>
  <c r="AQ140" i="31"/>
  <c r="AQ118" i="31"/>
  <c r="AP118" i="31"/>
  <c r="AP42" i="31"/>
  <c r="AQ38" i="31"/>
  <c r="AU141" i="31"/>
  <c r="AX141" i="31" s="1"/>
  <c r="AP141" i="31"/>
  <c r="BB130" i="31"/>
  <c r="AU130" i="31"/>
  <c r="BB118" i="31"/>
  <c r="AU118" i="31"/>
  <c r="DN75" i="31"/>
  <c r="DN38" i="31"/>
  <c r="DN33" i="31"/>
  <c r="BI136" i="31"/>
  <c r="BI29" i="31"/>
  <c r="BQ141" i="31"/>
  <c r="BR141" i="31" s="1"/>
  <c r="BQ121" i="31"/>
  <c r="BR121" i="31" s="1"/>
  <c r="BQ101" i="31"/>
  <c r="BR101" i="31" s="1"/>
  <c r="BQ89" i="31"/>
  <c r="BR89" i="31" s="1"/>
  <c r="BQ70" i="31"/>
  <c r="BR70" i="31" s="1"/>
  <c r="BQ39" i="31"/>
  <c r="BR39" i="31" s="1"/>
  <c r="BX135" i="31"/>
  <c r="BY135" i="31" s="1"/>
  <c r="BX89" i="31"/>
  <c r="BY89" i="31" s="1"/>
  <c r="BX77" i="31"/>
  <c r="BY77" i="31" s="1"/>
  <c r="CA125" i="31"/>
  <c r="CA108" i="31"/>
  <c r="CA90" i="31"/>
  <c r="CA74" i="31"/>
  <c r="CA57" i="31"/>
  <c r="CA39" i="31"/>
  <c r="CA34" i="31"/>
  <c r="CD34" i="31" s="1"/>
  <c r="CA18" i="31"/>
  <c r="DA60" i="31"/>
  <c r="DB77" i="31"/>
  <c r="AP130" i="31"/>
  <c r="AW56" i="31"/>
  <c r="BD56" i="31"/>
  <c r="AQ116" i="31"/>
  <c r="AR116" i="31" s="1"/>
  <c r="AQ41" i="31"/>
  <c r="AR41" i="31" s="1"/>
  <c r="AS118" i="31"/>
  <c r="AQ61" i="31"/>
  <c r="AR61" i="31" s="1"/>
  <c r="AP61" i="31"/>
  <c r="AT116" i="31"/>
  <c r="BB81" i="31"/>
  <c r="AP81" i="31"/>
  <c r="AQ81" i="31"/>
  <c r="BB69" i="31"/>
  <c r="AU69" i="31"/>
  <c r="AP69" i="31"/>
  <c r="AQ69" i="31"/>
  <c r="AR69" i="31" s="1"/>
  <c r="BB57" i="31"/>
  <c r="AP57" i="31"/>
  <c r="AQ57" i="31"/>
  <c r="AR57" i="31" s="1"/>
  <c r="AC158" i="31"/>
  <c r="AK137" i="31"/>
  <c r="CK94" i="31"/>
  <c r="CL94" i="31" s="1"/>
  <c r="O94" i="31"/>
  <c r="AW118" i="31"/>
  <c r="BD118" i="31"/>
  <c r="BD64" i="31"/>
  <c r="AP64" i="31"/>
  <c r="AW64" i="31"/>
  <c r="BD55" i="31"/>
  <c r="AW55" i="31"/>
  <c r="BD36" i="31"/>
  <c r="AW36" i="31"/>
  <c r="AQ113" i="31"/>
  <c r="AZ37" i="31"/>
  <c r="BS37" i="31"/>
  <c r="AV123" i="31"/>
  <c r="BC123" i="31"/>
  <c r="AV105" i="31"/>
  <c r="AP105" i="31"/>
  <c r="AQ105" i="31"/>
  <c r="AR105" i="31" s="1"/>
  <c r="AS94" i="31"/>
  <c r="AQ94" i="31"/>
  <c r="AS85" i="31"/>
  <c r="AQ85" i="31"/>
  <c r="AR85" i="31" s="1"/>
  <c r="AP85" i="31"/>
  <c r="AQ52" i="31"/>
  <c r="AP52" i="31"/>
  <c r="AP33" i="31"/>
  <c r="AQ33" i="31"/>
  <c r="AR33" i="31" s="1"/>
  <c r="BB91" i="31"/>
  <c r="AU91" i="31"/>
  <c r="CL132" i="31"/>
  <c r="CN132" i="31" s="1"/>
  <c r="AZ81" i="31"/>
  <c r="BS81" i="31"/>
  <c r="S115" i="13"/>
  <c r="O115" i="13" s="1"/>
  <c r="DN74" i="31"/>
  <c r="DN49" i="31"/>
  <c r="DN20" i="31"/>
  <c r="BI60" i="31"/>
  <c r="BI17" i="31"/>
  <c r="BQ129" i="31"/>
  <c r="BR129" i="31" s="1"/>
  <c r="BQ118" i="31"/>
  <c r="BR118" i="31" s="1"/>
  <c r="BQ109" i="31"/>
  <c r="BR109" i="31" s="1"/>
  <c r="BQ97" i="31"/>
  <c r="BR97" i="31" s="1"/>
  <c r="BQ68" i="31"/>
  <c r="BR68" i="31" s="1"/>
  <c r="BQ58" i="31"/>
  <c r="BR58" i="31" s="1"/>
  <c r="BQ48" i="31"/>
  <c r="BR48" i="31" s="1"/>
  <c r="BX98" i="31"/>
  <c r="BY98" i="31" s="1"/>
  <c r="CA140" i="31"/>
  <c r="CA124" i="31"/>
  <c r="CD124" i="31" s="1"/>
  <c r="CA107" i="31"/>
  <c r="CA89" i="31"/>
  <c r="CD89" i="31" s="1"/>
  <c r="CA73" i="31"/>
  <c r="CD73" i="31" s="1"/>
  <c r="CA56" i="31"/>
  <c r="CV54" i="31"/>
  <c r="CW54" i="31" s="1"/>
  <c r="CU120" i="31"/>
  <c r="DB125" i="31"/>
  <c r="DB63" i="31"/>
  <c r="AW38" i="31"/>
  <c r="BD82" i="31"/>
  <c r="AP82" i="31"/>
  <c r="AW82" i="31"/>
  <c r="AX82" i="31" s="1"/>
  <c r="AW72" i="31"/>
  <c r="BD72" i="31"/>
  <c r="BD44" i="31"/>
  <c r="AP44" i="31"/>
  <c r="AW44" i="31"/>
  <c r="BC26" i="31"/>
  <c r="AP80" i="31"/>
  <c r="AV74" i="31"/>
  <c r="BC74" i="31"/>
  <c r="BB127" i="31"/>
  <c r="BE127" i="31" s="1"/>
  <c r="AP127" i="31"/>
  <c r="AQ127" i="31"/>
  <c r="AR127" i="31" s="1"/>
  <c r="BA83" i="31"/>
  <c r="AT83" i="31"/>
  <c r="AP83" i="31"/>
  <c r="BA71" i="31"/>
  <c r="AT71" i="31"/>
  <c r="AP71" i="31"/>
  <c r="BA59" i="31"/>
  <c r="AP59" i="31"/>
  <c r="AT59" i="31"/>
  <c r="AP48" i="31"/>
  <c r="AQ48" i="31"/>
  <c r="AR48" i="31" s="1"/>
  <c r="BA37" i="31"/>
  <c r="AT37" i="31"/>
  <c r="AQ37" i="31"/>
  <c r="BA25" i="31"/>
  <c r="AT25" i="31"/>
  <c r="CJ59" i="31"/>
  <c r="I59" i="31"/>
  <c r="AS59" i="31" s="1"/>
  <c r="AP121" i="31"/>
  <c r="AP27" i="31"/>
  <c r="AQ117" i="31"/>
  <c r="AR117" i="31" s="1"/>
  <c r="AZ135" i="31"/>
  <c r="AZ57" i="31"/>
  <c r="AZ42" i="31"/>
  <c r="AS68" i="31"/>
  <c r="AT81" i="31"/>
  <c r="BA49" i="31"/>
  <c r="CJ129" i="31"/>
  <c r="CK66" i="31"/>
  <c r="CJ49" i="31"/>
  <c r="CK33" i="31"/>
  <c r="CK111" i="31"/>
  <c r="CL111" i="31" s="1"/>
  <c r="CN111" i="31" s="1"/>
  <c r="AQ8" i="33"/>
  <c r="AW103" i="31"/>
  <c r="AW89" i="31"/>
  <c r="AX29" i="31"/>
  <c r="AP106" i="31"/>
  <c r="AP89" i="31"/>
  <c r="AP25" i="31"/>
  <c r="BD81" i="31"/>
  <c r="AQ70" i="31"/>
  <c r="AQ46" i="31"/>
  <c r="DH46" i="31" s="1"/>
  <c r="DJ46" i="31" s="1"/>
  <c r="AZ113" i="31"/>
  <c r="AZ98" i="31"/>
  <c r="AS43" i="31"/>
  <c r="AS39" i="31"/>
  <c r="AS30" i="31"/>
  <c r="AS14" i="31"/>
  <c r="AU131" i="31"/>
  <c r="AU61" i="31"/>
  <c r="AT137" i="31"/>
  <c r="BB140" i="31"/>
  <c r="BB40" i="31"/>
  <c r="CJ137" i="31"/>
  <c r="CL124" i="31"/>
  <c r="CN124" i="31" s="1"/>
  <c r="CK102" i="31"/>
  <c r="AQ21" i="31"/>
  <c r="AZ63" i="31"/>
  <c r="BC48" i="31"/>
  <c r="AS84" i="31"/>
  <c r="AU93" i="31"/>
  <c r="AU59" i="31"/>
  <c r="AT45" i="31"/>
  <c r="AT33" i="31"/>
  <c r="AT21" i="31"/>
  <c r="CL141" i="31"/>
  <c r="CK61" i="31"/>
  <c r="K132" i="13"/>
  <c r="BF106" i="31"/>
  <c r="CK69" i="31"/>
  <c r="CL69" i="31" s="1"/>
  <c r="CK47" i="31"/>
  <c r="CL36" i="31"/>
  <c r="CN36" i="31" s="1"/>
  <c r="BE115" i="33"/>
  <c r="BE79" i="31"/>
  <c r="AQ124" i="31"/>
  <c r="AR124" i="31" s="1"/>
  <c r="AQ90" i="31"/>
  <c r="AR90" i="31" s="1"/>
  <c r="AQ42" i="31"/>
  <c r="AR42" i="31" s="1"/>
  <c r="AQ18" i="31"/>
  <c r="AR18" i="31" s="1"/>
  <c r="AZ119" i="31"/>
  <c r="AZ76" i="31"/>
  <c r="BE76" i="31" s="1"/>
  <c r="BC29" i="31"/>
  <c r="AV59" i="31"/>
  <c r="AS56" i="31"/>
  <c r="AJ148" i="31"/>
  <c r="BB47" i="31"/>
  <c r="W434" i="31"/>
  <c r="CK136" i="31"/>
  <c r="CL136" i="31" s="1"/>
  <c r="CN136" i="31" s="1"/>
  <c r="CK109" i="31"/>
  <c r="CL105" i="31"/>
  <c r="CN105" i="31" s="1"/>
  <c r="CK81" i="31"/>
  <c r="CL81" i="31" s="1"/>
  <c r="CK60" i="31"/>
  <c r="CJ47" i="31"/>
  <c r="CL143" i="33"/>
  <c r="AW121" i="31"/>
  <c r="AX109" i="31"/>
  <c r="AP100" i="31"/>
  <c r="BE43" i="31"/>
  <c r="AQ88" i="31"/>
  <c r="AQ76" i="31"/>
  <c r="AQ16" i="31"/>
  <c r="AR16" i="31" s="1"/>
  <c r="BC125" i="31"/>
  <c r="AS102" i="31"/>
  <c r="AS41" i="31"/>
  <c r="AT57" i="31"/>
  <c r="CL39" i="31"/>
  <c r="CK21" i="31"/>
  <c r="AH143" i="33"/>
  <c r="AP124" i="31"/>
  <c r="AP70" i="31"/>
  <c r="BC103" i="31"/>
  <c r="AZ89" i="31"/>
  <c r="AZ52" i="31"/>
  <c r="AU85" i="31"/>
  <c r="AU17" i="31"/>
  <c r="BF79" i="31"/>
  <c r="CL42" i="31"/>
  <c r="CN42" i="31" s="1"/>
  <c r="BE117" i="33"/>
  <c r="CE140" i="33"/>
  <c r="AP97" i="31"/>
  <c r="AQ98" i="31"/>
  <c r="AR98" i="31" s="1"/>
  <c r="AZ130" i="31"/>
  <c r="BF130" i="31" s="1"/>
  <c r="BC124" i="31"/>
  <c r="BF124" i="31" s="1"/>
  <c r="AZ80" i="31"/>
  <c r="AZ51" i="31"/>
  <c r="AZ34" i="31"/>
  <c r="AZ27" i="31"/>
  <c r="AZ22" i="31"/>
  <c r="AI78" i="31"/>
  <c r="AU119" i="31"/>
  <c r="AT69" i="31"/>
  <c r="R39" i="13"/>
  <c r="J39" i="13" s="1"/>
  <c r="BE54" i="33"/>
  <c r="AQ106" i="31"/>
  <c r="AR106" i="31" s="1"/>
  <c r="AQ97" i="31"/>
  <c r="AZ115" i="31"/>
  <c r="AZ88" i="31"/>
  <c r="AU83" i="31"/>
  <c r="AT124" i="31"/>
  <c r="CK120" i="31"/>
  <c r="CL120" i="31" s="1"/>
  <c r="CK63" i="31"/>
  <c r="CK49" i="31"/>
  <c r="Q41" i="13"/>
  <c r="I41" i="13" s="1"/>
  <c r="R36" i="13"/>
  <c r="J36" i="13" s="1"/>
  <c r="K15" i="13"/>
  <c r="K9" i="13"/>
  <c r="S2" i="13"/>
  <c r="O113" i="13"/>
  <c r="O110" i="13"/>
  <c r="O108" i="13"/>
  <c r="O107" i="13"/>
  <c r="O104" i="13"/>
  <c r="K101" i="13"/>
  <c r="K99" i="13"/>
  <c r="K98" i="13"/>
  <c r="K96" i="13"/>
  <c r="K95" i="13"/>
  <c r="K93" i="13"/>
  <c r="K92" i="13"/>
  <c r="K89" i="13"/>
  <c r="K87" i="13"/>
  <c r="K86" i="13"/>
  <c r="K84" i="13"/>
  <c r="K83" i="13"/>
  <c r="K81" i="13"/>
  <c r="K80" i="13"/>
  <c r="K78" i="13"/>
  <c r="K77" i="13"/>
  <c r="K75" i="13"/>
  <c r="K74" i="13"/>
  <c r="K72" i="13"/>
  <c r="K71" i="13"/>
  <c r="O51" i="13"/>
  <c r="K62" i="13"/>
  <c r="K59" i="13"/>
  <c r="K57" i="13"/>
  <c r="K54" i="13"/>
  <c r="O47" i="13"/>
  <c r="O44" i="13"/>
  <c r="O39" i="13"/>
  <c r="Q38" i="13"/>
  <c r="I38" i="13" s="1"/>
  <c r="O36" i="13"/>
  <c r="Q35" i="13"/>
  <c r="I35" i="13" s="1"/>
  <c r="O33" i="13"/>
  <c r="Q32" i="13"/>
  <c r="I32" i="13" s="1"/>
  <c r="O30" i="13"/>
  <c r="Q29" i="13"/>
  <c r="I29" i="13" s="1"/>
  <c r="O27" i="13"/>
  <c r="Q26" i="13"/>
  <c r="I26" i="13" s="1"/>
  <c r="O24" i="13"/>
  <c r="Q23" i="13"/>
  <c r="I23" i="13" s="1"/>
  <c r="Q20" i="13"/>
  <c r="I20" i="13" s="1"/>
  <c r="Q18" i="13"/>
  <c r="I18" i="13" s="1"/>
  <c r="Q17" i="13"/>
  <c r="I17" i="13" s="1"/>
  <c r="O15" i="13"/>
  <c r="Q14" i="13"/>
  <c r="I14" i="13" s="1"/>
  <c r="O12" i="13"/>
  <c r="Q11" i="13"/>
  <c r="I11" i="13" s="1"/>
  <c r="O9" i="13"/>
  <c r="Q8" i="13"/>
  <c r="I8" i="13" s="1"/>
  <c r="O61" i="13"/>
  <c r="O58" i="13"/>
  <c r="O56" i="13"/>
  <c r="O53" i="13"/>
  <c r="P32" i="13"/>
  <c r="P29" i="13"/>
  <c r="P26" i="13"/>
  <c r="P23" i="13"/>
  <c r="O134" i="13"/>
  <c r="P100" i="13"/>
  <c r="S132" i="13"/>
  <c r="Q132" i="13" s="1"/>
  <c r="I132" i="13" s="1"/>
  <c r="K121" i="13"/>
  <c r="Q15" i="13"/>
  <c r="I15" i="13" s="1"/>
  <c r="O120" i="13"/>
  <c r="R28" i="13"/>
  <c r="J28" i="13" s="1"/>
  <c r="R24" i="13"/>
  <c r="J24" i="13" s="1"/>
  <c r="K18" i="13"/>
  <c r="O123" i="13"/>
  <c r="O117" i="13"/>
  <c r="O126" i="13"/>
  <c r="K111" i="13"/>
  <c r="K110" i="13"/>
  <c r="K108" i="13"/>
  <c r="K107" i="13"/>
  <c r="K105" i="13"/>
  <c r="K104" i="13"/>
  <c r="O20" i="13"/>
  <c r="O17" i="13"/>
  <c r="O14" i="13"/>
  <c r="O11" i="13"/>
  <c r="O8" i="13"/>
  <c r="O68" i="13"/>
  <c r="O64" i="13"/>
  <c r="K61" i="13"/>
  <c r="K58" i="13"/>
  <c r="K56" i="13"/>
  <c r="O46" i="13"/>
  <c r="P41" i="13"/>
  <c r="O38" i="13"/>
  <c r="O35" i="13"/>
  <c r="O32" i="13"/>
  <c r="O29" i="13"/>
  <c r="O26" i="13"/>
  <c r="O23" i="13"/>
  <c r="O50" i="13"/>
  <c r="K47" i="13"/>
  <c r="K44" i="13"/>
  <c r="K39" i="13"/>
  <c r="K36" i="13"/>
  <c r="K33" i="13"/>
  <c r="K27" i="13"/>
  <c r="P60" i="13"/>
  <c r="O101" i="13"/>
  <c r="O95" i="13"/>
  <c r="O92" i="13"/>
  <c r="O89" i="13"/>
  <c r="O86" i="13"/>
  <c r="O83" i="13"/>
  <c r="O80" i="13"/>
  <c r="O74" i="13"/>
  <c r="O71" i="13"/>
  <c r="CC18" i="29"/>
  <c r="CB18" i="29"/>
  <c r="BF18" i="29"/>
  <c r="BE18" i="29"/>
  <c r="BF31" i="29"/>
  <c r="BE31" i="29"/>
  <c r="BE15" i="29"/>
  <c r="BF15" i="29"/>
  <c r="CE26" i="29"/>
  <c r="CD36" i="29"/>
  <c r="CB36" i="29"/>
  <c r="AR75" i="29"/>
  <c r="CX28" i="29"/>
  <c r="CX119" i="29"/>
  <c r="CX127" i="29"/>
  <c r="AR133" i="29"/>
  <c r="BQ119" i="29"/>
  <c r="BR119" i="29" s="1"/>
  <c r="BQ110" i="29"/>
  <c r="BR110" i="29" s="1"/>
  <c r="CX81" i="29"/>
  <c r="CT102" i="29"/>
  <c r="CX97" i="29"/>
  <c r="CX62" i="29"/>
  <c r="CM22" i="29"/>
  <c r="CX17" i="29"/>
  <c r="CT15" i="29"/>
  <c r="CU15" i="29" s="1"/>
  <c r="AR31" i="29"/>
  <c r="BI7" i="29"/>
  <c r="BX15" i="29"/>
  <c r="BY15" i="29" s="1"/>
  <c r="CG16" i="29"/>
  <c r="CH16" i="29" s="1"/>
  <c r="BX20" i="29"/>
  <c r="BY20" i="29" s="1"/>
  <c r="BZ21" i="29"/>
  <c r="AZ24" i="29"/>
  <c r="BF24" i="29" s="1"/>
  <c r="BQ27" i="29"/>
  <c r="BR27" i="29" s="1"/>
  <c r="CB33" i="29"/>
  <c r="CF33" i="29" s="1"/>
  <c r="AJ142" i="29"/>
  <c r="BX35" i="29"/>
  <c r="BY35" i="29" s="1"/>
  <c r="CV37" i="29"/>
  <c r="CX37" i="29" s="1"/>
  <c r="AU37" i="29"/>
  <c r="AX37" i="29" s="1"/>
  <c r="AQ37" i="29"/>
  <c r="AR37" i="29" s="1"/>
  <c r="BC38" i="29"/>
  <c r="BV38" i="29"/>
  <c r="BX38" i="29" s="1"/>
  <c r="BY38" i="29" s="1"/>
  <c r="CJ38" i="29"/>
  <c r="AH38" i="29"/>
  <c r="CU38" i="29" s="1"/>
  <c r="BO38" i="29"/>
  <c r="BQ38" i="29" s="1"/>
  <c r="BR38" i="29" s="1"/>
  <c r="AV38" i="29"/>
  <c r="BA38" i="29"/>
  <c r="AO38" i="29"/>
  <c r="AW39" i="29"/>
  <c r="AX39" i="29" s="1"/>
  <c r="BD39" i="29"/>
  <c r="BE39" i="29" s="1"/>
  <c r="CT78" i="29"/>
  <c r="CX129" i="29"/>
  <c r="CT81" i="29"/>
  <c r="CU81" i="29" s="1"/>
  <c r="CX78" i="29"/>
  <c r="CT68" i="29"/>
  <c r="CU68" i="29" s="1"/>
  <c r="CT64" i="29"/>
  <c r="CU64" i="29" s="1"/>
  <c r="CT72" i="29"/>
  <c r="CU72" i="29" s="1"/>
  <c r="CT71" i="29"/>
  <c r="CU71" i="29" s="1"/>
  <c r="CX35" i="29"/>
  <c r="AW15" i="29"/>
  <c r="AX15" i="29" s="1"/>
  <c r="CA15" i="29"/>
  <c r="CD15" i="29" s="1"/>
  <c r="DI15" i="29"/>
  <c r="AH16" i="29"/>
  <c r="AS16" i="29"/>
  <c r="CA16" i="29"/>
  <c r="CD16" i="29" s="1"/>
  <c r="BZ16" i="29"/>
  <c r="CJ16" i="29"/>
  <c r="CL16" i="29" s="1"/>
  <c r="DI16" i="29"/>
  <c r="AS17" i="29"/>
  <c r="BQ17" i="29"/>
  <c r="BR17" i="29" s="1"/>
  <c r="DI17" i="29"/>
  <c r="AY18" i="29"/>
  <c r="BQ18" i="29"/>
  <c r="BR18" i="29" s="1"/>
  <c r="CM18" i="29"/>
  <c r="DI18" i="29"/>
  <c r="BZ19" i="29"/>
  <c r="CA19" i="29"/>
  <c r="CD19" i="29" s="1"/>
  <c r="BZ20" i="29"/>
  <c r="DI20" i="29"/>
  <c r="DI21" i="29"/>
  <c r="BZ22" i="29"/>
  <c r="DI22" i="29"/>
  <c r="CK23" i="29"/>
  <c r="AH23" i="29"/>
  <c r="BC23" i="29"/>
  <c r="DI23" i="29"/>
  <c r="CV24" i="29"/>
  <c r="CX24" i="29" s="1"/>
  <c r="AV24" i="29"/>
  <c r="CA24" i="29"/>
  <c r="CO25" i="29"/>
  <c r="AH25" i="29"/>
  <c r="CV25" i="29"/>
  <c r="AV25" i="29"/>
  <c r="DI25" i="29"/>
  <c r="AH26" i="29"/>
  <c r="AO26" i="29"/>
  <c r="CV27" i="29"/>
  <c r="CX27" i="29" s="1"/>
  <c r="BZ27" i="29"/>
  <c r="BQ29" i="29"/>
  <c r="BR29" i="29" s="1"/>
  <c r="AH29" i="29"/>
  <c r="CU29" i="29" s="1"/>
  <c r="CQ30" i="29"/>
  <c r="CT30" i="29" s="1"/>
  <c r="BZ30" i="29"/>
  <c r="BX30" i="29"/>
  <c r="BY30" i="29" s="1"/>
  <c r="CA30" i="29"/>
  <c r="CD30" i="29" s="1"/>
  <c r="AV31" i="29"/>
  <c r="AY31" i="29" s="1"/>
  <c r="BI31" i="29"/>
  <c r="BZ31" i="29"/>
  <c r="CH31" i="29"/>
  <c r="DI31" i="29"/>
  <c r="AH32" i="29"/>
  <c r="BZ32" i="29"/>
  <c r="CW32" i="29"/>
  <c r="CX32" i="29" s="1"/>
  <c r="DI32" i="29"/>
  <c r="AS33" i="29"/>
  <c r="AW33" i="29"/>
  <c r="CJ33" i="29"/>
  <c r="CL33" i="29" s="1"/>
  <c r="DI33" i="29"/>
  <c r="CA34" i="29"/>
  <c r="CB34" i="29" s="1"/>
  <c r="AO35" i="29"/>
  <c r="DI35" i="29"/>
  <c r="CK37" i="29"/>
  <c r="CL37" i="29" s="1"/>
  <c r="DB37" i="29"/>
  <c r="BB37" i="29"/>
  <c r="CD37" i="29"/>
  <c r="CM76" i="29"/>
  <c r="AH76" i="29"/>
  <c r="AR76" i="29" s="1"/>
  <c r="DI36" i="29"/>
  <c r="BZ38" i="29"/>
  <c r="CA38" i="29"/>
  <c r="CD38" i="29" s="1"/>
  <c r="CK38" i="29"/>
  <c r="DI38" i="29"/>
  <c r="BS39" i="29"/>
  <c r="BX39" i="29" s="1"/>
  <c r="BY39" i="29" s="1"/>
  <c r="CN39" i="29"/>
  <c r="CT39" i="29" s="1"/>
  <c r="CU39" i="29" s="1"/>
  <c r="CZ39" i="29"/>
  <c r="DI39" i="29"/>
  <c r="AV40" i="29"/>
  <c r="BV40" i="29"/>
  <c r="BX40" i="29" s="1"/>
  <c r="BY40" i="29" s="1"/>
  <c r="BD40" i="29"/>
  <c r="BE40" i="29" s="1"/>
  <c r="CA40" i="29"/>
  <c r="CD40" i="29" s="1"/>
  <c r="DI40" i="29"/>
  <c r="BZ41" i="29"/>
  <c r="CG41" i="29"/>
  <c r="CH41" i="29" s="1"/>
  <c r="DI41" i="29"/>
  <c r="CK42" i="29"/>
  <c r="CL42" i="29" s="1"/>
  <c r="CA42" i="29"/>
  <c r="CO42" i="29"/>
  <c r="DI42" i="29"/>
  <c r="CY43" i="29"/>
  <c r="AU43" i="29"/>
  <c r="CH43" i="29"/>
  <c r="CO43" i="29"/>
  <c r="CV43" i="29"/>
  <c r="CX43" i="29" s="1"/>
  <c r="CM44" i="29"/>
  <c r="AZ44" i="29"/>
  <c r="BQ44" i="29"/>
  <c r="BR44" i="29" s="1"/>
  <c r="BZ44" i="29"/>
  <c r="CJ44" i="29"/>
  <c r="CL44" i="29" s="1"/>
  <c r="AP45" i="29"/>
  <c r="CH45" i="29"/>
  <c r="CW45" i="29"/>
  <c r="BO46" i="29"/>
  <c r="BQ46" i="29" s="1"/>
  <c r="BR46" i="29" s="1"/>
  <c r="BC46" i="29"/>
  <c r="AT46" i="29"/>
  <c r="BA46" i="29"/>
  <c r="BG46" i="29"/>
  <c r="BI46" i="29" s="1"/>
  <c r="CG46" i="29"/>
  <c r="CH46" i="29" s="1"/>
  <c r="CV46" i="29"/>
  <c r="CX46" i="29" s="1"/>
  <c r="AH47" i="29"/>
  <c r="CW47" i="29"/>
  <c r="AP47" i="29"/>
  <c r="CV47" i="29"/>
  <c r="DI47" i="29"/>
  <c r="CO48" i="29"/>
  <c r="AP48" i="29"/>
  <c r="BZ48" i="29"/>
  <c r="AG49" i="29"/>
  <c r="AW49" i="29"/>
  <c r="DI49" i="29"/>
  <c r="DI50" i="29"/>
  <c r="CA51" i="29"/>
  <c r="CJ51" i="29"/>
  <c r="CL51" i="29" s="1"/>
  <c r="CG51" i="29"/>
  <c r="CH51" i="29" s="1"/>
  <c r="AH52" i="29"/>
  <c r="AO52" i="29"/>
  <c r="AT52" i="29"/>
  <c r="AY52" i="29" s="1"/>
  <c r="BA52" i="29"/>
  <c r="BX52" i="29"/>
  <c r="BY52" i="29" s="1"/>
  <c r="CJ53" i="29"/>
  <c r="CL53" i="29" s="1"/>
  <c r="BB54" i="29"/>
  <c r="CA54" i="29"/>
  <c r="CD54" i="29" s="1"/>
  <c r="CH54" i="29"/>
  <c r="CW54" i="29"/>
  <c r="CA55" i="29"/>
  <c r="CR55" i="29"/>
  <c r="CY56" i="29"/>
  <c r="AU56" i="29"/>
  <c r="CJ56" i="29"/>
  <c r="CL56" i="29" s="1"/>
  <c r="CP56" i="29"/>
  <c r="DI56" i="29"/>
  <c r="AH58" i="29"/>
  <c r="AR58" i="29" s="1"/>
  <c r="BX58" i="29"/>
  <c r="BY58" i="29" s="1"/>
  <c r="DI59" i="29"/>
  <c r="AH60" i="29"/>
  <c r="AV60" i="29"/>
  <c r="AY60" i="29" s="1"/>
  <c r="BG60" i="29"/>
  <c r="BI60" i="29" s="1"/>
  <c r="CA60" i="29"/>
  <c r="DI60" i="29"/>
  <c r="BZ61" i="29"/>
  <c r="DB62" i="29"/>
  <c r="DI62" i="29"/>
  <c r="BX63" i="29"/>
  <c r="BY63" i="29" s="1"/>
  <c r="AV63" i="29"/>
  <c r="BO63" i="29"/>
  <c r="CJ63" i="29"/>
  <c r="CK63" i="29"/>
  <c r="AQ63" i="29"/>
  <c r="AR63" i="29" s="1"/>
  <c r="CN66" i="29"/>
  <c r="CT66" i="29" s="1"/>
  <c r="CU66" i="29" s="1"/>
  <c r="BX71" i="29"/>
  <c r="BY71" i="29" s="1"/>
  <c r="CB71" i="29"/>
  <c r="CM72" i="29"/>
  <c r="BX73" i="29"/>
  <c r="BY73" i="29" s="1"/>
  <c r="CH74" i="29"/>
  <c r="BQ77" i="29"/>
  <c r="BR77" i="29" s="1"/>
  <c r="BX79" i="29"/>
  <c r="BY79" i="29" s="1"/>
  <c r="CQ84" i="29"/>
  <c r="CT84" i="29" s="1"/>
  <c r="CU84" i="29" s="1"/>
  <c r="BC85" i="29"/>
  <c r="BF87" i="29"/>
  <c r="AH93" i="29"/>
  <c r="AR93" i="29" s="1"/>
  <c r="AP93" i="29"/>
  <c r="CL95" i="29"/>
  <c r="BX95" i="29"/>
  <c r="BY95" i="29" s="1"/>
  <c r="AP95" i="29"/>
  <c r="BX97" i="29"/>
  <c r="BY97" i="29" s="1"/>
  <c r="CQ101" i="29"/>
  <c r="CT101" i="29" s="1"/>
  <c r="CU101" i="29" s="1"/>
  <c r="AH102" i="29"/>
  <c r="AR102" i="29" s="1"/>
  <c r="CC105" i="29"/>
  <c r="BQ106" i="29"/>
  <c r="BR106" i="29" s="1"/>
  <c r="AH106" i="29"/>
  <c r="CR106" i="29"/>
  <c r="CK106" i="29"/>
  <c r="CL106" i="29" s="1"/>
  <c r="AV107" i="29"/>
  <c r="AZ108" i="29"/>
  <c r="CZ108" i="29"/>
  <c r="CA110" i="29"/>
  <c r="CA112" i="29"/>
  <c r="CW113" i="29"/>
  <c r="CQ114" i="29"/>
  <c r="CT114" i="29" s="1"/>
  <c r="CV114" i="29"/>
  <c r="CA115" i="29"/>
  <c r="AH116" i="29"/>
  <c r="AR116" i="29" s="1"/>
  <c r="BC116" i="29"/>
  <c r="BF116" i="29" s="1"/>
  <c r="CW116" i="29"/>
  <c r="DI116" i="29"/>
  <c r="DI117" i="29"/>
  <c r="AH118" i="29"/>
  <c r="AR118" i="29" s="1"/>
  <c r="CZ118" i="29"/>
  <c r="CW120" i="29"/>
  <c r="CX120" i="29" s="1"/>
  <c r="BQ121" i="29"/>
  <c r="BR121" i="29" s="1"/>
  <c r="AV125" i="29"/>
  <c r="AY125" i="29" s="1"/>
  <c r="BX126" i="29"/>
  <c r="BY126" i="29" s="1"/>
  <c r="AP126" i="29"/>
  <c r="BD128" i="29"/>
  <c r="BE128" i="29" s="1"/>
  <c r="BL135" i="29"/>
  <c r="BQ135" i="29" s="1"/>
  <c r="BR135" i="29" s="1"/>
  <c r="BQ137" i="29"/>
  <c r="BR137" i="29" s="1"/>
  <c r="BX137" i="29"/>
  <c r="BY137" i="29" s="1"/>
  <c r="AH137" i="29"/>
  <c r="CU137" i="29" s="1"/>
  <c r="DI139" i="29"/>
  <c r="BC141" i="29"/>
  <c r="MA9" i="26"/>
  <c r="LV8" i="26"/>
  <c r="LV9" i="26" s="1"/>
  <c r="CB25" i="31"/>
  <c r="CB46" i="29"/>
  <c r="CC51" i="29"/>
  <c r="AR56" i="29"/>
  <c r="BQ63" i="29"/>
  <c r="BR63" i="29" s="1"/>
  <c r="CR63" i="29"/>
  <c r="AZ64" i="29"/>
  <c r="BF64" i="29" s="1"/>
  <c r="BZ64" i="29"/>
  <c r="AH65" i="29"/>
  <c r="AR65" i="29" s="1"/>
  <c r="CY66" i="29"/>
  <c r="BZ67" i="29"/>
  <c r="CZ67" i="29"/>
  <c r="CH68" i="29"/>
  <c r="CY69" i="29"/>
  <c r="AV69" i="29"/>
  <c r="CR70" i="29"/>
  <c r="AQ70" i="29"/>
  <c r="AR70" i="29" s="1"/>
  <c r="AT70" i="29"/>
  <c r="CA70" i="29"/>
  <c r="CD70" i="29" s="1"/>
  <c r="CJ70" i="29"/>
  <c r="CL70" i="29" s="1"/>
  <c r="DI70" i="29"/>
  <c r="AS71" i="29"/>
  <c r="DI71" i="29"/>
  <c r="CJ72" i="29"/>
  <c r="CL72" i="29" s="1"/>
  <c r="AS72" i="29"/>
  <c r="AY72" i="29" s="1"/>
  <c r="BZ72" i="29"/>
  <c r="Z73" i="29"/>
  <c r="CC73" i="29"/>
  <c r="CA73" i="29"/>
  <c r="CV73" i="29"/>
  <c r="CX73" i="29" s="1"/>
  <c r="DI73" i="29"/>
  <c r="Z74" i="29"/>
  <c r="CH75" i="29"/>
  <c r="CW75" i="29"/>
  <c r="CX75" i="29" s="1"/>
  <c r="DI75" i="29"/>
  <c r="CS76" i="29"/>
  <c r="BS76" i="29"/>
  <c r="BX76" i="29" s="1"/>
  <c r="BY76" i="29" s="1"/>
  <c r="BZ77" i="29"/>
  <c r="CH77" i="29"/>
  <c r="AG78" i="29"/>
  <c r="AH80" i="29"/>
  <c r="BD80" i="29"/>
  <c r="BZ80" i="29"/>
  <c r="CA80" i="29"/>
  <c r="CD80" i="29" s="1"/>
  <c r="CW80" i="29"/>
  <c r="CX80" i="29" s="1"/>
  <c r="CP81" i="29"/>
  <c r="AW81" i="29"/>
  <c r="AX81" i="29" s="1"/>
  <c r="BH81" i="29"/>
  <c r="BI81" i="29" s="1"/>
  <c r="BZ81" i="29"/>
  <c r="CZ81" i="29"/>
  <c r="CM82" i="29"/>
  <c r="CS82" i="29"/>
  <c r="CY83" i="29"/>
  <c r="CA83" i="29"/>
  <c r="CD83" i="29" s="1"/>
  <c r="BZ83" i="29"/>
  <c r="CL83" i="29"/>
  <c r="BL84" i="29"/>
  <c r="BQ84" i="29" s="1"/>
  <c r="BR84" i="29" s="1"/>
  <c r="CA84" i="29"/>
  <c r="CK84" i="29"/>
  <c r="CY84" i="29"/>
  <c r="AT85" i="29"/>
  <c r="CZ85" i="29"/>
  <c r="BZ86" i="29"/>
  <c r="CA86" i="29"/>
  <c r="CD86" i="29" s="1"/>
  <c r="CH86" i="29"/>
  <c r="DI86" i="29"/>
  <c r="AS87" i="29"/>
  <c r="AX87" i="29" s="1"/>
  <c r="BQ87" i="29"/>
  <c r="BR87" i="29" s="1"/>
  <c r="BZ87" i="29"/>
  <c r="CA87" i="29"/>
  <c r="CD87" i="29" s="1"/>
  <c r="CH87" i="29"/>
  <c r="CV87" i="29"/>
  <c r="CX87" i="29" s="1"/>
  <c r="DB88" i="29"/>
  <c r="CR88" i="29"/>
  <c r="CV88" i="29"/>
  <c r="DI88" i="29"/>
  <c r="BX89" i="29"/>
  <c r="BY89" i="29" s="1"/>
  <c r="CV90" i="29"/>
  <c r="CA90" i="29"/>
  <c r="BV90" i="29"/>
  <c r="BX90" i="29" s="1"/>
  <c r="BY90" i="29" s="1"/>
  <c r="CZ90" i="29"/>
  <c r="AW91" i="29"/>
  <c r="BX91" i="29"/>
  <c r="BY91" i="29" s="1"/>
  <c r="CA91" i="29"/>
  <c r="DI91" i="29"/>
  <c r="CP92" i="29"/>
  <c r="AV92" i="29"/>
  <c r="CV92" i="29"/>
  <c r="BB93" i="29"/>
  <c r="CD93" i="29"/>
  <c r="BX93" i="29"/>
  <c r="BY93" i="29" s="1"/>
  <c r="DI94" i="29"/>
  <c r="BD95" i="29"/>
  <c r="AH95" i="29"/>
  <c r="AR95" i="29" s="1"/>
  <c r="CA96" i="29"/>
  <c r="CJ96" i="29"/>
  <c r="CL96" i="29" s="1"/>
  <c r="DI96" i="29"/>
  <c r="CM97" i="29"/>
  <c r="CA98" i="29"/>
  <c r="CV98" i="29"/>
  <c r="AV101" i="29"/>
  <c r="AS101" i="29"/>
  <c r="BD101" i="29"/>
  <c r="CR101" i="29"/>
  <c r="DI101" i="29"/>
  <c r="CA102" i="29"/>
  <c r="CM102" i="29"/>
  <c r="CR102" i="29"/>
  <c r="BD103" i="29"/>
  <c r="DI103" i="29"/>
  <c r="BQ104" i="29"/>
  <c r="BR104" i="29" s="1"/>
  <c r="CA105" i="29"/>
  <c r="CP106" i="29"/>
  <c r="BD106" i="29"/>
  <c r="CA106" i="29"/>
  <c r="AS106" i="29"/>
  <c r="AX106" i="29" s="1"/>
  <c r="DB106" i="29"/>
  <c r="BO107" i="29"/>
  <c r="BQ107" i="29" s="1"/>
  <c r="BR107" i="29" s="1"/>
  <c r="BZ107" i="29"/>
  <c r="CC107" i="29" s="1"/>
  <c r="BS107" i="29"/>
  <c r="BX107" i="29" s="1"/>
  <c r="BY107" i="29" s="1"/>
  <c r="CJ107" i="29"/>
  <c r="CL107" i="29" s="1"/>
  <c r="CP107" i="29"/>
  <c r="AU108" i="29"/>
  <c r="CD108" i="29"/>
  <c r="CM108" i="29"/>
  <c r="BC108" i="29"/>
  <c r="DB108" i="29"/>
  <c r="DI108" i="29"/>
  <c r="AU109" i="29"/>
  <c r="CA109" i="29"/>
  <c r="CY109" i="29"/>
  <c r="BD110" i="29"/>
  <c r="AK110" i="29"/>
  <c r="CK110" i="29"/>
  <c r="CL110" i="29" s="1"/>
  <c r="AS111" i="29"/>
  <c r="AU111" i="29"/>
  <c r="BB111" i="29"/>
  <c r="CN111" i="29"/>
  <c r="DB112" i="29"/>
  <c r="CX115" i="29"/>
  <c r="AO116" i="29"/>
  <c r="BX120" i="29"/>
  <c r="BY120" i="29" s="1"/>
  <c r="CL120" i="29"/>
  <c r="CM121" i="29"/>
  <c r="BQ122" i="29"/>
  <c r="BR122" i="29" s="1"/>
  <c r="BQ123" i="29"/>
  <c r="BR123" i="29" s="1"/>
  <c r="CA123" i="29"/>
  <c r="CD123" i="29" s="1"/>
  <c r="CQ123" i="29"/>
  <c r="CT123" i="29" s="1"/>
  <c r="CK127" i="29"/>
  <c r="CL127" i="29" s="1"/>
  <c r="DI127" i="29"/>
  <c r="CQ129" i="29"/>
  <c r="CT129" i="29" s="1"/>
  <c r="CU129" i="29" s="1"/>
  <c r="BC130" i="29"/>
  <c r="DI130" i="29"/>
  <c r="CA133" i="29"/>
  <c r="BD135" i="29"/>
  <c r="DG136" i="29"/>
  <c r="DG143" i="29" s="1"/>
  <c r="BZ137" i="29"/>
  <c r="CV137" i="29"/>
  <c r="CX137" i="29" s="1"/>
  <c r="BZ138" i="29"/>
  <c r="BX138" i="29"/>
  <c r="BY138" i="29" s="1"/>
  <c r="CA138" i="29"/>
  <c r="CD138" i="29" s="1"/>
  <c r="CA140" i="29"/>
  <c r="CD140" i="29" s="1"/>
  <c r="DI146" i="29"/>
  <c r="AD147" i="29"/>
  <c r="DI147" i="29"/>
  <c r="LY8" i="26"/>
  <c r="LY9" i="26" s="1"/>
  <c r="LL13" i="26"/>
  <c r="LT13" i="26"/>
  <c r="LW13" i="26"/>
  <c r="MB8" i="26"/>
  <c r="MB9" i="26" s="1"/>
  <c r="K15" i="26"/>
  <c r="LT15" i="26"/>
  <c r="K18" i="26"/>
  <c r="LW21" i="26"/>
  <c r="LW22" i="26"/>
  <c r="K23" i="26"/>
  <c r="J23" i="26" s="1"/>
  <c r="E23" i="26" s="1"/>
  <c r="H23" i="26" s="1"/>
  <c r="K26" i="26"/>
  <c r="J26" i="26" s="1"/>
  <c r="E26" i="26" s="1"/>
  <c r="H26" i="26" s="1"/>
  <c r="LW26" i="26"/>
  <c r="LT27" i="26"/>
  <c r="LW27" i="26"/>
  <c r="LT28" i="26"/>
  <c r="LT26" i="26"/>
  <c r="LW29" i="26"/>
  <c r="K30" i="26"/>
  <c r="J30" i="26" s="1"/>
  <c r="E30" i="26" s="1"/>
  <c r="H30" i="26" s="1"/>
  <c r="LW30" i="26"/>
  <c r="K31" i="26"/>
  <c r="J31" i="26" s="1"/>
  <c r="E31" i="26" s="1"/>
  <c r="H31" i="26" s="1"/>
  <c r="LT31" i="26"/>
  <c r="LW31" i="26"/>
  <c r="K34" i="26"/>
  <c r="J34" i="26" s="1"/>
  <c r="E34" i="26" s="1"/>
  <c r="H34" i="26" s="1"/>
  <c r="LT35" i="26"/>
  <c r="LT36" i="26"/>
  <c r="K37" i="26"/>
  <c r="J37" i="26" s="1"/>
  <c r="E37" i="26" s="1"/>
  <c r="H37" i="26" s="1"/>
  <c r="LW37" i="26"/>
  <c r="K38" i="26"/>
  <c r="J38" i="26" s="1"/>
  <c r="E38" i="26" s="1"/>
  <c r="H38" i="26" s="1"/>
  <c r="K39" i="26"/>
  <c r="J39" i="26" s="1"/>
  <c r="E39" i="26" s="1"/>
  <c r="H39" i="26" s="1"/>
  <c r="LT39" i="26"/>
  <c r="LT40" i="26"/>
  <c r="K41" i="26"/>
  <c r="J41" i="26" s="1"/>
  <c r="E41" i="26" s="1"/>
  <c r="H41" i="26" s="1"/>
  <c r="LW41" i="26"/>
  <c r="K42" i="26"/>
  <c r="J42" i="26" s="1"/>
  <c r="E42" i="26" s="1"/>
  <c r="H42" i="26" s="1"/>
  <c r="LT42" i="26"/>
  <c r="LT43" i="26"/>
  <c r="K45" i="26"/>
  <c r="J45" i="26" s="1"/>
  <c r="E45" i="26" s="1"/>
  <c r="H45" i="26" s="1"/>
  <c r="LW45" i="26"/>
  <c r="K46" i="26"/>
  <c r="J46" i="26" s="1"/>
  <c r="E46" i="26" s="1"/>
  <c r="H46" i="26" s="1"/>
  <c r="LT46" i="26"/>
  <c r="LT47" i="26"/>
  <c r="LT48" i="26"/>
  <c r="K49" i="26"/>
  <c r="J49" i="26" s="1"/>
  <c r="E49" i="26" s="1"/>
  <c r="H49" i="26" s="1"/>
  <c r="LW49" i="26"/>
  <c r="K50" i="26"/>
  <c r="J50" i="26" s="1"/>
  <c r="E50" i="26" s="1"/>
  <c r="H50" i="26" s="1"/>
  <c r="LT51" i="26"/>
  <c r="LT52" i="26"/>
  <c r="LW53" i="26"/>
  <c r="DJ86" i="31"/>
  <c r="DN143" i="31"/>
  <c r="DN142" i="31"/>
  <c r="DN141" i="31"/>
  <c r="DN140" i="31"/>
  <c r="DN80" i="31"/>
  <c r="DN79" i="31"/>
  <c r="DN78" i="31"/>
  <c r="DN70" i="31"/>
  <c r="DN67" i="31"/>
  <c r="DN62" i="31"/>
  <c r="DN60" i="31"/>
  <c r="DN58" i="31"/>
  <c r="DN55" i="31"/>
  <c r="DN54" i="31"/>
  <c r="DN48" i="31"/>
  <c r="DN41" i="31"/>
  <c r="DN32" i="31"/>
  <c r="DN29" i="31"/>
  <c r="DN24" i="31"/>
  <c r="DN17" i="31"/>
  <c r="BI95" i="31"/>
  <c r="BZ136" i="31"/>
  <c r="CC136" i="31" s="1"/>
  <c r="BZ124" i="31"/>
  <c r="BZ111" i="31"/>
  <c r="CC111" i="31" s="1"/>
  <c r="BZ97" i="31"/>
  <c r="BZ85" i="31"/>
  <c r="CC85" i="31" s="1"/>
  <c r="BZ73" i="31"/>
  <c r="BZ61" i="31"/>
  <c r="AP47" i="31"/>
  <c r="BD47" i="31"/>
  <c r="BF139" i="31"/>
  <c r="BE139" i="31"/>
  <c r="BF53" i="31"/>
  <c r="BI90" i="31"/>
  <c r="BI83" i="31"/>
  <c r="BI64" i="31"/>
  <c r="BI55" i="31"/>
  <c r="BI49" i="31"/>
  <c r="BI42" i="31"/>
  <c r="BI41" i="31"/>
  <c r="BI38" i="31"/>
  <c r="BI37" i="31"/>
  <c r="BI32" i="31"/>
  <c r="BI30" i="31"/>
  <c r="BI26" i="31"/>
  <c r="BI23" i="31"/>
  <c r="BQ50" i="31"/>
  <c r="BR50" i="31" s="1"/>
  <c r="CW123" i="31"/>
  <c r="CW31" i="31"/>
  <c r="CA135" i="31"/>
  <c r="CA131" i="31"/>
  <c r="CD131" i="31" s="1"/>
  <c r="CA127" i="31"/>
  <c r="CA123" i="31"/>
  <c r="CD123" i="31" s="1"/>
  <c r="CA118" i="31"/>
  <c r="CA114" i="31"/>
  <c r="CA110" i="31"/>
  <c r="CA106" i="31"/>
  <c r="CD106" i="31" s="1"/>
  <c r="CA102" i="31"/>
  <c r="CA96" i="31"/>
  <c r="CD96" i="31" s="1"/>
  <c r="CA92" i="31"/>
  <c r="CA88" i="31"/>
  <c r="CA84" i="31"/>
  <c r="CD84" i="31" s="1"/>
  <c r="CA80" i="31"/>
  <c r="CA76" i="31"/>
  <c r="CA72" i="31"/>
  <c r="CA68" i="31"/>
  <c r="CD68" i="31" s="1"/>
  <c r="CA64" i="31"/>
  <c r="CA60" i="31"/>
  <c r="CA55" i="31"/>
  <c r="CA52" i="31"/>
  <c r="CA49" i="31"/>
  <c r="CA45" i="31"/>
  <c r="CA38" i="31"/>
  <c r="CA37" i="31"/>
  <c r="CA35" i="31"/>
  <c r="CA17" i="31"/>
  <c r="CA14" i="31"/>
  <c r="CS120" i="31"/>
  <c r="CV120" i="31" s="1"/>
  <c r="CW120" i="31" s="1"/>
  <c r="CV36" i="31"/>
  <c r="CW36" i="31" s="1"/>
  <c r="CT120" i="31"/>
  <c r="CL143" i="31"/>
  <c r="BO148" i="31"/>
  <c r="AW133" i="31"/>
  <c r="AW131" i="31"/>
  <c r="AW128" i="31"/>
  <c r="AW106" i="31"/>
  <c r="AW96" i="31"/>
  <c r="AW87" i="31"/>
  <c r="AW79" i="31"/>
  <c r="AW48" i="31"/>
  <c r="AP128" i="31"/>
  <c r="AP99" i="31"/>
  <c r="AP98" i="31"/>
  <c r="AP96" i="31"/>
  <c r="AP94" i="31"/>
  <c r="AP92" i="31"/>
  <c r="AP90" i="31"/>
  <c r="BE124" i="31"/>
  <c r="BE106" i="31"/>
  <c r="BE67" i="31"/>
  <c r="BE53" i="31"/>
  <c r="BD32" i="31"/>
  <c r="AP32" i="31"/>
  <c r="BD28" i="31"/>
  <c r="AP28" i="31"/>
  <c r="BD24" i="31"/>
  <c r="AP24" i="31"/>
  <c r="BD20" i="31"/>
  <c r="AP20" i="31"/>
  <c r="BD16" i="31"/>
  <c r="AP16" i="31"/>
  <c r="BC143" i="31"/>
  <c r="AQ143" i="31"/>
  <c r="AZ136" i="31"/>
  <c r="R136" i="31"/>
  <c r="BF105" i="31"/>
  <c r="R101" i="31"/>
  <c r="BF91" i="31"/>
  <c r="R84" i="31"/>
  <c r="R64" i="31"/>
  <c r="R63" i="31"/>
  <c r="R56" i="31"/>
  <c r="R38" i="31"/>
  <c r="BF19" i="31"/>
  <c r="R16" i="31"/>
  <c r="R15" i="31"/>
  <c r="AY130" i="31"/>
  <c r="AS117" i="31"/>
  <c r="AY109" i="31"/>
  <c r="AS107" i="31"/>
  <c r="AS90" i="31"/>
  <c r="AY80" i="31"/>
  <c r="AS71" i="31"/>
  <c r="AS69" i="31"/>
  <c r="AS66" i="31"/>
  <c r="AS65" i="31"/>
  <c r="AS64" i="31"/>
  <c r="AY64" i="31" s="1"/>
  <c r="AS63" i="31"/>
  <c r="AS62" i="31"/>
  <c r="AS60" i="31"/>
  <c r="AV58" i="31"/>
  <c r="AS58" i="31"/>
  <c r="AS55" i="31"/>
  <c r="AS52" i="31"/>
  <c r="AY52" i="31" s="1"/>
  <c r="AS42" i="31"/>
  <c r="AS40" i="31"/>
  <c r="AS38" i="31"/>
  <c r="AS37" i="31"/>
  <c r="AS34" i="31"/>
  <c r="AS33" i="31"/>
  <c r="AS28" i="31"/>
  <c r="AY28" i="31" s="1"/>
  <c r="AS24" i="31"/>
  <c r="AS20" i="31"/>
  <c r="AS17" i="31"/>
  <c r="AS16" i="31"/>
  <c r="AS15" i="31"/>
  <c r="BD142" i="31"/>
  <c r="BF131" i="31"/>
  <c r="BF76" i="31"/>
  <c r="AY77" i="31"/>
  <c r="AY29" i="31"/>
  <c r="AU73" i="31"/>
  <c r="AU71" i="31"/>
  <c r="AU67" i="31"/>
  <c r="AU65" i="31"/>
  <c r="AU62" i="31"/>
  <c r="AU60" i="31"/>
  <c r="AU58" i="31"/>
  <c r="AU55" i="31"/>
  <c r="AU53" i="31"/>
  <c r="AU49" i="31"/>
  <c r="AU44" i="31"/>
  <c r="AU37" i="31"/>
  <c r="AU34" i="31"/>
  <c r="BA142" i="31"/>
  <c r="BA86" i="31"/>
  <c r="CL47" i="31"/>
  <c r="CL126" i="31"/>
  <c r="CN126" i="31" s="1"/>
  <c r="CL118" i="31"/>
  <c r="CL103" i="31"/>
  <c r="CN103" i="31" s="1"/>
  <c r="CL95" i="31"/>
  <c r="CN95" i="31" s="1"/>
  <c r="CL92" i="31"/>
  <c r="CN92" i="31" s="1"/>
  <c r="CK87" i="31"/>
  <c r="CK86" i="31"/>
  <c r="CL86" i="31" s="1"/>
  <c r="CN86" i="31" s="1"/>
  <c r="CL84" i="31"/>
  <c r="CK83" i="31"/>
  <c r="CL83" i="31" s="1"/>
  <c r="CN83" i="31" s="1"/>
  <c r="CK71" i="31"/>
  <c r="CL71" i="31" s="1"/>
  <c r="CK68" i="31"/>
  <c r="CL68" i="31" s="1"/>
  <c r="CK40" i="31"/>
  <c r="CL40" i="31" s="1"/>
  <c r="CK27" i="31"/>
  <c r="CK26" i="31"/>
  <c r="CL26" i="31" s="1"/>
  <c r="CN26" i="31" s="1"/>
  <c r="CK25" i="31"/>
  <c r="CL25" i="31" s="1"/>
  <c r="CK24" i="31"/>
  <c r="CK23" i="31"/>
  <c r="CK20" i="31"/>
  <c r="CL20" i="31" s="1"/>
  <c r="CL17" i="31"/>
  <c r="CL16" i="31"/>
  <c r="CN16" i="31" s="1"/>
  <c r="CL15" i="31"/>
  <c r="CJ58" i="31"/>
  <c r="CL28" i="31"/>
  <c r="M51" i="13"/>
  <c r="K51" i="13" s="1"/>
  <c r="O121" i="13"/>
  <c r="K112" i="13"/>
  <c r="K109" i="13"/>
  <c r="K106" i="13"/>
  <c r="K103" i="13"/>
  <c r="L102" i="13"/>
  <c r="K102" i="13" s="1"/>
  <c r="K100" i="13"/>
  <c r="K97" i="13"/>
  <c r="K94" i="13"/>
  <c r="K91" i="13"/>
  <c r="K88" i="13"/>
  <c r="K85" i="13"/>
  <c r="K82" i="13"/>
  <c r="K79" i="13"/>
  <c r="K76" i="13"/>
  <c r="K73" i="13"/>
  <c r="K70" i="13"/>
  <c r="L69" i="13"/>
  <c r="K69" i="13" s="1"/>
  <c r="L66" i="13"/>
  <c r="L63" i="13"/>
  <c r="K63" i="13" s="1"/>
  <c r="K55" i="13"/>
  <c r="O48" i="13"/>
  <c r="P40" i="13"/>
  <c r="O37" i="13"/>
  <c r="O34" i="13"/>
  <c r="O31" i="13"/>
  <c r="O28" i="13"/>
  <c r="O25" i="13"/>
  <c r="O22" i="13"/>
  <c r="O19" i="13"/>
  <c r="O16" i="13"/>
  <c r="O10" i="13"/>
  <c r="O7" i="13"/>
  <c r="W437" i="31"/>
  <c r="W438" i="31" s="1"/>
  <c r="CL140" i="31"/>
  <c r="CN140" i="31" s="1"/>
  <c r="CK138" i="31"/>
  <c r="CL138" i="31" s="1"/>
  <c r="AG137" i="31"/>
  <c r="CL135" i="31"/>
  <c r="CN135" i="31" s="1"/>
  <c r="CL134" i="31"/>
  <c r="CL131" i="31"/>
  <c r="CN131" i="31" s="1"/>
  <c r="CK129" i="31"/>
  <c r="CL127" i="31"/>
  <c r="CN127" i="31" s="1"/>
  <c r="CL121" i="31"/>
  <c r="CN121" i="31" s="1"/>
  <c r="CK119" i="31"/>
  <c r="CL119" i="31" s="1"/>
  <c r="CN119" i="31" s="1"/>
  <c r="CK115" i="31"/>
  <c r="CL115" i="31" s="1"/>
  <c r="CK112" i="31"/>
  <c r="CL112" i="31" s="1"/>
  <c r="CK110" i="31"/>
  <c r="CL110" i="31" s="1"/>
  <c r="CN110" i="31" s="1"/>
  <c r="CK107" i="31"/>
  <c r="CL98" i="31"/>
  <c r="CN98" i="31" s="1"/>
  <c r="CK96" i="31"/>
  <c r="CL96" i="31" s="1"/>
  <c r="CN96" i="31" s="1"/>
  <c r="CL80" i="31"/>
  <c r="CN80" i="31" s="1"/>
  <c r="CL66" i="31"/>
  <c r="CN66" i="31" s="1"/>
  <c r="CL60" i="31"/>
  <c r="CN60" i="31" s="1"/>
  <c r="CL54" i="31"/>
  <c r="CN54" i="31" s="1"/>
  <c r="CL52" i="31"/>
  <c r="CK48" i="31"/>
  <c r="CK46" i="31"/>
  <c r="CL34" i="31"/>
  <c r="CN34" i="31" s="1"/>
  <c r="CL30" i="31"/>
  <c r="CL22" i="31"/>
  <c r="CN22" i="31" s="1"/>
  <c r="CL61" i="31"/>
  <c r="CN61" i="31" s="1"/>
  <c r="M68" i="13"/>
  <c r="K68" i="13" s="1"/>
  <c r="Q122" i="13"/>
  <c r="I122" i="13" s="1"/>
  <c r="CL8" i="33"/>
  <c r="AY143" i="33"/>
  <c r="BE141" i="33"/>
  <c r="O106" i="13"/>
  <c r="O103" i="13"/>
  <c r="O100" i="13"/>
  <c r="O94" i="13"/>
  <c r="O91" i="13"/>
  <c r="O70" i="13"/>
  <c r="O55" i="13"/>
  <c r="K52" i="13"/>
  <c r="P28" i="13"/>
  <c r="K20" i="13"/>
  <c r="R53" i="13"/>
  <c r="J53" i="13" s="1"/>
  <c r="Q121" i="13"/>
  <c r="I121" i="13" s="1"/>
  <c r="Q48" i="13"/>
  <c r="I48" i="13" s="1"/>
  <c r="Q37" i="13"/>
  <c r="I37" i="13" s="1"/>
  <c r="Q34" i="13"/>
  <c r="I34" i="13" s="1"/>
  <c r="Q31" i="13"/>
  <c r="I31" i="13" s="1"/>
  <c r="Q25" i="13"/>
  <c r="I25" i="13" s="1"/>
  <c r="Q22" i="13"/>
  <c r="I22" i="13" s="1"/>
  <c r="Q19" i="13"/>
  <c r="I19" i="13" s="1"/>
  <c r="Q16" i="13"/>
  <c r="I16" i="13" s="1"/>
  <c r="Q13" i="13"/>
  <c r="I13" i="13" s="1"/>
  <c r="Q10" i="13"/>
  <c r="I10" i="13" s="1"/>
  <c r="Q7" i="13"/>
  <c r="O124" i="13"/>
  <c r="O118" i="13"/>
  <c r="P37" i="13"/>
  <c r="P22" i="13"/>
  <c r="P25" i="13"/>
  <c r="P31" i="13"/>
  <c r="T132" i="13"/>
  <c r="R132" i="13" s="1"/>
  <c r="J132" i="13" s="1"/>
  <c r="K130" i="13"/>
  <c r="P34" i="13"/>
  <c r="O60" i="13"/>
  <c r="P19" i="13"/>
  <c r="Q28" i="13"/>
  <c r="I28" i="13" s="1"/>
  <c r="R38" i="13"/>
  <c r="J38" i="13" s="1"/>
  <c r="R35" i="13"/>
  <c r="O133" i="13"/>
  <c r="O130" i="13"/>
  <c r="O127" i="13"/>
  <c r="K124" i="13"/>
  <c r="K48" i="13"/>
  <c r="K45" i="13"/>
  <c r="O40" i="13"/>
  <c r="K37" i="13"/>
  <c r="K34" i="13"/>
  <c r="K31" i="13"/>
  <c r="K28" i="13"/>
  <c r="K25" i="13"/>
  <c r="K13" i="13"/>
  <c r="K10" i="13"/>
  <c r="O131" i="13"/>
  <c r="O128" i="13"/>
  <c r="K125" i="13"/>
  <c r="K122" i="13"/>
  <c r="K119" i="13"/>
  <c r="K49" i="13"/>
  <c r="O41" i="13"/>
  <c r="K38" i="13"/>
  <c r="K35" i="13"/>
  <c r="K32" i="13"/>
  <c r="K29" i="13"/>
  <c r="K26" i="13"/>
  <c r="K23" i="13"/>
  <c r="O114" i="13"/>
  <c r="O111" i="13"/>
  <c r="O102" i="13"/>
  <c r="O93" i="13"/>
  <c r="O84" i="13"/>
  <c r="O81" i="13"/>
  <c r="O54" i="13"/>
  <c r="P39" i="13"/>
  <c r="P36" i="13"/>
  <c r="Q33" i="13"/>
  <c r="I33" i="13" s="1"/>
  <c r="Q30" i="13"/>
  <c r="I30" i="13" s="1"/>
  <c r="P27" i="13"/>
  <c r="P24" i="13"/>
  <c r="Q21" i="13"/>
  <c r="I21" i="13" s="1"/>
  <c r="Q12" i="13"/>
  <c r="I12" i="13" s="1"/>
  <c r="Q9" i="13"/>
  <c r="I9" i="13" s="1"/>
  <c r="L133" i="13"/>
  <c r="R15" i="13"/>
  <c r="J15" i="13" s="1"/>
  <c r="P30" i="13"/>
  <c r="O42" i="13"/>
  <c r="P33" i="13"/>
  <c r="Q36" i="13"/>
  <c r="Q114" i="13"/>
  <c r="I114" i="13" s="1"/>
  <c r="Q84" i="13"/>
  <c r="I84" i="13" s="1"/>
  <c r="Q39" i="13"/>
  <c r="Q27" i="13"/>
  <c r="I27" i="13" s="1"/>
  <c r="Q24" i="13"/>
  <c r="O59" i="13"/>
  <c r="O99" i="13"/>
  <c r="O90" i="13"/>
  <c r="O75" i="13"/>
  <c r="O72" i="13"/>
  <c r="O69" i="13"/>
  <c r="O105" i="13"/>
  <c r="R41" i="13"/>
  <c r="J41" i="13" s="1"/>
  <c r="Q123" i="13"/>
  <c r="I123" i="13" s="1"/>
  <c r="P38" i="13"/>
  <c r="R13" i="13"/>
  <c r="J13" i="13" s="1"/>
  <c r="Q65" i="13"/>
  <c r="O82" i="13"/>
  <c r="O76" i="13"/>
  <c r="O73" i="13"/>
  <c r="R32" i="13"/>
  <c r="J32" i="13" s="1"/>
  <c r="O112" i="13"/>
  <c r="O109" i="13"/>
  <c r="Q80" i="13"/>
  <c r="I80" i="13" s="1"/>
  <c r="Q40" i="13"/>
  <c r="P35" i="13"/>
  <c r="Q103" i="13"/>
  <c r="I103" i="13" s="1"/>
  <c r="Q100" i="13"/>
  <c r="I100" i="13" s="1"/>
  <c r="Q91" i="13"/>
  <c r="I91" i="13" s="1"/>
  <c r="Q82" i="13"/>
  <c r="I82" i="13" s="1"/>
  <c r="Q76" i="13"/>
  <c r="I76" i="13" s="1"/>
  <c r="Q60" i="13"/>
  <c r="I60" i="13" s="1"/>
  <c r="BE76" i="29"/>
  <c r="BF76" i="29"/>
  <c r="AX131" i="29"/>
  <c r="CC140" i="29"/>
  <c r="BC47" i="29"/>
  <c r="BV47" i="29"/>
  <c r="AY119" i="29"/>
  <c r="BI39" i="29"/>
  <c r="AR119" i="29"/>
  <c r="CH28" i="29"/>
  <c r="BA28" i="29"/>
  <c r="AT28" i="29"/>
  <c r="AJ146" i="29"/>
  <c r="AJ8" i="29"/>
  <c r="AQ136" i="29"/>
  <c r="CB40" i="29"/>
  <c r="CC40" i="29"/>
  <c r="CV33" i="29"/>
  <c r="BA33" i="29"/>
  <c r="AQ33" i="29"/>
  <c r="AR33" i="29" s="1"/>
  <c r="CY33" i="29"/>
  <c r="AO33" i="29"/>
  <c r="AP33" i="29"/>
  <c r="CR33" i="29"/>
  <c r="CW33" i="29"/>
  <c r="CC33" i="29"/>
  <c r="CQ33" i="29"/>
  <c r="CZ33" i="29"/>
  <c r="CO33" i="29"/>
  <c r="AT33" i="29"/>
  <c r="CE33" i="29"/>
  <c r="CU134" i="29"/>
  <c r="CV136" i="29"/>
  <c r="CE136" i="29"/>
  <c r="AU136" i="29"/>
  <c r="CW136" i="29"/>
  <c r="CD136" i="29"/>
  <c r="BS47" i="29"/>
  <c r="BH47" i="29"/>
  <c r="BI47" i="29" s="1"/>
  <c r="CQ47" i="29"/>
  <c r="CT47" i="29" s="1"/>
  <c r="CU47" i="29" s="1"/>
  <c r="CG47" i="29"/>
  <c r="CH47" i="29" s="1"/>
  <c r="CR47" i="29"/>
  <c r="AR22" i="29"/>
  <c r="AX126" i="29"/>
  <c r="AJ143" i="29"/>
  <c r="AV136" i="29"/>
  <c r="AL143" i="29"/>
  <c r="CQ132" i="29"/>
  <c r="CT132" i="29" s="1"/>
  <c r="CU132" i="29" s="1"/>
  <c r="CC78" i="29"/>
  <c r="CB78" i="29"/>
  <c r="AY86" i="29"/>
  <c r="BX140" i="29"/>
  <c r="BY140" i="29" s="1"/>
  <c r="CB20" i="29"/>
  <c r="CC20" i="29"/>
  <c r="CC15" i="29"/>
  <c r="CB15" i="29"/>
  <c r="S136" i="29"/>
  <c r="BC132" i="29"/>
  <c r="BT143" i="29"/>
  <c r="CQ128" i="29"/>
  <c r="CT128" i="29" s="1"/>
  <c r="CR128" i="29"/>
  <c r="CS128" i="29"/>
  <c r="CL131" i="29"/>
  <c r="BZ110" i="29"/>
  <c r="CO21" i="29"/>
  <c r="AV27" i="29"/>
  <c r="BQ32" i="29"/>
  <c r="BR32" i="29" s="1"/>
  <c r="CZ21" i="29"/>
  <c r="CV14" i="29"/>
  <c r="CX14" i="29" s="1"/>
  <c r="AU14" i="29"/>
  <c r="CZ19" i="29"/>
  <c r="AQ19" i="29"/>
  <c r="AR19" i="29" s="1"/>
  <c r="CO19" i="29"/>
  <c r="CJ21" i="29"/>
  <c r="AH21" i="29"/>
  <c r="AX51" i="29"/>
  <c r="AQ50" i="29"/>
  <c r="AP26" i="29"/>
  <c r="BD20" i="29"/>
  <c r="AW20" i="29"/>
  <c r="CQ26" i="29"/>
  <c r="CC27" i="29"/>
  <c r="CB27" i="29"/>
  <c r="CG33" i="29"/>
  <c r="CH33" i="29" s="1"/>
  <c r="CS33" i="29"/>
  <c r="BS33" i="29"/>
  <c r="CW34" i="29"/>
  <c r="CX34" i="29" s="1"/>
  <c r="AP34" i="29"/>
  <c r="CR34" i="29"/>
  <c r="BB34" i="29"/>
  <c r="AU34" i="29"/>
  <c r="AO50" i="29"/>
  <c r="CJ22" i="29"/>
  <c r="CL22" i="29" s="1"/>
  <c r="DI29" i="29"/>
  <c r="CZ36" i="29"/>
  <c r="BB36" i="29"/>
  <c r="CN36" i="29"/>
  <c r="CW36" i="29"/>
  <c r="CX36" i="29" s="1"/>
  <c r="CQ36" i="29"/>
  <c r="CO50" i="29"/>
  <c r="CN21" i="29"/>
  <c r="CN18" i="29"/>
  <c r="CT18" i="29" s="1"/>
  <c r="CU18" i="29" s="1"/>
  <c r="AQ26" i="29"/>
  <c r="AR26" i="29" s="1"/>
  <c r="CH26" i="29"/>
  <c r="CC16" i="29"/>
  <c r="CG20" i="29"/>
  <c r="CH20" i="29" s="1"/>
  <c r="CP20" i="29"/>
  <c r="AS20" i="29"/>
  <c r="CO20" i="29"/>
  <c r="BL20" i="29"/>
  <c r="BQ20" i="29" s="1"/>
  <c r="BR20" i="29" s="1"/>
  <c r="CZ34" i="29"/>
  <c r="CR18" i="29"/>
  <c r="AR23" i="29"/>
  <c r="AQ21" i="29"/>
  <c r="CH22" i="29"/>
  <c r="BB22" i="29"/>
  <c r="AU22" i="29"/>
  <c r="AY22" i="29" s="1"/>
  <c r="AP36" i="29"/>
  <c r="CW26" i="29"/>
  <c r="AU26" i="29"/>
  <c r="CV26" i="29"/>
  <c r="BB26" i="29"/>
  <c r="CY32" i="29"/>
  <c r="AQ32" i="29"/>
  <c r="AR32" i="29" s="1"/>
  <c r="CQ32" i="29"/>
  <c r="CT32" i="29" s="1"/>
  <c r="CU32" i="29" s="1"/>
  <c r="AZ32" i="29"/>
  <c r="CN33" i="29"/>
  <c r="CD62" i="29"/>
  <c r="AO18" i="29"/>
  <c r="CN14" i="29"/>
  <c r="CT14" i="29" s="1"/>
  <c r="CU14" i="29" s="1"/>
  <c r="BQ14" i="29"/>
  <c r="BR14" i="29" s="1"/>
  <c r="CJ23" i="29"/>
  <c r="BC28" i="29"/>
  <c r="AH34" i="29"/>
  <c r="AR34" i="29" s="1"/>
  <c r="CK34" i="29"/>
  <c r="CH36" i="29"/>
  <c r="CR21" i="29"/>
  <c r="CN26" i="29"/>
  <c r="CG15" i="29"/>
  <c r="CH15" i="29" s="1"/>
  <c r="CP15" i="29"/>
  <c r="BL15" i="29"/>
  <c r="CZ26" i="29"/>
  <c r="AV30" i="29"/>
  <c r="BC30" i="29"/>
  <c r="AQ18" i="29"/>
  <c r="AR18" i="29" s="1"/>
  <c r="BQ19" i="29"/>
  <c r="BR19" i="29" s="1"/>
  <c r="CY27" i="29"/>
  <c r="CR27" i="29"/>
  <c r="CZ27" i="29"/>
  <c r="AK8" i="29"/>
  <c r="CR16" i="29"/>
  <c r="AV16" i="29"/>
  <c r="AO16" i="29"/>
  <c r="CO16" i="29"/>
  <c r="BC16" i="29"/>
  <c r="AQ16" i="29"/>
  <c r="CS25" i="29"/>
  <c r="BC25" i="29"/>
  <c r="BE25" i="29" s="1"/>
  <c r="CR25" i="29"/>
  <c r="BV25" i="29"/>
  <c r="BX25" i="29" s="1"/>
  <c r="BY25" i="29" s="1"/>
  <c r="CD26" i="29"/>
  <c r="CH34" i="29"/>
  <c r="CL36" i="29"/>
  <c r="CR20" i="29"/>
  <c r="CM23" i="29"/>
  <c r="BO25" i="29"/>
  <c r="BQ25" i="29" s="1"/>
  <c r="BR25" i="29" s="1"/>
  <c r="CR26" i="29"/>
  <c r="AZ26" i="29"/>
  <c r="AH30" i="29"/>
  <c r="AR30" i="29" s="1"/>
  <c r="AT32" i="29"/>
  <c r="BV37" i="29"/>
  <c r="BX37" i="29" s="1"/>
  <c r="BY37" i="29" s="1"/>
  <c r="CR37" i="29"/>
  <c r="CC80" i="29"/>
  <c r="AP17" i="29"/>
  <c r="CV23" i="29"/>
  <c r="CX23" i="29" s="1"/>
  <c r="BV23" i="29"/>
  <c r="CQ24" i="29"/>
  <c r="CT24" i="29" s="1"/>
  <c r="CU24" i="29" s="1"/>
  <c r="CJ25" i="29"/>
  <c r="CL25" i="29" s="1"/>
  <c r="BD30" i="29"/>
  <c r="BB33" i="29"/>
  <c r="AQ20" i="29"/>
  <c r="AR20" i="29" s="1"/>
  <c r="CQ34" i="29"/>
  <c r="CA14" i="29"/>
  <c r="CK18" i="29"/>
  <c r="CL18" i="29" s="1"/>
  <c r="AP21" i="29"/>
  <c r="BD29" i="29"/>
  <c r="BE29" i="29" s="1"/>
  <c r="CJ32" i="29"/>
  <c r="CL32" i="29" s="1"/>
  <c r="BA32" i="29"/>
  <c r="CN34" i="29"/>
  <c r="CL71" i="29"/>
  <c r="BB21" i="29"/>
  <c r="CS24" i="29"/>
  <c r="CW30" i="29"/>
  <c r="CX30" i="29" s="1"/>
  <c r="AO20" i="29"/>
  <c r="AT23" i="29"/>
  <c r="BA30" i="29"/>
  <c r="BV34" i="29"/>
  <c r="BX34" i="29" s="1"/>
  <c r="BY34" i="29" s="1"/>
  <c r="BD35" i="29"/>
  <c r="BE35" i="29" s="1"/>
  <c r="AW36" i="29"/>
  <c r="BI61" i="29"/>
  <c r="CB37" i="29"/>
  <c r="CC37" i="29"/>
  <c r="CC77" i="29"/>
  <c r="AW19" i="29"/>
  <c r="CR24" i="29"/>
  <c r="CL63" i="29"/>
  <c r="CC70" i="29"/>
  <c r="CB70" i="29"/>
  <c r="CD84" i="29"/>
  <c r="CB84" i="29"/>
  <c r="BG40" i="29"/>
  <c r="CC46" i="29"/>
  <c r="CV54" i="29"/>
  <c r="CX54" i="29" s="1"/>
  <c r="AU61" i="29"/>
  <c r="AU66" i="29"/>
  <c r="BQ80" i="29"/>
  <c r="BR80" i="29" s="1"/>
  <c r="CS85" i="29"/>
  <c r="CY86" i="29"/>
  <c r="BC119" i="29"/>
  <c r="BV119" i="29"/>
  <c r="CA125" i="29"/>
  <c r="BQ125" i="29"/>
  <c r="BR125" i="29" s="1"/>
  <c r="AH125" i="29"/>
  <c r="AR125" i="29" s="1"/>
  <c r="CK125" i="29"/>
  <c r="CL125" i="29" s="1"/>
  <c r="CK129" i="29"/>
  <c r="DB129" i="29"/>
  <c r="CN45" i="29"/>
  <c r="CT45" i="29" s="1"/>
  <c r="CU45" i="29" s="1"/>
  <c r="AW60" i="29"/>
  <c r="AX60" i="29" s="1"/>
  <c r="AW61" i="29"/>
  <c r="BG62" i="29"/>
  <c r="BI62" i="29" s="1"/>
  <c r="AV65" i="29"/>
  <c r="CV66" i="29"/>
  <c r="CX66" i="29" s="1"/>
  <c r="AO80" i="29"/>
  <c r="BC82" i="29"/>
  <c r="BH85" i="29"/>
  <c r="BI85" i="29" s="1"/>
  <c r="BO92" i="29"/>
  <c r="BQ92" i="29" s="1"/>
  <c r="BR92" i="29" s="1"/>
  <c r="AZ92" i="29"/>
  <c r="CW92" i="29"/>
  <c r="CQ97" i="29"/>
  <c r="CT97" i="29" s="1"/>
  <c r="CU97" i="29" s="1"/>
  <c r="AP101" i="29"/>
  <c r="BD105" i="29"/>
  <c r="BE105" i="29" s="1"/>
  <c r="AH108" i="29"/>
  <c r="AO117" i="29"/>
  <c r="CP118" i="29"/>
  <c r="BD119" i="29"/>
  <c r="AW119" i="29"/>
  <c r="AX119" i="29" s="1"/>
  <c r="BC122" i="29"/>
  <c r="AV122" i="29"/>
  <c r="AP130" i="29"/>
  <c r="AQ132" i="29"/>
  <c r="AR132" i="29" s="1"/>
  <c r="CO134" i="29"/>
  <c r="CZ134" i="29"/>
  <c r="CY134" i="29"/>
  <c r="BD38" i="29"/>
  <c r="BE38" i="29" s="1"/>
  <c r="BS46" i="29"/>
  <c r="BX46" i="29" s="1"/>
  <c r="BY46" i="29" s="1"/>
  <c r="AW52" i="29"/>
  <c r="CW52" i="29"/>
  <c r="CX52" i="29" s="1"/>
  <c r="CB57" i="29"/>
  <c r="CW61" i="29"/>
  <c r="BA82" i="29"/>
  <c r="AW83" i="29"/>
  <c r="AX83" i="29" s="1"/>
  <c r="CM83" i="29"/>
  <c r="AZ88" i="29"/>
  <c r="CR90" i="29"/>
  <c r="CM90" i="29"/>
  <c r="CZ91" i="29"/>
  <c r="BD92" i="29"/>
  <c r="AW93" i="29"/>
  <c r="CR97" i="29"/>
  <c r="CP102" i="29"/>
  <c r="BC103" i="29"/>
  <c r="AZ106" i="29"/>
  <c r="CV107" i="29"/>
  <c r="AQ108" i="29"/>
  <c r="BS109" i="29"/>
  <c r="BX109" i="29" s="1"/>
  <c r="BY109" i="29" s="1"/>
  <c r="CK111" i="29"/>
  <c r="CL111" i="29" s="1"/>
  <c r="CD117" i="29"/>
  <c r="CM123" i="29"/>
  <c r="CJ123" i="29"/>
  <c r="CL123" i="29" s="1"/>
  <c r="AH123" i="29"/>
  <c r="AR123" i="29" s="1"/>
  <c r="AS127" i="29"/>
  <c r="BL127" i="29"/>
  <c r="BQ127" i="29" s="1"/>
  <c r="BR127" i="29" s="1"/>
  <c r="LQ13" i="26"/>
  <c r="LP14" i="26"/>
  <c r="J18" i="26"/>
  <c r="BB47" i="29"/>
  <c r="BB61" i="29"/>
  <c r="BB66" i="29"/>
  <c r="BD67" i="29"/>
  <c r="BE67" i="29" s="1"/>
  <c r="DB67" i="29"/>
  <c r="BL72" i="29"/>
  <c r="BQ72" i="29" s="1"/>
  <c r="BR72" i="29" s="1"/>
  <c r="AU74" i="29"/>
  <c r="AX74" i="29" s="1"/>
  <c r="AV79" i="29"/>
  <c r="AG79" i="29"/>
  <c r="CK79" i="29" s="1"/>
  <c r="CL79" i="29" s="1"/>
  <c r="AV80" i="29"/>
  <c r="CO81" i="29"/>
  <c r="DB81" i="29"/>
  <c r="BC83" i="29"/>
  <c r="CJ84" i="29"/>
  <c r="CV86" i="29"/>
  <c r="CX86" i="29" s="1"/>
  <c r="BA88" i="29"/>
  <c r="BH92" i="29"/>
  <c r="BI92" i="29" s="1"/>
  <c r="CJ93" i="29"/>
  <c r="CL93" i="29" s="1"/>
  <c r="BL98" i="29"/>
  <c r="BQ98" i="29" s="1"/>
  <c r="BR98" i="29" s="1"/>
  <c r="CW98" i="29"/>
  <c r="BD104" i="29"/>
  <c r="BE104" i="29" s="1"/>
  <c r="CA104" i="29"/>
  <c r="CW107" i="29"/>
  <c r="BQ111" i="29"/>
  <c r="BR111" i="29" s="1"/>
  <c r="CB116" i="29"/>
  <c r="CC116" i="29"/>
  <c r="BH119" i="29"/>
  <c r="BI119" i="29" s="1"/>
  <c r="AZ119" i="29"/>
  <c r="BS119" i="29"/>
  <c r="AV140" i="29"/>
  <c r="BC140" i="29"/>
  <c r="CW125" i="29"/>
  <c r="CV125" i="29"/>
  <c r="AG136" i="29"/>
  <c r="AC156" i="29"/>
  <c r="CP51" i="29"/>
  <c r="CC54" i="29"/>
  <c r="AS62" i="29"/>
  <c r="CR66" i="29"/>
  <c r="AT69" i="29"/>
  <c r="AW72" i="29"/>
  <c r="AX72" i="29" s="1"/>
  <c r="AU75" i="29"/>
  <c r="AV76" i="29"/>
  <c r="CV82" i="29"/>
  <c r="CJ82" i="29"/>
  <c r="CL82" i="29" s="1"/>
  <c r="CO84" i="29"/>
  <c r="AO85" i="29"/>
  <c r="CS88" i="29"/>
  <c r="CW90" i="29"/>
  <c r="CX90" i="29" s="1"/>
  <c r="CQ95" i="29"/>
  <c r="CT95" i="29" s="1"/>
  <c r="CU95" i="29" s="1"/>
  <c r="AU97" i="29"/>
  <c r="BS101" i="29"/>
  <c r="BX101" i="29" s="1"/>
  <c r="BY101" i="29" s="1"/>
  <c r="BQ105" i="29"/>
  <c r="BR105" i="29" s="1"/>
  <c r="AS108" i="29"/>
  <c r="AZ109" i="29"/>
  <c r="BC111" i="29"/>
  <c r="CS111" i="29"/>
  <c r="BV111" i="29"/>
  <c r="BX111" i="29" s="1"/>
  <c r="BY111" i="29" s="1"/>
  <c r="CA120" i="29"/>
  <c r="BQ120" i="29"/>
  <c r="BR120" i="29" s="1"/>
  <c r="CW130" i="29"/>
  <c r="CX130" i="29" s="1"/>
  <c r="CH130" i="29"/>
  <c r="BA130" i="29"/>
  <c r="AP42" i="29"/>
  <c r="CV45" i="29"/>
  <c r="CX45" i="29" s="1"/>
  <c r="AT62" i="29"/>
  <c r="CW82" i="29"/>
  <c r="AP92" i="29"/>
  <c r="CQ93" i="29"/>
  <c r="CT93" i="29" s="1"/>
  <c r="CU93" i="29" s="1"/>
  <c r="CO95" i="29"/>
  <c r="AP97" i="29"/>
  <c r="AU98" i="29"/>
  <c r="Z98" i="29"/>
  <c r="AP102" i="29"/>
  <c r="BV106" i="29"/>
  <c r="BX106" i="29" s="1"/>
  <c r="BY106" i="29" s="1"/>
  <c r="BL108" i="29"/>
  <c r="BQ108" i="29" s="1"/>
  <c r="BR108" i="29" s="1"/>
  <c r="AV111" i="29"/>
  <c r="CQ111" i="29"/>
  <c r="CT111" i="29" s="1"/>
  <c r="AH114" i="29"/>
  <c r="CB114" i="29"/>
  <c r="CC114" i="29"/>
  <c r="BX124" i="29"/>
  <c r="BY124" i="29" s="1"/>
  <c r="BA124" i="29"/>
  <c r="CW124" i="29"/>
  <c r="CV124" i="29"/>
  <c r="AT124" i="29"/>
  <c r="CH126" i="29"/>
  <c r="AW41" i="29"/>
  <c r="AX41" i="29" s="1"/>
  <c r="CR82" i="29"/>
  <c r="CQ83" i="29"/>
  <c r="CT83" i="29" s="1"/>
  <c r="CU83" i="29" s="1"/>
  <c r="CJ90" i="29"/>
  <c r="CL90" i="29" s="1"/>
  <c r="CQ92" i="29"/>
  <c r="CT92" i="29" s="1"/>
  <c r="CU92" i="29" s="1"/>
  <c r="CO93" i="29"/>
  <c r="CP95" i="29"/>
  <c r="AV97" i="29"/>
  <c r="AU102" i="29"/>
  <c r="AH103" i="29"/>
  <c r="AR103" i="29" s="1"/>
  <c r="CZ106" i="29"/>
  <c r="AU107" i="29"/>
  <c r="CO107" i="29"/>
  <c r="CS113" i="29"/>
  <c r="CQ113" i="29"/>
  <c r="CT113" i="29" s="1"/>
  <c r="CU113" i="29" s="1"/>
  <c r="CP116" i="29"/>
  <c r="CO116" i="29"/>
  <c r="CN116" i="29"/>
  <c r="BL116" i="29"/>
  <c r="BQ116" i="29" s="1"/>
  <c r="BR116" i="29" s="1"/>
  <c r="CM122" i="29"/>
  <c r="CJ122" i="29"/>
  <c r="CL122" i="29" s="1"/>
  <c r="AH122" i="29"/>
  <c r="AR122" i="29" s="1"/>
  <c r="AW125" i="29"/>
  <c r="AX125" i="29" s="1"/>
  <c r="BD125" i="29"/>
  <c r="BE125" i="29" s="1"/>
  <c r="BQ126" i="29"/>
  <c r="BR126" i="29" s="1"/>
  <c r="CM127" i="29"/>
  <c r="BX130" i="29"/>
  <c r="BY130" i="29" s="1"/>
  <c r="CK135" i="29"/>
  <c r="AW53" i="29"/>
  <c r="AX53" i="29" s="1"/>
  <c r="CS79" i="29"/>
  <c r="BC80" i="29"/>
  <c r="CN85" i="29"/>
  <c r="CT85" i="29" s="1"/>
  <c r="CU85" i="29" s="1"/>
  <c r="AU90" i="29"/>
  <c r="CR92" i="29"/>
  <c r="CP93" i="29"/>
  <c r="AW97" i="29"/>
  <c r="AT101" i="29"/>
  <c r="AV102" i="29"/>
  <c r="DB113" i="29"/>
  <c r="CZ113" i="29"/>
  <c r="CX116" i="29"/>
  <c r="BB123" i="29"/>
  <c r="AU123" i="29"/>
  <c r="AY123" i="29" s="1"/>
  <c r="CJ126" i="29"/>
  <c r="CM126" i="29"/>
  <c r="CC131" i="29"/>
  <c r="DB133" i="29"/>
  <c r="CZ133" i="29"/>
  <c r="R133" i="29"/>
  <c r="AZ134" i="29"/>
  <c r="LX8" i="26"/>
  <c r="LX9" i="26" s="1"/>
  <c r="CK54" i="29"/>
  <c r="CL54" i="29" s="1"/>
  <c r="AQ66" i="29"/>
  <c r="AR66" i="29" s="1"/>
  <c r="AP67" i="29"/>
  <c r="CW74" i="29"/>
  <c r="CX74" i="29" s="1"/>
  <c r="AW75" i="29"/>
  <c r="AQ84" i="29"/>
  <c r="AR84" i="29" s="1"/>
  <c r="CW88" i="29"/>
  <c r="CX88" i="29" s="1"/>
  <c r="AI98" i="29"/>
  <c r="AS105" i="29"/>
  <c r="CY108" i="29"/>
  <c r="CP115" i="29"/>
  <c r="CW117" i="29"/>
  <c r="BB117" i="29"/>
  <c r="AU117" i="29"/>
  <c r="CB118" i="29"/>
  <c r="CC118" i="29"/>
  <c r="CH125" i="29"/>
  <c r="DI133" i="29"/>
  <c r="Z50" i="29"/>
  <c r="AS84" i="29"/>
  <c r="AS85" i="29"/>
  <c r="CQ91" i="29"/>
  <c r="CT91" i="29" s="1"/>
  <c r="AU93" i="29"/>
  <c r="BD123" i="29"/>
  <c r="AW123" i="29"/>
  <c r="CJ135" i="29"/>
  <c r="CR91" i="29"/>
  <c r="CK108" i="29"/>
  <c r="CL108" i="29" s="1"/>
  <c r="AS116" i="29"/>
  <c r="CZ117" i="29"/>
  <c r="DB117" i="29"/>
  <c r="CM125" i="29"/>
  <c r="AQ114" i="29"/>
  <c r="CW114" i="29"/>
  <c r="CX114" i="29" s="1"/>
  <c r="CZ116" i="29"/>
  <c r="CW118" i="29"/>
  <c r="CX118" i="29" s="1"/>
  <c r="BW128" i="29"/>
  <c r="AT136" i="29"/>
  <c r="AS137" i="29"/>
  <c r="CJ137" i="29"/>
  <c r="CL137" i="29" s="1"/>
  <c r="CJ138" i="29"/>
  <c r="CL138" i="29" s="1"/>
  <c r="DN133" i="31"/>
  <c r="DN121" i="31"/>
  <c r="DN109" i="31"/>
  <c r="DN95" i="31"/>
  <c r="CE143" i="31"/>
  <c r="CV113" i="29"/>
  <c r="CX113" i="29" s="1"/>
  <c r="AT118" i="29"/>
  <c r="AO123" i="29"/>
  <c r="CQ126" i="29"/>
  <c r="CT126" i="29" s="1"/>
  <c r="CU126" i="29" s="1"/>
  <c r="CY133" i="29"/>
  <c r="CO133" i="29"/>
  <c r="CO137" i="29"/>
  <c r="CM138" i="29"/>
  <c r="BA138" i="29"/>
  <c r="DN138" i="31"/>
  <c r="DN126" i="31"/>
  <c r="DN114" i="31"/>
  <c r="DN102" i="31"/>
  <c r="DN88" i="31"/>
  <c r="DN37" i="31"/>
  <c r="BG148" i="31"/>
  <c r="BG145" i="31"/>
  <c r="CH24" i="31"/>
  <c r="AT114" i="29"/>
  <c r="BL115" i="29"/>
  <c r="BQ115" i="29" s="1"/>
  <c r="BR115" i="29" s="1"/>
  <c r="BV118" i="29"/>
  <c r="BX118" i="29" s="1"/>
  <c r="BY118" i="29" s="1"/>
  <c r="CB123" i="29"/>
  <c r="DH128" i="29"/>
  <c r="CW133" i="29"/>
  <c r="CM137" i="29"/>
  <c r="AZ137" i="29"/>
  <c r="DB135" i="29"/>
  <c r="CO138" i="29"/>
  <c r="DN53" i="31"/>
  <c r="DL145" i="31"/>
  <c r="BA114" i="29"/>
  <c r="CN118" i="29"/>
  <c r="CT118" i="29" s="1"/>
  <c r="CZ138" i="29"/>
  <c r="CQ138" i="29"/>
  <c r="CT138" i="29" s="1"/>
  <c r="CU138" i="29" s="1"/>
  <c r="LR13" i="26"/>
  <c r="CS118" i="29"/>
  <c r="BA118" i="29"/>
  <c r="CO118" i="29"/>
  <c r="AW122" i="29"/>
  <c r="CV123" i="29"/>
  <c r="CX123" i="29" s="1"/>
  <c r="CV126" i="29"/>
  <c r="CX126" i="29" s="1"/>
  <c r="CZ131" i="29"/>
  <c r="CV133" i="29"/>
  <c r="CG136" i="29"/>
  <c r="CH136" i="29" s="1"/>
  <c r="CZ137" i="29"/>
  <c r="LH13" i="26"/>
  <c r="LJ13" i="26"/>
  <c r="BP145" i="31"/>
  <c r="BQ19" i="31"/>
  <c r="AV124" i="29"/>
  <c r="R131" i="29"/>
  <c r="AT133" i="29"/>
  <c r="BR18" i="31"/>
  <c r="AR91" i="31"/>
  <c r="DH91" i="31"/>
  <c r="DI91" i="31"/>
  <c r="AO138" i="29"/>
  <c r="DN68" i="31"/>
  <c r="DN63" i="31"/>
  <c r="AO118" i="29"/>
  <c r="AT138" i="29"/>
  <c r="AN148" i="31"/>
  <c r="DN77" i="31"/>
  <c r="DN52" i="31"/>
  <c r="DN27" i="31"/>
  <c r="CA43" i="31"/>
  <c r="BX43" i="31"/>
  <c r="BY43" i="31" s="1"/>
  <c r="DN81" i="31"/>
  <c r="DN56" i="31"/>
  <c r="DN31" i="31"/>
  <c r="DN71" i="31"/>
  <c r="DN45" i="31"/>
  <c r="DN21" i="31"/>
  <c r="BI61" i="31"/>
  <c r="BI44" i="31"/>
  <c r="DN85" i="31"/>
  <c r="DN61" i="31"/>
  <c r="DN35" i="31"/>
  <c r="BI52" i="31"/>
  <c r="DN65" i="31"/>
  <c r="DN39" i="31"/>
  <c r="DN15" i="31"/>
  <c r="BI65" i="31"/>
  <c r="DN69" i="31"/>
  <c r="DN43" i="31"/>
  <c r="DN19" i="31"/>
  <c r="BP148" i="31"/>
  <c r="CA23" i="31"/>
  <c r="CA139" i="31"/>
  <c r="BX85" i="31"/>
  <c r="BY85" i="31" s="1"/>
  <c r="BM148" i="31"/>
  <c r="CA15" i="31"/>
  <c r="AP133" i="31"/>
  <c r="BD131" i="31"/>
  <c r="AY111" i="31"/>
  <c r="AY95" i="31"/>
  <c r="BE130" i="31"/>
  <c r="BV60" i="31"/>
  <c r="BX60" i="31" s="1"/>
  <c r="BY60" i="31" s="1"/>
  <c r="BE59" i="31"/>
  <c r="AY66" i="31"/>
  <c r="AW140" i="31"/>
  <c r="BF95" i="31"/>
  <c r="BF59" i="31"/>
  <c r="AY97" i="31"/>
  <c r="AZ116" i="31"/>
  <c r="AZ60" i="31"/>
  <c r="R46" i="31"/>
  <c r="AS27" i="31"/>
  <c r="BB142" i="31"/>
  <c r="AU142" i="31"/>
  <c r="BB135" i="31"/>
  <c r="AU135" i="31"/>
  <c r="AU103" i="31"/>
  <c r="BB103" i="31"/>
  <c r="BB36" i="31"/>
  <c r="AU36" i="31"/>
  <c r="BB26" i="31"/>
  <c r="AU26" i="31"/>
  <c r="AT94" i="31"/>
  <c r="AX94" i="31" s="1"/>
  <c r="BA94" i="31"/>
  <c r="R102" i="31"/>
  <c r="R92" i="31"/>
  <c r="R86" i="31"/>
  <c r="R21" i="31"/>
  <c r="AU45" i="31"/>
  <c r="AU90" i="31"/>
  <c r="AX90" i="31" s="1"/>
  <c r="BB90" i="31"/>
  <c r="AU15" i="31"/>
  <c r="BB15" i="31"/>
  <c r="AT126" i="31"/>
  <c r="BA126" i="31"/>
  <c r="AT115" i="31"/>
  <c r="BA115" i="31"/>
  <c r="BA93" i="31"/>
  <c r="AT93" i="31"/>
  <c r="AT48" i="31"/>
  <c r="BA48" i="31"/>
  <c r="R83" i="31"/>
  <c r="R51" i="31"/>
  <c r="BB123" i="31"/>
  <c r="AU123" i="31"/>
  <c r="AU89" i="31"/>
  <c r="BB89" i="31"/>
  <c r="AU75" i="31"/>
  <c r="BB75" i="31"/>
  <c r="BB24" i="31"/>
  <c r="AU24" i="31"/>
  <c r="AX24" i="31" s="1"/>
  <c r="BB14" i="31"/>
  <c r="AU14" i="31"/>
  <c r="AY14" i="31" s="1"/>
  <c r="R80" i="31"/>
  <c r="AS21" i="31"/>
  <c r="AT114" i="31"/>
  <c r="AT47" i="31"/>
  <c r="AT113" i="31"/>
  <c r="BA113" i="31"/>
  <c r="BE59" i="33"/>
  <c r="BF59" i="33"/>
  <c r="R42" i="31"/>
  <c r="R34" i="31"/>
  <c r="AT92" i="31"/>
  <c r="AX92" i="31" s="1"/>
  <c r="BB110" i="31"/>
  <c r="AU110" i="31"/>
  <c r="AX110" i="31" s="1"/>
  <c r="AT103" i="31"/>
  <c r="BA103" i="31"/>
  <c r="R66" i="31"/>
  <c r="R37" i="31"/>
  <c r="R25" i="31"/>
  <c r="R17" i="31"/>
  <c r="AU133" i="31"/>
  <c r="AU117" i="31"/>
  <c r="AX117" i="31" s="1"/>
  <c r="AU57" i="31"/>
  <c r="AX57" i="31" s="1"/>
  <c r="AU42" i="31"/>
  <c r="BB42" i="31"/>
  <c r="AU32" i="31"/>
  <c r="BB32" i="31"/>
  <c r="AT133" i="31"/>
  <c r="BA133" i="31"/>
  <c r="L127" i="13"/>
  <c r="M65" i="13"/>
  <c r="L40" i="13"/>
  <c r="K40" i="13" s="1"/>
  <c r="R61" i="31"/>
  <c r="R20" i="31"/>
  <c r="AS23" i="31"/>
  <c r="BB96" i="31"/>
  <c r="AU96" i="31"/>
  <c r="AU51" i="31"/>
  <c r="BA132" i="31"/>
  <c r="AT132" i="31"/>
  <c r="AT101" i="31"/>
  <c r="BA101" i="31"/>
  <c r="AT89" i="31"/>
  <c r="BA89" i="31"/>
  <c r="CJ51" i="31"/>
  <c r="CK51" i="31"/>
  <c r="R112" i="31"/>
  <c r="R47" i="31"/>
  <c r="R39" i="31"/>
  <c r="AU129" i="31"/>
  <c r="BB129" i="31"/>
  <c r="AU30" i="31"/>
  <c r="BB30" i="31"/>
  <c r="AU20" i="31"/>
  <c r="BB20" i="31"/>
  <c r="AT121" i="31"/>
  <c r="AY121" i="31" s="1"/>
  <c r="BA121" i="31"/>
  <c r="R119" i="31"/>
  <c r="R44" i="31"/>
  <c r="R22" i="31"/>
  <c r="R14" i="31"/>
  <c r="AU128" i="31"/>
  <c r="BB128" i="31"/>
  <c r="BB50" i="31"/>
  <c r="AU50" i="31"/>
  <c r="AX50" i="31" s="1"/>
  <c r="BA119" i="31"/>
  <c r="AT119" i="31"/>
  <c r="AT87" i="31"/>
  <c r="BA87" i="31"/>
  <c r="R114" i="31"/>
  <c r="R68" i="31"/>
  <c r="R58" i="31"/>
  <c r="R52" i="31"/>
  <c r="R41" i="31"/>
  <c r="R33" i="31"/>
  <c r="AS25" i="31"/>
  <c r="AU116" i="31"/>
  <c r="AX116" i="31" s="1"/>
  <c r="BB116" i="31"/>
  <c r="AU39" i="31"/>
  <c r="AX39" i="31" s="1"/>
  <c r="BB39" i="31"/>
  <c r="AU18" i="31"/>
  <c r="AX18" i="31" s="1"/>
  <c r="BB18" i="31"/>
  <c r="AT140" i="31"/>
  <c r="BA140" i="31"/>
  <c r="BE140" i="31" s="1"/>
  <c r="AT108" i="31"/>
  <c r="BA108" i="31"/>
  <c r="R137" i="31"/>
  <c r="R81" i="31"/>
  <c r="AU115" i="31"/>
  <c r="BB115" i="31"/>
  <c r="AU63" i="31"/>
  <c r="BB63" i="31"/>
  <c r="BB48" i="31"/>
  <c r="AU48" i="31"/>
  <c r="BB38" i="31"/>
  <c r="AU38" i="31"/>
  <c r="BA107" i="31"/>
  <c r="AT107" i="31"/>
  <c r="AU104" i="31"/>
  <c r="AX104" i="31" s="1"/>
  <c r="BB104" i="31"/>
  <c r="AU27" i="31"/>
  <c r="BB27" i="31"/>
  <c r="AT138" i="31"/>
  <c r="BA138" i="31"/>
  <c r="AT128" i="31"/>
  <c r="BA128" i="31"/>
  <c r="CL32" i="31"/>
  <c r="CN32" i="31" s="1"/>
  <c r="M66" i="13"/>
  <c r="L50" i="13"/>
  <c r="AT79" i="31"/>
  <c r="AT67" i="31"/>
  <c r="AT55" i="31"/>
  <c r="Q141" i="31"/>
  <c r="CL107" i="31"/>
  <c r="CN107" i="31" s="1"/>
  <c r="CL63" i="31"/>
  <c r="BA46" i="31"/>
  <c r="CL102" i="31"/>
  <c r="CN102" i="31" s="1"/>
  <c r="CL89" i="31"/>
  <c r="CN89" i="31" s="1"/>
  <c r="CL79" i="31"/>
  <c r="CN79" i="31" s="1"/>
  <c r="CL57" i="31"/>
  <c r="CN57" i="31" s="1"/>
  <c r="CL21" i="31"/>
  <c r="DJ140" i="33"/>
  <c r="DJ143" i="33" s="1"/>
  <c r="DH8" i="33"/>
  <c r="DH143" i="33"/>
  <c r="CL109" i="31"/>
  <c r="AT85" i="31"/>
  <c r="AT73" i="31"/>
  <c r="AT61" i="31"/>
  <c r="CL133" i="31"/>
  <c r="CN133" i="31" s="1"/>
  <c r="CL116" i="31"/>
  <c r="CN116" i="31" s="1"/>
  <c r="CK101" i="31"/>
  <c r="CL53" i="31"/>
  <c r="CN53" i="31" s="1"/>
  <c r="CJ46" i="31"/>
  <c r="CL29" i="31"/>
  <c r="CN29" i="31" s="1"/>
  <c r="CL24" i="31"/>
  <c r="CL33" i="31"/>
  <c r="CN33" i="31" s="1"/>
  <c r="CL56" i="31"/>
  <c r="CN56" i="31" s="1"/>
  <c r="BE38" i="33"/>
  <c r="BF38" i="33"/>
  <c r="CL128" i="31"/>
  <c r="CN128" i="31" s="1"/>
  <c r="CL100" i="31"/>
  <c r="CN100" i="31" s="1"/>
  <c r="CL87" i="31"/>
  <c r="CN87" i="31" s="1"/>
  <c r="CJ48" i="31"/>
  <c r="CL27" i="31"/>
  <c r="CN27" i="31" s="1"/>
  <c r="CL23" i="31"/>
  <c r="CN23" i="31" s="1"/>
  <c r="CL19" i="31"/>
  <c r="CN19" i="31" s="1"/>
  <c r="AX143" i="33"/>
  <c r="R40" i="13"/>
  <c r="J40" i="13" s="1"/>
  <c r="R37" i="13"/>
  <c r="R34" i="13"/>
  <c r="R31" i="13"/>
  <c r="R25" i="13"/>
  <c r="R22" i="13"/>
  <c r="J22" i="13" s="1"/>
  <c r="BF39" i="33"/>
  <c r="CU143" i="33"/>
  <c r="R33" i="13"/>
  <c r="R30" i="13"/>
  <c r="R27" i="13"/>
  <c r="M127" i="13"/>
  <c r="M67" i="13"/>
  <c r="K67" i="13" s="1"/>
  <c r="M64" i="13"/>
  <c r="M50" i="13"/>
  <c r="BV143" i="33"/>
  <c r="CT143" i="33"/>
  <c r="R29" i="13"/>
  <c r="R26" i="13"/>
  <c r="R23" i="13"/>
  <c r="K114" i="13"/>
  <c r="BF45" i="33"/>
  <c r="R134" i="13"/>
  <c r="J134" i="13" s="1"/>
  <c r="R129" i="13"/>
  <c r="J129" i="13" s="1"/>
  <c r="R68" i="13"/>
  <c r="R64" i="13"/>
  <c r="R60" i="13"/>
  <c r="R59" i="13"/>
  <c r="J59" i="13" s="1"/>
  <c r="R58" i="13"/>
  <c r="J58" i="13" s="1"/>
  <c r="R55" i="13"/>
  <c r="J55" i="13" s="1"/>
  <c r="R50" i="13"/>
  <c r="R47" i="13"/>
  <c r="J47" i="13" s="1"/>
  <c r="R44" i="13"/>
  <c r="J44" i="13" s="1"/>
  <c r="Q134" i="13"/>
  <c r="I134" i="13" s="1"/>
  <c r="Q127" i="13"/>
  <c r="V2" i="13"/>
  <c r="V128" i="13"/>
  <c r="R128" i="13" s="1"/>
  <c r="J128" i="13" s="1"/>
  <c r="R21" i="13"/>
  <c r="P21" i="13"/>
  <c r="R17" i="13"/>
  <c r="P17" i="13"/>
  <c r="R11" i="13"/>
  <c r="P11" i="13"/>
  <c r="P8" i="13"/>
  <c r="R8" i="13"/>
  <c r="J8" i="13" s="1"/>
  <c r="P7" i="13"/>
  <c r="R7" i="13"/>
  <c r="P132" i="13"/>
  <c r="P130" i="13"/>
  <c r="Q130" i="13"/>
  <c r="I130" i="13" s="1"/>
  <c r="P124" i="13"/>
  <c r="Q124" i="13"/>
  <c r="I124" i="13" s="1"/>
  <c r="Q119" i="13"/>
  <c r="I119" i="13" s="1"/>
  <c r="P119" i="13"/>
  <c r="P115" i="13"/>
  <c r="Q112" i="13"/>
  <c r="I112" i="13" s="1"/>
  <c r="P112" i="13"/>
  <c r="Q109" i="13"/>
  <c r="I109" i="13" s="1"/>
  <c r="P109" i="13"/>
  <c r="P106" i="13"/>
  <c r="Q106" i="13"/>
  <c r="I106" i="13" s="1"/>
  <c r="Q104" i="13"/>
  <c r="I104" i="13" s="1"/>
  <c r="P104" i="13"/>
  <c r="P98" i="13"/>
  <c r="Q98" i="13"/>
  <c r="I98" i="13" s="1"/>
  <c r="Q94" i="13"/>
  <c r="I94" i="13" s="1"/>
  <c r="P94" i="13"/>
  <c r="P92" i="13"/>
  <c r="Q92" i="13"/>
  <c r="I92" i="13" s="1"/>
  <c r="Q89" i="13"/>
  <c r="I89" i="13" s="1"/>
  <c r="P89" i="13"/>
  <c r="Q86" i="13"/>
  <c r="P86" i="13"/>
  <c r="Q85" i="13"/>
  <c r="I85" i="13" s="1"/>
  <c r="P85" i="13"/>
  <c r="Q81" i="13"/>
  <c r="I81" i="13" s="1"/>
  <c r="P81" i="13"/>
  <c r="P79" i="13"/>
  <c r="Q79" i="13"/>
  <c r="I79" i="13" s="1"/>
  <c r="Q77" i="13"/>
  <c r="I77" i="13" s="1"/>
  <c r="P77" i="13"/>
  <c r="Q75" i="13"/>
  <c r="I75" i="13" s="1"/>
  <c r="P75" i="13"/>
  <c r="Q74" i="13"/>
  <c r="I74" i="13" s="1"/>
  <c r="P74" i="13"/>
  <c r="Q72" i="13"/>
  <c r="I72" i="13" s="1"/>
  <c r="P72" i="13"/>
  <c r="P69" i="13"/>
  <c r="Q69" i="13"/>
  <c r="Q67" i="13"/>
  <c r="I67" i="13" s="1"/>
  <c r="P67" i="13"/>
  <c r="Q66" i="13"/>
  <c r="P66" i="13"/>
  <c r="P64" i="13"/>
  <c r="Q64" i="13"/>
  <c r="Q62" i="13"/>
  <c r="I62" i="13" s="1"/>
  <c r="P62" i="13"/>
  <c r="Q61" i="13"/>
  <c r="P61" i="13"/>
  <c r="P59" i="13"/>
  <c r="Q59" i="13"/>
  <c r="Q53" i="13"/>
  <c r="I53" i="13" s="1"/>
  <c r="P53" i="13"/>
  <c r="P15" i="13"/>
  <c r="P76" i="13"/>
  <c r="P114" i="13"/>
  <c r="P127" i="13"/>
  <c r="R16" i="13"/>
  <c r="J16" i="13" s="1"/>
  <c r="P16" i="13"/>
  <c r="P14" i="13"/>
  <c r="R14" i="13"/>
  <c r="R10" i="13"/>
  <c r="J10" i="13" s="1"/>
  <c r="P10" i="13"/>
  <c r="P133" i="13"/>
  <c r="Q133" i="13"/>
  <c r="U128" i="13"/>
  <c r="U3" i="13" s="1"/>
  <c r="P118" i="13"/>
  <c r="Q118" i="13"/>
  <c r="I118" i="13" s="1"/>
  <c r="Q111" i="13"/>
  <c r="I111" i="13" s="1"/>
  <c r="P111" i="13"/>
  <c r="Q108" i="13"/>
  <c r="I108" i="13" s="1"/>
  <c r="P108" i="13"/>
  <c r="Q105" i="13"/>
  <c r="I105" i="13" s="1"/>
  <c r="P105" i="13"/>
  <c r="P102" i="13"/>
  <c r="Q102" i="13"/>
  <c r="Q99" i="13"/>
  <c r="I99" i="13" s="1"/>
  <c r="P99" i="13"/>
  <c r="Q96" i="13"/>
  <c r="I96" i="13" s="1"/>
  <c r="P96" i="13"/>
  <c r="Q87" i="13"/>
  <c r="I87" i="13" s="1"/>
  <c r="P87" i="13"/>
  <c r="P83" i="13"/>
  <c r="Q83" i="13"/>
  <c r="I83" i="13" s="1"/>
  <c r="Q78" i="13"/>
  <c r="I78" i="13" s="1"/>
  <c r="P78" i="13"/>
  <c r="Q70" i="13"/>
  <c r="I70" i="13" s="1"/>
  <c r="P70" i="13"/>
  <c r="P55" i="13"/>
  <c r="Q55" i="13"/>
  <c r="P134" i="13"/>
  <c r="P82" i="13"/>
  <c r="P13" i="13"/>
  <c r="P80" i="13"/>
  <c r="P20" i="13"/>
  <c r="R20" i="13"/>
  <c r="J20" i="13" s="1"/>
  <c r="P18" i="13"/>
  <c r="R18" i="13"/>
  <c r="R12" i="13"/>
  <c r="P12" i="13"/>
  <c r="R9" i="13"/>
  <c r="P9" i="13"/>
  <c r="Q131" i="13"/>
  <c r="I131" i="13" s="1"/>
  <c r="P131" i="13"/>
  <c r="Q129" i="13"/>
  <c r="P129" i="13"/>
  <c r="P126" i="13"/>
  <c r="Q126" i="13"/>
  <c r="I126" i="13" s="1"/>
  <c r="P125" i="13"/>
  <c r="Q125" i="13"/>
  <c r="I125" i="13" s="1"/>
  <c r="Q120" i="13"/>
  <c r="I120" i="13" s="1"/>
  <c r="P120" i="13"/>
  <c r="P117" i="13"/>
  <c r="Q117" i="13"/>
  <c r="I117" i="13" s="1"/>
  <c r="P116" i="13"/>
  <c r="Q116" i="13"/>
  <c r="I116" i="13" s="1"/>
  <c r="P113" i="13"/>
  <c r="Q113" i="13"/>
  <c r="Q110" i="13"/>
  <c r="I110" i="13" s="1"/>
  <c r="P110" i="13"/>
  <c r="Q107" i="13"/>
  <c r="I107" i="13" s="1"/>
  <c r="P107" i="13"/>
  <c r="Q101" i="13"/>
  <c r="I101" i="13" s="1"/>
  <c r="P101" i="13"/>
  <c r="P97" i="13"/>
  <c r="Q95" i="13"/>
  <c r="I95" i="13" s="1"/>
  <c r="P95" i="13"/>
  <c r="Q93" i="13"/>
  <c r="I93" i="13" s="1"/>
  <c r="P93" i="13"/>
  <c r="Q90" i="13"/>
  <c r="I90" i="13" s="1"/>
  <c r="P90" i="13"/>
  <c r="P88" i="13"/>
  <c r="Q88" i="13"/>
  <c r="I88" i="13" s="1"/>
  <c r="Q73" i="13"/>
  <c r="I73" i="13" s="1"/>
  <c r="P73" i="13"/>
  <c r="P71" i="13"/>
  <c r="Q71" i="13"/>
  <c r="I71" i="13" s="1"/>
  <c r="P68" i="13"/>
  <c r="Q68" i="13"/>
  <c r="I68" i="13" s="1"/>
  <c r="P65" i="13"/>
  <c r="Q63" i="13"/>
  <c r="P63" i="13"/>
  <c r="P58" i="13"/>
  <c r="Q58" i="13"/>
  <c r="I58" i="13" s="1"/>
  <c r="Q57" i="13"/>
  <c r="I57" i="13" s="1"/>
  <c r="P57" i="13"/>
  <c r="Q56" i="13"/>
  <c r="P56" i="13"/>
  <c r="Q54" i="13"/>
  <c r="P54" i="13"/>
  <c r="P52" i="13"/>
  <c r="Q51" i="13"/>
  <c r="I51" i="13" s="1"/>
  <c r="P51" i="13"/>
  <c r="Q50" i="13"/>
  <c r="P50" i="13"/>
  <c r="P49" i="13"/>
  <c r="Q49" i="13"/>
  <c r="I49" i="13" s="1"/>
  <c r="Q47" i="13"/>
  <c r="I47" i="13" s="1"/>
  <c r="P47" i="13"/>
  <c r="P46" i="13"/>
  <c r="Q46" i="13"/>
  <c r="I46" i="13" s="1"/>
  <c r="Q45" i="13"/>
  <c r="I45" i="13" s="1"/>
  <c r="P45" i="13"/>
  <c r="Q44" i="13"/>
  <c r="P44" i="13"/>
  <c r="U2" i="13"/>
  <c r="P48" i="13"/>
  <c r="P91" i="13"/>
  <c r="Q97" i="13"/>
  <c r="I97" i="13" s="1"/>
  <c r="R127" i="13"/>
  <c r="R115" i="13"/>
  <c r="R114" i="13"/>
  <c r="R113" i="13"/>
  <c r="J113" i="13" s="1"/>
  <c r="R111" i="13"/>
  <c r="J111" i="13" s="1"/>
  <c r="R100" i="13"/>
  <c r="J100" i="13" s="1"/>
  <c r="R91" i="13"/>
  <c r="J91" i="13" s="1"/>
  <c r="R86" i="13"/>
  <c r="J86" i="13" s="1"/>
  <c r="R65" i="13"/>
  <c r="R61" i="13"/>
  <c r="J61" i="13" s="1"/>
  <c r="R56" i="13"/>
  <c r="J56" i="13" s="1"/>
  <c r="R54" i="13"/>
  <c r="J54" i="13" s="1"/>
  <c r="R51" i="13"/>
  <c r="R48" i="13"/>
  <c r="J48" i="13" s="1"/>
  <c r="R19" i="13"/>
  <c r="J19" i="13" s="1"/>
  <c r="K41" i="13"/>
  <c r="K30" i="13"/>
  <c r="K24" i="13"/>
  <c r="K22" i="13"/>
  <c r="K19" i="13"/>
  <c r="K16" i="13"/>
  <c r="K8" i="13"/>
  <c r="R125" i="13"/>
  <c r="O125" i="13"/>
  <c r="R119" i="13"/>
  <c r="J119" i="13" s="1"/>
  <c r="O119" i="13"/>
  <c r="R116" i="13"/>
  <c r="J116" i="13" s="1"/>
  <c r="O116" i="13"/>
  <c r="R88" i="13"/>
  <c r="J88" i="13" s="1"/>
  <c r="O88" i="13"/>
  <c r="R87" i="13"/>
  <c r="J87" i="13" s="1"/>
  <c r="O87" i="13"/>
  <c r="R85" i="13"/>
  <c r="O85" i="13"/>
  <c r="R79" i="13"/>
  <c r="O79" i="13"/>
  <c r="R67" i="13"/>
  <c r="O67" i="13"/>
  <c r="R66" i="13"/>
  <c r="O66" i="13"/>
  <c r="R63" i="13"/>
  <c r="O63" i="13"/>
  <c r="R62" i="13"/>
  <c r="O62" i="13"/>
  <c r="R57" i="13"/>
  <c r="O57" i="13"/>
  <c r="R52" i="13"/>
  <c r="O52" i="13"/>
  <c r="O49" i="13"/>
  <c r="R49" i="13"/>
  <c r="R45" i="13"/>
  <c r="O45" i="13"/>
  <c r="R71" i="13"/>
  <c r="R46" i="13"/>
  <c r="J46" i="13" s="1"/>
  <c r="R109" i="13"/>
  <c r="R104" i="13"/>
  <c r="R80" i="13"/>
  <c r="P42" i="13"/>
  <c r="P123" i="13"/>
  <c r="P122" i="13"/>
  <c r="R108" i="13"/>
  <c r="J108" i="13" s="1"/>
  <c r="K11" i="13"/>
  <c r="Q42" i="13"/>
  <c r="I42" i="13" s="1"/>
  <c r="R124" i="13"/>
  <c r="J124" i="13" s="1"/>
  <c r="R117" i="13"/>
  <c r="R95" i="13"/>
  <c r="R92" i="13"/>
  <c r="R72" i="13"/>
  <c r="K129" i="13"/>
  <c r="K120" i="13"/>
  <c r="K90" i="13"/>
  <c r="K60" i="13"/>
  <c r="K46" i="13"/>
  <c r="O18" i="13"/>
  <c r="O13" i="13"/>
  <c r="K42" i="13"/>
  <c r="R42" i="13"/>
  <c r="J42" i="13" s="1"/>
  <c r="R121" i="13"/>
  <c r="P121" i="13"/>
  <c r="K116" i="13"/>
  <c r="K115" i="13"/>
  <c r="K113" i="13"/>
  <c r="P103" i="13"/>
  <c r="R98" i="13"/>
  <c r="O98" i="13"/>
  <c r="R97" i="13"/>
  <c r="J97" i="13" s="1"/>
  <c r="O97" i="13"/>
  <c r="R96" i="13"/>
  <c r="O96" i="13"/>
  <c r="R123" i="13"/>
  <c r="R122" i="13"/>
  <c r="R83" i="13"/>
  <c r="R82" i="13"/>
  <c r="J82" i="13" s="1"/>
  <c r="R112" i="13"/>
  <c r="J112" i="13" s="1"/>
  <c r="R131" i="13"/>
  <c r="R120" i="13"/>
  <c r="R102" i="13"/>
  <c r="R94" i="13"/>
  <c r="R93" i="13"/>
  <c r="R107" i="13"/>
  <c r="R106" i="13"/>
  <c r="R84" i="13"/>
  <c r="R75" i="13"/>
  <c r="R74" i="13"/>
  <c r="R133" i="13"/>
  <c r="R118" i="13"/>
  <c r="R99" i="13"/>
  <c r="J99" i="13" s="1"/>
  <c r="R90" i="13"/>
  <c r="R76" i="13"/>
  <c r="R70" i="13"/>
  <c r="R69" i="13"/>
  <c r="O21" i="13"/>
  <c r="K14" i="13"/>
  <c r="K118" i="13"/>
  <c r="R78" i="13"/>
  <c r="O78" i="13"/>
  <c r="R77" i="13"/>
  <c r="O77" i="13"/>
  <c r="K43" i="13"/>
  <c r="P84" i="13"/>
  <c r="R126" i="13"/>
  <c r="R103" i="13"/>
  <c r="P43" i="13"/>
  <c r="K21" i="13"/>
  <c r="K17" i="13"/>
  <c r="K12" i="13"/>
  <c r="Q43" i="13"/>
  <c r="I43" i="13" s="1"/>
  <c r="O43" i="13"/>
  <c r="R43" i="13"/>
  <c r="J43" i="13" s="1"/>
  <c r="R130" i="13"/>
  <c r="R110" i="13"/>
  <c r="J110" i="13" s="1"/>
  <c r="R105" i="13"/>
  <c r="R101" i="13"/>
  <c r="R89" i="13"/>
  <c r="J89" i="13" s="1"/>
  <c r="R81" i="13"/>
  <c r="R73" i="13"/>
  <c r="CL6" i="33"/>
  <c r="CO8" i="33"/>
  <c r="CL7" i="33"/>
  <c r="DJ8" i="33"/>
  <c r="BF100" i="33"/>
  <c r="BF86" i="33"/>
  <c r="BF21" i="33"/>
  <c r="BE92" i="33"/>
  <c r="BF25" i="33"/>
  <c r="BF113" i="33"/>
  <c r="BF27" i="33"/>
  <c r="BF17" i="33"/>
  <c r="CV143" i="33"/>
  <c r="CW14" i="33"/>
  <c r="CW143" i="33" s="1"/>
  <c r="BF111" i="33"/>
  <c r="BE107" i="33"/>
  <c r="BY14" i="33"/>
  <c r="BC143" i="33"/>
  <c r="BE68" i="33"/>
  <c r="CF50" i="33"/>
  <c r="CE50" i="33"/>
  <c r="BX25" i="33"/>
  <c r="BY25" i="33" s="1"/>
  <c r="CS143" i="33"/>
  <c r="CB143" i="33"/>
  <c r="BF65" i="33"/>
  <c r="BJ8" i="33"/>
  <c r="BK7" i="33"/>
  <c r="BI6" i="33"/>
  <c r="CM141" i="33"/>
  <c r="AR141" i="33"/>
  <c r="AR143" i="33" s="1"/>
  <c r="BE140" i="33"/>
  <c r="CJ59" i="29"/>
  <c r="AC139" i="29"/>
  <c r="AC147" i="29" s="1"/>
  <c r="AB148" i="29" s="1"/>
  <c r="AK59" i="29"/>
  <c r="CV89" i="31" l="1"/>
  <c r="CW89" i="31" s="1"/>
  <c r="BE17" i="29"/>
  <c r="AY84" i="31"/>
  <c r="CL40" i="29"/>
  <c r="CT35" i="29"/>
  <c r="CU52" i="29"/>
  <c r="AR59" i="31"/>
  <c r="AR40" i="31"/>
  <c r="AR15" i="29"/>
  <c r="CT140" i="29"/>
  <c r="CW138" i="31"/>
  <c r="CT96" i="29"/>
  <c r="CU96" i="29" s="1"/>
  <c r="BQ139" i="29"/>
  <c r="CV18" i="31"/>
  <c r="CW18" i="31" s="1"/>
  <c r="CT52" i="29"/>
  <c r="CT107" i="29"/>
  <c r="CT25" i="29"/>
  <c r="CU25" i="29" s="1"/>
  <c r="CV98" i="31"/>
  <c r="CW98" i="31" s="1"/>
  <c r="AX132" i="29"/>
  <c r="CL125" i="31"/>
  <c r="CN125" i="31" s="1"/>
  <c r="AY102" i="31"/>
  <c r="CL38" i="31"/>
  <c r="CN38" i="31" s="1"/>
  <c r="AY67" i="29"/>
  <c r="AY40" i="29"/>
  <c r="CU17" i="29"/>
  <c r="AY36" i="29"/>
  <c r="CL48" i="31"/>
  <c r="CN48" i="31" s="1"/>
  <c r="CB54" i="29"/>
  <c r="CB138" i="31"/>
  <c r="CT86" i="29"/>
  <c r="CU86" i="29" s="1"/>
  <c r="AY35" i="31"/>
  <c r="CA51" i="31"/>
  <c r="CT23" i="29"/>
  <c r="CU23" i="29" s="1"/>
  <c r="BF122" i="31"/>
  <c r="BN146" i="29"/>
  <c r="CT130" i="29"/>
  <c r="CU130" i="29" s="1"/>
  <c r="CD34" i="29"/>
  <c r="CX121" i="29"/>
  <c r="CV79" i="31"/>
  <c r="CW79" i="31" s="1"/>
  <c r="AX134" i="31"/>
  <c r="BE57" i="29"/>
  <c r="BO145" i="31"/>
  <c r="BE45" i="31"/>
  <c r="BN143" i="29"/>
  <c r="CP139" i="29"/>
  <c r="CP143" i="29" s="1"/>
  <c r="CP147" i="29" s="1"/>
  <c r="Z139" i="29"/>
  <c r="V142" i="29"/>
  <c r="V147" i="29"/>
  <c r="U148" i="29" s="1"/>
  <c r="B64" i="13"/>
  <c r="B107" i="13"/>
  <c r="AX52" i="29"/>
  <c r="CU128" i="29"/>
  <c r="AX40" i="29"/>
  <c r="AQ28" i="29"/>
  <c r="AY44" i="31"/>
  <c r="AR17" i="29"/>
  <c r="AX88" i="31"/>
  <c r="CU90" i="31"/>
  <c r="BF95" i="29"/>
  <c r="BX50" i="29"/>
  <c r="BY50" i="29" s="1"/>
  <c r="BE96" i="29"/>
  <c r="AS75" i="29"/>
  <c r="CZ75" i="29"/>
  <c r="AP75" i="29"/>
  <c r="BB46" i="31"/>
  <c r="CX117" i="29"/>
  <c r="AX36" i="29"/>
  <c r="BE95" i="29"/>
  <c r="AX125" i="31"/>
  <c r="CT90" i="31"/>
  <c r="BF57" i="29"/>
  <c r="AR138" i="31"/>
  <c r="CU117" i="29"/>
  <c r="BF17" i="29"/>
  <c r="AR112" i="31"/>
  <c r="CU108" i="29"/>
  <c r="AY134" i="31"/>
  <c r="CN94" i="31"/>
  <c r="CO135" i="29"/>
  <c r="AS28" i="29"/>
  <c r="CN62" i="31"/>
  <c r="CX101" i="29"/>
  <c r="CU91" i="29"/>
  <c r="CB16" i="29"/>
  <c r="CF16" i="29" s="1"/>
  <c r="CQ28" i="29"/>
  <c r="AX67" i="29"/>
  <c r="BE101" i="29"/>
  <c r="AR70" i="31"/>
  <c r="R129" i="31"/>
  <c r="AZ28" i="29"/>
  <c r="CT119" i="29"/>
  <c r="CU119" i="29" s="1"/>
  <c r="CO28" i="29"/>
  <c r="AR47" i="29"/>
  <c r="BS111" i="31"/>
  <c r="BE105" i="31"/>
  <c r="CZ28" i="29"/>
  <c r="AR91" i="29"/>
  <c r="BF77" i="29"/>
  <c r="CT31" i="29"/>
  <c r="CU31" i="29" s="1"/>
  <c r="AR34" i="31"/>
  <c r="CL84" i="29"/>
  <c r="CR28" i="29"/>
  <c r="BS69" i="31"/>
  <c r="AR94" i="31"/>
  <c r="AX31" i="31"/>
  <c r="CY28" i="29"/>
  <c r="CT115" i="29"/>
  <c r="CU115" i="29" s="1"/>
  <c r="BE47" i="29"/>
  <c r="BF62" i="29"/>
  <c r="AZ69" i="31"/>
  <c r="CB66" i="29"/>
  <c r="AY131" i="31"/>
  <c r="CX140" i="29"/>
  <c r="AX35" i="31"/>
  <c r="CC113" i="29"/>
  <c r="AO28" i="29"/>
  <c r="CN138" i="31"/>
  <c r="BF31" i="31"/>
  <c r="AR62" i="31"/>
  <c r="AR93" i="31"/>
  <c r="CU108" i="31"/>
  <c r="AR35" i="29"/>
  <c r="CL126" i="29"/>
  <c r="CX25" i="29"/>
  <c r="AX38" i="29"/>
  <c r="AX91" i="31"/>
  <c r="AS72" i="31"/>
  <c r="CT67" i="29"/>
  <c r="CU67" i="29" s="1"/>
  <c r="CT42" i="29"/>
  <c r="CU42" i="29" s="1"/>
  <c r="CX61" i="29"/>
  <c r="CB77" i="29"/>
  <c r="CL23" i="29"/>
  <c r="AP28" i="29"/>
  <c r="CN112" i="31"/>
  <c r="CN71" i="31"/>
  <c r="BE57" i="31"/>
  <c r="AR39" i="31"/>
  <c r="BF45" i="31"/>
  <c r="CN93" i="31"/>
  <c r="CL108" i="31"/>
  <c r="CN108" i="31" s="1"/>
  <c r="AY124" i="31"/>
  <c r="BF85" i="31"/>
  <c r="CX58" i="29"/>
  <c r="CN39" i="31"/>
  <c r="CT116" i="29"/>
  <c r="CU116" i="29" s="1"/>
  <c r="BC108" i="31"/>
  <c r="CB19" i="31"/>
  <c r="AX78" i="29"/>
  <c r="AR126" i="29"/>
  <c r="BE95" i="31"/>
  <c r="BX108" i="31"/>
  <c r="BY108" i="31" s="1"/>
  <c r="CT94" i="29"/>
  <c r="AZ24" i="31"/>
  <c r="BH24" i="31"/>
  <c r="BI24" i="31" s="1"/>
  <c r="AX91" i="29"/>
  <c r="R62" i="31"/>
  <c r="BC62" i="31" s="1"/>
  <c r="CB112" i="31"/>
  <c r="AZ136" i="29"/>
  <c r="CB134" i="31"/>
  <c r="DA49" i="31"/>
  <c r="CU35" i="29"/>
  <c r="AY76" i="29"/>
  <c r="CB107" i="29"/>
  <c r="AU152" i="29"/>
  <c r="AY16" i="31"/>
  <c r="BE85" i="31"/>
  <c r="LF12" i="26"/>
  <c r="LE12" i="26" s="1"/>
  <c r="LD12" i="26" s="1"/>
  <c r="AX68" i="29"/>
  <c r="CB63" i="29"/>
  <c r="CZ136" i="29"/>
  <c r="CE93" i="29"/>
  <c r="CF93" i="29"/>
  <c r="AH59" i="29"/>
  <c r="CU111" i="29"/>
  <c r="CY136" i="29"/>
  <c r="AX112" i="31"/>
  <c r="BE122" i="31"/>
  <c r="CB47" i="31"/>
  <c r="CB126" i="29"/>
  <c r="AY53" i="29"/>
  <c r="CT89" i="29"/>
  <c r="CU89" i="29" s="1"/>
  <c r="AR74" i="31"/>
  <c r="AX44" i="29"/>
  <c r="CR136" i="29"/>
  <c r="CL59" i="31"/>
  <c r="BF107" i="29"/>
  <c r="BF72" i="29"/>
  <c r="CL62" i="29"/>
  <c r="AX131" i="31"/>
  <c r="CU60" i="29"/>
  <c r="AX81" i="31"/>
  <c r="CN37" i="31"/>
  <c r="AR24" i="31"/>
  <c r="AY122" i="31"/>
  <c r="CU118" i="29"/>
  <c r="BE66" i="29"/>
  <c r="CB80" i="29"/>
  <c r="AP136" i="29"/>
  <c r="BS62" i="31"/>
  <c r="AR30" i="31"/>
  <c r="BE112" i="29"/>
  <c r="CU116" i="31"/>
  <c r="CN24" i="31"/>
  <c r="CQ136" i="29"/>
  <c r="CT136" i="29" s="1"/>
  <c r="AR37" i="31"/>
  <c r="AR38" i="31"/>
  <c r="AX77" i="31"/>
  <c r="AZ62" i="31"/>
  <c r="AR58" i="31"/>
  <c r="BE30" i="31"/>
  <c r="CB43" i="29"/>
  <c r="AX95" i="31"/>
  <c r="AX126" i="31"/>
  <c r="CL129" i="29"/>
  <c r="CO136" i="29"/>
  <c r="CB29" i="29"/>
  <c r="CE29" i="29" s="1"/>
  <c r="CN81" i="31"/>
  <c r="CV128" i="31"/>
  <c r="CW128" i="31" s="1"/>
  <c r="CT21" i="29"/>
  <c r="AO136" i="29"/>
  <c r="CN118" i="31"/>
  <c r="AR118" i="31"/>
  <c r="CB94" i="29"/>
  <c r="BC110" i="31"/>
  <c r="BE110" i="31" s="1"/>
  <c r="AY134" i="29"/>
  <c r="AR43" i="31"/>
  <c r="CT106" i="29"/>
  <c r="AX15" i="31"/>
  <c r="CN136" i="29"/>
  <c r="CB140" i="29"/>
  <c r="AX40" i="31"/>
  <c r="AR140" i="31"/>
  <c r="AY22" i="31"/>
  <c r="AY103" i="29"/>
  <c r="CM59" i="29"/>
  <c r="AR62" i="29"/>
  <c r="CW127" i="31"/>
  <c r="CX125" i="29"/>
  <c r="AX21" i="29"/>
  <c r="BF38" i="29"/>
  <c r="CV82" i="31"/>
  <c r="CW82" i="31" s="1"/>
  <c r="BQ128" i="29"/>
  <c r="BR128" i="29" s="1"/>
  <c r="CM119" i="29"/>
  <c r="AQ79" i="29"/>
  <c r="CO79" i="29"/>
  <c r="AZ79" i="29"/>
  <c r="BF79" i="29" s="1"/>
  <c r="CZ79" i="29"/>
  <c r="CN79" i="29"/>
  <c r="CY79" i="29"/>
  <c r="CR79" i="29"/>
  <c r="CQ79" i="29"/>
  <c r="AS79" i="29"/>
  <c r="AY79" i="29" s="1"/>
  <c r="AO79" i="29"/>
  <c r="AP79" i="29"/>
  <c r="BP146" i="29"/>
  <c r="BE125" i="31"/>
  <c r="AX55" i="31"/>
  <c r="AY19" i="31"/>
  <c r="AX97" i="31"/>
  <c r="AZ74" i="31"/>
  <c r="BF74" i="31" s="1"/>
  <c r="CV32" i="31"/>
  <c r="CW32" i="31" s="1"/>
  <c r="CL129" i="31"/>
  <c r="CN129" i="31" s="1"/>
  <c r="BF127" i="31"/>
  <c r="AX85" i="31"/>
  <c r="AX124" i="31"/>
  <c r="AY125" i="31"/>
  <c r="CB28" i="31"/>
  <c r="CL49" i="31"/>
  <c r="AK8" i="31"/>
  <c r="BF29" i="31"/>
  <c r="CV106" i="31"/>
  <c r="CW106" i="31" s="1"/>
  <c r="CL123" i="31"/>
  <c r="CV131" i="31"/>
  <c r="CW131" i="31" s="1"/>
  <c r="BE35" i="31"/>
  <c r="Z8" i="31"/>
  <c r="CV53" i="31"/>
  <c r="CW53" i="31" s="1"/>
  <c r="CN82" i="31"/>
  <c r="AY136" i="31"/>
  <c r="AX54" i="31"/>
  <c r="AI8" i="31"/>
  <c r="CL55" i="31"/>
  <c r="CN55" i="31" s="1"/>
  <c r="CL65" i="31"/>
  <c r="CN65" i="31" s="1"/>
  <c r="CL74" i="31"/>
  <c r="CN74" i="31" s="1"/>
  <c r="CL117" i="31"/>
  <c r="CN117" i="31" s="1"/>
  <c r="AC145" i="31"/>
  <c r="AY69" i="31"/>
  <c r="AY56" i="31"/>
  <c r="AX84" i="31"/>
  <c r="BF70" i="29"/>
  <c r="AY105" i="31"/>
  <c r="BE82" i="31"/>
  <c r="CX103" i="29"/>
  <c r="BG8" i="31"/>
  <c r="AY70" i="31"/>
  <c r="CN88" i="31"/>
  <c r="CN97" i="31"/>
  <c r="AY91" i="31"/>
  <c r="AY68" i="31"/>
  <c r="CT116" i="31"/>
  <c r="BF70" i="31"/>
  <c r="CV135" i="31"/>
  <c r="CW135" i="31" s="1"/>
  <c r="CR145" i="31"/>
  <c r="CR149" i="31" s="1"/>
  <c r="CR150" i="31" s="1"/>
  <c r="CS110" i="31"/>
  <c r="CV110" i="31" s="1"/>
  <c r="CW110" i="31" s="1"/>
  <c r="AY98" i="31"/>
  <c r="BL148" i="31"/>
  <c r="CV19" i="31"/>
  <c r="CW19" i="31" s="1"/>
  <c r="CB75" i="29"/>
  <c r="CC75" i="29"/>
  <c r="CB50" i="29"/>
  <c r="CF50" i="29" s="1"/>
  <c r="K65" i="13"/>
  <c r="I65" i="13"/>
  <c r="CL101" i="31"/>
  <c r="CN101" i="31" s="1"/>
  <c r="AX67" i="31"/>
  <c r="BE27" i="31"/>
  <c r="AX63" i="31"/>
  <c r="AX119" i="31"/>
  <c r="AX30" i="31"/>
  <c r="AK148" i="31"/>
  <c r="AJ149" i="31" s="1"/>
  <c r="BA169" i="31" s="1"/>
  <c r="BE123" i="31"/>
  <c r="AX45" i="31"/>
  <c r="AX70" i="31"/>
  <c r="AX98" i="31"/>
  <c r="AY141" i="31"/>
  <c r="CN15" i="31"/>
  <c r="AX66" i="31"/>
  <c r="CB24" i="31"/>
  <c r="CE24" i="31" s="1"/>
  <c r="AR97" i="31"/>
  <c r="AY41" i="31"/>
  <c r="BE29" i="31"/>
  <c r="BF35" i="31"/>
  <c r="BF98" i="31"/>
  <c r="BE31" i="31"/>
  <c r="AX68" i="31"/>
  <c r="BC115" i="31"/>
  <c r="AP137" i="31"/>
  <c r="AP158" i="31" s="1"/>
  <c r="AS74" i="31"/>
  <c r="AY74" i="31" s="1"/>
  <c r="AY72" i="31"/>
  <c r="CV48" i="31"/>
  <c r="CW48" i="31" s="1"/>
  <c r="AX127" i="31"/>
  <c r="CN113" i="31"/>
  <c r="AP49" i="31"/>
  <c r="BL145" i="31"/>
  <c r="AR101" i="31"/>
  <c r="BQ16" i="31"/>
  <c r="BR16" i="31" s="1"/>
  <c r="CP49" i="31"/>
  <c r="CV43" i="31"/>
  <c r="CW43" i="31" s="1"/>
  <c r="CO74" i="31"/>
  <c r="CU113" i="31"/>
  <c r="CV140" i="31"/>
  <c r="CW140" i="31" s="1"/>
  <c r="CY46" i="31"/>
  <c r="CS116" i="31"/>
  <c r="CV116" i="31" s="1"/>
  <c r="CW116" i="31" s="1"/>
  <c r="CW143" i="31"/>
  <c r="CM143" i="31"/>
  <c r="CN143" i="31" s="1"/>
  <c r="BF49" i="31"/>
  <c r="AX79" i="31"/>
  <c r="AX107" i="31"/>
  <c r="BE108" i="31"/>
  <c r="AX36" i="31"/>
  <c r="AY81" i="31"/>
  <c r="BV115" i="31"/>
  <c r="BX115" i="31" s="1"/>
  <c r="BY115" i="31" s="1"/>
  <c r="BE54" i="31"/>
  <c r="CN25" i="31"/>
  <c r="CN40" i="31"/>
  <c r="BF82" i="31"/>
  <c r="AX69" i="31"/>
  <c r="CW30" i="31"/>
  <c r="AR52" i="31"/>
  <c r="AX105" i="31"/>
  <c r="AR81" i="31"/>
  <c r="AX136" i="31"/>
  <c r="CV90" i="31"/>
  <c r="CW90" i="31" s="1"/>
  <c r="AQ51" i="31"/>
  <c r="CB32" i="31"/>
  <c r="CL114" i="31"/>
  <c r="CN114" i="31" s="1"/>
  <c r="AY83" i="31"/>
  <c r="CL91" i="31"/>
  <c r="CN91" i="31" s="1"/>
  <c r="AY106" i="31"/>
  <c r="AR15" i="31"/>
  <c r="CQ49" i="31"/>
  <c r="CS115" i="31"/>
  <c r="CV115" i="31" s="1"/>
  <c r="CW115" i="31" s="1"/>
  <c r="AL154" i="31"/>
  <c r="AK154" i="31"/>
  <c r="AR47" i="31"/>
  <c r="AM8" i="31"/>
  <c r="CU142" i="31"/>
  <c r="AD8" i="31"/>
  <c r="DH47" i="31"/>
  <c r="DJ47" i="31" s="1"/>
  <c r="CM47" i="31"/>
  <c r="CN47" i="31" s="1"/>
  <c r="BE138" i="31"/>
  <c r="BE107" i="31"/>
  <c r="AX108" i="31"/>
  <c r="AX20" i="31"/>
  <c r="AX129" i="31"/>
  <c r="BB51" i="31"/>
  <c r="AX93" i="31"/>
  <c r="BE126" i="31"/>
  <c r="AY40" i="31"/>
  <c r="CN30" i="31"/>
  <c r="CN52" i="31"/>
  <c r="CN17" i="31"/>
  <c r="CN84" i="31"/>
  <c r="AY54" i="31"/>
  <c r="BT148" i="31"/>
  <c r="BE88" i="31"/>
  <c r="AX56" i="31"/>
  <c r="AR113" i="31"/>
  <c r="CB40" i="31"/>
  <c r="CF40" i="31" s="1"/>
  <c r="AQ49" i="31"/>
  <c r="CV133" i="31"/>
  <c r="CW133" i="31" s="1"/>
  <c r="AX86" i="31"/>
  <c r="AR108" i="31"/>
  <c r="CB113" i="31"/>
  <c r="CE113" i="31" s="1"/>
  <c r="CN70" i="31"/>
  <c r="DB49" i="31"/>
  <c r="CT49" i="31"/>
  <c r="CS49" i="31"/>
  <c r="CV122" i="31"/>
  <c r="CW122" i="31" s="1"/>
  <c r="BV110" i="31"/>
  <c r="BX110" i="31" s="1"/>
  <c r="BY110" i="31" s="1"/>
  <c r="CT110" i="31"/>
  <c r="BE49" i="31"/>
  <c r="AO49" i="29"/>
  <c r="AP72" i="31"/>
  <c r="AZ72" i="31"/>
  <c r="CY135" i="29"/>
  <c r="BS21" i="31"/>
  <c r="BH21" i="31"/>
  <c r="BI21" i="31" s="1"/>
  <c r="CG21" i="31"/>
  <c r="CH21" i="31" s="1"/>
  <c r="BE71" i="29"/>
  <c r="AR115" i="29"/>
  <c r="BF71" i="29"/>
  <c r="CV97" i="31"/>
  <c r="CW97" i="31" s="1"/>
  <c r="BF40" i="29"/>
  <c r="AR109" i="31"/>
  <c r="BF57" i="31"/>
  <c r="CU16" i="29"/>
  <c r="AZ135" i="29"/>
  <c r="BF135" i="29" s="1"/>
  <c r="BH84" i="31"/>
  <c r="BI84" i="31" s="1"/>
  <c r="CG84" i="31"/>
  <c r="CH84" i="31" s="1"/>
  <c r="CV88" i="31"/>
  <c r="CW88" i="31" s="1"/>
  <c r="CU94" i="29"/>
  <c r="BZ148" i="31"/>
  <c r="BZ149" i="31" s="1"/>
  <c r="CY49" i="29"/>
  <c r="AI8" i="29"/>
  <c r="AR134" i="31"/>
  <c r="BE19" i="31"/>
  <c r="CQ135" i="29"/>
  <c r="CT22" i="29"/>
  <c r="CU22" i="29" s="1"/>
  <c r="BN151" i="31"/>
  <c r="DA72" i="31"/>
  <c r="CD63" i="29"/>
  <c r="CR135" i="29"/>
  <c r="CC132" i="29"/>
  <c r="CB142" i="31"/>
  <c r="CE142" i="31" s="1"/>
  <c r="AZ40" i="31"/>
  <c r="BS40" i="31"/>
  <c r="CG40" i="31"/>
  <c r="CH40" i="31" s="1"/>
  <c r="BH40" i="31"/>
  <c r="BI40" i="31" s="1"/>
  <c r="BE55" i="29"/>
  <c r="BF55" i="29"/>
  <c r="CF67" i="31"/>
  <c r="CE67" i="31"/>
  <c r="CN109" i="31"/>
  <c r="AX38" i="31"/>
  <c r="CE28" i="29"/>
  <c r="AS135" i="29"/>
  <c r="AY135" i="29" s="1"/>
  <c r="AR82" i="29"/>
  <c r="CV132" i="31"/>
  <c r="CW132" i="31" s="1"/>
  <c r="CU120" i="29"/>
  <c r="AX96" i="31"/>
  <c r="CX92" i="29"/>
  <c r="AX53" i="31"/>
  <c r="CB16" i="31"/>
  <c r="CE16" i="31" s="1"/>
  <c r="AO135" i="29"/>
  <c r="CV67" i="31"/>
  <c r="CW67" i="31" s="1"/>
  <c r="CG111" i="31"/>
  <c r="CH111" i="31" s="1"/>
  <c r="R111" i="31"/>
  <c r="BH111" i="31"/>
  <c r="BI111" i="31" s="1"/>
  <c r="AX19" i="29"/>
  <c r="AY86" i="31"/>
  <c r="CZ135" i="29"/>
  <c r="CB83" i="31"/>
  <c r="CD83" i="31"/>
  <c r="BH69" i="31"/>
  <c r="BI69" i="31" s="1"/>
  <c r="CG69" i="31"/>
  <c r="CH69" i="31" s="1"/>
  <c r="AR80" i="31"/>
  <c r="BF96" i="29"/>
  <c r="AX42" i="31"/>
  <c r="AX106" i="31"/>
  <c r="AY38" i="29"/>
  <c r="CB17" i="29"/>
  <c r="CE17" i="29" s="1"/>
  <c r="BS109" i="31"/>
  <c r="AP135" i="29"/>
  <c r="CC128" i="29"/>
  <c r="CB128" i="29"/>
  <c r="AS49" i="31"/>
  <c r="AX49" i="31" s="1"/>
  <c r="AO49" i="31"/>
  <c r="CV104" i="31"/>
  <c r="CW104" i="31" s="1"/>
  <c r="CT51" i="29"/>
  <c r="CU51" i="29" s="1"/>
  <c r="CN21" i="31"/>
  <c r="CN134" i="31"/>
  <c r="CW134" i="31"/>
  <c r="AH140" i="29"/>
  <c r="AR21" i="31"/>
  <c r="AZ109" i="31"/>
  <c r="CE49" i="29"/>
  <c r="CF49" i="29"/>
  <c r="BH102" i="31"/>
  <c r="BI102" i="31" s="1"/>
  <c r="BS102" i="31"/>
  <c r="CO49" i="31"/>
  <c r="AH49" i="31"/>
  <c r="CM49" i="31" s="1"/>
  <c r="CX15" i="29"/>
  <c r="BE56" i="29"/>
  <c r="BF56" i="29"/>
  <c r="CL159" i="29"/>
  <c r="CN69" i="31"/>
  <c r="CN135" i="29"/>
  <c r="CT135" i="29" s="1"/>
  <c r="AR64" i="31"/>
  <c r="CM64" i="31"/>
  <c r="CN64" i="31" s="1"/>
  <c r="CV57" i="31"/>
  <c r="CW57" i="31" s="1"/>
  <c r="CX98" i="29"/>
  <c r="BE121" i="29"/>
  <c r="BE81" i="29"/>
  <c r="BF81" i="29"/>
  <c r="AR79" i="31"/>
  <c r="K64" i="13"/>
  <c r="BE72" i="29"/>
  <c r="CB121" i="29"/>
  <c r="CF121" i="29" s="1"/>
  <c r="CB87" i="31"/>
  <c r="CF87" i="31" s="1"/>
  <c r="BE70" i="29"/>
  <c r="CV91" i="31"/>
  <c r="CW91" i="31" s="1"/>
  <c r="CU55" i="29"/>
  <c r="BQ145" i="31"/>
  <c r="CC127" i="29"/>
  <c r="CB127" i="29"/>
  <c r="CV105" i="31"/>
  <c r="CW105" i="31" s="1"/>
  <c r="BC113" i="31"/>
  <c r="BE113" i="31" s="1"/>
  <c r="BV113" i="31"/>
  <c r="BX113" i="31" s="1"/>
  <c r="BY113" i="31" s="1"/>
  <c r="CV107" i="31"/>
  <c r="CW107" i="31" s="1"/>
  <c r="AR141" i="31"/>
  <c r="CM141" i="31"/>
  <c r="CN141" i="31" s="1"/>
  <c r="BX47" i="29"/>
  <c r="BY47" i="29" s="1"/>
  <c r="CL135" i="29"/>
  <c r="AX58" i="31"/>
  <c r="BE134" i="31"/>
  <c r="AR25" i="31"/>
  <c r="AY126" i="29"/>
  <c r="AZ117" i="31"/>
  <c r="BS117" i="31"/>
  <c r="CG117" i="31"/>
  <c r="CH117" i="31" s="1"/>
  <c r="BH117" i="31"/>
  <c r="BI117" i="31" s="1"/>
  <c r="CB69" i="31"/>
  <c r="CD69" i="31"/>
  <c r="AR104" i="29"/>
  <c r="CB91" i="31"/>
  <c r="CD91" i="31"/>
  <c r="CS113" i="31"/>
  <c r="CV113" i="31" s="1"/>
  <c r="CW113" i="31" s="1"/>
  <c r="CU106" i="29"/>
  <c r="CU121" i="29"/>
  <c r="CC111" i="29"/>
  <c r="CB111" i="29"/>
  <c r="R118" i="31"/>
  <c r="CU118" i="31" s="1"/>
  <c r="BH118" i="31"/>
  <c r="BI118" i="31" s="1"/>
  <c r="CG118" i="31"/>
  <c r="CH118" i="31" s="1"/>
  <c r="BS118" i="31"/>
  <c r="AR95" i="31"/>
  <c r="AQ77" i="31"/>
  <c r="DA77" i="31"/>
  <c r="CS77" i="31"/>
  <c r="CP77" i="31"/>
  <c r="AZ77" i="31"/>
  <c r="CT77" i="31"/>
  <c r="CQ77" i="31"/>
  <c r="AO77" i="31"/>
  <c r="BX119" i="29"/>
  <c r="BY119" i="29" s="1"/>
  <c r="CB29" i="31"/>
  <c r="CE29" i="31" s="1"/>
  <c r="BC96" i="31"/>
  <c r="BE96" i="31" s="1"/>
  <c r="BV96" i="31"/>
  <c r="BX96" i="31" s="1"/>
  <c r="BY96" i="31" s="1"/>
  <c r="CC117" i="29"/>
  <c r="CB117" i="29"/>
  <c r="CC108" i="29"/>
  <c r="CB108" i="29"/>
  <c r="DB72" i="31"/>
  <c r="CT72" i="31"/>
  <c r="CQ72" i="31"/>
  <c r="AO72" i="31"/>
  <c r="CP72" i="31"/>
  <c r="CS72" i="31"/>
  <c r="CD89" i="29"/>
  <c r="CB89" i="29"/>
  <c r="AX72" i="31"/>
  <c r="AX22" i="31"/>
  <c r="CD101" i="29"/>
  <c r="CB101" i="29"/>
  <c r="AY64" i="29"/>
  <c r="AX64" i="29"/>
  <c r="CB58" i="31"/>
  <c r="CD58" i="31"/>
  <c r="CW99" i="31"/>
  <c r="CM99" i="31"/>
  <c r="CN99" i="31" s="1"/>
  <c r="AR123" i="31"/>
  <c r="CM123" i="31"/>
  <c r="CC85" i="29"/>
  <c r="CB85" i="29"/>
  <c r="CJ72" i="31"/>
  <c r="CL72" i="31" s="1"/>
  <c r="CL161" i="31" s="1"/>
  <c r="CN161" i="31" s="1"/>
  <c r="CO72" i="31"/>
  <c r="AH72" i="31"/>
  <c r="CM72" i="31" s="1"/>
  <c r="CZ50" i="29"/>
  <c r="AP50" i="29"/>
  <c r="AP156" i="29" s="1"/>
  <c r="CV50" i="29"/>
  <c r="CN50" i="29"/>
  <c r="CT50" i="29" s="1"/>
  <c r="CC50" i="29"/>
  <c r="BA50" i="29"/>
  <c r="CY50" i="29"/>
  <c r="AT50" i="29"/>
  <c r="CW50" i="29"/>
  <c r="CT33" i="29"/>
  <c r="CU33" i="29" s="1"/>
  <c r="AY37" i="29"/>
  <c r="CB53" i="31"/>
  <c r="CF117" i="31"/>
  <c r="CE117" i="31"/>
  <c r="CB52" i="29"/>
  <c r="CC52" i="29"/>
  <c r="CC129" i="29"/>
  <c r="CB129" i="29"/>
  <c r="AS76" i="31"/>
  <c r="DB76" i="31"/>
  <c r="AP76" i="31"/>
  <c r="CT76" i="31"/>
  <c r="CQ76" i="31"/>
  <c r="AO76" i="31"/>
  <c r="CP76" i="31"/>
  <c r="CS76" i="31"/>
  <c r="DA76" i="31"/>
  <c r="CJ77" i="31"/>
  <c r="CL77" i="31" s="1"/>
  <c r="CO77" i="31"/>
  <c r="AH77" i="31"/>
  <c r="CM77" i="31" s="1"/>
  <c r="AY77" i="29"/>
  <c r="AX77" i="29"/>
  <c r="AR20" i="31"/>
  <c r="CM20" i="31"/>
  <c r="CN20" i="31" s="1"/>
  <c r="CB53" i="29"/>
  <c r="CD53" i="29"/>
  <c r="CR50" i="29"/>
  <c r="BC50" i="29"/>
  <c r="AH28" i="29"/>
  <c r="AR28" i="29" s="1"/>
  <c r="CM28" i="29"/>
  <c r="AR117" i="29"/>
  <c r="BT145" i="31"/>
  <c r="CV95" i="31"/>
  <c r="CW95" i="31" s="1"/>
  <c r="AY118" i="31"/>
  <c r="CV27" i="31"/>
  <c r="CW27" i="31" s="1"/>
  <c r="CM104" i="31"/>
  <c r="CN104" i="31" s="1"/>
  <c r="AR104" i="31"/>
  <c r="CC68" i="29"/>
  <c r="CB68" i="29"/>
  <c r="BE98" i="31"/>
  <c r="CB27" i="31"/>
  <c r="CE27" i="31" s="1"/>
  <c r="CB105" i="31"/>
  <c r="CD105" i="31"/>
  <c r="CV85" i="31"/>
  <c r="CW85" i="31" s="1"/>
  <c r="AO73" i="29"/>
  <c r="AP73" i="29"/>
  <c r="CO73" i="29"/>
  <c r="CZ73" i="29"/>
  <c r="CN73" i="29"/>
  <c r="CQ73" i="29"/>
  <c r="AS73" i="29"/>
  <c r="CY73" i="29"/>
  <c r="CR73" i="29"/>
  <c r="AQ73" i="29"/>
  <c r="AZ73" i="29"/>
  <c r="BS129" i="31"/>
  <c r="CG129" i="31"/>
  <c r="CH129" i="31" s="1"/>
  <c r="CK76" i="31"/>
  <c r="CL76" i="31" s="1"/>
  <c r="CO76" i="31"/>
  <c r="AH76" i="31"/>
  <c r="CM76" i="31" s="1"/>
  <c r="AX42" i="29"/>
  <c r="AY42" i="29"/>
  <c r="BF19" i="29"/>
  <c r="BE19" i="29"/>
  <c r="CU112" i="29"/>
  <c r="CU80" i="29"/>
  <c r="BF48" i="29"/>
  <c r="CB44" i="31"/>
  <c r="CD44" i="31"/>
  <c r="CC74" i="29"/>
  <c r="CB74" i="29"/>
  <c r="AY112" i="29"/>
  <c r="AX112" i="29"/>
  <c r="CT37" i="29"/>
  <c r="CU37" i="29" s="1"/>
  <c r="CT43" i="29"/>
  <c r="CU43" i="29" s="1"/>
  <c r="AR63" i="31"/>
  <c r="CM63" i="31"/>
  <c r="CN63" i="31" s="1"/>
  <c r="CS136" i="29"/>
  <c r="CB71" i="31"/>
  <c r="CD71" i="31"/>
  <c r="CS96" i="31"/>
  <c r="CV96" i="31" s="1"/>
  <c r="CW96" i="31" s="1"/>
  <c r="BH109" i="31"/>
  <c r="BI109" i="31" s="1"/>
  <c r="CG109" i="31"/>
  <c r="CH109" i="31" s="1"/>
  <c r="CV29" i="31"/>
  <c r="CW29" i="31" s="1"/>
  <c r="CC56" i="29"/>
  <c r="CB56" i="29"/>
  <c r="CB109" i="31"/>
  <c r="CD109" i="31"/>
  <c r="CB119" i="31"/>
  <c r="CD119" i="31"/>
  <c r="CV70" i="31"/>
  <c r="CW70" i="31" s="1"/>
  <c r="CT108" i="31"/>
  <c r="CM43" i="31"/>
  <c r="CN43" i="31" s="1"/>
  <c r="AY54" i="29"/>
  <c r="AX54" i="29"/>
  <c r="BE97" i="31"/>
  <c r="CB26" i="31"/>
  <c r="CE26" i="31" s="1"/>
  <c r="CM44" i="31"/>
  <c r="CN44" i="31" s="1"/>
  <c r="AR44" i="31"/>
  <c r="AW142" i="31"/>
  <c r="AW145" i="31" s="1"/>
  <c r="AN144" i="31"/>
  <c r="CU88" i="29"/>
  <c r="CD103" i="29"/>
  <c r="CB103" i="29"/>
  <c r="CB92" i="29"/>
  <c r="AR17" i="31"/>
  <c r="AY95" i="29"/>
  <c r="AX95" i="29"/>
  <c r="AR68" i="31"/>
  <c r="CM68" i="31"/>
  <c r="CN68" i="31" s="1"/>
  <c r="CT103" i="29"/>
  <c r="CU96" i="31"/>
  <c r="CV126" i="31"/>
  <c r="CW126" i="31" s="1"/>
  <c r="CC47" i="29"/>
  <c r="CB47" i="29"/>
  <c r="CB39" i="29"/>
  <c r="CC39" i="29"/>
  <c r="AG142" i="31"/>
  <c r="AG8" i="31" s="1"/>
  <c r="AF8" i="31" s="1"/>
  <c r="AD149" i="31"/>
  <c r="AL142" i="31"/>
  <c r="CV35" i="31"/>
  <c r="CW35" i="31" s="1"/>
  <c r="CS108" i="31"/>
  <c r="CV108" i="31" s="1"/>
  <c r="CW108" i="31" s="1"/>
  <c r="BF27" i="29"/>
  <c r="BE27" i="29"/>
  <c r="CT90" i="29"/>
  <c r="CU90" i="29" s="1"/>
  <c r="CH50" i="29"/>
  <c r="AX118" i="31"/>
  <c r="DB74" i="31"/>
  <c r="CT74" i="31"/>
  <c r="CQ74" i="31"/>
  <c r="AO74" i="31"/>
  <c r="AP74" i="31"/>
  <c r="DA74" i="31"/>
  <c r="CS74" i="31"/>
  <c r="CP74" i="31"/>
  <c r="DA51" i="31"/>
  <c r="DB51" i="31"/>
  <c r="CX51" i="31"/>
  <c r="CQ51" i="31"/>
  <c r="AO51" i="31"/>
  <c r="CY51" i="31"/>
  <c r="CP51" i="31"/>
  <c r="CH51" i="31"/>
  <c r="DI51" i="31"/>
  <c r="BV26" i="31"/>
  <c r="BX26" i="31" s="1"/>
  <c r="BY26" i="31" s="1"/>
  <c r="CS26" i="31"/>
  <c r="CV26" i="31" s="1"/>
  <c r="CW26" i="31" s="1"/>
  <c r="CU26" i="31"/>
  <c r="CT26" i="31"/>
  <c r="CB65" i="31"/>
  <c r="CC65" i="31"/>
  <c r="CB115" i="31"/>
  <c r="CC115" i="31"/>
  <c r="CB22" i="31"/>
  <c r="CD22" i="31"/>
  <c r="CB30" i="31"/>
  <c r="CD30" i="31"/>
  <c r="CB41" i="31"/>
  <c r="CD41" i="31"/>
  <c r="CB54" i="31"/>
  <c r="CD54" i="31"/>
  <c r="CB116" i="31"/>
  <c r="CD116" i="31"/>
  <c r="CD132" i="31"/>
  <c r="CB132" i="31"/>
  <c r="CF36" i="31"/>
  <c r="CE36" i="31"/>
  <c r="CE19" i="31"/>
  <c r="CF19" i="31"/>
  <c r="CE122" i="31"/>
  <c r="CF122" i="31"/>
  <c r="CD130" i="29"/>
  <c r="CB130" i="29"/>
  <c r="AX96" i="29"/>
  <c r="AY96" i="29"/>
  <c r="CC82" i="29"/>
  <c r="CB82" i="29"/>
  <c r="CB79" i="29"/>
  <c r="CC79" i="29"/>
  <c r="CX134" i="29"/>
  <c r="AX128" i="29"/>
  <c r="AY128" i="29"/>
  <c r="AY120" i="29"/>
  <c r="AX120" i="29"/>
  <c r="BE120" i="29"/>
  <c r="AY115" i="29"/>
  <c r="AX115" i="29"/>
  <c r="BF68" i="29"/>
  <c r="BE68" i="29"/>
  <c r="BF65" i="29"/>
  <c r="BE65" i="29"/>
  <c r="AY113" i="29"/>
  <c r="AX113" i="29"/>
  <c r="BF90" i="29"/>
  <c r="BE90" i="29"/>
  <c r="AS49" i="29"/>
  <c r="AY49" i="29" s="1"/>
  <c r="AP49" i="29"/>
  <c r="AZ49" i="29"/>
  <c r="CO49" i="29"/>
  <c r="CN49" i="29"/>
  <c r="CT49" i="29" s="1"/>
  <c r="AQ49" i="29"/>
  <c r="CR49" i="29"/>
  <c r="CZ49" i="29"/>
  <c r="AX48" i="29"/>
  <c r="AY48" i="29"/>
  <c r="AX47" i="29"/>
  <c r="AY47" i="29"/>
  <c r="CB45" i="29"/>
  <c r="CC45" i="29"/>
  <c r="CC23" i="29"/>
  <c r="CB23" i="29"/>
  <c r="CB62" i="29"/>
  <c r="AR124" i="29"/>
  <c r="AY78" i="29"/>
  <c r="AX121" i="31"/>
  <c r="AY50" i="31"/>
  <c r="CU76" i="29"/>
  <c r="AX83" i="31"/>
  <c r="AH51" i="31"/>
  <c r="CO51" i="31"/>
  <c r="BC23" i="31"/>
  <c r="CU23" i="31"/>
  <c r="CT23" i="31"/>
  <c r="BV23" i="31"/>
  <c r="BX23" i="31" s="1"/>
  <c r="BY23" i="31" s="1"/>
  <c r="CS23" i="31"/>
  <c r="CV23" i="31" s="1"/>
  <c r="CW23" i="31" s="1"/>
  <c r="CB103" i="31"/>
  <c r="CC103" i="31"/>
  <c r="CB33" i="31"/>
  <c r="CD33" i="31"/>
  <c r="CB62" i="31"/>
  <c r="CD62" i="31"/>
  <c r="CB66" i="31"/>
  <c r="CD66" i="31"/>
  <c r="CB78" i="31"/>
  <c r="CD78" i="31"/>
  <c r="CB82" i="31"/>
  <c r="CD82" i="31"/>
  <c r="CB94" i="31"/>
  <c r="CD94" i="31"/>
  <c r="CB98" i="31"/>
  <c r="CD98" i="31"/>
  <c r="CB129" i="31"/>
  <c r="CD129" i="31"/>
  <c r="CB133" i="31"/>
  <c r="CD133" i="31"/>
  <c r="CF53" i="31"/>
  <c r="CE53" i="31"/>
  <c r="CB131" i="29"/>
  <c r="CD131" i="29"/>
  <c r="BF94" i="29"/>
  <c r="BE94" i="29"/>
  <c r="AY82" i="29"/>
  <c r="AX82" i="29"/>
  <c r="CB69" i="29"/>
  <c r="CC69" i="29"/>
  <c r="AX130" i="29"/>
  <c r="AY130" i="29"/>
  <c r="AX121" i="29"/>
  <c r="AY121" i="29"/>
  <c r="BF115" i="29"/>
  <c r="BE115" i="29"/>
  <c r="CJ77" i="29"/>
  <c r="CL77" i="29" s="1"/>
  <c r="AH77" i="29"/>
  <c r="AR77" i="29" s="1"/>
  <c r="CM77" i="29"/>
  <c r="AX57" i="29"/>
  <c r="AY57" i="29"/>
  <c r="CB25" i="29"/>
  <c r="CD25" i="29"/>
  <c r="BF126" i="29"/>
  <c r="BE126" i="29"/>
  <c r="BF113" i="29"/>
  <c r="BE113" i="29"/>
  <c r="BF45" i="29"/>
  <c r="BE45" i="29"/>
  <c r="CB35" i="29"/>
  <c r="CC35" i="29"/>
  <c r="AY68" i="29"/>
  <c r="AX134" i="29"/>
  <c r="BE78" i="29"/>
  <c r="CB65" i="29"/>
  <c r="N29" i="13"/>
  <c r="H29" i="13" s="1"/>
  <c r="S3" i="13"/>
  <c r="S1" i="13" s="1"/>
  <c r="Q115" i="13"/>
  <c r="I115" i="13" s="1"/>
  <c r="CL171" i="31"/>
  <c r="CN171" i="31" s="1"/>
  <c r="CN120" i="31"/>
  <c r="DJ91" i="31"/>
  <c r="CU21" i="29"/>
  <c r="LW8" i="26"/>
  <c r="LW9" i="26" s="1"/>
  <c r="CB56" i="31"/>
  <c r="CD56" i="31"/>
  <c r="CB108" i="31"/>
  <c r="CD108" i="31"/>
  <c r="CJ73" i="31"/>
  <c r="CL73" i="31" s="1"/>
  <c r="AH73" i="31"/>
  <c r="CO73" i="31"/>
  <c r="CF81" i="31"/>
  <c r="CE81" i="31"/>
  <c r="AZ92" i="31"/>
  <c r="BS92" i="31"/>
  <c r="CG92" i="31"/>
  <c r="CH92" i="31" s="1"/>
  <c r="BH92" i="31"/>
  <c r="BI92" i="31" s="1"/>
  <c r="BC90" i="31"/>
  <c r="BE90" i="31" s="1"/>
  <c r="BV90" i="31"/>
  <c r="BX90" i="31" s="1"/>
  <c r="BY90" i="31" s="1"/>
  <c r="CF119" i="29"/>
  <c r="CE119" i="29"/>
  <c r="AR38" i="29"/>
  <c r="R94" i="31"/>
  <c r="CT94" i="31" s="1"/>
  <c r="AZ94" i="31"/>
  <c r="BS94" i="31"/>
  <c r="CG94" i="31"/>
  <c r="CH94" i="31" s="1"/>
  <c r="BH94" i="31"/>
  <c r="BI94" i="31" s="1"/>
  <c r="CB125" i="31"/>
  <c r="CD125" i="31"/>
  <c r="BF125" i="31"/>
  <c r="AR28" i="31"/>
  <c r="CB48" i="31"/>
  <c r="CD48" i="31"/>
  <c r="BF88" i="31"/>
  <c r="CF21" i="31"/>
  <c r="CE21" i="31"/>
  <c r="CD135" i="29"/>
  <c r="CB135" i="29"/>
  <c r="BE107" i="29"/>
  <c r="CF94" i="29"/>
  <c r="CE94" i="29"/>
  <c r="CU114" i="29"/>
  <c r="AX41" i="31"/>
  <c r="AX111" i="31"/>
  <c r="AQ75" i="31"/>
  <c r="AZ75" i="31"/>
  <c r="BE75" i="31" s="1"/>
  <c r="AS75" i="31"/>
  <c r="AY75" i="31" s="1"/>
  <c r="DB75" i="31"/>
  <c r="CQ75" i="31"/>
  <c r="CP75" i="31"/>
  <c r="AP75" i="31"/>
  <c r="DA75" i="31"/>
  <c r="AO75" i="31"/>
  <c r="CT75" i="31"/>
  <c r="CS75" i="31"/>
  <c r="CB42" i="31"/>
  <c r="AX64" i="31"/>
  <c r="AY87" i="29"/>
  <c r="AR137" i="29"/>
  <c r="CB107" i="31"/>
  <c r="CD107" i="31"/>
  <c r="BB137" i="31"/>
  <c r="AU137" i="31"/>
  <c r="DB137" i="31"/>
  <c r="CQ137" i="31"/>
  <c r="CP137" i="31"/>
  <c r="CY137" i="31"/>
  <c r="AK158" i="31"/>
  <c r="CH137" i="31"/>
  <c r="CX137" i="31"/>
  <c r="AO137" i="31"/>
  <c r="DA137" i="31"/>
  <c r="AK144" i="31"/>
  <c r="AQ137" i="31"/>
  <c r="AK145" i="31"/>
  <c r="DI137" i="31"/>
  <c r="BC109" i="31"/>
  <c r="CU109" i="31"/>
  <c r="BV109" i="31"/>
  <c r="CS109" i="31"/>
  <c r="CV109" i="31" s="1"/>
  <c r="CW109" i="31" s="1"/>
  <c r="CT109" i="31"/>
  <c r="BC60" i="31"/>
  <c r="BF60" i="31" s="1"/>
  <c r="CT60" i="31"/>
  <c r="CS60" i="31"/>
  <c r="CV60" i="31" s="1"/>
  <c r="CW60" i="31" s="1"/>
  <c r="CU60" i="31"/>
  <c r="CJ75" i="31"/>
  <c r="CL75" i="31" s="1"/>
  <c r="AH75" i="31"/>
  <c r="CM75" i="31" s="1"/>
  <c r="CO75" i="31"/>
  <c r="BC55" i="31"/>
  <c r="CU55" i="31"/>
  <c r="BV55" i="31"/>
  <c r="BX55" i="31" s="1"/>
  <c r="BY55" i="31" s="1"/>
  <c r="CS55" i="31"/>
  <c r="CV55" i="31" s="1"/>
  <c r="CW55" i="31" s="1"/>
  <c r="CT55" i="31"/>
  <c r="R28" i="31"/>
  <c r="CT28" i="31" s="1"/>
  <c r="AZ28" i="31"/>
  <c r="BH28" i="31"/>
  <c r="BS28" i="31"/>
  <c r="CG28" i="31"/>
  <c r="CB34" i="31"/>
  <c r="CD134" i="29"/>
  <c r="CB134" i="29"/>
  <c r="CF75" i="31"/>
  <c r="CE75" i="31"/>
  <c r="AY94" i="29"/>
  <c r="AX94" i="29"/>
  <c r="CM140" i="29"/>
  <c r="CF101" i="31"/>
  <c r="CE101" i="31"/>
  <c r="AY58" i="29"/>
  <c r="AX58" i="29"/>
  <c r="CF63" i="29"/>
  <c r="CE63" i="29"/>
  <c r="BE58" i="29"/>
  <c r="AS78" i="31"/>
  <c r="AQ78" i="31"/>
  <c r="AZ78" i="31"/>
  <c r="CT78" i="31"/>
  <c r="CS78" i="31"/>
  <c r="DB78" i="31"/>
  <c r="CQ78" i="31"/>
  <c r="CP78" i="31"/>
  <c r="AP78" i="31"/>
  <c r="DA78" i="31"/>
  <c r="AO78" i="31"/>
  <c r="AY43" i="31"/>
  <c r="AX43" i="31"/>
  <c r="BC129" i="31"/>
  <c r="BF129" i="31" s="1"/>
  <c r="CT129" i="31"/>
  <c r="CS129" i="31"/>
  <c r="CV129" i="31" s="1"/>
  <c r="CW129" i="31" s="1"/>
  <c r="BV129" i="31"/>
  <c r="BX129" i="31" s="1"/>
  <c r="BY129" i="31" s="1"/>
  <c r="CU129" i="31"/>
  <c r="AX130" i="31"/>
  <c r="BC24" i="31"/>
  <c r="CU24" i="31"/>
  <c r="BV24" i="31"/>
  <c r="BX24" i="31" s="1"/>
  <c r="BY24" i="31" s="1"/>
  <c r="CT24" i="31"/>
  <c r="CS24" i="31"/>
  <c r="CV24" i="31" s="1"/>
  <c r="CW24" i="31" s="1"/>
  <c r="CB93" i="31"/>
  <c r="CD93" i="31"/>
  <c r="BE91" i="31"/>
  <c r="CU107" i="29"/>
  <c r="CD88" i="29"/>
  <c r="CB88" i="29"/>
  <c r="AY35" i="29"/>
  <c r="CF113" i="31"/>
  <c r="CF58" i="29"/>
  <c r="CE58" i="29"/>
  <c r="CL51" i="31"/>
  <c r="AY90" i="31"/>
  <c r="CX133" i="29"/>
  <c r="AR80" i="29"/>
  <c r="CB140" i="31"/>
  <c r="CD140" i="31"/>
  <c r="CB70" i="31"/>
  <c r="CD70" i="31"/>
  <c r="BC65" i="31"/>
  <c r="BE65" i="31" s="1"/>
  <c r="BV65" i="31"/>
  <c r="BX65" i="31" s="1"/>
  <c r="BY65" i="31" s="1"/>
  <c r="CT65" i="31"/>
  <c r="CS65" i="31"/>
  <c r="CV65" i="31" s="1"/>
  <c r="CW65" i="31" s="1"/>
  <c r="CU65" i="31"/>
  <c r="CF32" i="31"/>
  <c r="CE32" i="31"/>
  <c r="CE126" i="31"/>
  <c r="CF126" i="31"/>
  <c r="CD97" i="29"/>
  <c r="CB97" i="29"/>
  <c r="CF134" i="31"/>
  <c r="CE134" i="31"/>
  <c r="LN15" i="26"/>
  <c r="LO14" i="26"/>
  <c r="BE64" i="29"/>
  <c r="CB18" i="31"/>
  <c r="CD18" i="31"/>
  <c r="CB86" i="31"/>
  <c r="CD86" i="31"/>
  <c r="CK78" i="31"/>
  <c r="CL78" i="31" s="1"/>
  <c r="AH78" i="31"/>
  <c r="CM78" i="31" s="1"/>
  <c r="CO78" i="31"/>
  <c r="CD128" i="31"/>
  <c r="CB128" i="31"/>
  <c r="BF97" i="31"/>
  <c r="AR46" i="31"/>
  <c r="CE43" i="29"/>
  <c r="CF43" i="29"/>
  <c r="BE48" i="31"/>
  <c r="CX47" i="29"/>
  <c r="BE116" i="29"/>
  <c r="CB104" i="31"/>
  <c r="CD104" i="31"/>
  <c r="AR129" i="31"/>
  <c r="DH129" i="31"/>
  <c r="DJ129" i="31" s="1"/>
  <c r="AZ39" i="31"/>
  <c r="CG39" i="31"/>
  <c r="CH39" i="31" s="1"/>
  <c r="BH39" i="31"/>
  <c r="BI39" i="31" s="1"/>
  <c r="BS39" i="31"/>
  <c r="AY29" i="29"/>
  <c r="AX29" i="29"/>
  <c r="CF28" i="31"/>
  <c r="CE28" i="31"/>
  <c r="CB77" i="31"/>
  <c r="CF126" i="29"/>
  <c r="CE126" i="29"/>
  <c r="CB39" i="31"/>
  <c r="CD39" i="31"/>
  <c r="CB121" i="31"/>
  <c r="CD121" i="31"/>
  <c r="BF43" i="31"/>
  <c r="CB31" i="31"/>
  <c r="CD31" i="31"/>
  <c r="BC87" i="31"/>
  <c r="BE87" i="31" s="1"/>
  <c r="CU87" i="31"/>
  <c r="BV87" i="31"/>
  <c r="BX87" i="31" s="1"/>
  <c r="BY87" i="31" s="1"/>
  <c r="CT87" i="31"/>
  <c r="CS87" i="31"/>
  <c r="CV87" i="31" s="1"/>
  <c r="CW87" i="31" s="1"/>
  <c r="AZ132" i="29"/>
  <c r="CG132" i="29"/>
  <c r="CH132" i="29" s="1"/>
  <c r="CR132" i="29"/>
  <c r="BS132" i="29"/>
  <c r="BX132" i="29" s="1"/>
  <c r="BY132" i="29" s="1"/>
  <c r="CS132" i="29"/>
  <c r="CB95" i="31"/>
  <c r="CD95" i="31"/>
  <c r="CB89" i="31"/>
  <c r="CF122" i="29"/>
  <c r="CE122" i="29"/>
  <c r="CF132" i="29"/>
  <c r="CE132" i="29"/>
  <c r="AR140" i="29"/>
  <c r="CB57" i="31"/>
  <c r="CD57" i="31"/>
  <c r="CB137" i="31"/>
  <c r="CD137" i="31"/>
  <c r="AX102" i="31"/>
  <c r="AZ93" i="31"/>
  <c r="BS93" i="31"/>
  <c r="R93" i="31"/>
  <c r="CS93" i="31" s="1"/>
  <c r="CV93" i="31" s="1"/>
  <c r="CW93" i="31" s="1"/>
  <c r="CG93" i="31"/>
  <c r="CH93" i="31" s="1"/>
  <c r="BH93" i="31"/>
  <c r="BI93" i="31" s="1"/>
  <c r="CB130" i="31"/>
  <c r="CD130" i="31"/>
  <c r="CE138" i="31"/>
  <c r="CF138" i="31"/>
  <c r="CB79" i="31"/>
  <c r="CD79" i="31"/>
  <c r="CB63" i="31"/>
  <c r="CD63" i="31"/>
  <c r="AH135" i="29"/>
  <c r="AR135" i="29" s="1"/>
  <c r="Z8" i="29"/>
  <c r="Y8" i="29" s="1"/>
  <c r="CM135" i="29"/>
  <c r="CE66" i="29"/>
  <c r="CF66" i="29"/>
  <c r="AX75" i="31"/>
  <c r="AY60" i="31"/>
  <c r="CB84" i="31"/>
  <c r="CE84" i="31" s="1"/>
  <c r="CB74" i="31"/>
  <c r="CD74" i="31"/>
  <c r="BC71" i="31"/>
  <c r="BV71" i="31"/>
  <c r="BX71" i="31" s="1"/>
  <c r="BY71" i="31" s="1"/>
  <c r="CT71" i="31"/>
  <c r="CS71" i="31"/>
  <c r="CV71" i="31" s="1"/>
  <c r="CW71" i="31" s="1"/>
  <c r="CU71" i="31"/>
  <c r="CF47" i="31"/>
  <c r="CE47" i="31"/>
  <c r="AY104" i="29"/>
  <c r="AX104" i="29"/>
  <c r="BC136" i="29"/>
  <c r="BF136" i="29" s="1"/>
  <c r="CF95" i="29"/>
  <c r="CE95" i="29"/>
  <c r="CB51" i="31"/>
  <c r="CD51" i="31"/>
  <c r="CB90" i="31"/>
  <c r="CD90" i="31"/>
  <c r="AS73" i="31"/>
  <c r="AX73" i="31" s="1"/>
  <c r="AQ73" i="31"/>
  <c r="AP73" i="31"/>
  <c r="AZ73" i="31"/>
  <c r="AI145" i="31"/>
  <c r="DA73" i="31"/>
  <c r="CT73" i="31"/>
  <c r="CS73" i="31"/>
  <c r="DB73" i="31"/>
  <c r="CQ73" i="31"/>
  <c r="CP73" i="31"/>
  <c r="AO73" i="31"/>
  <c r="CE40" i="31"/>
  <c r="AX19" i="31"/>
  <c r="N35" i="13"/>
  <c r="H35" i="13" s="1"/>
  <c r="N26" i="13"/>
  <c r="H26" i="13" s="1"/>
  <c r="J68" i="13"/>
  <c r="N24" i="13"/>
  <c r="H24" i="13" s="1"/>
  <c r="N33" i="13"/>
  <c r="H33" i="13" s="1"/>
  <c r="N117" i="13"/>
  <c r="H117" i="13" s="1"/>
  <c r="I66" i="13"/>
  <c r="I7" i="13"/>
  <c r="N134" i="13"/>
  <c r="H134" i="13" s="1"/>
  <c r="I63" i="13"/>
  <c r="O132" i="13"/>
  <c r="O3" i="13" s="1"/>
  <c r="N15" i="13"/>
  <c r="H15" i="13" s="1"/>
  <c r="T3" i="13"/>
  <c r="J51" i="13"/>
  <c r="I50" i="13"/>
  <c r="N25" i="13"/>
  <c r="H25" i="13" s="1"/>
  <c r="J115" i="13"/>
  <c r="J65" i="13"/>
  <c r="N114" i="13"/>
  <c r="H114" i="13" s="1"/>
  <c r="I133" i="13"/>
  <c r="N8" i="13"/>
  <c r="H8" i="13" s="1"/>
  <c r="N106" i="13"/>
  <c r="H106" i="13" s="1"/>
  <c r="N28" i="13"/>
  <c r="H28" i="13" s="1"/>
  <c r="N118" i="13"/>
  <c r="H118" i="13" s="1"/>
  <c r="J114" i="13"/>
  <c r="J127" i="13"/>
  <c r="N34" i="13"/>
  <c r="H34" i="13" s="1"/>
  <c r="K66" i="13"/>
  <c r="N122" i="13"/>
  <c r="H122" i="13" s="1"/>
  <c r="I102" i="13"/>
  <c r="I69" i="13"/>
  <c r="O2" i="13"/>
  <c r="N13" i="13"/>
  <c r="H13" i="13" s="1"/>
  <c r="N32" i="13"/>
  <c r="H32" i="13" s="1"/>
  <c r="V3" i="13"/>
  <c r="V1" i="13" s="1"/>
  <c r="N87" i="13"/>
  <c r="H87" i="13" s="1"/>
  <c r="N41" i="13"/>
  <c r="H41" i="13" s="1"/>
  <c r="N131" i="13"/>
  <c r="H131" i="13" s="1"/>
  <c r="N27" i="13"/>
  <c r="H27" i="13" s="1"/>
  <c r="AX133" i="31"/>
  <c r="AX103" i="31"/>
  <c r="AY48" i="31"/>
  <c r="AY94" i="31"/>
  <c r="AY116" i="31"/>
  <c r="BE129" i="31"/>
  <c r="AY30" i="31"/>
  <c r="CT36" i="29"/>
  <c r="CU36" i="29" s="1"/>
  <c r="CL58" i="31"/>
  <c r="AY53" i="31"/>
  <c r="AY34" i="31"/>
  <c r="AY65" i="31"/>
  <c r="AX65" i="31"/>
  <c r="BC15" i="31"/>
  <c r="BF15" i="31" s="1"/>
  <c r="BV15" i="31"/>
  <c r="BX15" i="31" s="1"/>
  <c r="BY15" i="31" s="1"/>
  <c r="CT15" i="31"/>
  <c r="CS15" i="31"/>
  <c r="CV15" i="31" s="1"/>
  <c r="CW15" i="31" s="1"/>
  <c r="CU15" i="31"/>
  <c r="Z6" i="31"/>
  <c r="BC38" i="31"/>
  <c r="BF38" i="31" s="1"/>
  <c r="CU38" i="31"/>
  <c r="BV38" i="31"/>
  <c r="BX38" i="31" s="1"/>
  <c r="BY38" i="31" s="1"/>
  <c r="CT38" i="31"/>
  <c r="CS38" i="31"/>
  <c r="CV38" i="31" s="1"/>
  <c r="CW38" i="31" s="1"/>
  <c r="BC56" i="31"/>
  <c r="BV56" i="31"/>
  <c r="BX56" i="31" s="1"/>
  <c r="BY56" i="31" s="1"/>
  <c r="CU56" i="31"/>
  <c r="CT56" i="31"/>
  <c r="CS56" i="31"/>
  <c r="CV56" i="31" s="1"/>
  <c r="CW56" i="31" s="1"/>
  <c r="BC63" i="31"/>
  <c r="BF63" i="31" s="1"/>
  <c r="CU63" i="31"/>
  <c r="BV63" i="31"/>
  <c r="BX63" i="31" s="1"/>
  <c r="BY63" i="31" s="1"/>
  <c r="CT63" i="31"/>
  <c r="CS63" i="31"/>
  <c r="CV63" i="31" s="1"/>
  <c r="CW63" i="31" s="1"/>
  <c r="BC69" i="31"/>
  <c r="CU69" i="31"/>
  <c r="BV69" i="31"/>
  <c r="BX69" i="31" s="1"/>
  <c r="BY69" i="31" s="1"/>
  <c r="CT69" i="31"/>
  <c r="CS69" i="31"/>
  <c r="CV69" i="31" s="1"/>
  <c r="CW69" i="31" s="1"/>
  <c r="BC84" i="31"/>
  <c r="CU84" i="31"/>
  <c r="BV84" i="31"/>
  <c r="BX84" i="31" s="1"/>
  <c r="BY84" i="31" s="1"/>
  <c r="CT84" i="31"/>
  <c r="CS84" i="31"/>
  <c r="CV84" i="31" s="1"/>
  <c r="CW84" i="31" s="1"/>
  <c r="BC101" i="31"/>
  <c r="BE101" i="31" s="1"/>
  <c r="BV101" i="31"/>
  <c r="BX101" i="31" s="1"/>
  <c r="BY101" i="31" s="1"/>
  <c r="CT101" i="31"/>
  <c r="CS101" i="31"/>
  <c r="CV101" i="31" s="1"/>
  <c r="CW101" i="31" s="1"/>
  <c r="CU101" i="31"/>
  <c r="AX16" i="31"/>
  <c r="AX44" i="31"/>
  <c r="CE112" i="31"/>
  <c r="CF112" i="31"/>
  <c r="CB17" i="31"/>
  <c r="CD17" i="31"/>
  <c r="CB37" i="31"/>
  <c r="CD37" i="31"/>
  <c r="CB45" i="31"/>
  <c r="CD45" i="31"/>
  <c r="CB49" i="31"/>
  <c r="CD49" i="31"/>
  <c r="CB55" i="31"/>
  <c r="CD55" i="31"/>
  <c r="CB64" i="31"/>
  <c r="CD64" i="31"/>
  <c r="CB72" i="31"/>
  <c r="CD72" i="31"/>
  <c r="CB80" i="31"/>
  <c r="CD80" i="31"/>
  <c r="CB88" i="31"/>
  <c r="CD88" i="31"/>
  <c r="CB114" i="31"/>
  <c r="CD114" i="31"/>
  <c r="AX34" i="31"/>
  <c r="AX60" i="31"/>
  <c r="CC61" i="31"/>
  <c r="BZ145" i="31"/>
  <c r="CB85" i="31"/>
  <c r="CB136" i="31"/>
  <c r="J15" i="26"/>
  <c r="E15" i="26" s="1"/>
  <c r="H15" i="26" s="1"/>
  <c r="K8" i="26"/>
  <c r="LL14" i="26"/>
  <c r="LM13" i="26"/>
  <c r="CD133" i="29"/>
  <c r="CB133" i="29"/>
  <c r="AU110" i="29"/>
  <c r="AO110" i="29"/>
  <c r="CV110" i="29"/>
  <c r="CR110" i="29"/>
  <c r="AP110" i="29"/>
  <c r="CY110" i="29"/>
  <c r="CN110" i="29"/>
  <c r="CO110" i="29"/>
  <c r="CQ110" i="29"/>
  <c r="CW110" i="29"/>
  <c r="BB110" i="29"/>
  <c r="CZ110" i="29"/>
  <c r="AQ110" i="29"/>
  <c r="AR110" i="29" s="1"/>
  <c r="CD109" i="29"/>
  <c r="CB109" i="29"/>
  <c r="CB105" i="29"/>
  <c r="CD105" i="29"/>
  <c r="CD102" i="29"/>
  <c r="CB102" i="29"/>
  <c r="CD91" i="29"/>
  <c r="CB91" i="29"/>
  <c r="CK78" i="29"/>
  <c r="CL78" i="29" s="1"/>
  <c r="CM78" i="29"/>
  <c r="AH78" i="29"/>
  <c r="AR78" i="29" s="1"/>
  <c r="CM74" i="29"/>
  <c r="CJ74" i="29"/>
  <c r="CL74" i="29" s="1"/>
  <c r="AH74" i="29"/>
  <c r="CC72" i="29"/>
  <c r="CB72" i="29"/>
  <c r="AY71" i="29"/>
  <c r="AX71" i="29"/>
  <c r="AX70" i="29"/>
  <c r="AY70" i="29"/>
  <c r="CC64" i="29"/>
  <c r="CB64" i="29"/>
  <c r="CF25" i="31"/>
  <c r="CE25" i="31"/>
  <c r="CB106" i="31"/>
  <c r="CB131" i="31"/>
  <c r="CD110" i="29"/>
  <c r="BF108" i="29"/>
  <c r="BE108" i="29"/>
  <c r="BE85" i="29"/>
  <c r="BF85" i="29"/>
  <c r="AY63" i="29"/>
  <c r="AX63" i="29"/>
  <c r="CC61" i="29"/>
  <c r="CB61" i="29"/>
  <c r="CD60" i="29"/>
  <c r="CB60" i="29"/>
  <c r="AY56" i="29"/>
  <c r="AX56" i="29"/>
  <c r="BE52" i="29"/>
  <c r="BF52" i="29"/>
  <c r="CB51" i="29"/>
  <c r="CD51" i="29"/>
  <c r="AH49" i="29"/>
  <c r="AR49" i="29" s="1"/>
  <c r="CK49" i="29"/>
  <c r="CL49" i="29" s="1"/>
  <c r="CM49" i="29"/>
  <c r="BE46" i="29"/>
  <c r="BF46" i="29"/>
  <c r="CB44" i="29"/>
  <c r="CC44" i="29"/>
  <c r="BF44" i="29"/>
  <c r="BE44" i="29"/>
  <c r="CB38" i="29"/>
  <c r="CC38" i="29"/>
  <c r="BF37" i="29"/>
  <c r="BE37" i="29"/>
  <c r="CB32" i="29"/>
  <c r="CC32" i="29"/>
  <c r="CC31" i="29"/>
  <c r="CB31" i="29"/>
  <c r="AX25" i="29"/>
  <c r="AY25" i="29"/>
  <c r="CD24" i="29"/>
  <c r="CB24" i="29"/>
  <c r="BF23" i="29"/>
  <c r="BE23" i="29"/>
  <c r="CC22" i="29"/>
  <c r="CB22" i="29"/>
  <c r="AX17" i="29"/>
  <c r="AY17" i="29"/>
  <c r="CL38" i="29"/>
  <c r="AR25" i="29"/>
  <c r="AR106" i="29"/>
  <c r="CF29" i="29"/>
  <c r="CF18" i="29"/>
  <c r="CE18" i="29"/>
  <c r="CF17" i="29"/>
  <c r="BF140" i="31"/>
  <c r="AY107" i="31"/>
  <c r="BF108" i="31"/>
  <c r="AY24" i="31"/>
  <c r="AY73" i="31"/>
  <c r="CN115" i="31"/>
  <c r="AR114" i="29"/>
  <c r="AX102" i="29"/>
  <c r="CT26" i="29"/>
  <c r="CU26" i="29" s="1"/>
  <c r="AR21" i="29"/>
  <c r="CU125" i="29"/>
  <c r="CX136" i="29"/>
  <c r="AH137" i="31"/>
  <c r="CO137" i="31"/>
  <c r="CK137" i="31"/>
  <c r="CL137" i="31" s="1"/>
  <c r="AY17" i="31"/>
  <c r="AX17" i="31"/>
  <c r="AY33" i="31"/>
  <c r="AX33" i="31"/>
  <c r="AY37" i="31"/>
  <c r="AX37" i="31"/>
  <c r="AY49" i="31"/>
  <c r="AY58" i="31"/>
  <c r="AY59" i="31"/>
  <c r="AX59" i="31"/>
  <c r="AY62" i="31"/>
  <c r="AY71" i="31"/>
  <c r="AX71" i="31"/>
  <c r="BC16" i="31"/>
  <c r="CU16" i="31"/>
  <c r="BV16" i="31"/>
  <c r="BX16" i="31" s="1"/>
  <c r="BY16" i="31" s="1"/>
  <c r="CT16" i="31"/>
  <c r="CS16" i="31"/>
  <c r="CV16" i="31" s="1"/>
  <c r="CW16" i="31" s="1"/>
  <c r="BC64" i="31"/>
  <c r="BV64" i="31"/>
  <c r="BX64" i="31" s="1"/>
  <c r="BY64" i="31" s="1"/>
  <c r="CT64" i="31"/>
  <c r="CS64" i="31"/>
  <c r="CV64" i="31" s="1"/>
  <c r="CW64" i="31" s="1"/>
  <c r="CU64" i="31"/>
  <c r="BC136" i="31"/>
  <c r="BF136" i="31" s="1"/>
  <c r="CU136" i="31"/>
  <c r="CT136" i="31"/>
  <c r="CS136" i="31"/>
  <c r="CV136" i="31" s="1"/>
  <c r="CW136" i="31" s="1"/>
  <c r="BV136" i="31"/>
  <c r="BX136" i="31" s="1"/>
  <c r="BY136" i="31" s="1"/>
  <c r="AR143" i="31"/>
  <c r="AX28" i="31"/>
  <c r="CF24" i="31"/>
  <c r="CB14" i="31"/>
  <c r="CD14" i="31"/>
  <c r="CD145" i="31" s="1"/>
  <c r="CB35" i="31"/>
  <c r="CD35" i="31"/>
  <c r="CB38" i="31"/>
  <c r="CD38" i="31"/>
  <c r="CB46" i="31"/>
  <c r="CD46" i="31"/>
  <c r="CB52" i="31"/>
  <c r="CD52" i="31"/>
  <c r="CB60" i="31"/>
  <c r="CD60" i="31"/>
  <c r="CB76" i="31"/>
  <c r="CD76" i="31"/>
  <c r="CB92" i="31"/>
  <c r="CD92" i="31"/>
  <c r="CB102" i="31"/>
  <c r="CD102" i="31"/>
  <c r="CB110" i="31"/>
  <c r="CD110" i="31"/>
  <c r="CB118" i="31"/>
  <c r="CD118" i="31"/>
  <c r="CB127" i="31"/>
  <c r="CD127" i="31"/>
  <c r="CB135" i="31"/>
  <c r="CD135" i="31"/>
  <c r="AX52" i="31"/>
  <c r="AX62" i="31"/>
  <c r="CB73" i="31"/>
  <c r="CC73" i="31"/>
  <c r="CB97" i="31"/>
  <c r="CC97" i="31"/>
  <c r="CB124" i="31"/>
  <c r="CC124" i="31"/>
  <c r="CB61" i="31"/>
  <c r="CB111" i="31"/>
  <c r="LT8" i="26"/>
  <c r="LT9" i="26" s="1"/>
  <c r="CC138" i="29"/>
  <c r="CB138" i="29"/>
  <c r="CB137" i="29"/>
  <c r="CC137" i="29"/>
  <c r="AY109" i="29"/>
  <c r="AX109" i="29"/>
  <c r="CB106" i="29"/>
  <c r="CD106" i="29"/>
  <c r="CD98" i="29"/>
  <c r="CB98" i="29"/>
  <c r="CD96" i="29"/>
  <c r="CB96" i="29"/>
  <c r="BF93" i="29"/>
  <c r="BE93" i="29"/>
  <c r="AY92" i="29"/>
  <c r="AX92" i="29"/>
  <c r="CD90" i="29"/>
  <c r="CB90" i="29"/>
  <c r="CC87" i="29"/>
  <c r="CB87" i="29"/>
  <c r="CB86" i="29"/>
  <c r="CC86" i="29"/>
  <c r="CB83" i="29"/>
  <c r="CC83" i="29"/>
  <c r="CC81" i="29"/>
  <c r="CB81" i="29"/>
  <c r="CD73" i="29"/>
  <c r="CB73" i="29"/>
  <c r="AH73" i="29"/>
  <c r="CM73" i="29"/>
  <c r="CJ73" i="29"/>
  <c r="CL73" i="29" s="1"/>
  <c r="CC67" i="29"/>
  <c r="CB67" i="29"/>
  <c r="CF46" i="29"/>
  <c r="CE46" i="29"/>
  <c r="CF16" i="31"/>
  <c r="CB68" i="31"/>
  <c r="CB96" i="31"/>
  <c r="CB123" i="31"/>
  <c r="CN28" i="31"/>
  <c r="CD115" i="29"/>
  <c r="CB115" i="29"/>
  <c r="CD112" i="29"/>
  <c r="CB112" i="29"/>
  <c r="CF71" i="29"/>
  <c r="CE71" i="29"/>
  <c r="CD55" i="29"/>
  <c r="CB55" i="29"/>
  <c r="BF54" i="29"/>
  <c r="BE54" i="29"/>
  <c r="CB48" i="29"/>
  <c r="CC48" i="29"/>
  <c r="AX46" i="29"/>
  <c r="AY46" i="29"/>
  <c r="AY43" i="29"/>
  <c r="AX43" i="29"/>
  <c r="CD42" i="29"/>
  <c r="CB42" i="29"/>
  <c r="CC41" i="29"/>
  <c r="CB41" i="29"/>
  <c r="CF34" i="29"/>
  <c r="CE34" i="29"/>
  <c r="CC30" i="29"/>
  <c r="CB30" i="29"/>
  <c r="AX24" i="29"/>
  <c r="AY24" i="29"/>
  <c r="CB19" i="29"/>
  <c r="CC19" i="29"/>
  <c r="AR29" i="29"/>
  <c r="AR60" i="29"/>
  <c r="CU65" i="29"/>
  <c r="CU58" i="29"/>
  <c r="AY106" i="29"/>
  <c r="CC21" i="29"/>
  <c r="CB21" i="29"/>
  <c r="AX31" i="29"/>
  <c r="BE24" i="29"/>
  <c r="CU102" i="29"/>
  <c r="CH110" i="29"/>
  <c r="CF36" i="29"/>
  <c r="CE36" i="29"/>
  <c r="AR52" i="29"/>
  <c r="N22" i="13"/>
  <c r="H22" i="13" s="1"/>
  <c r="P2" i="13"/>
  <c r="L2" i="13"/>
  <c r="N82" i="13"/>
  <c r="H82" i="13" s="1"/>
  <c r="I24" i="13"/>
  <c r="N68" i="13"/>
  <c r="H68" i="13" s="1"/>
  <c r="N40" i="13"/>
  <c r="H40" i="13" s="1"/>
  <c r="N38" i="13"/>
  <c r="H38" i="13" s="1"/>
  <c r="J29" i="13"/>
  <c r="J35" i="13"/>
  <c r="N58" i="13"/>
  <c r="H58" i="13" s="1"/>
  <c r="J67" i="13"/>
  <c r="N60" i="13"/>
  <c r="H60" i="13" s="1"/>
  <c r="J64" i="13"/>
  <c r="N124" i="13"/>
  <c r="H124" i="13" s="1"/>
  <c r="J118" i="13"/>
  <c r="N111" i="13"/>
  <c r="H111" i="13" s="1"/>
  <c r="N51" i="13"/>
  <c r="H51" i="13" s="1"/>
  <c r="J60" i="13"/>
  <c r="J26" i="13"/>
  <c r="N20" i="13"/>
  <c r="H20" i="13" s="1"/>
  <c r="N119" i="13"/>
  <c r="H119" i="13" s="1"/>
  <c r="N10" i="13"/>
  <c r="H10" i="13" s="1"/>
  <c r="U1" i="13"/>
  <c r="N116" i="13"/>
  <c r="H116" i="13" s="1"/>
  <c r="J33" i="13"/>
  <c r="N16" i="13"/>
  <c r="H16" i="13" s="1"/>
  <c r="I36" i="13"/>
  <c r="N36" i="13"/>
  <c r="H36" i="13" s="1"/>
  <c r="I39" i="13"/>
  <c r="N39" i="13"/>
  <c r="H39" i="13" s="1"/>
  <c r="N94" i="13"/>
  <c r="H94" i="13" s="1"/>
  <c r="N47" i="13"/>
  <c r="H47" i="13" s="1"/>
  <c r="N67" i="13"/>
  <c r="H67" i="13" s="1"/>
  <c r="I40" i="13"/>
  <c r="J50" i="13"/>
  <c r="J27" i="13"/>
  <c r="I127" i="13"/>
  <c r="L3" i="13"/>
  <c r="AC142" i="29"/>
  <c r="N53" i="13"/>
  <c r="H53" i="13" s="1"/>
  <c r="J30" i="13"/>
  <c r="N30" i="13"/>
  <c r="H30" i="13" s="1"/>
  <c r="CN14" i="31"/>
  <c r="AT154" i="31"/>
  <c r="AY128" i="31"/>
  <c r="AX128" i="31"/>
  <c r="AX140" i="31"/>
  <c r="BC68" i="31"/>
  <c r="CS68" i="31"/>
  <c r="CV68" i="31" s="1"/>
  <c r="CW68" i="31" s="1"/>
  <c r="CU68" i="31"/>
  <c r="BV68" i="31"/>
  <c r="BX68" i="31" s="1"/>
  <c r="BY68" i="31" s="1"/>
  <c r="CT68" i="31"/>
  <c r="BC44" i="31"/>
  <c r="BV44" i="31"/>
  <c r="BX44" i="31" s="1"/>
  <c r="BY44" i="31" s="1"/>
  <c r="CT44" i="31"/>
  <c r="CS44" i="31"/>
  <c r="CV44" i="31" s="1"/>
  <c r="CW44" i="31" s="1"/>
  <c r="CU44" i="31"/>
  <c r="BC47" i="31"/>
  <c r="BV47" i="31"/>
  <c r="BX47" i="31" s="1"/>
  <c r="BY47" i="31" s="1"/>
  <c r="CT47" i="31"/>
  <c r="CS47" i="31"/>
  <c r="CV47" i="31" s="1"/>
  <c r="CW47" i="31" s="1"/>
  <c r="CU47" i="31"/>
  <c r="AY32" i="31"/>
  <c r="AX32" i="31"/>
  <c r="AY114" i="31"/>
  <c r="AX114" i="31"/>
  <c r="AY26" i="31"/>
  <c r="AX26" i="31"/>
  <c r="AY39" i="31"/>
  <c r="LK13" i="26"/>
  <c r="LJ14" i="26"/>
  <c r="AZ98" i="29"/>
  <c r="CO98" i="29"/>
  <c r="CZ98" i="29"/>
  <c r="AP98" i="29"/>
  <c r="CQ98" i="29"/>
  <c r="AQ98" i="29"/>
  <c r="AO98" i="29"/>
  <c r="CR98" i="29"/>
  <c r="CY98" i="29"/>
  <c r="AS98" i="29"/>
  <c r="CN98" i="29"/>
  <c r="AI146" i="29"/>
  <c r="BB162" i="29" s="1"/>
  <c r="AI143" i="29"/>
  <c r="AX107" i="29"/>
  <c r="AY107" i="29"/>
  <c r="AY69" i="29"/>
  <c r="AX69" i="29"/>
  <c r="BE119" i="29"/>
  <c r="BF119" i="29"/>
  <c r="CE70" i="29"/>
  <c r="CF70" i="29"/>
  <c r="CD14" i="29"/>
  <c r="CD143" i="29" s="1"/>
  <c r="CB14" i="29"/>
  <c r="CF80" i="29"/>
  <c r="CE80" i="29"/>
  <c r="CE27" i="29"/>
  <c r="CF27" i="29"/>
  <c r="BZ143" i="29"/>
  <c r="CC110" i="29"/>
  <c r="CB110" i="29"/>
  <c r="J117" i="13"/>
  <c r="N108" i="13"/>
  <c r="H108" i="13" s="1"/>
  <c r="N132" i="13"/>
  <c r="H132" i="13" s="1"/>
  <c r="J37" i="13"/>
  <c r="N37" i="13"/>
  <c r="H37" i="13" s="1"/>
  <c r="AY61" i="31"/>
  <c r="AX61" i="31"/>
  <c r="BE18" i="31"/>
  <c r="BF18" i="31"/>
  <c r="BC114" i="31"/>
  <c r="CS114" i="31"/>
  <c r="CV114" i="31" s="1"/>
  <c r="CW114" i="31" s="1"/>
  <c r="CU114" i="31"/>
  <c r="BV114" i="31"/>
  <c r="BX114" i="31" s="1"/>
  <c r="BY114" i="31" s="1"/>
  <c r="CT114" i="31"/>
  <c r="BC119" i="31"/>
  <c r="BF119" i="31" s="1"/>
  <c r="BV119" i="31"/>
  <c r="BX119" i="31" s="1"/>
  <c r="BY119" i="31" s="1"/>
  <c r="CT119" i="31"/>
  <c r="CS119" i="31"/>
  <c r="CV119" i="31" s="1"/>
  <c r="CW119" i="31" s="1"/>
  <c r="CU119" i="31"/>
  <c r="BC112" i="31"/>
  <c r="BV112" i="31"/>
  <c r="BX112" i="31" s="1"/>
  <c r="BY112" i="31" s="1"/>
  <c r="CT112" i="31"/>
  <c r="CU112" i="31"/>
  <c r="CS112" i="31"/>
  <c r="CV112" i="31" s="1"/>
  <c r="CW112" i="31" s="1"/>
  <c r="AY21" i="31"/>
  <c r="AX21" i="31"/>
  <c r="BC40" i="31"/>
  <c r="CS40" i="31"/>
  <c r="CV40" i="31" s="1"/>
  <c r="CW40" i="31" s="1"/>
  <c r="CU40" i="31"/>
  <c r="BV40" i="31"/>
  <c r="BX40" i="31" s="1"/>
  <c r="BY40" i="31" s="1"/>
  <c r="CT40" i="31"/>
  <c r="BF26" i="31"/>
  <c r="BE26" i="31"/>
  <c r="BF116" i="31"/>
  <c r="BE116" i="31"/>
  <c r="LI13" i="26"/>
  <c r="LH14" i="26"/>
  <c r="AY124" i="29"/>
  <c r="AX124" i="29"/>
  <c r="BE130" i="29"/>
  <c r="BF130" i="29"/>
  <c r="AX97" i="29"/>
  <c r="AY97" i="29"/>
  <c r="CF54" i="29"/>
  <c r="CE54" i="29"/>
  <c r="BF32" i="29"/>
  <c r="BE32" i="29"/>
  <c r="AX14" i="29"/>
  <c r="AY14" i="29"/>
  <c r="CE107" i="29"/>
  <c r="CF107" i="29"/>
  <c r="AY102" i="29"/>
  <c r="CE40" i="29"/>
  <c r="CF40" i="29"/>
  <c r="BE88" i="29"/>
  <c r="BF88" i="29"/>
  <c r="AY138" i="31"/>
  <c r="AX138" i="31"/>
  <c r="AY23" i="31"/>
  <c r="AX23" i="31"/>
  <c r="BC80" i="31"/>
  <c r="CS80" i="31"/>
  <c r="CV80" i="31" s="1"/>
  <c r="CW80" i="31" s="1"/>
  <c r="CU80" i="31"/>
  <c r="BV80" i="31"/>
  <c r="BX80" i="31" s="1"/>
  <c r="BY80" i="31" s="1"/>
  <c r="CT80" i="31"/>
  <c r="BC51" i="31"/>
  <c r="CS51" i="31"/>
  <c r="CU51" i="31"/>
  <c r="BV51" i="31"/>
  <c r="BX51" i="31" s="1"/>
  <c r="BY51" i="31" s="1"/>
  <c r="CT51" i="31"/>
  <c r="AT148" i="31"/>
  <c r="BF27" i="31"/>
  <c r="CB23" i="31"/>
  <c r="CD23" i="31"/>
  <c r="CD43" i="31"/>
  <c r="CB43" i="31"/>
  <c r="AY90" i="29"/>
  <c r="AX90" i="29"/>
  <c r="CX124" i="29"/>
  <c r="CJ98" i="29"/>
  <c r="CL98" i="29" s="1"/>
  <c r="AH98" i="29"/>
  <c r="CM98" i="29"/>
  <c r="AX62" i="29"/>
  <c r="AY62" i="29"/>
  <c r="BE61" i="29"/>
  <c r="BF61" i="29"/>
  <c r="CF77" i="29"/>
  <c r="CE77" i="29"/>
  <c r="CF140" i="29"/>
  <c r="CE140" i="29"/>
  <c r="BE121" i="31"/>
  <c r="BF121" i="31"/>
  <c r="BC20" i="31"/>
  <c r="BF20" i="31" s="1"/>
  <c r="BV20" i="31"/>
  <c r="BX20" i="31" s="1"/>
  <c r="BY20" i="31" s="1"/>
  <c r="CT20" i="31"/>
  <c r="CS20" i="31"/>
  <c r="CV20" i="31" s="1"/>
  <c r="CW20" i="31" s="1"/>
  <c r="CU20" i="31"/>
  <c r="BC83" i="31"/>
  <c r="BV83" i="31"/>
  <c r="BX83" i="31" s="1"/>
  <c r="BY83" i="31" s="1"/>
  <c r="CT83" i="31"/>
  <c r="CS83" i="31"/>
  <c r="CV83" i="31" s="1"/>
  <c r="CW83" i="31" s="1"/>
  <c r="CU83" i="31"/>
  <c r="AX138" i="29"/>
  <c r="AY138" i="29"/>
  <c r="J34" i="13"/>
  <c r="CL46" i="31"/>
  <c r="CN46" i="31" s="1"/>
  <c r="BB141" i="31"/>
  <c r="R141" i="31"/>
  <c r="CS141" i="31" s="1"/>
  <c r="CV141" i="31" s="1"/>
  <c r="CW141" i="31" s="1"/>
  <c r="BU141" i="31"/>
  <c r="CY141" i="31"/>
  <c r="BF89" i="31"/>
  <c r="BE89" i="31"/>
  <c r="BC61" i="31"/>
  <c r="BV61" i="31"/>
  <c r="BX61" i="31" s="1"/>
  <c r="BY61" i="31" s="1"/>
  <c r="CT61" i="31"/>
  <c r="CS61" i="31"/>
  <c r="CV61" i="31" s="1"/>
  <c r="CW61" i="31" s="1"/>
  <c r="CU61" i="31"/>
  <c r="AY36" i="31"/>
  <c r="AY15" i="31"/>
  <c r="AY108" i="31"/>
  <c r="BF110" i="31"/>
  <c r="BF138" i="29"/>
  <c r="BE138" i="29"/>
  <c r="AX123" i="29"/>
  <c r="BF80" i="29"/>
  <c r="BE80" i="29"/>
  <c r="BF124" i="29"/>
  <c r="BE124" i="29"/>
  <c r="AR108" i="29"/>
  <c r="AY66" i="29"/>
  <c r="AX66" i="29"/>
  <c r="BF21" i="29"/>
  <c r="BE21" i="29"/>
  <c r="CL34" i="29"/>
  <c r="CK8" i="29"/>
  <c r="CK6" i="29" s="1"/>
  <c r="CK4" i="29" s="1"/>
  <c r="AX34" i="29"/>
  <c r="AY34" i="29"/>
  <c r="BE20" i="29"/>
  <c r="CU30" i="29"/>
  <c r="CU122" i="29"/>
  <c r="CF78" i="29"/>
  <c r="CE78" i="29"/>
  <c r="AY74" i="29"/>
  <c r="CU103" i="29"/>
  <c r="BH146" i="29"/>
  <c r="CF116" i="29"/>
  <c r="CE116" i="29"/>
  <c r="BE143" i="33"/>
  <c r="J131" i="13"/>
  <c r="N65" i="13"/>
  <c r="BE104" i="31"/>
  <c r="BF104" i="31"/>
  <c r="AX89" i="31"/>
  <c r="BC117" i="31"/>
  <c r="CS117" i="31"/>
  <c r="CV117" i="31" s="1"/>
  <c r="CW117" i="31" s="1"/>
  <c r="CU117" i="31"/>
  <c r="BV117" i="31"/>
  <c r="CT117" i="31"/>
  <c r="BC34" i="31"/>
  <c r="BV34" i="31"/>
  <c r="BX34" i="31" s="1"/>
  <c r="BY34" i="31" s="1"/>
  <c r="CT34" i="31"/>
  <c r="CS34" i="31"/>
  <c r="CV34" i="31" s="1"/>
  <c r="CW34" i="31" s="1"/>
  <c r="CU34" i="31"/>
  <c r="AY79" i="31"/>
  <c r="AY18" i="31"/>
  <c r="AY20" i="31"/>
  <c r="AY85" i="31"/>
  <c r="AY93" i="31"/>
  <c r="AX133" i="29"/>
  <c r="AY133" i="29"/>
  <c r="AT152" i="29"/>
  <c r="AT156" i="29" s="1"/>
  <c r="AT158" i="29" s="1"/>
  <c r="CF118" i="29"/>
  <c r="CE118" i="29"/>
  <c r="BF123" i="29"/>
  <c r="BE123" i="29"/>
  <c r="CD120" i="29"/>
  <c r="CB120" i="29"/>
  <c r="E18" i="26"/>
  <c r="CX107" i="29"/>
  <c r="BF92" i="29"/>
  <c r="BE92" i="29"/>
  <c r="AY61" i="29"/>
  <c r="AX61" i="29"/>
  <c r="CF37" i="29"/>
  <c r="CE37" i="29"/>
  <c r="AY32" i="29"/>
  <c r="AX32" i="29"/>
  <c r="BE34" i="29"/>
  <c r="BF34" i="29"/>
  <c r="BH8" i="29"/>
  <c r="AU148" i="31"/>
  <c r="AX14" i="31"/>
  <c r="AU145" i="31"/>
  <c r="BE137" i="29"/>
  <c r="BF137" i="29"/>
  <c r="M2" i="13"/>
  <c r="M133" i="13"/>
  <c r="K133" i="13" s="1"/>
  <c r="BC81" i="31"/>
  <c r="BV81" i="31"/>
  <c r="BX81" i="31" s="1"/>
  <c r="BY81" i="31" s="1"/>
  <c r="CT81" i="31"/>
  <c r="CS81" i="31"/>
  <c r="CV81" i="31" s="1"/>
  <c r="CW81" i="31" s="1"/>
  <c r="CU81" i="31"/>
  <c r="BC17" i="31"/>
  <c r="CS17" i="31"/>
  <c r="CV17" i="31" s="1"/>
  <c r="CW17" i="31" s="1"/>
  <c r="CU17" i="31"/>
  <c r="BV17" i="31"/>
  <c r="BX17" i="31" s="1"/>
  <c r="BY17" i="31" s="1"/>
  <c r="CT17" i="31"/>
  <c r="BC42" i="31"/>
  <c r="BF42" i="31" s="1"/>
  <c r="CS42" i="31"/>
  <c r="CV42" i="31" s="1"/>
  <c r="CW42" i="31" s="1"/>
  <c r="CU42" i="31"/>
  <c r="CT42" i="31"/>
  <c r="BV42" i="31"/>
  <c r="BX42" i="31" s="1"/>
  <c r="BY42" i="31" s="1"/>
  <c r="AX48" i="31"/>
  <c r="BC21" i="31"/>
  <c r="BV21" i="31"/>
  <c r="CT21" i="31"/>
  <c r="CS21" i="31"/>
  <c r="CV21" i="31" s="1"/>
  <c r="CW21" i="31" s="1"/>
  <c r="CU21" i="31"/>
  <c r="AY135" i="31"/>
  <c r="AX135" i="31"/>
  <c r="AY57" i="31"/>
  <c r="AY104" i="31"/>
  <c r="AY38" i="31"/>
  <c r="AY89" i="31"/>
  <c r="BF126" i="31"/>
  <c r="AY96" i="31"/>
  <c r="CB139" i="31"/>
  <c r="CD139" i="31"/>
  <c r="BV131" i="29"/>
  <c r="BX131" i="29" s="1"/>
  <c r="BY131" i="29" s="1"/>
  <c r="BC131" i="29"/>
  <c r="CS131" i="29"/>
  <c r="CQ131" i="29"/>
  <c r="CT131" i="29" s="1"/>
  <c r="CU131" i="29" s="1"/>
  <c r="CR131" i="29"/>
  <c r="LR14" i="26"/>
  <c r="LS13" i="26"/>
  <c r="DI128" i="29"/>
  <c r="AY117" i="29"/>
  <c r="AX117" i="29"/>
  <c r="CK136" i="29"/>
  <c r="CL136" i="29" s="1"/>
  <c r="AH136" i="29"/>
  <c r="AR136" i="29" s="1"/>
  <c r="AG152" i="29"/>
  <c r="AG153" i="29" s="1"/>
  <c r="CM136" i="29"/>
  <c r="CB104" i="29"/>
  <c r="CD104" i="29"/>
  <c r="AY80" i="29"/>
  <c r="AX80" i="29"/>
  <c r="LP15" i="26"/>
  <c r="LQ14" i="26"/>
  <c r="BE106" i="29"/>
  <c r="BF106" i="29"/>
  <c r="BF82" i="29"/>
  <c r="BE82" i="29"/>
  <c r="AY122" i="29"/>
  <c r="AX122" i="29"/>
  <c r="CT34" i="29"/>
  <c r="CU34" i="29" s="1"/>
  <c r="CX26" i="29"/>
  <c r="CU123" i="29"/>
  <c r="CF20" i="29"/>
  <c r="CE20" i="29"/>
  <c r="BF47" i="29"/>
  <c r="AX22" i="29"/>
  <c r="AX76" i="29"/>
  <c r="BH143" i="29"/>
  <c r="N46" i="13"/>
  <c r="H46" i="13" s="1"/>
  <c r="N50" i="13"/>
  <c r="J23" i="13"/>
  <c r="N23" i="13"/>
  <c r="H23" i="13" s="1"/>
  <c r="BC137" i="31"/>
  <c r="CU137" i="31"/>
  <c r="BV137" i="31"/>
  <c r="CT137" i="31"/>
  <c r="S137" i="31"/>
  <c r="CS137" i="31"/>
  <c r="CV137" i="31" s="1"/>
  <c r="AY25" i="31"/>
  <c r="AX25" i="31"/>
  <c r="BE50" i="31"/>
  <c r="BF50" i="31"/>
  <c r="AY101" i="31"/>
  <c r="AX101" i="31"/>
  <c r="BC25" i="31"/>
  <c r="CU25" i="31"/>
  <c r="BV25" i="31"/>
  <c r="BX25" i="31" s="1"/>
  <c r="BY25" i="31" s="1"/>
  <c r="CT25" i="31"/>
  <c r="CS25" i="31"/>
  <c r="CV25" i="31" s="1"/>
  <c r="CW25" i="31" s="1"/>
  <c r="BC86" i="31"/>
  <c r="BV86" i="31"/>
  <c r="BX86" i="31" s="1"/>
  <c r="BY86" i="31" s="1"/>
  <c r="CT86" i="31"/>
  <c r="CU86" i="31"/>
  <c r="CS86" i="31"/>
  <c r="CV86" i="31" s="1"/>
  <c r="CW86" i="31" s="1"/>
  <c r="BF135" i="31"/>
  <c r="BE135" i="31"/>
  <c r="AY63" i="31"/>
  <c r="BF48" i="31"/>
  <c r="AY117" i="31"/>
  <c r="AY45" i="31"/>
  <c r="AY42" i="31"/>
  <c r="BF138" i="31"/>
  <c r="CE123" i="29"/>
  <c r="CF123" i="29"/>
  <c r="AY93" i="29"/>
  <c r="AX93" i="29"/>
  <c r="BF117" i="29"/>
  <c r="BE117" i="29"/>
  <c r="CF114" i="29"/>
  <c r="CE114" i="29"/>
  <c r="BF103" i="29"/>
  <c r="BE103" i="29"/>
  <c r="BE122" i="29"/>
  <c r="BF122" i="29"/>
  <c r="BX23" i="29"/>
  <c r="BY23" i="29" s="1"/>
  <c r="BF26" i="29"/>
  <c r="BE26" i="29"/>
  <c r="AR16" i="29"/>
  <c r="AY26" i="29"/>
  <c r="AX26" i="29"/>
  <c r="AY27" i="29"/>
  <c r="AX27" i="29"/>
  <c r="BE132" i="29"/>
  <c r="AY28" i="29"/>
  <c r="AX28" i="29"/>
  <c r="BA145" i="31"/>
  <c r="BA148" i="31"/>
  <c r="BC33" i="31"/>
  <c r="BV33" i="31"/>
  <c r="BX33" i="31" s="1"/>
  <c r="BY33" i="31" s="1"/>
  <c r="CT33" i="31"/>
  <c r="CS33" i="31"/>
  <c r="CV33" i="31" s="1"/>
  <c r="CW33" i="31" s="1"/>
  <c r="CU33" i="31"/>
  <c r="AY132" i="31"/>
  <c r="AX132" i="31"/>
  <c r="K127" i="13"/>
  <c r="BC37" i="31"/>
  <c r="CU37" i="31"/>
  <c r="BV37" i="31"/>
  <c r="BX37" i="31" s="1"/>
  <c r="BY37" i="31" s="1"/>
  <c r="CT37" i="31"/>
  <c r="CS37" i="31"/>
  <c r="CV37" i="31" s="1"/>
  <c r="CW37" i="31" s="1"/>
  <c r="BC92" i="31"/>
  <c r="CS92" i="31"/>
  <c r="CV92" i="31" s="1"/>
  <c r="CW92" i="31" s="1"/>
  <c r="CU92" i="31"/>
  <c r="BV92" i="31"/>
  <c r="CT92" i="31"/>
  <c r="AY110" i="31"/>
  <c r="BF123" i="31"/>
  <c r="AY126" i="31"/>
  <c r="AY67" i="31"/>
  <c r="AY55" i="31"/>
  <c r="BE131" i="31"/>
  <c r="BF107" i="31"/>
  <c r="BR19" i="31"/>
  <c r="BR148" i="31" s="1"/>
  <c r="BQ148" i="31"/>
  <c r="BF111" i="29"/>
  <c r="BE111" i="29"/>
  <c r="CX82" i="29"/>
  <c r="AX79" i="29"/>
  <c r="CE57" i="29"/>
  <c r="CF57" i="29"/>
  <c r="BI40" i="29"/>
  <c r="BI8" i="29" s="1"/>
  <c r="BG143" i="29"/>
  <c r="BG8" i="29"/>
  <c r="BG146" i="29"/>
  <c r="CM79" i="29"/>
  <c r="BF16" i="29"/>
  <c r="BE16" i="29"/>
  <c r="AY30" i="29"/>
  <c r="AX30" i="29"/>
  <c r="BE33" i="29"/>
  <c r="BF33" i="29"/>
  <c r="AY87" i="31"/>
  <c r="AX87" i="31"/>
  <c r="BF36" i="31"/>
  <c r="BE36" i="31"/>
  <c r="BE83" i="29"/>
  <c r="BF83" i="29"/>
  <c r="N42" i="13"/>
  <c r="H42" i="13" s="1"/>
  <c r="BC41" i="31"/>
  <c r="CS41" i="31"/>
  <c r="CV41" i="31" s="1"/>
  <c r="CW41" i="31" s="1"/>
  <c r="CU41" i="31"/>
  <c r="BV41" i="31"/>
  <c r="BX41" i="31" s="1"/>
  <c r="BY41" i="31" s="1"/>
  <c r="CT41" i="31"/>
  <c r="AU154" i="31"/>
  <c r="BF132" i="31"/>
  <c r="BE132" i="31"/>
  <c r="BF133" i="31"/>
  <c r="BE133" i="31"/>
  <c r="BC66" i="31"/>
  <c r="CS66" i="31"/>
  <c r="CV66" i="31" s="1"/>
  <c r="CW66" i="31" s="1"/>
  <c r="CU66" i="31"/>
  <c r="BV66" i="31"/>
  <c r="BX66" i="31" s="1"/>
  <c r="BY66" i="31" s="1"/>
  <c r="CT66" i="31"/>
  <c r="BF115" i="31"/>
  <c r="BE115" i="31"/>
  <c r="BC102" i="31"/>
  <c r="CS102" i="31"/>
  <c r="CV102" i="31" s="1"/>
  <c r="CW102" i="31" s="1"/>
  <c r="CU102" i="31"/>
  <c r="BV102" i="31"/>
  <c r="CT102" i="31"/>
  <c r="AY119" i="31"/>
  <c r="AY140" i="31"/>
  <c r="AX116" i="29"/>
  <c r="AY116" i="29"/>
  <c r="AY85" i="29"/>
  <c r="AX85" i="29"/>
  <c r="BE134" i="29"/>
  <c r="BF134" i="29"/>
  <c r="BF109" i="29"/>
  <c r="BE109" i="29"/>
  <c r="BE140" i="29"/>
  <c r="BF140" i="29"/>
  <c r="AY127" i="29"/>
  <c r="AX127" i="29"/>
  <c r="AH79" i="29"/>
  <c r="BO146" i="29"/>
  <c r="BO143" i="29"/>
  <c r="AX20" i="29"/>
  <c r="AY20" i="29"/>
  <c r="BX33" i="29"/>
  <c r="BY33" i="29" s="1"/>
  <c r="BS146" i="29"/>
  <c r="BS143" i="29"/>
  <c r="CL21" i="29"/>
  <c r="CJ8" i="29"/>
  <c r="CJ6" i="29" s="1"/>
  <c r="CJ4" i="29" s="1"/>
  <c r="BW136" i="29"/>
  <c r="BX136" i="29" s="1"/>
  <c r="BY136" i="29" s="1"/>
  <c r="BD136" i="29"/>
  <c r="DH136" i="29"/>
  <c r="DI136" i="29" s="1"/>
  <c r="BX128" i="29"/>
  <c r="BY128" i="29" s="1"/>
  <c r="AX33" i="29"/>
  <c r="AY33" i="29"/>
  <c r="CX33" i="29"/>
  <c r="BE28" i="29"/>
  <c r="BA143" i="29"/>
  <c r="BA146" i="29"/>
  <c r="BA148" i="29" s="1"/>
  <c r="BF28" i="29"/>
  <c r="K50" i="13"/>
  <c r="BC52" i="31"/>
  <c r="CS52" i="31"/>
  <c r="CV52" i="31" s="1"/>
  <c r="CW52" i="31" s="1"/>
  <c r="CU52" i="31"/>
  <c r="BV52" i="31"/>
  <c r="BX52" i="31" s="1"/>
  <c r="BY52" i="31" s="1"/>
  <c r="CT52" i="31"/>
  <c r="BC14" i="31"/>
  <c r="CS14" i="31"/>
  <c r="CU14" i="31"/>
  <c r="BV14" i="31"/>
  <c r="CT14" i="31"/>
  <c r="AY113" i="31"/>
  <c r="AX113" i="31"/>
  <c r="AY115" i="31"/>
  <c r="AX115" i="31"/>
  <c r="AY27" i="31"/>
  <c r="AX27" i="31"/>
  <c r="AY129" i="31"/>
  <c r="AY92" i="31"/>
  <c r="BF30" i="31"/>
  <c r="CB15" i="31"/>
  <c r="CD15" i="31"/>
  <c r="BF114" i="29"/>
  <c r="BE114" i="29"/>
  <c r="AX114" i="29"/>
  <c r="AY114" i="29"/>
  <c r="AX137" i="29"/>
  <c r="AY137" i="29"/>
  <c r="AX84" i="29"/>
  <c r="AY84" i="29"/>
  <c r="BV133" i="29"/>
  <c r="BX133" i="29" s="1"/>
  <c r="BY133" i="29" s="1"/>
  <c r="BC133" i="29"/>
  <c r="CS133" i="29"/>
  <c r="CR133" i="29"/>
  <c r="CQ133" i="29"/>
  <c r="CT133" i="29" s="1"/>
  <c r="CU133" i="29" s="1"/>
  <c r="AY101" i="29"/>
  <c r="AX101" i="29"/>
  <c r="AX111" i="29"/>
  <c r="AY111" i="29"/>
  <c r="AX108" i="29"/>
  <c r="AY108" i="29"/>
  <c r="AY75" i="29"/>
  <c r="AX75" i="29"/>
  <c r="AX140" i="29"/>
  <c r="AY140" i="29"/>
  <c r="CD125" i="29"/>
  <c r="CB125" i="29"/>
  <c r="CF84" i="29"/>
  <c r="CE84" i="29"/>
  <c r="BF66" i="29"/>
  <c r="BE30" i="29"/>
  <c r="BF30" i="29"/>
  <c r="BQ15" i="29"/>
  <c r="BR15" i="29" s="1"/>
  <c r="BL146" i="29"/>
  <c r="BL143" i="29"/>
  <c r="N88" i="13"/>
  <c r="H88" i="13" s="1"/>
  <c r="I2" i="13"/>
  <c r="J25" i="13"/>
  <c r="J31" i="13"/>
  <c r="N31" i="13"/>
  <c r="H31" i="13" s="1"/>
  <c r="BE128" i="31"/>
  <c r="BC58" i="31"/>
  <c r="BV58" i="31"/>
  <c r="BX58" i="31" s="1"/>
  <c r="BY58" i="31" s="1"/>
  <c r="CT58" i="31"/>
  <c r="CS58" i="31"/>
  <c r="CV58" i="31" s="1"/>
  <c r="CW58" i="31" s="1"/>
  <c r="CU58" i="31"/>
  <c r="BC22" i="31"/>
  <c r="BV22" i="31"/>
  <c r="BX22" i="31" s="1"/>
  <c r="BY22" i="31" s="1"/>
  <c r="CT22" i="31"/>
  <c r="CS22" i="31"/>
  <c r="CV22" i="31" s="1"/>
  <c r="CW22" i="31" s="1"/>
  <c r="CU22" i="31"/>
  <c r="BC39" i="31"/>
  <c r="BE39" i="31" s="1"/>
  <c r="CS39" i="31"/>
  <c r="CV39" i="31" s="1"/>
  <c r="CW39" i="31" s="1"/>
  <c r="CU39" i="31"/>
  <c r="BV39" i="31"/>
  <c r="BX39" i="31" s="1"/>
  <c r="BY39" i="31" s="1"/>
  <c r="CT39" i="31"/>
  <c r="AY51" i="31"/>
  <c r="AX51" i="31"/>
  <c r="BE32" i="31"/>
  <c r="BF32" i="31"/>
  <c r="BF103" i="31"/>
  <c r="BE103" i="31"/>
  <c r="AY47" i="31"/>
  <c r="AX47" i="31"/>
  <c r="AT145" i="31"/>
  <c r="AY123" i="31"/>
  <c r="AX123" i="31"/>
  <c r="BC46" i="31"/>
  <c r="BF46" i="31" s="1"/>
  <c r="BV46" i="31"/>
  <c r="BX46" i="31" s="1"/>
  <c r="BY46" i="31" s="1"/>
  <c r="CT46" i="31"/>
  <c r="CS46" i="31"/>
  <c r="CV46" i="31" s="1"/>
  <c r="CW46" i="31" s="1"/>
  <c r="CU46" i="31"/>
  <c r="AY133" i="31"/>
  <c r="BF128" i="31"/>
  <c r="AY103" i="31"/>
  <c r="BF96" i="31"/>
  <c r="BF118" i="29"/>
  <c r="BE118" i="29"/>
  <c r="AX118" i="29"/>
  <c r="AY118" i="29"/>
  <c r="AY136" i="29"/>
  <c r="AX136" i="29"/>
  <c r="CF113" i="29"/>
  <c r="CE113" i="29"/>
  <c r="CJ50" i="29"/>
  <c r="CL50" i="29" s="1"/>
  <c r="CM50" i="29"/>
  <c r="AH50" i="29"/>
  <c r="Z152" i="29"/>
  <c r="Z153" i="29" s="1"/>
  <c r="AY105" i="29"/>
  <c r="AX105" i="29"/>
  <c r="AX65" i="29"/>
  <c r="AY65" i="29"/>
  <c r="AW146" i="29"/>
  <c r="AW148" i="29" s="1"/>
  <c r="AW143" i="29"/>
  <c r="AT143" i="29"/>
  <c r="AY23" i="29"/>
  <c r="AT146" i="29"/>
  <c r="AT148" i="29" s="1"/>
  <c r="AX23" i="29"/>
  <c r="AY16" i="29"/>
  <c r="AX16" i="29"/>
  <c r="AV146" i="29"/>
  <c r="AV148" i="29" s="1"/>
  <c r="AV143" i="29"/>
  <c r="BF22" i="29"/>
  <c r="BE22" i="29"/>
  <c r="BE36" i="29"/>
  <c r="BF36" i="29"/>
  <c r="CE15" i="29"/>
  <c r="CF15" i="29"/>
  <c r="BF25" i="29"/>
  <c r="BZ146" i="29"/>
  <c r="CT28" i="29"/>
  <c r="Q2" i="13"/>
  <c r="I56" i="13"/>
  <c r="N56" i="13"/>
  <c r="H56" i="13" s="1"/>
  <c r="J9" i="13"/>
  <c r="N9" i="13"/>
  <c r="H9" i="13" s="1"/>
  <c r="N55" i="13"/>
  <c r="H55" i="13" s="1"/>
  <c r="I55" i="13"/>
  <c r="J14" i="13"/>
  <c r="N14" i="13"/>
  <c r="H14" i="13" s="1"/>
  <c r="I61" i="13"/>
  <c r="N61" i="13"/>
  <c r="H61" i="13" s="1"/>
  <c r="J11" i="13"/>
  <c r="N11" i="13"/>
  <c r="H11" i="13" s="1"/>
  <c r="J17" i="13"/>
  <c r="N17" i="13"/>
  <c r="H17" i="13" s="1"/>
  <c r="N133" i="13"/>
  <c r="N19" i="13"/>
  <c r="H19" i="13" s="1"/>
  <c r="I113" i="13"/>
  <c r="N113" i="13"/>
  <c r="H113" i="13" s="1"/>
  <c r="J18" i="13"/>
  <c r="N18" i="13"/>
  <c r="H18" i="13" s="1"/>
  <c r="I59" i="13"/>
  <c r="N59" i="13"/>
  <c r="H59" i="13" s="1"/>
  <c r="I54" i="13"/>
  <c r="N54" i="13"/>
  <c r="H54" i="13" s="1"/>
  <c r="I129" i="13"/>
  <c r="N129" i="13"/>
  <c r="H129" i="13" s="1"/>
  <c r="J12" i="13"/>
  <c r="N12" i="13"/>
  <c r="H12" i="13" s="1"/>
  <c r="N91" i="13"/>
  <c r="H91" i="13" s="1"/>
  <c r="I86" i="13"/>
  <c r="N86" i="13"/>
  <c r="H86" i="13" s="1"/>
  <c r="N127" i="13"/>
  <c r="N21" i="13"/>
  <c r="H21" i="13" s="1"/>
  <c r="J21" i="13"/>
  <c r="I44" i="13"/>
  <c r="N44" i="13"/>
  <c r="H44" i="13" s="1"/>
  <c r="N48" i="13"/>
  <c r="H48" i="13" s="1"/>
  <c r="P128" i="13"/>
  <c r="P3" i="13" s="1"/>
  <c r="Q128" i="13"/>
  <c r="I64" i="13"/>
  <c r="N64" i="13"/>
  <c r="N100" i="13"/>
  <c r="H100" i="13" s="1"/>
  <c r="J7" i="13"/>
  <c r="N7" i="13"/>
  <c r="H7" i="13" s="1"/>
  <c r="J104" i="13"/>
  <c r="N104" i="13"/>
  <c r="H104" i="13" s="1"/>
  <c r="J45" i="13"/>
  <c r="N45" i="13"/>
  <c r="H45" i="13" s="1"/>
  <c r="J52" i="13"/>
  <c r="N52" i="13"/>
  <c r="H52" i="13" s="1"/>
  <c r="J62" i="13"/>
  <c r="N62" i="13"/>
  <c r="H62" i="13" s="1"/>
  <c r="J66" i="13"/>
  <c r="N66" i="13"/>
  <c r="N79" i="13"/>
  <c r="H79" i="13" s="1"/>
  <c r="J79" i="13"/>
  <c r="J125" i="13"/>
  <c r="N125" i="13"/>
  <c r="H125" i="13" s="1"/>
  <c r="J109" i="13"/>
  <c r="N109" i="13"/>
  <c r="H109" i="13" s="1"/>
  <c r="J49" i="13"/>
  <c r="N49" i="13"/>
  <c r="H49" i="13" s="1"/>
  <c r="J71" i="13"/>
  <c r="N71" i="13"/>
  <c r="H71" i="13" s="1"/>
  <c r="J57" i="13"/>
  <c r="N57" i="13"/>
  <c r="H57" i="13" s="1"/>
  <c r="J63" i="13"/>
  <c r="N63" i="13"/>
  <c r="H63" i="13" s="1"/>
  <c r="J85" i="13"/>
  <c r="N85" i="13"/>
  <c r="H85" i="13" s="1"/>
  <c r="N80" i="13"/>
  <c r="H80" i="13" s="1"/>
  <c r="J80" i="13"/>
  <c r="J72" i="13"/>
  <c r="N72" i="13"/>
  <c r="H72" i="13" s="1"/>
  <c r="N99" i="13"/>
  <c r="H99" i="13" s="1"/>
  <c r="J92" i="13"/>
  <c r="N92" i="13"/>
  <c r="H92" i="13" s="1"/>
  <c r="J95" i="13"/>
  <c r="N95" i="13"/>
  <c r="H95" i="13" s="1"/>
  <c r="T2" i="13"/>
  <c r="R2" i="13"/>
  <c r="J70" i="13"/>
  <c r="N70" i="13"/>
  <c r="H70" i="13" s="1"/>
  <c r="J74" i="13"/>
  <c r="N74" i="13"/>
  <c r="H74" i="13" s="1"/>
  <c r="J121" i="13"/>
  <c r="N121" i="13"/>
  <c r="H121" i="13" s="1"/>
  <c r="J94" i="13"/>
  <c r="J76" i="13"/>
  <c r="N76" i="13"/>
  <c r="H76" i="13" s="1"/>
  <c r="J75" i="13"/>
  <c r="N75" i="13"/>
  <c r="H75" i="13" s="1"/>
  <c r="N102" i="13"/>
  <c r="H102" i="13" s="1"/>
  <c r="J102" i="13"/>
  <c r="J123" i="13"/>
  <c r="N123" i="13"/>
  <c r="H123" i="13" s="1"/>
  <c r="N97" i="13"/>
  <c r="H97" i="13" s="1"/>
  <c r="J107" i="13"/>
  <c r="N107" i="13"/>
  <c r="H107" i="13" s="1"/>
  <c r="J90" i="13"/>
  <c r="N90" i="13"/>
  <c r="H90" i="13" s="1"/>
  <c r="J84" i="13"/>
  <c r="N84" i="13"/>
  <c r="H84" i="13" s="1"/>
  <c r="J83" i="13"/>
  <c r="N83" i="13"/>
  <c r="H83" i="13" s="1"/>
  <c r="J96" i="13"/>
  <c r="N96" i="13"/>
  <c r="H96" i="13" s="1"/>
  <c r="J98" i="13"/>
  <c r="N98" i="13"/>
  <c r="H98" i="13" s="1"/>
  <c r="J122" i="13"/>
  <c r="N112" i="13"/>
  <c r="H112" i="13" s="1"/>
  <c r="J69" i="13"/>
  <c r="N69" i="13"/>
  <c r="H69" i="13" s="1"/>
  <c r="J93" i="13"/>
  <c r="N93" i="13"/>
  <c r="H93" i="13" s="1"/>
  <c r="N120" i="13"/>
  <c r="H120" i="13" s="1"/>
  <c r="J120" i="13"/>
  <c r="J106" i="13"/>
  <c r="J101" i="13"/>
  <c r="N101" i="13"/>
  <c r="H101" i="13" s="1"/>
  <c r="J81" i="13"/>
  <c r="N81" i="13"/>
  <c r="H81" i="13" s="1"/>
  <c r="R3" i="13"/>
  <c r="J78" i="13"/>
  <c r="N78" i="13"/>
  <c r="H78" i="13" s="1"/>
  <c r="J130" i="13"/>
  <c r="N130" i="13"/>
  <c r="H130" i="13" s="1"/>
  <c r="J126" i="13"/>
  <c r="N126" i="13"/>
  <c r="H126" i="13" s="1"/>
  <c r="J73" i="13"/>
  <c r="N73" i="13"/>
  <c r="H73" i="13" s="1"/>
  <c r="J105" i="13"/>
  <c r="N105" i="13"/>
  <c r="H105" i="13" s="1"/>
  <c r="N43" i="13"/>
  <c r="J103" i="13"/>
  <c r="N103" i="13"/>
  <c r="H103" i="13" s="1"/>
  <c r="J77" i="13"/>
  <c r="N77" i="13"/>
  <c r="H77" i="13" s="1"/>
  <c r="N89" i="13"/>
  <c r="H89" i="13" s="1"/>
  <c r="N110" i="13"/>
  <c r="H110" i="13" s="1"/>
  <c r="BX143" i="33"/>
  <c r="BF143" i="33"/>
  <c r="CN141" i="33"/>
  <c r="CN143" i="33" s="1"/>
  <c r="CM143" i="33"/>
  <c r="BY143" i="33"/>
  <c r="CL59" i="29"/>
  <c r="BU139" i="29"/>
  <c r="CS139" i="29"/>
  <c r="AK139" i="29"/>
  <c r="AK143" i="29" s="1"/>
  <c r="AG139" i="29"/>
  <c r="CG139" i="29"/>
  <c r="BR139" i="29"/>
  <c r="BQ146" i="29"/>
  <c r="BQ143" i="29"/>
  <c r="AQ59" i="29"/>
  <c r="CV59" i="29"/>
  <c r="AO59" i="29"/>
  <c r="CY59" i="29"/>
  <c r="CW59" i="29"/>
  <c r="CZ59" i="29"/>
  <c r="AP59" i="29"/>
  <c r="CQ59" i="29"/>
  <c r="CR59" i="29"/>
  <c r="CO59" i="29"/>
  <c r="CN59" i="29"/>
  <c r="CU140" i="29" l="1"/>
  <c r="CV49" i="31"/>
  <c r="CV76" i="31"/>
  <c r="AX135" i="29"/>
  <c r="CE50" i="29"/>
  <c r="CC148" i="31"/>
  <c r="BE24" i="31"/>
  <c r="AC143" i="29"/>
  <c r="Z147" i="29"/>
  <c r="CP148" i="29" s="1"/>
  <c r="CJ139" i="29"/>
  <c r="CJ143" i="29" s="1"/>
  <c r="B108" i="13"/>
  <c r="CS143" i="29"/>
  <c r="AZ143" i="29"/>
  <c r="CE16" i="29"/>
  <c r="CU62" i="31"/>
  <c r="CS62" i="31"/>
  <c r="CV62" i="31" s="1"/>
  <c r="CW62" i="31" s="1"/>
  <c r="BE60" i="31"/>
  <c r="CT62" i="31"/>
  <c r="BV62" i="31"/>
  <c r="BX62" i="31" s="1"/>
  <c r="BY62" i="31" s="1"/>
  <c r="CE121" i="29"/>
  <c r="BF75" i="31"/>
  <c r="AP8" i="29"/>
  <c r="CS118" i="31"/>
  <c r="CV118" i="31" s="1"/>
  <c r="CW118" i="31" s="1"/>
  <c r="CT79" i="29"/>
  <c r="CN49" i="31"/>
  <c r="BI146" i="29"/>
  <c r="AZ146" i="29"/>
  <c r="BE79" i="29"/>
  <c r="AL8" i="31"/>
  <c r="AP429" i="31"/>
  <c r="AX74" i="31"/>
  <c r="DI8" i="31"/>
  <c r="CN123" i="31"/>
  <c r="BE74" i="31"/>
  <c r="AS148" i="31"/>
  <c r="AS150" i="31" s="1"/>
  <c r="CE75" i="29"/>
  <c r="CF75" i="29"/>
  <c r="BE63" i="31"/>
  <c r="BF132" i="29"/>
  <c r="CW137" i="31"/>
  <c r="BF90" i="31"/>
  <c r="CJ8" i="31"/>
  <c r="CJ6" i="31" s="1"/>
  <c r="CJ4" i="31" s="1"/>
  <c r="CF26" i="31"/>
  <c r="AO8" i="29"/>
  <c r="CC149" i="31"/>
  <c r="H65" i="13"/>
  <c r="CV51" i="31"/>
  <c r="CW51" i="31" s="1"/>
  <c r="CF142" i="31"/>
  <c r="BX117" i="31"/>
  <c r="BY117" i="31" s="1"/>
  <c r="BB148" i="31"/>
  <c r="BB150" i="31" s="1"/>
  <c r="BF51" i="31"/>
  <c r="BF113" i="31"/>
  <c r="BX92" i="31"/>
  <c r="BY92" i="31" s="1"/>
  <c r="AW148" i="31"/>
  <c r="AW150" i="31" s="1"/>
  <c r="BX21" i="31"/>
  <c r="BY21" i="31" s="1"/>
  <c r="AU150" i="31"/>
  <c r="BX109" i="31"/>
  <c r="BY109" i="31" s="1"/>
  <c r="CT118" i="31"/>
  <c r="AO154" i="31"/>
  <c r="CF128" i="29"/>
  <c r="CE128" i="29"/>
  <c r="CU28" i="29"/>
  <c r="BE38" i="31"/>
  <c r="CF83" i="31"/>
  <c r="CE83" i="31"/>
  <c r="J8" i="26"/>
  <c r="G6" i="26" s="1"/>
  <c r="CV74" i="31"/>
  <c r="CW74" i="31" s="1"/>
  <c r="BE72" i="31"/>
  <c r="BF72" i="31"/>
  <c r="AR49" i="31"/>
  <c r="BX102" i="31"/>
  <c r="BY102" i="31" s="1"/>
  <c r="CN72" i="31"/>
  <c r="CV77" i="31"/>
  <c r="CW77" i="31" s="1"/>
  <c r="AH8" i="29"/>
  <c r="CX50" i="29"/>
  <c r="BV111" i="31"/>
  <c r="BX111" i="31" s="1"/>
  <c r="BY111" i="31" s="1"/>
  <c r="CS111" i="31"/>
  <c r="CV111" i="31" s="1"/>
  <c r="CW111" i="31" s="1"/>
  <c r="BC111" i="31"/>
  <c r="CT111" i="31"/>
  <c r="CS144" i="29"/>
  <c r="CL145" i="29" s="1"/>
  <c r="AR76" i="31"/>
  <c r="BE135" i="29"/>
  <c r="CW49" i="31"/>
  <c r="AR77" i="31"/>
  <c r="CU111" i="31"/>
  <c r="H64" i="13"/>
  <c r="CF29" i="31"/>
  <c r="CE127" i="29"/>
  <c r="CF127" i="29"/>
  <c r="AR72" i="31"/>
  <c r="CU136" i="29"/>
  <c r="CE87" i="31"/>
  <c r="CF91" i="31"/>
  <c r="CE91" i="31"/>
  <c r="BI143" i="29"/>
  <c r="CU50" i="29"/>
  <c r="BE136" i="29"/>
  <c r="CN77" i="31"/>
  <c r="CF69" i="31"/>
  <c r="CE69" i="31"/>
  <c r="CU78" i="29"/>
  <c r="CT73" i="29"/>
  <c r="CU73" i="29" s="1"/>
  <c r="AX76" i="31"/>
  <c r="AY76" i="31"/>
  <c r="CF103" i="29"/>
  <c r="CE103" i="29"/>
  <c r="CF105" i="31"/>
  <c r="CE105" i="31"/>
  <c r="CJ145" i="31"/>
  <c r="CF129" i="29"/>
  <c r="CE129" i="29"/>
  <c r="AX50" i="29"/>
  <c r="AY50" i="29"/>
  <c r="CF85" i="29"/>
  <c r="CE85" i="29"/>
  <c r="CJ149" i="31"/>
  <c r="CJ150" i="31" s="1"/>
  <c r="BS145" i="31"/>
  <c r="CF74" i="29"/>
  <c r="CE74" i="29"/>
  <c r="AY73" i="29"/>
  <c r="AX73" i="29"/>
  <c r="CT98" i="29"/>
  <c r="CU98" i="29" s="1"/>
  <c r="CF71" i="31"/>
  <c r="CE71" i="31"/>
  <c r="CF68" i="29"/>
  <c r="CE68" i="29"/>
  <c r="BF50" i="29"/>
  <c r="BE50" i="29"/>
  <c r="AS143" i="29"/>
  <c r="CX145" i="31"/>
  <c r="CX149" i="31" s="1"/>
  <c r="CX150" i="31" s="1"/>
  <c r="CS94" i="31"/>
  <c r="CV94" i="31" s="1"/>
  <c r="CW94" i="31" s="1"/>
  <c r="CF52" i="29"/>
  <c r="CE52" i="29"/>
  <c r="CF108" i="29"/>
  <c r="CE108" i="29"/>
  <c r="BE20" i="31"/>
  <c r="AV142" i="31"/>
  <c r="BC142" i="31"/>
  <c r="AO142" i="31"/>
  <c r="AO8" i="31" s="1"/>
  <c r="AL145" i="31"/>
  <c r="AP142" i="31"/>
  <c r="DB142" i="31"/>
  <c r="CS142" i="31"/>
  <c r="DA142" i="31"/>
  <c r="DA145" i="31" s="1"/>
  <c r="CT142" i="31"/>
  <c r="AL148" i="31"/>
  <c r="BB164" i="31" s="1"/>
  <c r="CP142" i="31"/>
  <c r="AQ142" i="31"/>
  <c r="AQ145" i="31" s="1"/>
  <c r="CQ142" i="31"/>
  <c r="CQ145" i="31" s="1"/>
  <c r="CQ149" i="31" s="1"/>
  <c r="CF119" i="31"/>
  <c r="CE119" i="31"/>
  <c r="CF44" i="31"/>
  <c r="CE44" i="31"/>
  <c r="BF77" i="31"/>
  <c r="BE77" i="31"/>
  <c r="BV118" i="31"/>
  <c r="BX118" i="31" s="1"/>
  <c r="BY118" i="31" s="1"/>
  <c r="BC118" i="31"/>
  <c r="CF101" i="29"/>
  <c r="CE101" i="29"/>
  <c r="BF24" i="31"/>
  <c r="CF53" i="29"/>
  <c r="CE53" i="29"/>
  <c r="CW76" i="31"/>
  <c r="CF117" i="29"/>
  <c r="CE117" i="29"/>
  <c r="CF111" i="29"/>
  <c r="CE111" i="29"/>
  <c r="CF84" i="31"/>
  <c r="CF27" i="31"/>
  <c r="AH142" i="31"/>
  <c r="CM142" i="31" s="1"/>
  <c r="CO142" i="31"/>
  <c r="CO145" i="31" s="1"/>
  <c r="CK142" i="31"/>
  <c r="CK8" i="31" s="1"/>
  <c r="CK6" i="31" s="1"/>
  <c r="CK4" i="31" s="1"/>
  <c r="CF109" i="31"/>
  <c r="CE109" i="31"/>
  <c r="CN76" i="31"/>
  <c r="CE89" i="29"/>
  <c r="CF89" i="29"/>
  <c r="BE119" i="31"/>
  <c r="CU49" i="29"/>
  <c r="CE56" i="29"/>
  <c r="CF56" i="29"/>
  <c r="CF58" i="31"/>
  <c r="CE58" i="31"/>
  <c r="AS146" i="29"/>
  <c r="CF39" i="29"/>
  <c r="CE39" i="29"/>
  <c r="AS145" i="31"/>
  <c r="CE47" i="29"/>
  <c r="CF47" i="29"/>
  <c r="CF92" i="29"/>
  <c r="CE92" i="29"/>
  <c r="BF73" i="29"/>
  <c r="BE73" i="29"/>
  <c r="CV72" i="31"/>
  <c r="CW72" i="31" s="1"/>
  <c r="BN149" i="29"/>
  <c r="AR75" i="31"/>
  <c r="CE35" i="29"/>
  <c r="CF35" i="29"/>
  <c r="CE25" i="29"/>
  <c r="CF25" i="29"/>
  <c r="BF23" i="31"/>
  <c r="BE23" i="31"/>
  <c r="DH51" i="31"/>
  <c r="DJ51" i="31" s="1"/>
  <c r="CM51" i="31"/>
  <c r="CN51" i="31" s="1"/>
  <c r="AR51" i="31"/>
  <c r="CE62" i="29"/>
  <c r="CF62" i="29"/>
  <c r="CE45" i="29"/>
  <c r="CF45" i="29"/>
  <c r="BF49" i="29"/>
  <c r="BE49" i="29"/>
  <c r="CF79" i="29"/>
  <c r="CE79" i="29"/>
  <c r="CE116" i="31"/>
  <c r="CF116" i="31"/>
  <c r="CF54" i="31"/>
  <c r="CE54" i="31"/>
  <c r="CE41" i="31"/>
  <c r="CF41" i="31"/>
  <c r="CE30" i="31"/>
  <c r="CF30" i="31"/>
  <c r="CE22" i="31"/>
  <c r="CF22" i="31"/>
  <c r="CE115" i="31"/>
  <c r="CF115" i="31"/>
  <c r="CF65" i="31"/>
  <c r="CE65" i="31"/>
  <c r="CU93" i="31"/>
  <c r="CN78" i="31"/>
  <c r="AR78" i="31"/>
  <c r="CV75" i="31"/>
  <c r="CW75" i="31" s="1"/>
  <c r="CU94" i="31"/>
  <c r="CF65" i="29"/>
  <c r="CE65" i="29"/>
  <c r="CF69" i="29"/>
  <c r="CE69" i="29"/>
  <c r="CF131" i="29"/>
  <c r="CE131" i="29"/>
  <c r="CF133" i="31"/>
  <c r="CE133" i="31"/>
  <c r="CF129" i="31"/>
  <c r="CE129" i="31"/>
  <c r="CF98" i="31"/>
  <c r="CE98" i="31"/>
  <c r="CE94" i="31"/>
  <c r="CF94" i="31"/>
  <c r="CE82" i="31"/>
  <c r="CF82" i="31"/>
  <c r="CF78" i="31"/>
  <c r="CE78" i="31"/>
  <c r="CE66" i="31"/>
  <c r="CF66" i="31"/>
  <c r="CF62" i="31"/>
  <c r="CE62" i="31"/>
  <c r="CF33" i="31"/>
  <c r="CE33" i="31"/>
  <c r="CF103" i="31"/>
  <c r="CE103" i="31"/>
  <c r="CU77" i="29"/>
  <c r="CE23" i="29"/>
  <c r="CF23" i="29"/>
  <c r="CF82" i="29"/>
  <c r="CE82" i="29"/>
  <c r="CE130" i="29"/>
  <c r="CF130" i="29"/>
  <c r="CF132" i="31"/>
  <c r="CE132" i="31"/>
  <c r="AX49" i="29"/>
  <c r="Q3" i="13"/>
  <c r="Q1" i="13" s="1"/>
  <c r="N115" i="13"/>
  <c r="H115" i="13" s="1"/>
  <c r="BE15" i="31"/>
  <c r="CF95" i="31"/>
  <c r="CE95" i="31"/>
  <c r="CE31" i="31"/>
  <c r="CF31" i="31"/>
  <c r="LN16" i="26"/>
  <c r="LO15" i="26"/>
  <c r="CF93" i="31"/>
  <c r="CE93" i="31"/>
  <c r="AX78" i="31"/>
  <c r="AY78" i="31"/>
  <c r="BC28" i="31"/>
  <c r="BF28" i="31" s="1"/>
  <c r="BV28" i="31"/>
  <c r="CF108" i="31"/>
  <c r="CE108" i="31"/>
  <c r="DB145" i="31"/>
  <c r="DB149" i="31" s="1"/>
  <c r="CF51" i="31"/>
  <c r="CE51" i="31"/>
  <c r="CF137" i="31"/>
  <c r="CE137" i="31"/>
  <c r="BF87" i="31"/>
  <c r="CF130" i="31"/>
  <c r="CE130" i="31"/>
  <c r="CF134" i="29"/>
  <c r="CE134" i="29"/>
  <c r="CU135" i="29"/>
  <c r="CT93" i="31"/>
  <c r="CE57" i="31"/>
  <c r="CF57" i="31"/>
  <c r="CF121" i="31"/>
  <c r="CE121" i="31"/>
  <c r="CF97" i="29"/>
  <c r="CE97" i="29"/>
  <c r="CF70" i="31"/>
  <c r="CE70" i="31"/>
  <c r="CF42" i="31"/>
  <c r="CE42" i="31"/>
  <c r="CF56" i="31"/>
  <c r="CE56" i="31"/>
  <c r="CV73" i="31"/>
  <c r="CW73" i="31" s="1"/>
  <c r="AZ148" i="31"/>
  <c r="AZ150" i="31" s="1"/>
  <c r="CF86" i="31"/>
  <c r="CE86" i="31"/>
  <c r="CF34" i="31"/>
  <c r="CE34" i="31"/>
  <c r="CF90" i="31"/>
  <c r="CE90" i="31"/>
  <c r="CF135" i="29"/>
  <c r="CE135" i="29"/>
  <c r="BF71" i="31"/>
  <c r="BE71" i="31"/>
  <c r="CF39" i="31"/>
  <c r="CE39" i="31"/>
  <c r="CE140" i="31"/>
  <c r="CF140" i="31"/>
  <c r="CV78" i="31"/>
  <c r="CW78" i="31" s="1"/>
  <c r="CH28" i="31"/>
  <c r="CH8" i="31" s="1"/>
  <c r="CG8" i="31"/>
  <c r="CG145" i="31"/>
  <c r="CG148" i="31"/>
  <c r="CH148" i="31" s="1"/>
  <c r="BF55" i="31"/>
  <c r="BE55" i="31"/>
  <c r="BE109" i="31"/>
  <c r="BF109" i="31"/>
  <c r="CF48" i="31"/>
  <c r="CE48" i="31"/>
  <c r="AZ145" i="31"/>
  <c r="BF73" i="31"/>
  <c r="BE73" i="31"/>
  <c r="CF18" i="31"/>
  <c r="CE18" i="31"/>
  <c r="CF88" i="29"/>
  <c r="CE88" i="29"/>
  <c r="CU28" i="31"/>
  <c r="CF74" i="31"/>
  <c r="CE74" i="31"/>
  <c r="CF128" i="31"/>
  <c r="CE128" i="31"/>
  <c r="BS148" i="31"/>
  <c r="AX137" i="31"/>
  <c r="AY137" i="31"/>
  <c r="BC94" i="31"/>
  <c r="BF94" i="31" s="1"/>
  <c r="BV94" i="31"/>
  <c r="BX94" i="31" s="1"/>
  <c r="BY94" i="31" s="1"/>
  <c r="AQ8" i="29"/>
  <c r="AR73" i="31"/>
  <c r="CF63" i="31"/>
  <c r="CE63" i="31"/>
  <c r="BC93" i="31"/>
  <c r="BV93" i="31"/>
  <c r="BX93" i="31" s="1"/>
  <c r="BY93" i="31" s="1"/>
  <c r="BH8" i="31"/>
  <c r="BH145" i="31"/>
  <c r="BI28" i="31"/>
  <c r="BH148" i="31"/>
  <c r="CN75" i="31"/>
  <c r="CM73" i="31"/>
  <c r="CN73" i="31" s="1"/>
  <c r="CF125" i="31"/>
  <c r="CE125" i="31"/>
  <c r="CE77" i="31"/>
  <c r="CF77" i="31"/>
  <c r="BF65" i="31"/>
  <c r="CS28" i="31"/>
  <c r="CV28" i="31" s="1"/>
  <c r="CW28" i="31" s="1"/>
  <c r="AO145" i="31"/>
  <c r="AO148" i="31"/>
  <c r="CF79" i="31"/>
  <c r="CE79" i="31"/>
  <c r="CF89" i="31"/>
  <c r="CE89" i="31"/>
  <c r="CF104" i="31"/>
  <c r="CE104" i="31"/>
  <c r="BF78" i="31"/>
  <c r="BE78" i="31"/>
  <c r="CF107" i="31"/>
  <c r="CE107" i="31"/>
  <c r="T1" i="13"/>
  <c r="H66" i="13"/>
  <c r="L1" i="13"/>
  <c r="B65" i="13"/>
  <c r="P1" i="13"/>
  <c r="N2" i="13"/>
  <c r="BD146" i="29"/>
  <c r="BD148" i="29" s="1"/>
  <c r="BD155" i="29" s="1"/>
  <c r="CF19" i="29"/>
  <c r="CE19" i="29"/>
  <c r="CF41" i="29"/>
  <c r="CE41" i="29"/>
  <c r="CE42" i="29"/>
  <c r="CF42" i="29"/>
  <c r="CE55" i="29"/>
  <c r="CF55" i="29"/>
  <c r="CF112" i="29"/>
  <c r="CE112" i="29"/>
  <c r="CE115" i="29"/>
  <c r="CF115" i="29"/>
  <c r="CF123" i="31"/>
  <c r="CE123" i="31"/>
  <c r="CF68" i="31"/>
  <c r="CE68" i="31"/>
  <c r="CF73" i="29"/>
  <c r="CE73" i="29"/>
  <c r="CE81" i="29"/>
  <c r="CF81" i="29"/>
  <c r="CE87" i="29"/>
  <c r="CF87" i="29"/>
  <c r="CF90" i="29"/>
  <c r="CE90" i="29"/>
  <c r="CE96" i="29"/>
  <c r="CF96" i="29"/>
  <c r="CF98" i="29"/>
  <c r="CE98" i="29"/>
  <c r="CE138" i="29"/>
  <c r="CF138" i="29"/>
  <c r="CE111" i="31"/>
  <c r="CF111" i="31"/>
  <c r="CE135" i="31"/>
  <c r="CF135" i="31"/>
  <c r="CF127" i="31"/>
  <c r="CE127" i="31"/>
  <c r="CF118" i="31"/>
  <c r="CE118" i="31"/>
  <c r="CE110" i="31"/>
  <c r="CF110" i="31"/>
  <c r="CF102" i="31"/>
  <c r="CE102" i="31"/>
  <c r="CE92" i="31"/>
  <c r="CF92" i="31"/>
  <c r="CE76" i="31"/>
  <c r="CF76" i="31"/>
  <c r="CE60" i="31"/>
  <c r="CF60" i="31"/>
  <c r="CE52" i="31"/>
  <c r="CF52" i="31"/>
  <c r="CF46" i="31"/>
  <c r="CE46" i="31"/>
  <c r="CE38" i="31"/>
  <c r="CF38" i="31"/>
  <c r="CF35" i="31"/>
  <c r="CE35" i="31"/>
  <c r="CE14" i="31"/>
  <c r="CF14" i="31"/>
  <c r="CF145" i="31" s="1"/>
  <c r="BF64" i="31"/>
  <c r="BE64" i="31"/>
  <c r="BF16" i="31"/>
  <c r="BE16" i="31"/>
  <c r="CE32" i="29"/>
  <c r="CF32" i="29"/>
  <c r="CE38" i="29"/>
  <c r="CF38" i="29"/>
  <c r="CE44" i="29"/>
  <c r="CF44" i="29"/>
  <c r="CE60" i="29"/>
  <c r="CF60" i="29"/>
  <c r="CF61" i="29"/>
  <c r="CE61" i="29"/>
  <c r="CF106" i="31"/>
  <c r="CE106" i="31"/>
  <c r="CE105" i="29"/>
  <c r="CF105" i="29"/>
  <c r="CE133" i="29"/>
  <c r="CF133" i="29"/>
  <c r="CF136" i="31"/>
  <c r="CE136" i="31"/>
  <c r="BE136" i="31"/>
  <c r="BE84" i="31"/>
  <c r="BF84" i="31"/>
  <c r="CL435" i="31"/>
  <c r="CL436" i="31" s="1"/>
  <c r="CN58" i="31"/>
  <c r="DI143" i="29"/>
  <c r="BC143" i="29"/>
  <c r="BF39" i="31"/>
  <c r="CF21" i="29"/>
  <c r="CE21" i="29"/>
  <c r="CE30" i="29"/>
  <c r="CF30" i="29"/>
  <c r="CF48" i="29"/>
  <c r="CE48" i="29"/>
  <c r="CE96" i="31"/>
  <c r="CF96" i="31"/>
  <c r="CE67" i="29"/>
  <c r="CF67" i="29"/>
  <c r="AR73" i="29"/>
  <c r="CF83" i="29"/>
  <c r="CE83" i="29"/>
  <c r="CE86" i="29"/>
  <c r="CF86" i="29"/>
  <c r="CE106" i="29"/>
  <c r="CF106" i="29"/>
  <c r="CE137" i="29"/>
  <c r="CF137" i="29"/>
  <c r="CE61" i="31"/>
  <c r="CF61" i="31"/>
  <c r="CF124" i="31"/>
  <c r="CE124" i="31"/>
  <c r="CE97" i="31"/>
  <c r="CF97" i="31"/>
  <c r="CE73" i="31"/>
  <c r="CF73" i="31"/>
  <c r="BF62" i="31"/>
  <c r="BE62" i="31"/>
  <c r="AH158" i="31"/>
  <c r="CM158" i="31" s="1"/>
  <c r="CN158" i="31" s="1"/>
  <c r="DH137" i="31"/>
  <c r="CM137" i="31"/>
  <c r="CN137" i="31" s="1"/>
  <c r="AR137" i="31"/>
  <c r="CF22" i="29"/>
  <c r="CE22" i="29"/>
  <c r="CF24" i="29"/>
  <c r="CE24" i="29"/>
  <c r="CE31" i="29"/>
  <c r="CF31" i="29"/>
  <c r="CE51" i="29"/>
  <c r="CF51" i="29"/>
  <c r="CF131" i="31"/>
  <c r="CE131" i="31"/>
  <c r="CF64" i="29"/>
  <c r="CE64" i="29"/>
  <c r="CF72" i="29"/>
  <c r="CE72" i="29"/>
  <c r="CU74" i="29"/>
  <c r="AR74" i="29"/>
  <c r="CE91" i="29"/>
  <c r="CF91" i="29"/>
  <c r="CF102" i="29"/>
  <c r="CE102" i="29"/>
  <c r="CE109" i="29"/>
  <c r="CF109" i="29"/>
  <c r="BE110" i="29"/>
  <c r="BF110" i="29"/>
  <c r="CT110" i="29"/>
  <c r="CU110" i="29" s="1"/>
  <c r="CX110" i="29"/>
  <c r="AY110" i="29"/>
  <c r="AX110" i="29"/>
  <c r="LL15" i="26"/>
  <c r="LM14" i="26"/>
  <c r="CE85" i="31"/>
  <c r="CF85" i="31"/>
  <c r="CE114" i="31"/>
  <c r="CF114" i="31"/>
  <c r="CE88" i="31"/>
  <c r="CF88" i="31"/>
  <c r="CE80" i="31"/>
  <c r="CF80" i="31"/>
  <c r="CE72" i="31"/>
  <c r="CF72" i="31"/>
  <c r="CE64" i="31"/>
  <c r="CF64" i="31"/>
  <c r="CE55" i="31"/>
  <c r="CF55" i="31"/>
  <c r="CF49" i="31"/>
  <c r="CE49" i="31"/>
  <c r="CF45" i="31"/>
  <c r="CE45" i="31"/>
  <c r="CF37" i="31"/>
  <c r="CE37" i="31"/>
  <c r="CE17" i="31"/>
  <c r="CF17" i="31"/>
  <c r="BF69" i="31"/>
  <c r="BE69" i="31"/>
  <c r="BF56" i="31"/>
  <c r="BE56" i="31"/>
  <c r="BF101" i="31"/>
  <c r="D2" i="13"/>
  <c r="K3" i="13"/>
  <c r="H133" i="13"/>
  <c r="H127" i="13"/>
  <c r="M3" i="13"/>
  <c r="M1" i="13" s="1"/>
  <c r="BE52" i="31"/>
  <c r="BF52" i="31"/>
  <c r="J2" i="13"/>
  <c r="CF14" i="29"/>
  <c r="CF143" i="29" s="1"/>
  <c r="CE14" i="29"/>
  <c r="BW146" i="29"/>
  <c r="AK146" i="29"/>
  <c r="AJ147" i="29" s="1"/>
  <c r="BE22" i="31"/>
  <c r="BF22" i="31"/>
  <c r="AS152" i="29"/>
  <c r="AS148" i="29"/>
  <c r="BE25" i="31"/>
  <c r="BF25" i="31"/>
  <c r="BF137" i="31"/>
  <c r="CE104" i="29"/>
  <c r="CF104" i="29"/>
  <c r="BB145" i="31"/>
  <c r="CA141" i="31"/>
  <c r="BU145" i="31"/>
  <c r="BU148" i="31"/>
  <c r="LH15" i="26"/>
  <c r="LI14" i="26"/>
  <c r="AY98" i="29"/>
  <c r="AX98" i="29"/>
  <c r="LK14" i="26"/>
  <c r="LJ15" i="26"/>
  <c r="BE133" i="29"/>
  <c r="BF133" i="29"/>
  <c r="BC141" i="31"/>
  <c r="BV141" i="31"/>
  <c r="CT141" i="31"/>
  <c r="LG13" i="26"/>
  <c r="BE40" i="31"/>
  <c r="BF40" i="31"/>
  <c r="BF44" i="31"/>
  <c r="BE44" i="31"/>
  <c r="BX14" i="31"/>
  <c r="BF102" i="31"/>
  <c r="BE102" i="31"/>
  <c r="BF92" i="31"/>
  <c r="BE92" i="31"/>
  <c r="AH156" i="29"/>
  <c r="CE120" i="29"/>
  <c r="CF120" i="29"/>
  <c r="BR145" i="31"/>
  <c r="BE42" i="31"/>
  <c r="BE83" i="31"/>
  <c r="BF83" i="31"/>
  <c r="J133" i="13"/>
  <c r="J3" i="13" s="1"/>
  <c r="CF110" i="29"/>
  <c r="CE110" i="29"/>
  <c r="AR98" i="29"/>
  <c r="BE131" i="29"/>
  <c r="BF131" i="29"/>
  <c r="BE58" i="31"/>
  <c r="BF58" i="31"/>
  <c r="CV14" i="31"/>
  <c r="AZ148" i="29"/>
  <c r="BF86" i="31"/>
  <c r="BE86" i="31"/>
  <c r="CF139" i="31"/>
  <c r="CE139" i="31"/>
  <c r="BE17" i="31"/>
  <c r="BF17" i="31"/>
  <c r="CE43" i="31"/>
  <c r="CF43" i="31"/>
  <c r="BE46" i="31"/>
  <c r="CE15" i="31"/>
  <c r="CF15" i="31"/>
  <c r="H18" i="26"/>
  <c r="H8" i="26" s="1"/>
  <c r="E8" i="26"/>
  <c r="BE34" i="31"/>
  <c r="BF34" i="31"/>
  <c r="BE14" i="31"/>
  <c r="BF14" i="31"/>
  <c r="BF33" i="31"/>
  <c r="BE33" i="31"/>
  <c r="BJ8" i="29"/>
  <c r="BI6" i="29"/>
  <c r="H50" i="13"/>
  <c r="BF21" i="31"/>
  <c r="BE21" i="31"/>
  <c r="BF61" i="31"/>
  <c r="BE61" i="31"/>
  <c r="BE51" i="31"/>
  <c r="BF68" i="31"/>
  <c r="BE68" i="31"/>
  <c r="AK142" i="29"/>
  <c r="D3" i="13"/>
  <c r="CC146" i="29"/>
  <c r="BZ147" i="29"/>
  <c r="CL8" i="29"/>
  <c r="BA168" i="31"/>
  <c r="BA170" i="31" s="1"/>
  <c r="BA150" i="31"/>
  <c r="DH143" i="29"/>
  <c r="BE117" i="31"/>
  <c r="BF117" i="31"/>
  <c r="BA158" i="29"/>
  <c r="BA151" i="29"/>
  <c r="BA155" i="29"/>
  <c r="CU79" i="29"/>
  <c r="AR79" i="29"/>
  <c r="BE41" i="31"/>
  <c r="BF41" i="31"/>
  <c r="BD137" i="31"/>
  <c r="BW137" i="31"/>
  <c r="BX137" i="31" s="1"/>
  <c r="BY137" i="31" s="1"/>
  <c r="DM137" i="31"/>
  <c r="LP16" i="26"/>
  <c r="LQ15" i="26"/>
  <c r="BD143" i="29"/>
  <c r="CE23" i="31"/>
  <c r="CF23" i="31"/>
  <c r="BE80" i="31"/>
  <c r="BF80" i="31"/>
  <c r="BF114" i="31"/>
  <c r="BE114" i="31"/>
  <c r="BF47" i="31"/>
  <c r="BE47" i="31"/>
  <c r="BC146" i="29"/>
  <c r="BC148" i="29" s="1"/>
  <c r="BC155" i="29" s="1"/>
  <c r="BV143" i="29"/>
  <c r="BF81" i="31"/>
  <c r="BE81" i="31"/>
  <c r="CY145" i="31"/>
  <c r="CY149" i="31" s="1"/>
  <c r="CY150" i="31" s="1"/>
  <c r="BE98" i="29"/>
  <c r="BF98" i="29"/>
  <c r="CF125" i="29"/>
  <c r="CE125" i="29"/>
  <c r="BE66" i="31"/>
  <c r="BF66" i="31"/>
  <c r="BE37" i="31"/>
  <c r="BF37" i="31"/>
  <c r="BV146" i="29"/>
  <c r="BU149" i="29" s="1"/>
  <c r="AR50" i="29"/>
  <c r="LS14" i="26"/>
  <c r="LR15" i="26"/>
  <c r="K2" i="13"/>
  <c r="CU141" i="31"/>
  <c r="AT150" i="31"/>
  <c r="AT151" i="31"/>
  <c r="BE112" i="31"/>
  <c r="BF112" i="31"/>
  <c r="BW143" i="29"/>
  <c r="AT163" i="31"/>
  <c r="AT158" i="31"/>
  <c r="AT160" i="31" s="1"/>
  <c r="R1" i="13"/>
  <c r="N128" i="13"/>
  <c r="H128" i="13" s="1"/>
  <c r="I128" i="13"/>
  <c r="I3" i="13" s="1"/>
  <c r="I1" i="13" s="1"/>
  <c r="O1" i="13"/>
  <c r="H43" i="13"/>
  <c r="CK139" i="29"/>
  <c r="CM139" i="29"/>
  <c r="AH139" i="29"/>
  <c r="AG147" i="29"/>
  <c r="AG149" i="29" s="1"/>
  <c r="AP139" i="29"/>
  <c r="AP146" i="29" s="1"/>
  <c r="AQ139" i="29"/>
  <c r="AU139" i="29"/>
  <c r="CZ139" i="29"/>
  <c r="CZ143" i="29" s="1"/>
  <c r="CZ147" i="29" s="1"/>
  <c r="CO139" i="29"/>
  <c r="CO143" i="29" s="1"/>
  <c r="CO147" i="29" s="1"/>
  <c r="CQ139" i="29"/>
  <c r="CQ143" i="29" s="1"/>
  <c r="CR139" i="29"/>
  <c r="CR143" i="29" s="1"/>
  <c r="CR147" i="29" s="1"/>
  <c r="BB139" i="29"/>
  <c r="AO139" i="29"/>
  <c r="AO143" i="29" s="1"/>
  <c r="CN139" i="29"/>
  <c r="CN143" i="29" s="1"/>
  <c r="CN147" i="29" s="1"/>
  <c r="CW139" i="29"/>
  <c r="CW143" i="29" s="1"/>
  <c r="CV139" i="29"/>
  <c r="CV143" i="29" s="1"/>
  <c r="CV147" i="29" s="1"/>
  <c r="CY139" i="29"/>
  <c r="CY143" i="29" s="1"/>
  <c r="CY147" i="29" s="1"/>
  <c r="CT59" i="29"/>
  <c r="BR143" i="29"/>
  <c r="BR146" i="29"/>
  <c r="CX59" i="29"/>
  <c r="CG146" i="29"/>
  <c r="CH139" i="29"/>
  <c r="CG143" i="29"/>
  <c r="BU146" i="29"/>
  <c r="BU143" i="29"/>
  <c r="BX139" i="29"/>
  <c r="CA139" i="29"/>
  <c r="CJ147" i="29" l="1"/>
  <c r="CJ148" i="29" s="1"/>
  <c r="B111" i="13"/>
  <c r="B110" i="13"/>
  <c r="B66" i="13"/>
  <c r="B109" i="13"/>
  <c r="E7" i="26"/>
  <c r="CU147" i="29"/>
  <c r="BB160" i="31"/>
  <c r="BU151" i="29"/>
  <c r="AP431" i="31"/>
  <c r="BB153" i="31"/>
  <c r="CU143" i="29"/>
  <c r="BB157" i="31"/>
  <c r="BA151" i="31"/>
  <c r="CO148" i="31"/>
  <c r="AQ150" i="31"/>
  <c r="AQ8" i="31"/>
  <c r="CS145" i="31"/>
  <c r="CS149" i="31" s="1"/>
  <c r="AH8" i="31"/>
  <c r="Z7" i="31" s="1"/>
  <c r="AQ148" i="31"/>
  <c r="CQ150" i="31" s="1"/>
  <c r="AP148" i="31"/>
  <c r="AP8" i="31"/>
  <c r="BF111" i="31"/>
  <c r="BE111" i="31"/>
  <c r="CV142" i="31"/>
  <c r="CV145" i="31" s="1"/>
  <c r="CV149" i="31" s="1"/>
  <c r="BV148" i="31"/>
  <c r="BU151" i="31" s="1"/>
  <c r="BU153" i="31" s="1"/>
  <c r="AP145" i="31"/>
  <c r="CT145" i="31"/>
  <c r="CT149" i="31" s="1"/>
  <c r="CT150" i="31" s="1"/>
  <c r="CC147" i="29"/>
  <c r="CH146" i="29"/>
  <c r="CV148" i="29"/>
  <c r="BA167" i="29"/>
  <c r="AH144" i="31"/>
  <c r="CM144" i="31" s="1"/>
  <c r="CN144" i="31" s="1"/>
  <c r="AH145" i="31"/>
  <c r="CM145" i="31" s="1"/>
  <c r="BX28" i="31"/>
  <c r="BY28" i="31" s="1"/>
  <c r="BE118" i="31"/>
  <c r="BF118" i="31"/>
  <c r="DA149" i="31"/>
  <c r="DA150" i="31" s="1"/>
  <c r="BE28" i="31"/>
  <c r="CT151" i="31"/>
  <c r="BV145" i="31"/>
  <c r="BC148" i="31"/>
  <c r="BC150" i="31" s="1"/>
  <c r="CP145" i="31"/>
  <c r="CP149" i="31" s="1"/>
  <c r="CP150" i="31" s="1"/>
  <c r="CL142" i="31"/>
  <c r="CL8" i="31" s="1"/>
  <c r="CK149" i="31"/>
  <c r="CK150" i="31" s="1"/>
  <c r="CK151" i="31" s="1"/>
  <c r="CK145" i="31"/>
  <c r="AV148" i="31"/>
  <c r="AX142" i="31"/>
  <c r="AX148" i="31" s="1"/>
  <c r="AX150" i="31" s="1"/>
  <c r="AV145" i="31"/>
  <c r="AY142" i="31"/>
  <c r="AY145" i="31" s="1"/>
  <c r="BF142" i="31"/>
  <c r="BE142" i="31"/>
  <c r="AR142" i="31"/>
  <c r="AR145" i="31" s="1"/>
  <c r="BI8" i="31"/>
  <c r="BI145" i="31"/>
  <c r="BI148" i="31"/>
  <c r="LO16" i="26"/>
  <c r="LN17" i="26"/>
  <c r="AZ157" i="31"/>
  <c r="BF93" i="31"/>
  <c r="BE93" i="31"/>
  <c r="AQ149" i="31"/>
  <c r="AY169" i="31"/>
  <c r="AR149" i="31"/>
  <c r="AQ152" i="31"/>
  <c r="BE94" i="31"/>
  <c r="B67" i="13"/>
  <c r="AO146" i="29"/>
  <c r="N3" i="13"/>
  <c r="N1" i="13" s="1"/>
  <c r="CW144" i="31"/>
  <c r="DJ137" i="31"/>
  <c r="DJ8" i="31" s="1"/>
  <c r="DH8" i="31"/>
  <c r="CE145" i="31"/>
  <c r="CE149" i="31"/>
  <c r="LM15" i="26"/>
  <c r="LL16" i="26"/>
  <c r="CT139" i="29"/>
  <c r="CU139" i="29" s="1"/>
  <c r="K1" i="13"/>
  <c r="J1" i="13"/>
  <c r="CY151" i="31"/>
  <c r="CZ150" i="31"/>
  <c r="BD145" i="31"/>
  <c r="BD148" i="31"/>
  <c r="BD150" i="31" s="1"/>
  <c r="BD157" i="31" s="1"/>
  <c r="BY14" i="31"/>
  <c r="LI15" i="26"/>
  <c r="LH16" i="26"/>
  <c r="CU145" i="31"/>
  <c r="CU146" i="31" s="1"/>
  <c r="CL147" i="31" s="1"/>
  <c r="CB141" i="31"/>
  <c r="CD141" i="31"/>
  <c r="CA148" i="31"/>
  <c r="CA145" i="31"/>
  <c r="BX141" i="31"/>
  <c r="BY141" i="31" s="1"/>
  <c r="H2" i="13"/>
  <c r="AP143" i="29"/>
  <c r="BA152" i="31"/>
  <c r="LK15" i="26"/>
  <c r="LJ16" i="26"/>
  <c r="BA160" i="31"/>
  <c r="BA157" i="31"/>
  <c r="BA153" i="31"/>
  <c r="BB161" i="29"/>
  <c r="BB163" i="29" s="1"/>
  <c r="BF141" i="31"/>
  <c r="CE147" i="29"/>
  <c r="CE143" i="29"/>
  <c r="H3" i="13"/>
  <c r="LQ16" i="26"/>
  <c r="LP17" i="26"/>
  <c r="BC145" i="31"/>
  <c r="AZ152" i="29"/>
  <c r="AZ153" i="29" s="1"/>
  <c r="BE141" i="31"/>
  <c r="BE137" i="31"/>
  <c r="LS15" i="26"/>
  <c r="LR16" i="26"/>
  <c r="DM145" i="31"/>
  <c r="DN137" i="31"/>
  <c r="DN145" i="31" s="1"/>
  <c r="CL6" i="29"/>
  <c r="CM8" i="29"/>
  <c r="AZ155" i="29"/>
  <c r="AR139" i="29"/>
  <c r="AR143" i="29" s="1"/>
  <c r="BW145" i="31"/>
  <c r="BW148" i="31"/>
  <c r="CW14" i="31"/>
  <c r="LF13" i="26"/>
  <c r="LG14" i="26"/>
  <c r="LF14" i="26" s="1"/>
  <c r="LE14" i="26" s="1"/>
  <c r="LD14" i="26" s="1"/>
  <c r="CQ147" i="29"/>
  <c r="CM146" i="29"/>
  <c r="CM143" i="29"/>
  <c r="AQ146" i="29"/>
  <c r="AQ147" i="29" s="1"/>
  <c r="CX139" i="29"/>
  <c r="CX143" i="29" s="1"/>
  <c r="CX147" i="29" s="1"/>
  <c r="CX149" i="29" s="1"/>
  <c r="BB143" i="29"/>
  <c r="BE139" i="29"/>
  <c r="BF139" i="29"/>
  <c r="BB146" i="29"/>
  <c r="CL139" i="29"/>
  <c r="CK143" i="29"/>
  <c r="CK147" i="29"/>
  <c r="CK148" i="29" s="1"/>
  <c r="CW147" i="29"/>
  <c r="CW148" i="29" s="1"/>
  <c r="BX143" i="29"/>
  <c r="BY139" i="29"/>
  <c r="BX146" i="29"/>
  <c r="CB139" i="29"/>
  <c r="CA146" i="29"/>
  <c r="CD139" i="29"/>
  <c r="CA143" i="29"/>
  <c r="CU59" i="29"/>
  <c r="AU146" i="29"/>
  <c r="AX139" i="29"/>
  <c r="AU143" i="29"/>
  <c r="AY139" i="29"/>
  <c r="AQ148" i="29"/>
  <c r="AY167" i="29" s="1"/>
  <c r="AH147" i="29"/>
  <c r="AH143" i="29"/>
  <c r="AH142" i="29"/>
  <c r="AQ143" i="29"/>
  <c r="CV150" i="31" l="1"/>
  <c r="CK149" i="29"/>
  <c r="CT143" i="29"/>
  <c r="CT147" i="29" s="1"/>
  <c r="CT148" i="29" s="1"/>
  <c r="B68" i="13"/>
  <c r="B69" i="13"/>
  <c r="B112" i="13"/>
  <c r="CO150" i="31"/>
  <c r="DB150" i="31"/>
  <c r="DB151" i="31" s="1"/>
  <c r="CS150" i="31"/>
  <c r="CW142" i="31"/>
  <c r="CL6" i="31"/>
  <c r="CL444" i="31"/>
  <c r="CL447" i="31"/>
  <c r="CO8" i="31"/>
  <c r="CS151" i="31"/>
  <c r="AZ154" i="31"/>
  <c r="BB163" i="31"/>
  <c r="BB165" i="31" s="1"/>
  <c r="CW149" i="29"/>
  <c r="BF148" i="31"/>
  <c r="BF150" i="31" s="1"/>
  <c r="AY148" i="31"/>
  <c r="AY150" i="31" s="1"/>
  <c r="AV150" i="31"/>
  <c r="BC157" i="31" s="1"/>
  <c r="AS154" i="31"/>
  <c r="BE145" i="31"/>
  <c r="CN142" i="31"/>
  <c r="CL149" i="31"/>
  <c r="CL145" i="31"/>
  <c r="CU147" i="31" s="1"/>
  <c r="CU149" i="31" s="1"/>
  <c r="CU150" i="31" s="1"/>
  <c r="CU151" i="31" s="1"/>
  <c r="BF145" i="31"/>
  <c r="AX145" i="31"/>
  <c r="CN148" i="29"/>
  <c r="AG150" i="29"/>
  <c r="LN18" i="26"/>
  <c r="LO17" i="26"/>
  <c r="BJ8" i="31"/>
  <c r="BK7" i="31"/>
  <c r="BI6" i="31"/>
  <c r="BE148" i="31"/>
  <c r="BE150" i="31" s="1"/>
  <c r="BE157" i="31" s="1"/>
  <c r="LM16" i="26"/>
  <c r="LL17" i="26"/>
  <c r="CE150" i="31"/>
  <c r="CF150" i="31"/>
  <c r="BX145" i="31"/>
  <c r="BX148" i="31"/>
  <c r="G3" i="13"/>
  <c r="CA149" i="31"/>
  <c r="CD148" i="31"/>
  <c r="CB151" i="31"/>
  <c r="CE141" i="31"/>
  <c r="CF141" i="31"/>
  <c r="CB148" i="31"/>
  <c r="CB145" i="31"/>
  <c r="H1" i="13"/>
  <c r="CN147" i="31"/>
  <c r="LP18" i="26"/>
  <c r="LQ17" i="26"/>
  <c r="LK16" i="26"/>
  <c r="LJ17" i="26"/>
  <c r="BY148" i="31"/>
  <c r="BY145" i="31"/>
  <c r="LE13" i="26"/>
  <c r="LS16" i="26"/>
  <c r="LR17" i="26"/>
  <c r="CE148" i="29"/>
  <c r="CF148" i="29"/>
  <c r="LH17" i="26"/>
  <c r="LI16" i="26"/>
  <c r="CW149" i="31"/>
  <c r="CW145" i="31"/>
  <c r="LG15" i="26"/>
  <c r="LF15" i="26" s="1"/>
  <c r="LE15" i="26" s="1"/>
  <c r="LD15" i="26" s="1"/>
  <c r="CB149" i="29"/>
  <c r="CD146" i="29"/>
  <c r="CA147" i="29"/>
  <c r="CL143" i="29"/>
  <c r="CS145" i="29" s="1"/>
  <c r="CS147" i="29" s="1"/>
  <c r="CS148" i="29" s="1"/>
  <c r="CS149" i="29" s="1"/>
  <c r="CL147" i="29"/>
  <c r="CL148" i="29" s="1"/>
  <c r="CZ148" i="29"/>
  <c r="AX146" i="29"/>
  <c r="AX148" i="29" s="1"/>
  <c r="AX143" i="29"/>
  <c r="CE139" i="29"/>
  <c r="CB146" i="29"/>
  <c r="CB143" i="29"/>
  <c r="CF139" i="29"/>
  <c r="BA166" i="29"/>
  <c r="BA168" i="29" s="1"/>
  <c r="BB148" i="29"/>
  <c r="BA149" i="29"/>
  <c r="CY148" i="29"/>
  <c r="AU148" i="29"/>
  <c r="AT149" i="29"/>
  <c r="BF143" i="29"/>
  <c r="BF146" i="29"/>
  <c r="BF148" i="29" s="1"/>
  <c r="CR148" i="29"/>
  <c r="CM148" i="29"/>
  <c r="CX148" i="29"/>
  <c r="AQ150" i="29"/>
  <c r="AR147" i="29"/>
  <c r="AJ151" i="29"/>
  <c r="AT161" i="29" s="1"/>
  <c r="AY146" i="29"/>
  <c r="AY143" i="29"/>
  <c r="BY143" i="29"/>
  <c r="BY146" i="29"/>
  <c r="BE143" i="29"/>
  <c r="BE146" i="29"/>
  <c r="BE148" i="29" s="1"/>
  <c r="CQ148" i="29"/>
  <c r="CO148" i="29"/>
  <c r="AZ155" i="31" l="1"/>
  <c r="AY168" i="31"/>
  <c r="AY170" i="31" s="1"/>
  <c r="CQ149" i="29"/>
  <c r="CN145" i="31"/>
  <c r="LG16" i="26"/>
  <c r="CL150" i="31"/>
  <c r="CN150" i="31" s="1"/>
  <c r="CN149" i="31"/>
  <c r="LO18" i="26"/>
  <c r="LN19" i="26"/>
  <c r="LF16" i="26"/>
  <c r="LE16" i="26" s="1"/>
  <c r="LD16" i="26" s="1"/>
  <c r="LM17" i="26"/>
  <c r="LL18" i="26"/>
  <c r="BE155" i="29"/>
  <c r="LQ18" i="26"/>
  <c r="LP19" i="26"/>
  <c r="LI17" i="26"/>
  <c r="LH18" i="26"/>
  <c r="BF157" i="31"/>
  <c r="BF153" i="31"/>
  <c r="CT153" i="31" s="1"/>
  <c r="CF148" i="31"/>
  <c r="CE148" i="31"/>
  <c r="CB149" i="31"/>
  <c r="CH150" i="31" s="1"/>
  <c r="BA150" i="29"/>
  <c r="LR18" i="26"/>
  <c r="LS17" i="26"/>
  <c r="LK17" i="26"/>
  <c r="LJ18" i="26"/>
  <c r="LD13" i="26"/>
  <c r="AY166" i="29"/>
  <c r="AY168" i="29" s="1"/>
  <c r="AY148" i="29"/>
  <c r="BF151" i="29" s="1"/>
  <c r="CR151" i="29" s="1"/>
  <c r="BB158" i="29"/>
  <c r="BB155" i="29"/>
  <c r="BB151" i="29"/>
  <c r="CF146" i="29"/>
  <c r="CB147" i="29"/>
  <c r="CH148" i="29" s="1"/>
  <c r="CE146" i="29"/>
  <c r="CZ149" i="29"/>
  <c r="CR149" i="29"/>
  <c r="LN20" i="26" l="1"/>
  <c r="LO19" i="26"/>
  <c r="LG17" i="26"/>
  <c r="LF17" i="26" s="1"/>
  <c r="LM18" i="26"/>
  <c r="LL19" i="26"/>
  <c r="LR19" i="26"/>
  <c r="LS18" i="26"/>
  <c r="BF155" i="29"/>
  <c r="LI18" i="26"/>
  <c r="LH19" i="26"/>
  <c r="LQ19" i="26"/>
  <c r="LP20" i="26"/>
  <c r="LK18" i="26"/>
  <c r="LJ19" i="26"/>
  <c r="LO20" i="26" l="1"/>
  <c r="LN21" i="26"/>
  <c r="LL20" i="26"/>
  <c r="LM19" i="26"/>
  <c r="LP21" i="26"/>
  <c r="LQ20" i="26"/>
  <c r="LE17" i="26"/>
  <c r="LH20" i="26"/>
  <c r="LI19" i="26"/>
  <c r="LK19" i="26"/>
  <c r="LJ20" i="26"/>
  <c r="LG18" i="26"/>
  <c r="LR20" i="26"/>
  <c r="LS19" i="26"/>
  <c r="LO21" i="26" l="1"/>
  <c r="LN22" i="26"/>
  <c r="LL21" i="26"/>
  <c r="LM20" i="26"/>
  <c r="LF18" i="26"/>
  <c r="LK20" i="26"/>
  <c r="LJ21" i="26"/>
  <c r="LI20" i="26"/>
  <c r="LG20" i="26" s="1"/>
  <c r="LH21" i="26"/>
  <c r="LG19" i="26"/>
  <c r="LF19" i="26" s="1"/>
  <c r="LE19" i="26" s="1"/>
  <c r="LD19" i="26" s="1"/>
  <c r="LD17" i="26"/>
  <c r="LS20" i="26"/>
  <c r="LR21" i="26"/>
  <c r="LQ21" i="26"/>
  <c r="LP22" i="26"/>
  <c r="LN23" i="26" l="1"/>
  <c r="LO22" i="26"/>
  <c r="LM21" i="26"/>
  <c r="LL22" i="26"/>
  <c r="LH22" i="26"/>
  <c r="LI21" i="26"/>
  <c r="LQ22" i="26"/>
  <c r="LP23" i="26"/>
  <c r="LF20" i="26"/>
  <c r="LE20" i="26" s="1"/>
  <c r="LD20" i="26" s="1"/>
  <c r="LJ22" i="26"/>
  <c r="LK21" i="26"/>
  <c r="LR22" i="26"/>
  <c r="LS21" i="26"/>
  <c r="LE18" i="26"/>
  <c r="LN24" i="26" l="1"/>
  <c r="LO23" i="26"/>
  <c r="LM22" i="26"/>
  <c r="LL23" i="26"/>
  <c r="LP24" i="26"/>
  <c r="LQ23" i="26"/>
  <c r="LG21" i="26"/>
  <c r="LF21" i="26" s="1"/>
  <c r="LE21" i="26" s="1"/>
  <c r="LD21" i="26" s="1"/>
  <c r="LK22" i="26"/>
  <c r="LJ23" i="26"/>
  <c r="LD18" i="26"/>
  <c r="LI22" i="26"/>
  <c r="LH23" i="26"/>
  <c r="LR23" i="26"/>
  <c r="LS22" i="26"/>
  <c r="LG22" i="26" l="1"/>
  <c r="LF22" i="26" s="1"/>
  <c r="LE22" i="26" s="1"/>
  <c r="LD22" i="26" s="1"/>
  <c r="LO24" i="26"/>
  <c r="LN25" i="26"/>
  <c r="LL24" i="26"/>
  <c r="LM23" i="26"/>
  <c r="LH24" i="26"/>
  <c r="LI23" i="26"/>
  <c r="LJ24" i="26"/>
  <c r="LK23" i="26"/>
  <c r="LS23" i="26"/>
  <c r="LR24" i="26"/>
  <c r="LP25" i="26"/>
  <c r="LQ24" i="26"/>
  <c r="LN26" i="26" l="1"/>
  <c r="LO25" i="26"/>
  <c r="LL25" i="26"/>
  <c r="LM24" i="26"/>
  <c r="LP26" i="26"/>
  <c r="LQ25" i="26"/>
  <c r="LR25" i="26"/>
  <c r="LS24" i="26"/>
  <c r="LJ25" i="26"/>
  <c r="LK24" i="26"/>
  <c r="LG23" i="26"/>
  <c r="LF23" i="26" s="1"/>
  <c r="LE23" i="26" s="1"/>
  <c r="LH25" i="26"/>
  <c r="LI24" i="26"/>
  <c r="LN27" i="26" l="1"/>
  <c r="LO26" i="26"/>
  <c r="LM25" i="26"/>
  <c r="LL26" i="26"/>
  <c r="LK25" i="26"/>
  <c r="LJ26" i="26"/>
  <c r="LR26" i="26"/>
  <c r="LS25" i="26"/>
  <c r="LP27" i="26"/>
  <c r="LQ26" i="26"/>
  <c r="LG24" i="26"/>
  <c r="LF24" i="26" s="1"/>
  <c r="LE24" i="26" s="1"/>
  <c r="LD24" i="26" s="1"/>
  <c r="LD23" i="26"/>
  <c r="LH26" i="26"/>
  <c r="LI25" i="26"/>
  <c r="LO27" i="26" l="1"/>
  <c r="LN28" i="26"/>
  <c r="LL27" i="26"/>
  <c r="LM26" i="26"/>
  <c r="LG25" i="26"/>
  <c r="LF25" i="26" s="1"/>
  <c r="LE25" i="26" s="1"/>
  <c r="LD25" i="26" s="1"/>
  <c r="LQ27" i="26"/>
  <c r="LP28" i="26"/>
  <c r="LS26" i="26"/>
  <c r="LR27" i="26"/>
  <c r="LK26" i="26"/>
  <c r="LJ27" i="26"/>
  <c r="LH27" i="26"/>
  <c r="LI26" i="26"/>
  <c r="LG26" i="26" l="1"/>
  <c r="LF26" i="26" s="1"/>
  <c r="LE26" i="26" s="1"/>
  <c r="LD26" i="26" s="1"/>
  <c r="LN29" i="26"/>
  <c r="LO28" i="26"/>
  <c r="LM27" i="26"/>
  <c r="LL28" i="26"/>
  <c r="LI27" i="26"/>
  <c r="LH28" i="26"/>
  <c r="LJ28" i="26"/>
  <c r="LK27" i="26"/>
  <c r="LR28" i="26"/>
  <c r="LS27" i="26"/>
  <c r="LP29" i="26"/>
  <c r="LQ28" i="26"/>
  <c r="LO29" i="26" l="1"/>
  <c r="LN30" i="26"/>
  <c r="LM28" i="26"/>
  <c r="LL29" i="26"/>
  <c r="LP30" i="26"/>
  <c r="LQ29" i="26"/>
  <c r="LR29" i="26"/>
  <c r="LS28" i="26"/>
  <c r="LJ29" i="26"/>
  <c r="LK28" i="26"/>
  <c r="LH29" i="26"/>
  <c r="LI28" i="26"/>
  <c r="LG27" i="26"/>
  <c r="LF27" i="26" s="1"/>
  <c r="LE27" i="26" s="1"/>
  <c r="LD27" i="26" s="1"/>
  <c r="LG28" i="26" l="1"/>
  <c r="LF28" i="26" s="1"/>
  <c r="LE28" i="26" s="1"/>
  <c r="LD28" i="26" s="1"/>
  <c r="LO30" i="26"/>
  <c r="LN31" i="26"/>
  <c r="LM29" i="26"/>
  <c r="LL30" i="26"/>
  <c r="LH30" i="26"/>
  <c r="LI29" i="26"/>
  <c r="LJ30" i="26"/>
  <c r="LK29" i="26"/>
  <c r="LS29" i="26"/>
  <c r="LR30" i="26"/>
  <c r="LP31" i="26"/>
  <c r="LQ30" i="26"/>
  <c r="LN32" i="26" l="1"/>
  <c r="LO31" i="26"/>
  <c r="LM30" i="26"/>
  <c r="LL31" i="26"/>
  <c r="LQ31" i="26"/>
  <c r="LP32" i="26"/>
  <c r="LS30" i="26"/>
  <c r="LR31" i="26"/>
  <c r="LK30" i="26"/>
  <c r="LJ31" i="26"/>
  <c r="LG29" i="26"/>
  <c r="LF29" i="26" s="1"/>
  <c r="LE29" i="26" s="1"/>
  <c r="LD29" i="26" s="1"/>
  <c r="LI30" i="26"/>
  <c r="LH31" i="26"/>
  <c r="LG30" i="26" l="1"/>
  <c r="LF30" i="26" s="1"/>
  <c r="LE30" i="26" s="1"/>
  <c r="LD30" i="26" s="1"/>
  <c r="LN33" i="26"/>
  <c r="LO32" i="26"/>
  <c r="LL32" i="26"/>
  <c r="LM31" i="26"/>
  <c r="LH32" i="26"/>
  <c r="LI31" i="26"/>
  <c r="LK31" i="26"/>
  <c r="LJ32" i="26"/>
  <c r="LR32" i="26"/>
  <c r="LS31" i="26"/>
  <c r="LP33" i="26"/>
  <c r="LQ32" i="26"/>
  <c r="LO33" i="26" l="1"/>
  <c r="LN34" i="26"/>
  <c r="LL33" i="26"/>
  <c r="LM32" i="26"/>
  <c r="LP34" i="26"/>
  <c r="LQ33" i="26"/>
  <c r="LR33" i="26"/>
  <c r="LS32" i="26"/>
  <c r="LJ33" i="26"/>
  <c r="LK32" i="26"/>
  <c r="LG31" i="26"/>
  <c r="LF31" i="26" s="1"/>
  <c r="LE31" i="26" s="1"/>
  <c r="LD31" i="26" s="1"/>
  <c r="LI32" i="26"/>
  <c r="LG32" i="26" s="1"/>
  <c r="LH33" i="26"/>
  <c r="LF32" i="26" l="1"/>
  <c r="LE32" i="26" s="1"/>
  <c r="LD32" i="26" s="1"/>
  <c r="LO34" i="26"/>
  <c r="LN35" i="26"/>
  <c r="LM33" i="26"/>
  <c r="LL34" i="26"/>
  <c r="LH34" i="26"/>
  <c r="LI33" i="26"/>
  <c r="LK33" i="26"/>
  <c r="LJ34" i="26"/>
  <c r="LR34" i="26"/>
  <c r="LS33" i="26"/>
  <c r="LQ34" i="26"/>
  <c r="LP35" i="26"/>
  <c r="LN36" i="26" l="1"/>
  <c r="LO35" i="26"/>
  <c r="LM34" i="26"/>
  <c r="LL35" i="26"/>
  <c r="LS34" i="26"/>
  <c r="LR35" i="26"/>
  <c r="LK34" i="26"/>
  <c r="LJ35" i="26"/>
  <c r="LG33" i="26"/>
  <c r="LF33" i="26" s="1"/>
  <c r="LE33" i="26" s="1"/>
  <c r="LD33" i="26" s="1"/>
  <c r="LP36" i="26"/>
  <c r="LQ35" i="26"/>
  <c r="LH35" i="26"/>
  <c r="LI34" i="26"/>
  <c r="LN37" i="26" l="1"/>
  <c r="LO36" i="26"/>
  <c r="LM35" i="26"/>
  <c r="LL36" i="26"/>
  <c r="LJ36" i="26"/>
  <c r="LK35" i="26"/>
  <c r="LS35" i="26"/>
  <c r="LR36" i="26"/>
  <c r="LP37" i="26"/>
  <c r="LQ36" i="26"/>
  <c r="LG34" i="26"/>
  <c r="LF34" i="26" s="1"/>
  <c r="LE34" i="26" s="1"/>
  <c r="LD34" i="26" s="1"/>
  <c r="LH36" i="26"/>
  <c r="LI35" i="26"/>
  <c r="LG35" i="26" l="1"/>
  <c r="LF35" i="26" s="1"/>
  <c r="LE35" i="26" s="1"/>
  <c r="LD35" i="26" s="1"/>
  <c r="LN38" i="26"/>
  <c r="LO37" i="26"/>
  <c r="LL37" i="26"/>
  <c r="LM36" i="26"/>
  <c r="LQ37" i="26"/>
  <c r="LP38" i="26"/>
  <c r="LR37" i="26"/>
  <c r="LS36" i="26"/>
  <c r="LH37" i="26"/>
  <c r="LI36" i="26"/>
  <c r="LJ37" i="26"/>
  <c r="LK36" i="26"/>
  <c r="LN39" i="26" l="1"/>
  <c r="LO38" i="26"/>
  <c r="LL38" i="26"/>
  <c r="LM37" i="26"/>
  <c r="LI37" i="26"/>
  <c r="LH38" i="26"/>
  <c r="LR38" i="26"/>
  <c r="LS37" i="26"/>
  <c r="LJ38" i="26"/>
  <c r="LK37" i="26"/>
  <c r="LQ38" i="26"/>
  <c r="LP39" i="26"/>
  <c r="LG36" i="26"/>
  <c r="LF36" i="26" s="1"/>
  <c r="LE36" i="26" s="1"/>
  <c r="LD36" i="26" s="1"/>
  <c r="LO39" i="26" l="1"/>
  <c r="LN40" i="26"/>
  <c r="LL39" i="26"/>
  <c r="LM38" i="26"/>
  <c r="LP40" i="26"/>
  <c r="LQ39" i="26"/>
  <c r="LK38" i="26"/>
  <c r="LJ39" i="26"/>
  <c r="LS38" i="26"/>
  <c r="LR39" i="26"/>
  <c r="LH39" i="26"/>
  <c r="LI38" i="26"/>
  <c r="LG37" i="26"/>
  <c r="LF37" i="26" s="1"/>
  <c r="LE37" i="26" s="1"/>
  <c r="LD37" i="26" s="1"/>
  <c r="LG38" i="26" l="1"/>
  <c r="LF38" i="26" s="1"/>
  <c r="LE38" i="26" s="1"/>
  <c r="LD38" i="26" s="1"/>
  <c r="LN41" i="26"/>
  <c r="LO40" i="26"/>
  <c r="LL40" i="26"/>
  <c r="LM39" i="26"/>
  <c r="LJ40" i="26"/>
  <c r="LK39" i="26"/>
  <c r="LQ40" i="26"/>
  <c r="LP41" i="26"/>
  <c r="LI39" i="26"/>
  <c r="LH40" i="26"/>
  <c r="LR40" i="26"/>
  <c r="LS39" i="26"/>
  <c r="LG39" i="26" l="1"/>
  <c r="LF39" i="26" s="1"/>
  <c r="LE39" i="26" s="1"/>
  <c r="LD39" i="26" s="1"/>
  <c r="LO41" i="26"/>
  <c r="LN42" i="26"/>
  <c r="LL41" i="26"/>
  <c r="LM40" i="26"/>
  <c r="LR41" i="26"/>
  <c r="LS40" i="26"/>
  <c r="LH41" i="26"/>
  <c r="LI40" i="26"/>
  <c r="LQ41" i="26"/>
  <c r="LP42" i="26"/>
  <c r="LK40" i="26"/>
  <c r="LJ41" i="26"/>
  <c r="LO42" i="26" l="1"/>
  <c r="LN43" i="26"/>
  <c r="LL42" i="26"/>
  <c r="LM41" i="26"/>
  <c r="LQ42" i="26"/>
  <c r="LP43" i="26"/>
  <c r="LG40" i="26"/>
  <c r="LF40" i="26" s="1"/>
  <c r="LE40" i="26" s="1"/>
  <c r="LD40" i="26" s="1"/>
  <c r="LI41" i="26"/>
  <c r="LH42" i="26"/>
  <c r="LS41" i="26"/>
  <c r="LR42" i="26"/>
  <c r="LJ42" i="26"/>
  <c r="LK41" i="26"/>
  <c r="LO43" i="26" l="1"/>
  <c r="LN44" i="26"/>
  <c r="LL43" i="26"/>
  <c r="LM42" i="26"/>
  <c r="LK42" i="26"/>
  <c r="LJ43" i="26"/>
  <c r="LS42" i="26"/>
  <c r="LR43" i="26"/>
  <c r="LH43" i="26"/>
  <c r="LI42" i="26"/>
  <c r="LG41" i="26"/>
  <c r="LF41" i="26" s="1"/>
  <c r="LE41" i="26" s="1"/>
  <c r="LD41" i="26" s="1"/>
  <c r="LQ43" i="26"/>
  <c r="LP44" i="26"/>
  <c r="LG42" i="26" l="1"/>
  <c r="LF42" i="26" s="1"/>
  <c r="LE42" i="26" s="1"/>
  <c r="LD42" i="26" s="1"/>
  <c r="LO44" i="26"/>
  <c r="LN45" i="26"/>
  <c r="LL44" i="26"/>
  <c r="LM43" i="26"/>
  <c r="LQ44" i="26"/>
  <c r="LP45" i="26"/>
  <c r="LH44" i="26"/>
  <c r="LI43" i="26"/>
  <c r="LS43" i="26"/>
  <c r="LR44" i="26"/>
  <c r="LK43" i="26"/>
  <c r="LJ44" i="26"/>
  <c r="LO45" i="26" l="1"/>
  <c r="LN46" i="26"/>
  <c r="LM44" i="26"/>
  <c r="LL45" i="26"/>
  <c r="LK44" i="26"/>
  <c r="LJ45" i="26"/>
  <c r="LR45" i="26"/>
  <c r="LS44" i="26"/>
  <c r="LG43" i="26"/>
  <c r="LF43" i="26" s="1"/>
  <c r="LE43" i="26" s="1"/>
  <c r="LD43" i="26" s="1"/>
  <c r="LI44" i="26"/>
  <c r="LG44" i="26" s="1"/>
  <c r="LF44" i="26" s="1"/>
  <c r="LE44" i="26" s="1"/>
  <c r="LD44" i="26" s="1"/>
  <c r="LH45" i="26"/>
  <c r="LP46" i="26"/>
  <c r="LQ45" i="26"/>
  <c r="LN47" i="26" l="1"/>
  <c r="LO46" i="26"/>
  <c r="LM45" i="26"/>
  <c r="LL46" i="26"/>
  <c r="LP47" i="26"/>
  <c r="LQ46" i="26"/>
  <c r="LH46" i="26"/>
  <c r="LI45" i="26"/>
  <c r="LR46" i="26"/>
  <c r="LS45" i="26"/>
  <c r="LJ46" i="26"/>
  <c r="LK45" i="26"/>
  <c r="LN48" i="26" l="1"/>
  <c r="LO47" i="26"/>
  <c r="LL47" i="26"/>
  <c r="LM46" i="26"/>
  <c r="LK46" i="26"/>
  <c r="LJ47" i="26"/>
  <c r="LS46" i="26"/>
  <c r="LR47" i="26"/>
  <c r="LG45" i="26"/>
  <c r="LF45" i="26" s="1"/>
  <c r="LE45" i="26" s="1"/>
  <c r="LD45" i="26" s="1"/>
  <c r="LH47" i="26"/>
  <c r="LI46" i="26"/>
  <c r="LQ47" i="26"/>
  <c r="LP48" i="26"/>
  <c r="LG46" i="26" l="1"/>
  <c r="LF46" i="26" s="1"/>
  <c r="LE46" i="26" s="1"/>
  <c r="LD46" i="26" s="1"/>
  <c r="LO48" i="26"/>
  <c r="LN49" i="26"/>
  <c r="LL48" i="26"/>
  <c r="LM47" i="26"/>
  <c r="LI47" i="26"/>
  <c r="LH48" i="26"/>
  <c r="LS47" i="26"/>
  <c r="LR48" i="26"/>
  <c r="LK47" i="26"/>
  <c r="LJ48" i="26"/>
  <c r="LQ48" i="26"/>
  <c r="LP49" i="26"/>
  <c r="LN50" i="26" l="1"/>
  <c r="LO49" i="26"/>
  <c r="LL49" i="26"/>
  <c r="LM48" i="26"/>
  <c r="LP50" i="26"/>
  <c r="LQ49" i="26"/>
  <c r="LJ49" i="26"/>
  <c r="LK48" i="26"/>
  <c r="LR49" i="26"/>
  <c r="LS48" i="26"/>
  <c r="LI48" i="26"/>
  <c r="LH49" i="26"/>
  <c r="LG47" i="26"/>
  <c r="LF47" i="26" s="1"/>
  <c r="LE47" i="26" s="1"/>
  <c r="LD47" i="26" s="1"/>
  <c r="LO50" i="26" l="1"/>
  <c r="LN51" i="26"/>
  <c r="LG48" i="26"/>
  <c r="LF48" i="26" s="1"/>
  <c r="LE48" i="26" s="1"/>
  <c r="LD48" i="26" s="1"/>
  <c r="LM49" i="26"/>
  <c r="LL50" i="26"/>
  <c r="LH50" i="26"/>
  <c r="LI49" i="26"/>
  <c r="LS49" i="26"/>
  <c r="LR50" i="26"/>
  <c r="LK49" i="26"/>
  <c r="LJ50" i="26"/>
  <c r="LP51" i="26"/>
  <c r="LQ50" i="26"/>
  <c r="LN52" i="26" l="1"/>
  <c r="LO51" i="26"/>
  <c r="LM50" i="26"/>
  <c r="LL51" i="26"/>
  <c r="LQ51" i="26"/>
  <c r="LP52" i="26"/>
  <c r="LJ51" i="26"/>
  <c r="LK50" i="26"/>
  <c r="LR51" i="26"/>
  <c r="LS50" i="26"/>
  <c r="LG49" i="26"/>
  <c r="LF49" i="26" s="1"/>
  <c r="LE49" i="26" s="1"/>
  <c r="LD49" i="26" s="1"/>
  <c r="LH51" i="26"/>
  <c r="LI50" i="26"/>
  <c r="LG50" i="26" l="1"/>
  <c r="LF50" i="26" s="1"/>
  <c r="LE50" i="26" s="1"/>
  <c r="LD50" i="26" s="1"/>
  <c r="LO52" i="26"/>
  <c r="LN53" i="26"/>
  <c r="LO53" i="26" s="1"/>
  <c r="LL52" i="26"/>
  <c r="LM51" i="26"/>
  <c r="LI51" i="26"/>
  <c r="LH52" i="26"/>
  <c r="LR52" i="26"/>
  <c r="LS51" i="26"/>
  <c r="LK51" i="26"/>
  <c r="LJ52" i="26"/>
  <c r="LQ52" i="26"/>
  <c r="LP53" i="26"/>
  <c r="LQ53" i="26" s="1"/>
  <c r="LO8" i="26" l="1"/>
  <c r="LO9" i="26" s="1"/>
  <c r="LQ8" i="26"/>
  <c r="LQ9" i="26" s="1"/>
  <c r="LM52" i="26"/>
  <c r="LL53" i="26"/>
  <c r="LM53" i="26" s="1"/>
  <c r="LM8" i="26" s="1"/>
  <c r="LM9" i="26" s="1"/>
  <c r="LK52" i="26"/>
  <c r="LJ53" i="26"/>
  <c r="LK53" i="26" s="1"/>
  <c r="LK8" i="26" s="1"/>
  <c r="LK9" i="26" s="1"/>
  <c r="LS52" i="26"/>
  <c r="LR53" i="26"/>
  <c r="LS53" i="26" s="1"/>
  <c r="LS8" i="26" s="1"/>
  <c r="LS9" i="26" s="1"/>
  <c r="LH53" i="26"/>
  <c r="LI53" i="26" s="1"/>
  <c r="LI52" i="26"/>
  <c r="LG52" i="26" s="1"/>
  <c r="LF52" i="26" s="1"/>
  <c r="LE52" i="26" s="1"/>
  <c r="LD52" i="26" s="1"/>
  <c r="LG51" i="26"/>
  <c r="LF51" i="26" s="1"/>
  <c r="LE51" i="26" s="1"/>
  <c r="LD51" i="26" s="1"/>
  <c r="LG53" i="26" l="1"/>
  <c r="LI8" i="26"/>
  <c r="LI9" i="26" s="1"/>
  <c r="LF53" i="26" l="1"/>
  <c r="LG8" i="26"/>
  <c r="LG9" i="26" s="1"/>
  <c r="LE53" i="26" l="1"/>
  <c r="LF8" i="26"/>
  <c r="LF9" i="26" s="1"/>
  <c r="LD53" i="26" l="1"/>
  <c r="LD8" i="26" s="1"/>
  <c r="LE8" i="26"/>
  <c r="LE9" i="26" s="1"/>
  <c r="LD7" i="26" l="1"/>
  <c r="LD9" i="26"/>
</calcChain>
</file>

<file path=xl/comments1.xml><?xml version="1.0" encoding="utf-8"?>
<comments xmlns="http://schemas.openxmlformats.org/spreadsheetml/2006/main">
  <authors>
    <author>teplo3</author>
  </authors>
  <commentList>
    <comment ref="F134" authorId="0" shapeId="0">
      <text>
        <r>
          <rPr>
            <b/>
            <sz val="9"/>
            <color indexed="81"/>
            <rFont val="Tahoma"/>
            <family val="2"/>
            <charset val="204"/>
          </rPr>
          <t>teplo3:</t>
        </r>
        <r>
          <rPr>
            <sz val="9"/>
            <color indexed="81"/>
            <rFont val="Tahoma"/>
            <family val="2"/>
            <charset val="204"/>
          </rPr>
          <t xml:space="preserve">
добавился в феврале 2023</t>
        </r>
      </text>
    </comment>
  </commentList>
</comments>
</file>

<file path=xl/comments2.xml><?xml version="1.0" encoding="utf-8"?>
<comments xmlns="http://schemas.openxmlformats.org/spreadsheetml/2006/main">
  <authors>
    <author>Verutina-PC</author>
  </authors>
  <commentList>
    <comment ref="AB110" authorId="0" shapeId="0">
      <text>
        <r>
          <rPr>
            <b/>
            <sz val="9"/>
            <color indexed="81"/>
            <rFont val="Tahoma"/>
            <family val="2"/>
            <charset val="204"/>
          </rPr>
          <t>Verutina-PC:</t>
        </r>
        <r>
          <rPr>
            <sz val="9"/>
            <color indexed="81"/>
            <rFont val="Tahoma"/>
            <family val="2"/>
            <charset val="204"/>
          </rPr>
          <t xml:space="preserve">
бойлеры решено отнести на ГВС. А здесь в чистом виде объемы отопление</t>
        </r>
      </text>
    </comment>
  </commentList>
</comments>
</file>

<file path=xl/comments3.xml><?xml version="1.0" encoding="utf-8"?>
<comments xmlns="http://schemas.openxmlformats.org/spreadsheetml/2006/main">
  <authors>
    <author>EA_Vorobieva</author>
    <author>teplo3</author>
  </authors>
  <commentList>
    <comment ref="N11" authorId="0" shapeId="0">
      <text>
        <r>
          <rPr>
            <b/>
            <sz val="14"/>
            <color indexed="81"/>
            <rFont val="Tahoma"/>
            <family val="2"/>
            <charset val="204"/>
          </rPr>
          <t>EA_Vorobieva:</t>
        </r>
        <r>
          <rPr>
            <sz val="14"/>
            <color indexed="81"/>
            <rFont val="Tahoma"/>
            <family val="2"/>
            <charset val="204"/>
          </rPr>
          <t xml:space="preserve">
ЗАПОЛНЯЕМ С НДС И  ПРОВЕРЯЕМ СОБИРАЕМОСТЬ -ИТОГОВАЯ НВВ ДОЖНА СОВПАДАТЬ С  ПРОТОКОЛОМ</t>
        </r>
      </text>
    </comment>
    <comment ref="T132" authorId="1" shapeId="0">
      <text>
        <r>
          <rPr>
            <b/>
            <sz val="11"/>
            <color indexed="81"/>
            <rFont val="Tahoma"/>
            <family val="2"/>
            <charset val="204"/>
          </rPr>
          <t>teplo3:</t>
        </r>
        <r>
          <rPr>
            <sz val="11"/>
            <color indexed="81"/>
            <rFont val="Tahoma"/>
            <family val="2"/>
            <charset val="204"/>
          </rPr>
          <t xml:space="preserve">
ОБЪЕМЫ СИДЯТ У Квадры. КВК оказывает Квадре услугу транспортировки</t>
        </r>
      </text>
    </comment>
    <comment ref="X142" authorId="1" shapeId="0">
      <text>
        <r>
          <rPr>
            <b/>
            <sz val="9"/>
            <color indexed="81"/>
            <rFont val="Tahoma"/>
            <family val="2"/>
            <charset val="204"/>
          </rPr>
          <t>teplo3:</t>
        </r>
        <r>
          <rPr>
            <sz val="9"/>
            <color indexed="81"/>
            <rFont val="Tahoma"/>
            <family val="2"/>
            <charset val="204"/>
          </rPr>
          <t xml:space="preserve">
Оля дала инф.:
Баранова О. А. (10:36:43)
201720 -  1 полуг
147633 - 2 полуг в гкал</t>
        </r>
      </text>
    </comment>
    <comment ref="AE142" authorId="1" shapeId="0">
      <text>
        <r>
          <rPr>
            <b/>
            <sz val="9"/>
            <color indexed="81"/>
            <rFont val="Tahoma"/>
            <family val="2"/>
            <charset val="204"/>
          </rPr>
          <t>teplo3:</t>
        </r>
        <r>
          <rPr>
            <sz val="9"/>
            <color indexed="81"/>
            <rFont val="Tahoma"/>
            <family val="2"/>
            <charset val="204"/>
          </rPr>
          <t xml:space="preserve">
Оля дала инф.:
Баранова О. А. (10:36:43)
201720 -  1 полуг
147633 - 2 полуг в гкал</t>
        </r>
      </text>
    </comment>
    <comment ref="T143" authorId="1" shapeId="0">
      <text>
        <r>
          <rPr>
            <b/>
            <sz val="9"/>
            <color indexed="81"/>
            <rFont val="Tahoma"/>
            <family val="2"/>
            <charset val="204"/>
          </rPr>
          <t>teplo3:</t>
        </r>
        <r>
          <rPr>
            <sz val="9"/>
            <color indexed="81"/>
            <rFont val="Tahoma"/>
            <family val="2"/>
            <charset val="204"/>
          </rPr>
          <t xml:space="preserve">
ОБЪЕМЫ СИДЯТ У Квадры. Новый курс  оказывает Курчатовсой гортеплосети  услугу транспортировки</t>
        </r>
      </text>
    </comment>
  </commentList>
</comments>
</file>

<file path=xl/comments4.xml><?xml version="1.0" encoding="utf-8"?>
<comments xmlns="http://schemas.openxmlformats.org/spreadsheetml/2006/main">
  <authors>
    <author>EA_Vorobieva</author>
    <author>teplo3</author>
  </authors>
  <commentList>
    <comment ref="N11" authorId="0" shapeId="0">
      <text>
        <r>
          <rPr>
            <b/>
            <sz val="14"/>
            <color indexed="81"/>
            <rFont val="Tahoma"/>
            <family val="2"/>
            <charset val="204"/>
          </rPr>
          <t>EA_Vorobieva:</t>
        </r>
        <r>
          <rPr>
            <sz val="14"/>
            <color indexed="81"/>
            <rFont val="Tahoma"/>
            <family val="2"/>
            <charset val="204"/>
          </rPr>
          <t xml:space="preserve">
ЗАПОЛНЯЕМ С НДС И  ПРОВЕРЯЕМ СОБИРАЕМОСТЬ -ИТОГОВАЯ НВВ ДОЖНА СОВПАДАТЬ С  ПРОТОКОЛОМ</t>
        </r>
      </text>
    </comment>
    <comment ref="T57" authorId="1" shapeId="0">
      <text>
        <r>
          <rPr>
            <b/>
            <sz val="9"/>
            <color indexed="81"/>
            <rFont val="Tahoma"/>
            <family val="2"/>
            <charset val="204"/>
          </rPr>
          <t>teplo3:</t>
        </r>
        <r>
          <rPr>
            <sz val="9"/>
            <color indexed="81"/>
            <rFont val="Tahoma"/>
            <family val="2"/>
            <charset val="204"/>
          </rPr>
          <t xml:space="preserve">
С Дични и Иванино переброска на Щы, Льгов и Курск</t>
        </r>
      </text>
    </comment>
    <comment ref="AA57" authorId="1" shapeId="0">
      <text>
        <r>
          <rPr>
            <b/>
            <sz val="9"/>
            <color indexed="81"/>
            <rFont val="Tahoma"/>
            <family val="2"/>
            <charset val="204"/>
          </rPr>
          <t>teplo3:</t>
        </r>
        <r>
          <rPr>
            <sz val="9"/>
            <color indexed="81"/>
            <rFont val="Tahoma"/>
            <family val="2"/>
            <charset val="204"/>
          </rPr>
          <t xml:space="preserve">
С Дични и Иванино переброска на Щы, Льгов и Курск</t>
        </r>
      </text>
    </comment>
    <comment ref="T58" authorId="1" shapeId="0">
      <text>
        <r>
          <rPr>
            <b/>
            <sz val="9"/>
            <color indexed="81"/>
            <rFont val="Tahoma"/>
            <family val="2"/>
            <charset val="204"/>
          </rPr>
          <t>teplo3:</t>
        </r>
        <r>
          <rPr>
            <sz val="9"/>
            <color indexed="81"/>
            <rFont val="Tahoma"/>
            <family val="2"/>
            <charset val="204"/>
          </rPr>
          <t xml:space="preserve">
С Дични и Иванино переброска на Щы, Льгов и Курск</t>
        </r>
      </text>
    </comment>
    <comment ref="AA58" authorId="1" shapeId="0">
      <text>
        <r>
          <rPr>
            <b/>
            <sz val="9"/>
            <color indexed="81"/>
            <rFont val="Tahoma"/>
            <family val="2"/>
            <charset val="204"/>
          </rPr>
          <t>teplo3:</t>
        </r>
        <r>
          <rPr>
            <sz val="9"/>
            <color indexed="81"/>
            <rFont val="Tahoma"/>
            <family val="2"/>
            <charset val="204"/>
          </rPr>
          <t xml:space="preserve">
С Дични и Иванино переброска на Щы, Льгов и Курск</t>
        </r>
      </text>
    </comment>
    <comment ref="T60" authorId="1" shapeId="0">
      <text>
        <r>
          <rPr>
            <b/>
            <sz val="9"/>
            <color indexed="81"/>
            <rFont val="Tahoma"/>
            <family val="2"/>
            <charset val="204"/>
          </rPr>
          <t>teplo3:</t>
        </r>
        <r>
          <rPr>
            <sz val="9"/>
            <color indexed="81"/>
            <rFont val="Tahoma"/>
            <family val="2"/>
            <charset val="204"/>
          </rPr>
          <t xml:space="preserve">
С Дични и Иванино переброска на Щы, Льгов и Курск</t>
        </r>
      </text>
    </comment>
    <comment ref="AA60" authorId="1" shapeId="0">
      <text>
        <r>
          <rPr>
            <b/>
            <sz val="9"/>
            <color indexed="81"/>
            <rFont val="Tahoma"/>
            <family val="2"/>
            <charset val="204"/>
          </rPr>
          <t>teplo3:</t>
        </r>
        <r>
          <rPr>
            <sz val="9"/>
            <color indexed="81"/>
            <rFont val="Tahoma"/>
            <family val="2"/>
            <charset val="204"/>
          </rPr>
          <t xml:space="preserve">
С Дични и Иванино переброска на Щы, Льгов и Курск</t>
        </r>
      </text>
    </comment>
    <comment ref="T110" authorId="1" shapeId="0">
      <text>
        <r>
          <rPr>
            <b/>
            <sz val="9"/>
            <color indexed="81"/>
            <rFont val="Tahoma"/>
            <family val="2"/>
            <charset val="204"/>
          </rPr>
          <t>teplo3:</t>
        </r>
        <r>
          <rPr>
            <sz val="9"/>
            <color indexed="81"/>
            <rFont val="Tahoma"/>
            <family val="2"/>
            <charset val="204"/>
          </rPr>
          <t xml:space="preserve">
С Дични и Иванино переброска на Щы, Льгов и Курск</t>
        </r>
      </text>
    </comment>
    <comment ref="AA110" authorId="1" shapeId="0">
      <text>
        <r>
          <rPr>
            <b/>
            <sz val="9"/>
            <color indexed="81"/>
            <rFont val="Tahoma"/>
            <family val="2"/>
            <charset val="204"/>
          </rPr>
          <t>teplo3:</t>
        </r>
        <r>
          <rPr>
            <sz val="9"/>
            <color indexed="81"/>
            <rFont val="Tahoma"/>
            <family val="2"/>
            <charset val="204"/>
          </rPr>
          <t xml:space="preserve">
С Дични и Иванино переброска на Щы, Льгов и Курск</t>
        </r>
      </text>
    </comment>
    <comment ref="T131" authorId="1" shapeId="0">
      <text>
        <r>
          <rPr>
            <b/>
            <sz val="11"/>
            <color indexed="81"/>
            <rFont val="Tahoma"/>
            <family val="2"/>
            <charset val="204"/>
          </rPr>
          <t>teplo3:</t>
        </r>
        <r>
          <rPr>
            <sz val="11"/>
            <color indexed="81"/>
            <rFont val="Tahoma"/>
            <family val="2"/>
            <charset val="204"/>
          </rPr>
          <t xml:space="preserve">
ОБЪЕМЫ СИДЯТ У Квадры. КВК оказывает Квадре услугу транспортировки</t>
        </r>
      </text>
    </comment>
    <comment ref="T135" authorId="1" shapeId="0">
      <text>
        <r>
          <rPr>
            <b/>
            <sz val="9"/>
            <color indexed="81"/>
            <rFont val="Tahoma"/>
            <family val="2"/>
            <charset val="204"/>
          </rPr>
          <t>teplo3:</t>
        </r>
        <r>
          <rPr>
            <sz val="9"/>
            <color indexed="81"/>
            <rFont val="Tahoma"/>
            <family val="2"/>
            <charset val="204"/>
          </rPr>
          <t xml:space="preserve">
С Дични и Иванино переброска на Щы, Льгов и Курск</t>
        </r>
      </text>
    </comment>
    <comment ref="AA135" authorId="1" shapeId="0">
      <text>
        <r>
          <rPr>
            <b/>
            <sz val="9"/>
            <color indexed="81"/>
            <rFont val="Tahoma"/>
            <family val="2"/>
            <charset val="204"/>
          </rPr>
          <t>teplo3:</t>
        </r>
        <r>
          <rPr>
            <sz val="9"/>
            <color indexed="81"/>
            <rFont val="Tahoma"/>
            <family val="2"/>
            <charset val="204"/>
          </rPr>
          <t xml:space="preserve">
С Дични и Иванино переброска на Щы, Льгов и Курск</t>
        </r>
      </text>
    </comment>
    <comment ref="X141" authorId="1" shapeId="0">
      <text>
        <r>
          <rPr>
            <b/>
            <sz val="9"/>
            <color indexed="81"/>
            <rFont val="Tahoma"/>
            <family val="2"/>
            <charset val="204"/>
          </rPr>
          <t>teplo3:</t>
        </r>
        <r>
          <rPr>
            <sz val="9"/>
            <color indexed="81"/>
            <rFont val="Tahoma"/>
            <family val="2"/>
            <charset val="204"/>
          </rPr>
          <t xml:space="preserve">
Оля дала инф.:
Баранова О. А. (10:36:43)
201720 -  1 полуг
147633 - 2 полуг в гкал</t>
        </r>
      </text>
    </comment>
    <comment ref="AE141" authorId="1" shapeId="0">
      <text>
        <r>
          <rPr>
            <b/>
            <sz val="9"/>
            <color indexed="81"/>
            <rFont val="Tahoma"/>
            <family val="2"/>
            <charset val="204"/>
          </rPr>
          <t>teplo3:</t>
        </r>
        <r>
          <rPr>
            <sz val="9"/>
            <color indexed="81"/>
            <rFont val="Tahoma"/>
            <family val="2"/>
            <charset val="204"/>
          </rPr>
          <t xml:space="preserve">
Оля дала инф.:
Баранова О. А. (10:36:43)
201720 -  1 полуг
147633 - 2 полуг в гкал</t>
        </r>
      </text>
    </comment>
    <comment ref="T142" authorId="1" shapeId="0">
      <text>
        <r>
          <rPr>
            <b/>
            <sz val="9"/>
            <color indexed="81"/>
            <rFont val="Tahoma"/>
            <family val="2"/>
            <charset val="204"/>
          </rPr>
          <t>teplo3:</t>
        </r>
        <r>
          <rPr>
            <sz val="9"/>
            <color indexed="81"/>
            <rFont val="Tahoma"/>
            <family val="2"/>
            <charset val="204"/>
          </rPr>
          <t xml:space="preserve">
ОБЪЕМЫ СИДЯТ У Квадры. Новый курс  оказывает Курчатовсой гортеплосети  услугу транспортировки</t>
        </r>
      </text>
    </comment>
  </commentList>
</comments>
</file>

<file path=xl/comments5.xml><?xml version="1.0" encoding="utf-8"?>
<comments xmlns="http://schemas.openxmlformats.org/spreadsheetml/2006/main">
  <authors>
    <author>Verutina-PC</author>
  </authors>
  <commentList>
    <comment ref="LY5" authorId="0" shapeId="0">
      <text>
        <r>
          <rPr>
            <b/>
            <sz val="9"/>
            <color indexed="81"/>
            <rFont val="Tahoma"/>
            <family val="2"/>
            <charset val="204"/>
          </rPr>
          <t>Verutina-PC:</t>
        </r>
        <r>
          <rPr>
            <sz val="9"/>
            <color indexed="81"/>
            <rFont val="Tahoma"/>
            <family val="2"/>
            <charset val="204"/>
          </rPr>
          <t xml:space="preserve">
решили проиндексировать, т.к. у троих организаций утверждены ИП, и всех в круговую, тем более у Квадры плановый рост Амортизации 112%</t>
        </r>
      </text>
    </comment>
  </commentList>
</comments>
</file>

<file path=xl/sharedStrings.xml><?xml version="1.0" encoding="utf-8"?>
<sst xmlns="http://schemas.openxmlformats.org/spreadsheetml/2006/main" count="3938" uniqueCount="1059">
  <si>
    <t>Наименование энергоснабжающей организации</t>
  </si>
  <si>
    <t>Наименование муниципального образования</t>
  </si>
  <si>
    <t>Вид  теплоносителя</t>
  </si>
  <si>
    <t>дата и номер постановления</t>
  </si>
  <si>
    <t>бюджетные портребители</t>
  </si>
  <si>
    <t>прочие потребители</t>
  </si>
  <si>
    <t>перепродавцы</t>
  </si>
  <si>
    <t>Большесолдатский район</t>
  </si>
  <si>
    <t>тепловая энергия в горячей воде</t>
  </si>
  <si>
    <t>Глушковский район</t>
  </si>
  <si>
    <t>ООО "Теткинское МУП ЖКХ"</t>
  </si>
  <si>
    <t>Горшеченский район</t>
  </si>
  <si>
    <t>Дмитриевский район</t>
  </si>
  <si>
    <t>Железногорский район</t>
  </si>
  <si>
    <t>Золотухинский район</t>
  </si>
  <si>
    <t>Касторенский район</t>
  </si>
  <si>
    <t>Конышевский район</t>
  </si>
  <si>
    <t>Кореневский район</t>
  </si>
  <si>
    <t>Курский район</t>
  </si>
  <si>
    <t>Курчатовский район</t>
  </si>
  <si>
    <t>МУП "Иванинское ЖКХ"</t>
  </si>
  <si>
    <t>Льговский район</t>
  </si>
  <si>
    <t>Медвенский район</t>
  </si>
  <si>
    <t>Обоянский район</t>
  </si>
  <si>
    <t>ООО "Обоянские Коммунальные Тепловые Сети"</t>
  </si>
  <si>
    <t>Октябрьский район</t>
  </si>
  <si>
    <t xml:space="preserve">ООО "Коммунальщик" п.Прямицыно (Центральная котельная) </t>
  </si>
  <si>
    <t>Поныровский район</t>
  </si>
  <si>
    <t>ООО "Теплосети п. Поныри"</t>
  </si>
  <si>
    <t>Пристенский район</t>
  </si>
  <si>
    <t>Рыльский район</t>
  </si>
  <si>
    <t>ФГБУ "Санаторий "Марьино"</t>
  </si>
  <si>
    <t>Советский район</t>
  </si>
  <si>
    <t>МУП "Кшенское"" пос. Кшенский</t>
  </si>
  <si>
    <t>Суджанский район</t>
  </si>
  <si>
    <t>МУП КЭТС г. Суджа</t>
  </si>
  <si>
    <t>Тимский район</t>
  </si>
  <si>
    <t>Фатежский район</t>
  </si>
  <si>
    <t>ООО "Фатежские КЭТС"</t>
  </si>
  <si>
    <t>Хомутовский район</t>
  </si>
  <si>
    <t>ООО "КТС с. Калиновка"</t>
  </si>
  <si>
    <t>Черемисиновский  район</t>
  </si>
  <si>
    <t>Щигровский район</t>
  </si>
  <si>
    <t>г.Железногорск</t>
  </si>
  <si>
    <t xml:space="preserve">ООО "ГОТЭК"-ЦПУ </t>
  </si>
  <si>
    <t>гвс с кол</t>
  </si>
  <si>
    <t>ООО "Комфорт"</t>
  </si>
  <si>
    <t>г.Курск</t>
  </si>
  <si>
    <t>АО "Теплоэнергосбытовая компания"</t>
  </si>
  <si>
    <t xml:space="preserve">ООО "Курские внешние коммунальные сети" </t>
  </si>
  <si>
    <t>ООО "Энерго-Сервис"</t>
  </si>
  <si>
    <t xml:space="preserve">ООО "Южная генерирующая компания" </t>
  </si>
  <si>
    <t>г.Курчатов</t>
  </si>
  <si>
    <t>город Железногорск</t>
  </si>
  <si>
    <t>ООО "Теплогенерирующая компания"</t>
  </si>
  <si>
    <t>пос. Магнитный</t>
  </si>
  <si>
    <t>город Курск</t>
  </si>
  <si>
    <t>п. Коренево</t>
  </si>
  <si>
    <t>город Рыльск</t>
  </si>
  <si>
    <t>Малогнеушевский сельсовет</t>
  </si>
  <si>
    <t>Свободинский сельсовет</t>
  </si>
  <si>
    <t>город Фатеж</t>
  </si>
  <si>
    <t>п. Иванино</t>
  </si>
  <si>
    <t>п. Поныри</t>
  </si>
  <si>
    <t>п. Хомутовка</t>
  </si>
  <si>
    <t>п. Кшенский</t>
  </si>
  <si>
    <t>город Суджа</t>
  </si>
  <si>
    <t>г. Льгов</t>
  </si>
  <si>
    <t>г. Обоянь</t>
  </si>
  <si>
    <t>Б.Солдатский сельсовет</t>
  </si>
  <si>
    <t>Любостанский сельсовет</t>
  </si>
  <si>
    <t>Нижнегридинский сельсовет</t>
  </si>
  <si>
    <t>Волоконский сельсовет</t>
  </si>
  <si>
    <t>п.Теткино</t>
  </si>
  <si>
    <t>Кульбакинский сельсовет</t>
  </si>
  <si>
    <t xml:space="preserve"> пос. Горшечное</t>
  </si>
  <si>
    <t>Среднеапоченский сельсовет</t>
  </si>
  <si>
    <t>Ясеновский сельсовет</t>
  </si>
  <si>
    <t>Куньевский сельсовет</t>
  </si>
  <si>
    <t>Солдатский сельсовет</t>
  </si>
  <si>
    <t>Нижнеборковский сельсовет</t>
  </si>
  <si>
    <t>г. Дмитриев</t>
  </si>
  <si>
    <t xml:space="preserve">МУП «Районное коммунальное хозяйство»  </t>
  </si>
  <si>
    <t>Студенокский с/с</t>
  </si>
  <si>
    <t>Разветьевский с/с</t>
  </si>
  <si>
    <t>Михайловский с/с</t>
  </si>
  <si>
    <t>Новоандросовское с/с</t>
  </si>
  <si>
    <t>п.Золотухино</t>
  </si>
  <si>
    <t>Солнечный сельсовет</t>
  </si>
  <si>
    <t>Будановский сельсовет</t>
  </si>
  <si>
    <t xml:space="preserve">п. Олымский   </t>
  </si>
  <si>
    <t>Лачиновский сельсовет</t>
  </si>
  <si>
    <t>п.Конышевка</t>
  </si>
  <si>
    <t>Клюквинский с/с</t>
  </si>
  <si>
    <t>Камышинский сельсовет</t>
  </si>
  <si>
    <t xml:space="preserve">МУП ЖКХ "Родник"                              </t>
  </si>
  <si>
    <t xml:space="preserve">МУП ЖКХ "Родник"                             </t>
  </si>
  <si>
    <t>Рышковский сельсовет</t>
  </si>
  <si>
    <t>Моковский сельсовет</t>
  </si>
  <si>
    <t xml:space="preserve"> пос. им. К. Либкнехта</t>
  </si>
  <si>
    <t>Селекционный сельсовет</t>
  </si>
  <si>
    <t>Густомойский сельсовет</t>
  </si>
  <si>
    <t>Иванчиковский сельсовет</t>
  </si>
  <si>
    <t xml:space="preserve"> п. Медвенка</t>
  </si>
  <si>
    <t>Гостомлянский сельсовет</t>
  </si>
  <si>
    <t>Панинский сельсовет</t>
  </si>
  <si>
    <t>Зоринский сельсовет</t>
  </si>
  <si>
    <t>Быкановский сельсовет</t>
  </si>
  <si>
    <t>п. Прямицыно</t>
  </si>
  <si>
    <t>Ольховатский сельсовет</t>
  </si>
  <si>
    <t>Возовский сельсовет</t>
  </si>
  <si>
    <t xml:space="preserve">ООО "Коммунальщик" п.Прямицыно </t>
  </si>
  <si>
    <t xml:space="preserve">п.Пристень </t>
  </si>
  <si>
    <t xml:space="preserve"> Бобрышевский сельсовет</t>
  </si>
  <si>
    <t>Кировский сельсовет</t>
  </si>
  <si>
    <t xml:space="preserve"> Волжановский сельсовет</t>
  </si>
  <si>
    <t>Советский сельсовет</t>
  </si>
  <si>
    <t>Мансуроовский сельсовет</t>
  </si>
  <si>
    <t>пос. Солнцево</t>
  </si>
  <si>
    <t>п. Тим</t>
  </si>
  <si>
    <t>Дубовицкий сельсовет</t>
  </si>
  <si>
    <t>Сальновский сельсовет</t>
  </si>
  <si>
    <t xml:space="preserve">п. Черемисиново </t>
  </si>
  <si>
    <t>Краснополянский сельсовет</t>
  </si>
  <si>
    <t>Охочевский сельсовет</t>
  </si>
  <si>
    <t>Озерковский сельсовет</t>
  </si>
  <si>
    <t>Защитинский сельсовет</t>
  </si>
  <si>
    <t xml:space="preserve"> Знаменский сельсовет</t>
  </si>
  <si>
    <t>Вишневский сельсовет</t>
  </si>
  <si>
    <t>Кривцовский сельсовет</t>
  </si>
  <si>
    <t>Никольский сельсовет</t>
  </si>
  <si>
    <t>Пригородненский сельсовет</t>
  </si>
  <si>
    <t xml:space="preserve"> Кобыльский сельсовет</t>
  </si>
  <si>
    <t>Калиновский сельсовет</t>
  </si>
  <si>
    <t>Наименование муниципального района</t>
  </si>
  <si>
    <t>АО «Концерн Росэнергоатом»  (филиал «Курская атомная станция»)</t>
  </si>
  <si>
    <t xml:space="preserve">ООО "СЭМЗ" (Свободинский электромеханический завод) </t>
  </si>
  <si>
    <t>ОАО "Курскрезинотехника"</t>
  </si>
  <si>
    <t>Полянский сельсовет</t>
  </si>
  <si>
    <t>населению</t>
  </si>
  <si>
    <t>МКУ "Управление ОДОМС"</t>
  </si>
  <si>
    <t xml:space="preserve">ГУПКО "Курскоблжилкомхоз" </t>
  </si>
  <si>
    <t>ГУПКО "Курскоблжилкомхоз"</t>
  </si>
  <si>
    <t xml:space="preserve">ГУПКО "Курскоблжилкомхоз"             </t>
  </si>
  <si>
    <t xml:space="preserve">ГУПКО "Курскоблжилкомхоз"                 </t>
  </si>
  <si>
    <t xml:space="preserve">ГУПКО "Курскоблжилкомхоз"  </t>
  </si>
  <si>
    <t xml:space="preserve"> ГУПКО "Курскоблжилкомхоз"</t>
  </si>
  <si>
    <t xml:space="preserve"> ГУПКО "Курскоблжилкомхоз" </t>
  </si>
  <si>
    <t>Щетинский с/с</t>
  </si>
  <si>
    <t xml:space="preserve">населению на цели отопления </t>
  </si>
  <si>
    <t>населению на цели гвс</t>
  </si>
  <si>
    <t>ПАО"Квадра" (филиал "Курская генерация")</t>
  </si>
  <si>
    <t xml:space="preserve">ФГБУ "ЦЖКУ" Минобороны России в/г № 47  п. Сахаровка </t>
  </si>
  <si>
    <t>ФГБУ "ЦЖКУ" Минобороны России в/г 26 д. Халино</t>
  </si>
  <si>
    <t xml:space="preserve">ФГБУ "ЦЖКУ" Минобороны России </t>
  </si>
  <si>
    <t>Катыринский сельсовет</t>
  </si>
  <si>
    <t>Артюховский сельсовет</t>
  </si>
  <si>
    <t>Дьяконовский сельсовет</t>
  </si>
  <si>
    <t>Залиновский сельсовет</t>
  </si>
  <si>
    <t>Черницынский сельсовет</t>
  </si>
  <si>
    <t>Большедолженковский сельсовет</t>
  </si>
  <si>
    <t>ООО "Коммунальщик" (Прямицыно)</t>
  </si>
  <si>
    <t>Курский завод "Маяк" - филиал АО "Нижегородское научно-производственное объединение имени М.В.Фрунзе"</t>
  </si>
  <si>
    <t>ВСЕГО</t>
  </si>
  <si>
    <t>собственное потребление</t>
  </si>
  <si>
    <t>передача тепловой энергии</t>
  </si>
  <si>
    <t xml:space="preserve">ООО "Жилсервис ЗЖБИ-3"
</t>
  </si>
  <si>
    <t>п.Глушково</t>
  </si>
  <si>
    <t>п.Касторное</t>
  </si>
  <si>
    <t>Солнцевский район</t>
  </si>
  <si>
    <t>г.Щигры</t>
  </si>
  <si>
    <t>всего с перепродавцами</t>
  </si>
  <si>
    <t>всего без перепродавцов</t>
  </si>
  <si>
    <t>всего с собственным потреблением</t>
  </si>
  <si>
    <t>всего по потребит с учетом переподавцов (без собствен потребления)</t>
  </si>
  <si>
    <t>всего по потребит без учета переподавцов (без собствен потребления)</t>
  </si>
  <si>
    <t>рост,%</t>
  </si>
  <si>
    <t>рост (на цели отоп+гвс)</t>
  </si>
  <si>
    <t>бюдж+проч</t>
  </si>
  <si>
    <t>г курск</t>
  </si>
  <si>
    <t>на отопл</t>
  </si>
  <si>
    <t>п. Новокасторное</t>
  </si>
  <si>
    <t>Крупецкий сельсовет</t>
  </si>
  <si>
    <t>Ворошневский с/с</t>
  </si>
  <si>
    <t>тепловая энергия в горячей воде/передача</t>
  </si>
  <si>
    <t xml:space="preserve">     </t>
  </si>
  <si>
    <t xml:space="preserve">ПАО "Квадра" (филиал "Курская генерация") </t>
  </si>
  <si>
    <t>ООО "ПРОМ-ЭНЕРГО-СЕРВИС"</t>
  </si>
  <si>
    <t>АО"Курская строительная компания "Новый курс"</t>
  </si>
  <si>
    <t>ООО "Агропроект"</t>
  </si>
  <si>
    <t xml:space="preserve">нвв исходя из объемов по периодам календарной разбивки для расчета средних </t>
  </si>
  <si>
    <t>Средевзвешенные тарифы для населения</t>
  </si>
  <si>
    <t>Итого население на отопление</t>
  </si>
  <si>
    <t>Итого население ГВС</t>
  </si>
  <si>
    <t>на цели отопления</t>
  </si>
  <si>
    <t>на цели ГВС</t>
  </si>
  <si>
    <t>без АС и Курчатова</t>
  </si>
  <si>
    <t>Средневзвешенный населению</t>
  </si>
  <si>
    <t>Средневзвеш ЭОТ по населению</t>
  </si>
  <si>
    <t>Средневзвешенное НВВ на весь объем населения по ЭОТу</t>
  </si>
  <si>
    <t>отопление +ГВС</t>
  </si>
  <si>
    <t>Всего население (отопление +ГВС)</t>
  </si>
  <si>
    <t>Средевзвешенный тариф для населения (отопление +ГВС)</t>
  </si>
  <si>
    <t>1 полуг</t>
  </si>
  <si>
    <t>2 полуг</t>
  </si>
  <si>
    <t>год</t>
  </si>
  <si>
    <t>итого полезный отпуск по потребителям</t>
  </si>
  <si>
    <t>эот</t>
  </si>
  <si>
    <t>ГОД</t>
  </si>
  <si>
    <t>потребителям</t>
  </si>
  <si>
    <t>отклонение</t>
  </si>
  <si>
    <t>средневзвеш ЭОтариф на весь объем</t>
  </si>
  <si>
    <t>1 полугодие</t>
  </si>
  <si>
    <t>2 полугодие</t>
  </si>
  <si>
    <t>Среднегодовой тариф  по установленным в разрезе групп</t>
  </si>
  <si>
    <t>в полугодовых</t>
  </si>
  <si>
    <t xml:space="preserve"> в годовых объемах в т.ч. ГВС</t>
  </si>
  <si>
    <t xml:space="preserve"> в годовых объемах населен  по цене отопления</t>
  </si>
  <si>
    <t>отопление и ГВС</t>
  </si>
  <si>
    <t>Отклонение</t>
  </si>
  <si>
    <t>в шаблоне 2019</t>
  </si>
  <si>
    <t>нвв по ЭОТу по весм группам потребителей</t>
  </si>
  <si>
    <t>НВВ ГОД ПО ПОТР</t>
  </si>
  <si>
    <t>ИНН</t>
  </si>
  <si>
    <t>ООО "СБМ"</t>
  </si>
  <si>
    <t>01.01.</t>
  </si>
  <si>
    <t>01.07.</t>
  </si>
  <si>
    <t>Год</t>
  </si>
  <si>
    <t>НВВ годовое по установленным тарифам</t>
  </si>
  <si>
    <t>НВВ  года по населению в годовых объемах</t>
  </si>
  <si>
    <t>Тарифы (руб./Гкал с НДС)</t>
  </si>
  <si>
    <t>4633037132</t>
  </si>
  <si>
    <t>МУП "Глушковское ЖКХ"</t>
  </si>
  <si>
    <t>НЕ ТРОГАТЬ!!!</t>
  </si>
  <si>
    <t>Район</t>
  </si>
  <si>
    <t>Код района</t>
  </si>
  <si>
    <t>Сельсовет</t>
  </si>
  <si>
    <t>Код сельсовета</t>
  </si>
  <si>
    <t>Организация</t>
  </si>
  <si>
    <t>ГОДОВОЙ ОБЪЕМ ТЭ ВСЕГО</t>
  </si>
  <si>
    <t>ГОДОВОЙ ОБЪЕМ ТЭ ЮРЛИЦ</t>
  </si>
  <si>
    <t>ОБЪЕМ ТЭ ЮРЛИЦ 1 полугодия</t>
  </si>
  <si>
    <t>ОБЪЕМ ТЭ ЮРЛИЦ 2 полугодия</t>
  </si>
  <si>
    <t>ГОДОВОЙ ОБЪЕМ ТЭ НАСЕЛЕНИЯ</t>
  </si>
  <si>
    <t>ГОДОВОЙ ОБЪЕМ ТЭ НА ЦЕЛИ ОТОПЛЕНИЯ НАСЕЛЕНИЯ</t>
  </si>
  <si>
    <t>ГОДОВОЙ ОБЪЕМ ТЭ НА ЦЕЛИ ГВС НАСЕЛЕНИЯ</t>
  </si>
  <si>
    <t>ВСЕГО ОБЪЕМ ТЭ НАСЕЛЕНИЯ 1 полугодия</t>
  </si>
  <si>
    <t>ВСЕГО ОБЪЕМ ТЭ НАСЕЛЕНИЯ 2 полугодия</t>
  </si>
  <si>
    <t>ОБЪЕМ ТЭ 
на ОТОПЛ. НАСЕЛЕНИЯ 
1 полугодия</t>
  </si>
  <si>
    <t>ОБЪЕМ ТЭ 
на ОТОПЛ. НАСЕЛЕНИЯ 
2 полугодия</t>
  </si>
  <si>
    <t>ОБЪЕМ ТЭ 
НА ГВС  НАСЕЛЕНИЯ 
1 полугодия</t>
  </si>
  <si>
    <t>ОБЪЕМ ТЭ 
НА ГВС  НАСЕЛЕНИЯ 
2 полугодия</t>
  </si>
  <si>
    <t>Гкал</t>
  </si>
  <si>
    <t>тыс.руб.</t>
  </si>
  <si>
    <t xml:space="preserve">МУП "Гортеплосеть"
г.Курск </t>
  </si>
  <si>
    <t>МУП "Гортеплосеть"
г.Курчатов</t>
  </si>
  <si>
    <t>МУП "Гортеплосеть"
г.Железногорск</t>
  </si>
  <si>
    <t>НЕ ТРОГАТЬ!!!!!</t>
  </si>
  <si>
    <t>на ОТОПОЛ</t>
  </si>
  <si>
    <t>на ГВС</t>
  </si>
  <si>
    <t>Ивановскиий сельсовет</t>
  </si>
  <si>
    <t xml:space="preserve">Белгородский территориальный участок Юго-Восточной 
дирекции по тепловодоснабжению – структурного подразделения 
Центральной дирекции по тепловодоснабжению – филиала ОАО «РЖД» </t>
  </si>
  <si>
    <t>Прочие</t>
  </si>
  <si>
    <t>Рост населения к эоту</t>
  </si>
  <si>
    <t xml:space="preserve">если не выделять субсидии </t>
  </si>
  <si>
    <t xml:space="preserve"> с 1 января</t>
  </si>
  <si>
    <t>с 1 июля</t>
  </si>
  <si>
    <t>ГОДОВЫЕ объемы ( Гкал)</t>
  </si>
  <si>
    <t xml:space="preserve">НВВ ИСХОДЯ ИЗ ГОДОВЫХ ОБЪЕМОВ для роста тарифов по потребителям </t>
  </si>
  <si>
    <t>ВЫПАДАЮЩИЕ (субсидии)  принятые при установлении тарифов без ндс</t>
  </si>
  <si>
    <t xml:space="preserve">НВВ в тарифах годовая </t>
  </si>
  <si>
    <t>НВВ Предложения предприятий</t>
  </si>
  <si>
    <t>АО "Курский комбинат хлебопродуктов"</t>
  </si>
  <si>
    <t>1 января 2021</t>
  </si>
  <si>
    <t>1 июля 2021</t>
  </si>
  <si>
    <t xml:space="preserve">АО "ГАЗСПЕЦРЕСУРС" 
</t>
  </si>
  <si>
    <t>АО "Михайловский ГОК им. А.В. Варичева"</t>
  </si>
  <si>
    <t>НВВ годовое по  ЭОТ  по периодам календарной разбивки объемы</t>
  </si>
  <si>
    <t xml:space="preserve">МУП "Теплосеть" </t>
  </si>
  <si>
    <t xml:space="preserve">ПАО "Квадра" (филиал "Курская генерация")  </t>
  </si>
  <si>
    <t>п. Дичня</t>
  </si>
  <si>
    <t>да</t>
  </si>
  <si>
    <t>1 ПОЛУГОДИЕ ОБЪЕМ ТЭ ВСЕГО</t>
  </si>
  <si>
    <t>2 ПОЛУГОДИЕ ОБЪЕМ ТЭ ВСЕГО</t>
  </si>
  <si>
    <t>ООО «НИАГАРА+»</t>
  </si>
  <si>
    <t>Товарка по переподавцам</t>
  </si>
  <si>
    <t>руб./Гкал</t>
  </si>
  <si>
    <t>нет</t>
  </si>
  <si>
    <t>АО "Концерн Росэнергоатом" (филиал "Курская атомная станция")</t>
  </si>
  <si>
    <t>МУП "Кшенское" поселка Кшенский</t>
  </si>
  <si>
    <t>ООО "Коммунальщик" п. Прямицино</t>
  </si>
  <si>
    <t>ООО "Комфорт" г. Железногорск</t>
  </si>
  <si>
    <t>ООО"Теплосети п.Поныри"</t>
  </si>
  <si>
    <t>ФГБУ "Санаторий Марьино"</t>
  </si>
  <si>
    <t>АО "ГАЗСПЕЦРЕСУРС"</t>
  </si>
  <si>
    <t>АО "ККХП"</t>
  </si>
  <si>
    <t>АО "Михайловский ГОК  им. А.В. Варичева"</t>
  </si>
  <si>
    <t>АО "ТЭСК"</t>
  </si>
  <si>
    <t>МУП "Гортеплосеть"</t>
  </si>
  <si>
    <t>МУП "Городские тепловые сети" МО  "город Курчатов"</t>
  </si>
  <si>
    <t>МУП КЭТС г.Суджа</t>
  </si>
  <si>
    <t>МУП ЖКХ "Родник"</t>
  </si>
  <si>
    <t>МУП "Теплосеть"</t>
  </si>
  <si>
    <t>ООО "ГОТЭК-ЦПУ"</t>
  </si>
  <si>
    <t>ООО "Курские Внешние Коммунальные сети"</t>
  </si>
  <si>
    <t>ООО "Свободинский электромеханический завод"</t>
  </si>
  <si>
    <t>ООО "Хомутовские КТС"</t>
  </si>
  <si>
    <t>ООО "Южная генерирующая компания"</t>
  </si>
  <si>
    <t>ПАО "Квадра" (филиал "Курская генерация")</t>
  </si>
  <si>
    <t>Филиал ФГБУ "ЦЖКУ" Минобороны России по ЗВО</t>
  </si>
  <si>
    <t>ООО "Жилсервис ЗЖБИ-3"</t>
  </si>
  <si>
    <t>Белгородский территориальный участок Юго-Восточной дирекции по тепловодоснабжению - структурного подразделения Центральной дирекции по тепловодоснабжению - филиала ОАО "РЖД"</t>
  </si>
  <si>
    <t>МКУ "Управление обеспечения деятельности органов местного самоуправления"</t>
  </si>
  <si>
    <t>МУП "Гортеплосеть" города Железногорска</t>
  </si>
  <si>
    <t>АО "Курская строительная компания "Новый курс"</t>
  </si>
  <si>
    <t>МУП "Районное коммунальное хозяйство"</t>
  </si>
  <si>
    <t>Плательщик НДС</t>
  </si>
  <si>
    <t>Калькуляция затрат организаций теплоснабжения по региону Курская область</t>
  </si>
  <si>
    <t>ЗАТРАТЫ НА 2022</t>
  </si>
  <si>
    <t>ЭНЕРГОРЕСУРСЫ</t>
  </si>
  <si>
    <t>ОПЕРАЦИОННЫЕ</t>
  </si>
  <si>
    <t>НЕПОДКОНТРОЛЬНЫЕ</t>
  </si>
  <si>
    <t>Дельты</t>
  </si>
  <si>
    <t>ПРИБЫЛЬ</t>
  </si>
  <si>
    <r>
      <rPr>
        <b/>
        <sz val="20"/>
        <rFont val="Times New Roman"/>
        <family val="1"/>
        <charset val="204"/>
      </rPr>
      <t>2022</t>
    </r>
    <r>
      <rPr>
        <b/>
        <sz val="8"/>
        <rFont val="Times New Roman"/>
        <family val="1"/>
        <charset val="204"/>
      </rPr>
      <t xml:space="preserve">
</t>
    </r>
    <r>
      <rPr>
        <b/>
        <sz val="14"/>
        <rFont val="Times New Roman"/>
        <family val="1"/>
        <charset val="204"/>
      </rPr>
      <t>С НДС</t>
    </r>
  </si>
  <si>
    <r>
      <rPr>
        <b/>
        <sz val="14"/>
        <rFont val="Times New Roman"/>
        <family val="1"/>
        <charset val="204"/>
      </rPr>
      <t>2022</t>
    </r>
    <r>
      <rPr>
        <b/>
        <sz val="9"/>
        <rFont val="Times New Roman"/>
        <family val="1"/>
        <charset val="204"/>
      </rPr>
      <t xml:space="preserve">
ИТОГО</t>
    </r>
  </si>
  <si>
    <r>
      <rPr>
        <b/>
        <sz val="16"/>
        <rFont val="Times New Roman"/>
        <family val="1"/>
        <charset val="204"/>
      </rPr>
      <t>2022</t>
    </r>
    <r>
      <rPr>
        <b/>
        <sz val="9"/>
        <rFont val="Times New Roman"/>
        <family val="1"/>
        <charset val="204"/>
      </rPr>
      <t xml:space="preserve">
ЭНЕРГОРЕСУРСЫ</t>
    </r>
  </si>
  <si>
    <r>
      <rPr>
        <b/>
        <sz val="18"/>
        <color theme="1"/>
        <rFont val="Times New Roman"/>
        <family val="1"/>
        <charset val="204"/>
      </rPr>
      <t xml:space="preserve">2022 </t>
    </r>
    <r>
      <rPr>
        <b/>
        <sz val="11"/>
        <color theme="1"/>
        <rFont val="Times New Roman"/>
        <family val="1"/>
        <charset val="204"/>
      </rPr>
      <t>ЭНЕРГОРЕСУРСЫ</t>
    </r>
  </si>
  <si>
    <t>2022 ОПЕРАЦИОННЫЕ</t>
  </si>
  <si>
    <t>ТОПЛИВО</t>
  </si>
  <si>
    <t>ЭНЕРГИЯ</t>
  </si>
  <si>
    <t>Тех вода, водоотведение, теплоноситель</t>
  </si>
  <si>
    <t>ЭР</t>
  </si>
  <si>
    <t>ОР</t>
  </si>
  <si>
    <t>НР</t>
  </si>
  <si>
    <t>П</t>
  </si>
  <si>
    <t>А</t>
  </si>
  <si>
    <t>индекс</t>
  </si>
  <si>
    <t>№ п/п</t>
  </si>
  <si>
    <t>Субъект баланса</t>
  </si>
  <si>
    <t>Стоимость натурального топлива с учётом транспортировки (перевозки) (топливо на технологические цели)</t>
  </si>
  <si>
    <t>Газ природный</t>
  </si>
  <si>
    <t>Уголь</t>
  </si>
  <si>
    <t>Энергия</t>
  </si>
  <si>
    <t>Прочие виды топлива</t>
  </si>
  <si>
    <t>ВСЕГО Операционные расходы</t>
  </si>
  <si>
    <t>в том числе 
ФОТ</t>
  </si>
  <si>
    <t>Прочие операционные</t>
  </si>
  <si>
    <t>Неподконтрольные расходы</t>
  </si>
  <si>
    <t>ЕСН</t>
  </si>
  <si>
    <t>Амортизация</t>
  </si>
  <si>
    <t>Прочие неподконтрольные расходы</t>
  </si>
  <si>
    <t>Корректировка НВВ за прошлые периоды</t>
  </si>
  <si>
    <t>Прибыль</t>
  </si>
  <si>
    <t>Газ лимитный</t>
  </si>
  <si>
    <t xml:space="preserve">Энергия, в том числе </t>
  </si>
  <si>
    <t xml:space="preserve">энергия (покупная энергия) на технологические цели </t>
  </si>
  <si>
    <t xml:space="preserve">затраты на покупную тепловую энергию </t>
  </si>
  <si>
    <t>С коллекторов, всего</t>
  </si>
  <si>
    <t>от станций с мощностью производства &gt;= 25 МВт</t>
  </si>
  <si>
    <t>объём ТЭ</t>
  </si>
  <si>
    <t>цена ТЭ</t>
  </si>
  <si>
    <t>Из тепловой сети, всего</t>
  </si>
  <si>
    <t>от котельных (некомбинированная выработка)</t>
  </si>
  <si>
    <t>в том числе покупка потерь из тепловой сети</t>
  </si>
  <si>
    <t>от станций с мощностью производства &lt; 25 МВт</t>
  </si>
  <si>
    <t>затраты на оплату услуг по передаче тепловой энергии</t>
  </si>
  <si>
    <t>затраты на покупную электрическую энергию, по уровням напряжения:</t>
  </si>
  <si>
    <t>объём энергии</t>
  </si>
  <si>
    <t>объём заявленной мощности</t>
  </si>
  <si>
    <t>энергия НН (0,4 кВ и ниже)</t>
  </si>
  <si>
    <t>тариф на энергию</t>
  </si>
  <si>
    <t>заявленная мощность по НН (0,4 кВ и ниже)</t>
  </si>
  <si>
    <t>тариф на заявленную мощность</t>
  </si>
  <si>
    <t>годовой объём мощности</t>
  </si>
  <si>
    <t>энергия СН 2 (1-20 кВ)</t>
  </si>
  <si>
    <t>заявленная мощность по СН 2 (1-20 кВ)</t>
  </si>
  <si>
    <t>энергия СН 1 (35 кВ)</t>
  </si>
  <si>
    <t>заявленная мощность по СН 1 (35 кВ)</t>
  </si>
  <si>
    <t>энергия ВН (110 кВ и выше)</t>
  </si>
  <si>
    <t>заявленная мощность по ВН (110 кВ и выше)</t>
  </si>
  <si>
    <t xml:space="preserve">энергия на хозяйственные нужды </t>
  </si>
  <si>
    <t xml:space="preserve">тепловая энергия </t>
  </si>
  <si>
    <t xml:space="preserve">электрическая энергия </t>
  </si>
  <si>
    <t xml:space="preserve">Затраты на оплату труда </t>
  </si>
  <si>
    <t>оплата труда основных производственных рабочих</t>
  </si>
  <si>
    <t>оплата труда ремонтного персонала</t>
  </si>
  <si>
    <t>оплата труда цехового персонала</t>
  </si>
  <si>
    <t>оплата труда АУП</t>
  </si>
  <si>
    <t>оплата труда прочего персонала, относимого на регулируемый вид деятельности</t>
  </si>
  <si>
    <t xml:space="preserve">Отчисления на социальные нужды, в том числе </t>
  </si>
  <si>
    <t>отчисления на соц. нужды от заработной платы основных производственных рабочих</t>
  </si>
  <si>
    <t>отчисления на соц. нужды от заработной платы ремонтного персонала</t>
  </si>
  <si>
    <t>отчисления на соц. нужды от заработной платы цехового персонала</t>
  </si>
  <si>
    <t>отчисления на соц. нужды от заработной платы АУП</t>
  </si>
  <si>
    <t>отчисления на соц. нужды от заработной платы прочего персонала</t>
  </si>
  <si>
    <t>Холодная вода</t>
  </si>
  <si>
    <t>Цена</t>
  </si>
  <si>
    <t>Объём</t>
  </si>
  <si>
    <t>Водоотведение</t>
  </si>
  <si>
    <t>Теплоноситель</t>
  </si>
  <si>
    <t>Расходы, связанные с созданием нормативных запасов топлива</t>
  </si>
  <si>
    <t>Расходы на приобретение сырья и материалов</t>
  </si>
  <si>
    <t>Реагенты, фильтрующие и ионообменные материалы для водоподготовки</t>
  </si>
  <si>
    <t>ГСМ</t>
  </si>
  <si>
    <t>На текущий и капитальный ремонт</t>
  </si>
  <si>
    <t>На текущее содержание и техническое обслуживание</t>
  </si>
  <si>
    <t>Специальная одежда</t>
  </si>
  <si>
    <t>Хозяйственный инвентарь и другие вспомогательные материалы</t>
  </si>
  <si>
    <t>Прочие расходы</t>
  </si>
  <si>
    <t>Ремонт основных средств, выполняемый подрядным способом</t>
  </si>
  <si>
    <t>Расходы на оплату работ и услуг производственного характера, выполняемых по договорам со сторонними организациями</t>
  </si>
  <si>
    <t>транспортные услуги</t>
  </si>
  <si>
    <t>работы по техническому регламенту</t>
  </si>
  <si>
    <t>прочие услуги вспомогательных производств</t>
  </si>
  <si>
    <t>иные работы и услуги производственного характера</t>
  </si>
  <si>
    <t>Расходы на оплату иных работ и услуг, выполняемых по договорам с организациями, включая:</t>
  </si>
  <si>
    <t>услуги связи</t>
  </si>
  <si>
    <t xml:space="preserve">услуги вневедомственной охраны </t>
  </si>
  <si>
    <t xml:space="preserve">коммунальные услуги </t>
  </si>
  <si>
    <t>расходы на консультационные услуги</t>
  </si>
  <si>
    <t>расходы на юридические услуги</t>
  </si>
  <si>
    <t>расходы на информационные услуги</t>
  </si>
  <si>
    <t>расходы на аудиторские услуги</t>
  </si>
  <si>
    <t>услуги по стратегическому управлению организацией</t>
  </si>
  <si>
    <t>расходы по подготовке и освоению производства (пуско-наладочные работы)</t>
  </si>
  <si>
    <t>целевые средства на НИОКР</t>
  </si>
  <si>
    <t>средства на необязательное (дополнительное) страхование</t>
  </si>
  <si>
    <t>иные работы и услуги</t>
  </si>
  <si>
    <t>Аренда имущества</t>
  </si>
  <si>
    <t>Аренда объектов в государственной собственности</t>
  </si>
  <si>
    <t>Аренда объектов в муниципальной собственности</t>
  </si>
  <si>
    <t>Прочее</t>
  </si>
  <si>
    <t>Расходы на служебные командировки</t>
  </si>
  <si>
    <t>Расходы на обучение персонала</t>
  </si>
  <si>
    <t>Расходы на вывод из эксплуатации (в том числе на консервацию) и вывод из консервации</t>
  </si>
  <si>
    <t>Услуги банков</t>
  </si>
  <si>
    <t>Прочие операционные расходы</t>
  </si>
  <si>
    <t>Общехозяйственные расходы</t>
  </si>
  <si>
    <t>Иные расходы</t>
  </si>
  <si>
    <t>Расходы на оплату услуг, оказываемых организациями, осуществляющими регулируемые виды деятельности</t>
  </si>
  <si>
    <t>Арендная плата</t>
  </si>
  <si>
    <t>аренда производственных объектов</t>
  </si>
  <si>
    <t>аренда непроизводственных объектов</t>
  </si>
  <si>
    <t>Концессионная плата</t>
  </si>
  <si>
    <t>Лизинговый платеж</t>
  </si>
  <si>
    <t>лизинг производственных объектов</t>
  </si>
  <si>
    <t>лизинг непроизводственных объектов (без перехода права собственности на предмет лизинга к лизингополучателю)</t>
  </si>
  <si>
    <t>лизинг непроизводственных объектов  (с переходом права собственности на предмет лизинга к лизингополучателю)</t>
  </si>
  <si>
    <t>Расходы на уплату налогов, сборов и других обязательных платежей, в том числе:</t>
  </si>
  <si>
    <t>плата за выбросы и сбросы загрязняющих веществ в окружающую среду, размещение отходов и другие виды негативного воздействия на окружающую среду в пределах установленных нормативов и (или) лимитов</t>
  </si>
  <si>
    <t>расходы на обязательное страхование</t>
  </si>
  <si>
    <t>иные расходы</t>
  </si>
  <si>
    <t>уплата налогов, всего</t>
  </si>
  <si>
    <t>налог на имущество организаций</t>
  </si>
  <si>
    <t>земельный налог</t>
  </si>
  <si>
    <t>транспортный налог</t>
  </si>
  <si>
    <t>водный налог</t>
  </si>
  <si>
    <t>прочие налоги</t>
  </si>
  <si>
    <t>Расходы по сомнительным долгам</t>
  </si>
  <si>
    <t>Амортизация основных средств и нематериальных активов</t>
  </si>
  <si>
    <t>Амортизация производственного оборудования</t>
  </si>
  <si>
    <t>Амортизация иных основных средств и нематериальных активов</t>
  </si>
  <si>
    <t>Расходы на выплаты по договорам займа и кредитным договорам, включая проценты по ним</t>
  </si>
  <si>
    <t>Налог на прибыль</t>
  </si>
  <si>
    <t>Итого расходы</t>
  </si>
  <si>
    <t>Недополученные доходы / Выпадающие расходы</t>
  </si>
  <si>
    <t>По результатам досудебного рассмотрения споров</t>
  </si>
  <si>
    <t>По результатам рассмотрения разногласий</t>
  </si>
  <si>
    <t>Экономически обоснованные расходы, не учтённые органом регулирования при установлении тарифов на товары (работы, услуги) в прошлом периоде</t>
  </si>
  <si>
    <t>Экономически обоснованные расходы, понесённые за отчётные периоды:</t>
  </si>
  <si>
    <t>расходы, связанные с незапланированным ростом цен на продукцию</t>
  </si>
  <si>
    <t>расходы, связанные с обслуживанием заёмных средств, привлекаемых для покрытия недостатка средств</t>
  </si>
  <si>
    <t>в т.ч. покрытие недостатка средств, вызванного осуществлением расчётов за коммунальную услугу по отоплению равномерно в течение календарного года</t>
  </si>
  <si>
    <t>Выпадающие доходы/экономия средств от подключения объектов заявителей, подключаемая нагрузка которых не превышает 0,1 Гкал/ч (справочно)</t>
  </si>
  <si>
    <t>Другие</t>
  </si>
  <si>
    <t>Избыток средств, полученный за отчётные периоды регулирования</t>
  </si>
  <si>
    <t xml:space="preserve">Перекрёстное субсидирование, в том числе </t>
  </si>
  <si>
    <t>Перекрёстка между видами деятельности (электроэнергия и тепловая энергия)</t>
  </si>
  <si>
    <t>Перекрёстка между группами потребителей</t>
  </si>
  <si>
    <t>Расчётная предпринимательская прибыль</t>
  </si>
  <si>
    <t>Справочно: расчётная предпринимательская прибыль</t>
  </si>
  <si>
    <t>Нормативная прибыль / капитальные вложения / инвестиции</t>
  </si>
  <si>
    <t>Средства на возврат займов и кредитов, привлекаемых на реализацию ИП регулируемой организации, в размере, определяемом исходя из срока их возврата, предусмотренного договорами займа и кредитными договорами, в том числе расходы на привлечение и погашение таких займов и кредитов, а также проценты по таким займам и кредитам</t>
  </si>
  <si>
    <t>Расходы на капитальные вложения (инвестиции)</t>
  </si>
  <si>
    <t>Экономически обоснованные расходы на выплаты, предусмотренные коллективными договорами, не учитываемые при определении налоговой базы налога на прибыль (расходов, относимых на прибыль после налогообложения), в соответствии с НК РФ</t>
  </si>
  <si>
    <t>Справочно: Ставка налога на прибыль</t>
  </si>
  <si>
    <t>Норма доходности</t>
  </si>
  <si>
    <t>Справочно: Нормативный уровень прибыли</t>
  </si>
  <si>
    <t>Справочно: Расчёт источников финансирования капитальных вложений</t>
  </si>
  <si>
    <t>Объём капитальных вложений</t>
  </si>
  <si>
    <t>на производство электрической энергии</t>
  </si>
  <si>
    <t>на производство тепловой энергии</t>
  </si>
  <si>
    <t>на производство теплоносителя</t>
  </si>
  <si>
    <t>на передачу тепловой энергии</t>
  </si>
  <si>
    <t>прочее</t>
  </si>
  <si>
    <t>Финансирование капитальных вложений</t>
  </si>
  <si>
    <t>Амортизационных отчислений на полное восстановление основных фондов (100%)</t>
  </si>
  <si>
    <t>в т.ч за счёт переоценки основных средств и нематериальных активов</t>
  </si>
  <si>
    <t>Неиспользованных средств на начало года</t>
  </si>
  <si>
    <t>Федеральный бюджет</t>
  </si>
  <si>
    <t>Местный бюджет</t>
  </si>
  <si>
    <t>Региональный (республиканский, краевой, областной) бюджет</t>
  </si>
  <si>
    <t>Займы и кредиты</t>
  </si>
  <si>
    <t>Средства, полученные от реализации ценных бумаг</t>
  </si>
  <si>
    <t>Плата за подключение</t>
  </si>
  <si>
    <t>Метод индексации / Метод доходности инвестированного капитала / Метод сравнения аналогов</t>
  </si>
  <si>
    <t>Экономия операционных расходов</t>
  </si>
  <si>
    <t>Прирост экономии</t>
  </si>
  <si>
    <t>Суммарная экономия неподконтрольных расходов</t>
  </si>
  <si>
    <t>Экономия от снижения потребления ТЭ</t>
  </si>
  <si>
    <t>Экономия от снижения потребления ЭЭ</t>
  </si>
  <si>
    <t>Экономия от снижения потребления топлива</t>
  </si>
  <si>
    <t>Экономия от снижения потребления ХВС</t>
  </si>
  <si>
    <t>Экономия от снижения потребления ВО</t>
  </si>
  <si>
    <t>Экономия от снижения потребления ТН</t>
  </si>
  <si>
    <t>Экономия от снижения потребления ГВС</t>
  </si>
  <si>
    <t>Метод индексации</t>
  </si>
  <si>
    <t>Индекс эффективности расходов</t>
  </si>
  <si>
    <t>Индекс потребительских цен</t>
  </si>
  <si>
    <t>Индекс количества активов</t>
  </si>
  <si>
    <t>Результаты деятельности до перехода к регулированию цен (тарифов) на основе долгосрочных параметров регулирования, всего в том числе:</t>
  </si>
  <si>
    <t xml:space="preserve">экономически обоснованные расходы, понесенные в периоды регулирования, предшествовавшие переходу к регулированию цен (тарифов) на основе долгосрочных параметров регулирования </t>
  </si>
  <si>
    <t xml:space="preserve">доходы регулируемой организации, необоснованно полученные в периоды регулирования, предшествовавшие переходу к регулированию цен (тарифов) на основе долгосрочных параметров регулирования </t>
  </si>
  <si>
    <t>экономия от снижения потребления энергетических ресурсов, холодной воды и теплоносителя, достигнутая до перехода к регулированию цен (тарифов) на основе долгосрочных параметров регулирования</t>
  </si>
  <si>
    <t>Корректировка с целью учёта отклонения фактических значений параметров расчёта тарифов от значений, учтённых при установлении тарифов</t>
  </si>
  <si>
    <t>Корректировка с учётом надежности и качества реализуемых товаров, подлежащая учёту в НВВ</t>
  </si>
  <si>
    <t>Корректировка НВВ в связи с изменением (неисполнением) инвестиционной программы</t>
  </si>
  <si>
    <t>Корректировка, подлежащая учёту в НВВ и учитывающая отклонение фактических показателей энергосбережения и повышения энергетической эффективности от установленных плановых (расчётных) показателей и сроков реализации</t>
  </si>
  <si>
    <t>Суммарная корректировка НВВ</t>
  </si>
  <si>
    <t>Метод доходности инвестированного капитала</t>
  </si>
  <si>
    <t>Возврат капитала</t>
  </si>
  <si>
    <t>Полная величина инвестированного капитала</t>
  </si>
  <si>
    <t>Срок возврата инвестированного капитала</t>
  </si>
  <si>
    <t>Доход на инвестированный капитал</t>
  </si>
  <si>
    <t>Первоначальный размер инвестированного капитала</t>
  </si>
  <si>
    <t>Доходность первоначального размера инвестированного капитала</t>
  </si>
  <si>
    <t>База инвестированного капитала</t>
  </si>
  <si>
    <t>Чистый оборотный капитал</t>
  </si>
  <si>
    <t>Норматив чистого оборотного капитала</t>
  </si>
  <si>
    <t>Норма доходности нового капитала</t>
  </si>
  <si>
    <t>Норма доходности старого капитала</t>
  </si>
  <si>
    <t>Метод сравнения аналогов</t>
  </si>
  <si>
    <t>Базовый уровень расходов, связанных с осуществлением регулируемой деятельности</t>
  </si>
  <si>
    <t>Корректировка НВВ с учётом отклонения фактических значений ИПЦ от значений, учтённых при установлении тарифов</t>
  </si>
  <si>
    <t>Операционные расходы</t>
  </si>
  <si>
    <t>Расходы на приобретение (производство) энергетических ресурсов</t>
  </si>
  <si>
    <t>Необходимая валовая выручка без НДС</t>
  </si>
  <si>
    <t>Необходимая валовая выручка с НДС</t>
  </si>
  <si>
    <t>Товарная продукция на реализацию потребителям без учёта НДС</t>
  </si>
  <si>
    <t>Товарная продукция на реализацию потребителям с учётом НДС</t>
  </si>
  <si>
    <t>Полезный отпуск продукции всего:
[БТр!п.3] - транспортировка
[БПр!п.3 - БПр!п.3.1.2 - БПр!п.3.6 + БПр!п.5.2] - производство</t>
  </si>
  <si>
    <t>Полезный отпуск продукции на реализацию потребителям:
[БТр!п.3.2:3.5] - транспортировка
[БПр!п.3.2:3.5 + БПр!п.5.2.2 + БПр!п.5.2.3] - производство</t>
  </si>
  <si>
    <t>Коэффициент (доля) на реализацию потребителям</t>
  </si>
  <si>
    <t>Полезный отпуск продукции на реализацию потребителям без учёта перепродажи:
[БТр!п.3.3:3.5] - транспортировка
[БПр!п.3.2:3.4 + БПр!п.5.2.3] - производство</t>
  </si>
  <si>
    <t>Рентабельность</t>
  </si>
  <si>
    <t>Избыток средств / недополученный доход в текущем периоде регулирования</t>
  </si>
  <si>
    <t>Товарная продукция на реализацию потребителям без учёта НДС, исходя из утверждённых тарифов</t>
  </si>
  <si>
    <t>Полезный отпуск продукции на реализацию потребителям</t>
  </si>
  <si>
    <t>Организации-перепродавцы / энергоснабжающие организации</t>
  </si>
  <si>
    <t>средневзвешенный тариф</t>
  </si>
  <si>
    <t>объём</t>
  </si>
  <si>
    <t>Бюджетные потребители</t>
  </si>
  <si>
    <t>Население</t>
  </si>
  <si>
    <t>Дополнительные показатели</t>
  </si>
  <si>
    <t>Производство</t>
  </si>
  <si>
    <t>Стоимость основных средств, относимых на источники производства ТЭ</t>
  </si>
  <si>
    <t>Износ основных средств</t>
  </si>
  <si>
    <t>Передача</t>
  </si>
  <si>
    <t>Стоимость основных средств, относимых на передачу ТЭ</t>
  </si>
  <si>
    <t>Протяженность сетей (в двухтрубном исчислении)</t>
  </si>
  <si>
    <t>Протяженность сетей, подлежащих замене (износ 100%)</t>
  </si>
  <si>
    <t>Сбыт</t>
  </si>
  <si>
    <t>Полезный отпуск наиболее крупному единичному потребителю</t>
  </si>
  <si>
    <t>Численность обслуживаемого населения</t>
  </si>
  <si>
    <t>Количество абонентов</t>
  </si>
  <si>
    <t>тыс. Гкал</t>
  </si>
  <si>
    <t>тыс.кВт*ч</t>
  </si>
  <si>
    <t>МВт</t>
  </si>
  <si>
    <t>руб./кВт*ч</t>
  </si>
  <si>
    <t>руб./кВт*мес</t>
  </si>
  <si>
    <t>руб./куб.м</t>
  </si>
  <si>
    <t>тыс.куб.м</t>
  </si>
  <si>
    <t>%</t>
  </si>
  <si>
    <t>лет</t>
  </si>
  <si>
    <t>руб./ед.</t>
  </si>
  <si>
    <t>км</t>
  </si>
  <si>
    <t>чел.</t>
  </si>
  <si>
    <t>тыс.ед.</t>
  </si>
  <si>
    <t>4</t>
  </si>
  <si>
    <t>4.NGL</t>
  </si>
  <si>
    <t>4.COA</t>
  </si>
  <si>
    <t>4.ENR</t>
  </si>
  <si>
    <t>4.OTH</t>
  </si>
  <si>
    <t>5</t>
  </si>
  <si>
    <t>5.1</t>
  </si>
  <si>
    <t>5.1.1</t>
  </si>
  <si>
    <t>5.1.1.1</t>
  </si>
  <si>
    <t>5.1.1.1.1</t>
  </si>
  <si>
    <t>5.1.1.1.1.0.1</t>
  </si>
  <si>
    <t>5.1.1.1.1.0.2</t>
  </si>
  <si>
    <t>5.1.1.3</t>
  </si>
  <si>
    <t>5.1.1.3.1</t>
  </si>
  <si>
    <t>5.1.1.3.1.0.1</t>
  </si>
  <si>
    <t>5.1.1.3.1.0.2</t>
  </si>
  <si>
    <t>5.1.1.3.3</t>
  </si>
  <si>
    <t>5.1.1.3.3.0.1</t>
  </si>
  <si>
    <t>5.1.1.3.3.0.2</t>
  </si>
  <si>
    <t>5.1.1.4</t>
  </si>
  <si>
    <t>5.1.1.4.1</t>
  </si>
  <si>
    <t>5.1.1.4.2</t>
  </si>
  <si>
    <t>5.1.1.4.3</t>
  </si>
  <si>
    <t>5.1.2</t>
  </si>
  <si>
    <t>5.1.3</t>
  </si>
  <si>
    <t>5.1.3.0.1</t>
  </si>
  <si>
    <t>5.1.3.0.2</t>
  </si>
  <si>
    <t>5.1.3.1.1</t>
  </si>
  <si>
    <t>5.1.3.1.1.1</t>
  </si>
  <si>
    <t>5.1.3.1.1.2</t>
  </si>
  <si>
    <t>5.1.3.1.2</t>
  </si>
  <si>
    <t>5.1.3.1.2.1</t>
  </si>
  <si>
    <t>5.1.3.1.2.2</t>
  </si>
  <si>
    <t>5.1.3.2.1</t>
  </si>
  <si>
    <t>5.1.3.2.1.1</t>
  </si>
  <si>
    <t>5.1.3.2.1.2</t>
  </si>
  <si>
    <t>5.1.3.2.2</t>
  </si>
  <si>
    <t>5.1.3.2.2.1</t>
  </si>
  <si>
    <t>5.1.3.2.2.2</t>
  </si>
  <si>
    <t>5.1.3.3.1</t>
  </si>
  <si>
    <t>5.1.3.3.1.1</t>
  </si>
  <si>
    <t>5.1.3.3.1.2</t>
  </si>
  <si>
    <t>5.1.3.3.2</t>
  </si>
  <si>
    <t>5.1.3.3.2.1</t>
  </si>
  <si>
    <t>5.1.3.3.2.2</t>
  </si>
  <si>
    <t>5.1.3.4.1</t>
  </si>
  <si>
    <t>5.1.3.4.1.1</t>
  </si>
  <si>
    <t>5.1.3.4.1.2</t>
  </si>
  <si>
    <t>5.1.3.4.2</t>
  </si>
  <si>
    <t>5.1.3.4.2.1</t>
  </si>
  <si>
    <t>5.1.3.4.2.2</t>
  </si>
  <si>
    <t>5.2</t>
  </si>
  <si>
    <t>5.2.1</t>
  </si>
  <si>
    <t>5.2.2</t>
  </si>
  <si>
    <t>5.2.2.0.1</t>
  </si>
  <si>
    <t>5.2.2.0.2</t>
  </si>
  <si>
    <t>5.2.2.2.1</t>
  </si>
  <si>
    <t>5.2.2.2.1.1</t>
  </si>
  <si>
    <t>5.2.2.2.1.2</t>
  </si>
  <si>
    <t>5.2.2.4.2</t>
  </si>
  <si>
    <t>5.2.2.4.2.1</t>
  </si>
  <si>
    <t>5.2.2.4.2.2</t>
  </si>
  <si>
    <t>6</t>
  </si>
  <si>
    <t>6.1</t>
  </si>
  <si>
    <t>6.2</t>
  </si>
  <si>
    <t>6.3</t>
  </si>
  <si>
    <t>6.4</t>
  </si>
  <si>
    <t>6.5</t>
  </si>
  <si>
    <t>7</t>
  </si>
  <si>
    <t>7.1</t>
  </si>
  <si>
    <t>7.2</t>
  </si>
  <si>
    <t>7.3</t>
  </si>
  <si>
    <t>7.4</t>
  </si>
  <si>
    <t>7.5</t>
  </si>
  <si>
    <t>8</t>
  </si>
  <si>
    <t>8.1</t>
  </si>
  <si>
    <t>8.2</t>
  </si>
  <si>
    <t>9</t>
  </si>
  <si>
    <t>9.1</t>
  </si>
  <si>
    <t>9.2</t>
  </si>
  <si>
    <t>10</t>
  </si>
  <si>
    <t>11</t>
  </si>
  <si>
    <t>12</t>
  </si>
  <si>
    <t>12.1</t>
  </si>
  <si>
    <t>12.2</t>
  </si>
  <si>
    <t>12.3</t>
  </si>
  <si>
    <t>12.4</t>
  </si>
  <si>
    <t>12.5</t>
  </si>
  <si>
    <t>12.6</t>
  </si>
  <si>
    <t>12.7</t>
  </si>
  <si>
    <t>13</t>
  </si>
  <si>
    <t>14</t>
  </si>
  <si>
    <t>14.1</t>
  </si>
  <si>
    <t>14.2</t>
  </si>
  <si>
    <t>14.3</t>
  </si>
  <si>
    <t>14.4</t>
  </si>
  <si>
    <t>15</t>
  </si>
  <si>
    <t>15.1</t>
  </si>
  <si>
    <t>15.2</t>
  </si>
  <si>
    <t>15.3</t>
  </si>
  <si>
    <t>15.4</t>
  </si>
  <si>
    <t>15.5</t>
  </si>
  <si>
    <t>15.6</t>
  </si>
  <si>
    <t>15.7</t>
  </si>
  <si>
    <t>15.8</t>
  </si>
  <si>
    <t>15.9</t>
  </si>
  <si>
    <t>15.10</t>
  </si>
  <si>
    <t>15.11</t>
  </si>
  <si>
    <t>15.12</t>
  </si>
  <si>
    <t>RENT</t>
  </si>
  <si>
    <t>RENT.1</t>
  </si>
  <si>
    <t>RENT.2</t>
  </si>
  <si>
    <t>RENT.3</t>
  </si>
  <si>
    <t>16</t>
  </si>
  <si>
    <t>17</t>
  </si>
  <si>
    <t>18</t>
  </si>
  <si>
    <t>19</t>
  </si>
  <si>
    <t>20</t>
  </si>
  <si>
    <t>20.1</t>
  </si>
  <si>
    <t>20.2</t>
  </si>
  <si>
    <t>21</t>
  </si>
  <si>
    <t>22</t>
  </si>
  <si>
    <t>22.1</t>
  </si>
  <si>
    <t>22.2</t>
  </si>
  <si>
    <t>23</t>
  </si>
  <si>
    <t>24</t>
  </si>
  <si>
    <t>24.1</t>
  </si>
  <si>
    <t>24.2</t>
  </si>
  <si>
    <t>24.3</t>
  </si>
  <si>
    <t>25</t>
  </si>
  <si>
    <t>25.1</t>
  </si>
  <si>
    <t>25.2</t>
  </si>
  <si>
    <t>25.3</t>
  </si>
  <si>
    <t>25.4</t>
  </si>
  <si>
    <t>25.4.1</t>
  </si>
  <si>
    <t>25.4.2</t>
  </si>
  <si>
    <t>25.4.3</t>
  </si>
  <si>
    <t>25.4.4</t>
  </si>
  <si>
    <t>25.4.5</t>
  </si>
  <si>
    <t>26</t>
  </si>
  <si>
    <t>27</t>
  </si>
  <si>
    <t>27.1</t>
  </si>
  <si>
    <t>27.2</t>
  </si>
  <si>
    <t>28</t>
  </si>
  <si>
    <t>29</t>
  </si>
  <si>
    <t>30</t>
  </si>
  <si>
    <t>31</t>
  </si>
  <si>
    <t>32</t>
  </si>
  <si>
    <t>32.1</t>
  </si>
  <si>
    <t>32.2</t>
  </si>
  <si>
    <t>32.3</t>
  </si>
  <si>
    <t>32.4</t>
  </si>
  <si>
    <t>32.4.1</t>
  </si>
  <si>
    <t>32.4.2</t>
  </si>
  <si>
    <t>32.4.2.1</t>
  </si>
  <si>
    <t>32.5</t>
  </si>
  <si>
    <t>32.6</t>
  </si>
  <si>
    <t>33</t>
  </si>
  <si>
    <t>34</t>
  </si>
  <si>
    <t>34.1</t>
  </si>
  <si>
    <t>34.2</t>
  </si>
  <si>
    <t>35</t>
  </si>
  <si>
    <t>35.1</t>
  </si>
  <si>
    <t>35.1.1</t>
  </si>
  <si>
    <t>35.2</t>
  </si>
  <si>
    <t>35.2.1</t>
  </si>
  <si>
    <t>35.2.2</t>
  </si>
  <si>
    <t>35.2.3</t>
  </si>
  <si>
    <t>35.2.4</t>
  </si>
  <si>
    <t>35.2.5</t>
  </si>
  <si>
    <t>35.2.6</t>
  </si>
  <si>
    <t>35.2.7</t>
  </si>
  <si>
    <t>35.3</t>
  </si>
  <si>
    <t>35.3.1</t>
  </si>
  <si>
    <t>35.3.2</t>
  </si>
  <si>
    <t>35.3.3</t>
  </si>
  <si>
    <t>35.3.4</t>
  </si>
  <si>
    <t>35.3.5</t>
  </si>
  <si>
    <t>35.4</t>
  </si>
  <si>
    <t>35.4.1</t>
  </si>
  <si>
    <t>35.4.1.1</t>
  </si>
  <si>
    <t>35.4.2</t>
  </si>
  <si>
    <t>35.4.3</t>
  </si>
  <si>
    <t>35.4.4</t>
  </si>
  <si>
    <t>35.4.5</t>
  </si>
  <si>
    <t>35.4.6</t>
  </si>
  <si>
    <t>35.4.7</t>
  </si>
  <si>
    <t>35.4.8</t>
  </si>
  <si>
    <t>35.4.9</t>
  </si>
  <si>
    <t>35.4.10</t>
  </si>
  <si>
    <t>Э.1.1</t>
  </si>
  <si>
    <t>Э.1.1.1</t>
  </si>
  <si>
    <t>Э.1.2</t>
  </si>
  <si>
    <t>Э.1.3</t>
  </si>
  <si>
    <t>Э.1.3.1</t>
  </si>
  <si>
    <t>Э.1.4</t>
  </si>
  <si>
    <t>Э.1.4.1</t>
  </si>
  <si>
    <t>Э.1.5</t>
  </si>
  <si>
    <t>Э.1.5.1</t>
  </si>
  <si>
    <t>Э.1.6</t>
  </si>
  <si>
    <t>Э.1.6.1</t>
  </si>
  <si>
    <t>Э.1.7</t>
  </si>
  <si>
    <t>Э.1.7.1</t>
  </si>
  <si>
    <t>Э.1.8</t>
  </si>
  <si>
    <t>Э.1.8.1</t>
  </si>
  <si>
    <t>Э.1.9</t>
  </si>
  <si>
    <t>Э.1.9.1</t>
  </si>
  <si>
    <t>I.1.1</t>
  </si>
  <si>
    <t>I.1.2</t>
  </si>
  <si>
    <t>I.1.3</t>
  </si>
  <si>
    <t>I.2</t>
  </si>
  <si>
    <t>I.2.1</t>
  </si>
  <si>
    <t>I.2.2</t>
  </si>
  <si>
    <t>I.2.3</t>
  </si>
  <si>
    <t>I.3</t>
  </si>
  <si>
    <t>I.4</t>
  </si>
  <si>
    <t>I.5</t>
  </si>
  <si>
    <t>I.6</t>
  </si>
  <si>
    <t>I.7</t>
  </si>
  <si>
    <t>R.1.1</t>
  </si>
  <si>
    <t>R.1.2</t>
  </si>
  <si>
    <t>R.1.3</t>
  </si>
  <si>
    <t>R.1.2.1</t>
  </si>
  <si>
    <t>R.1.2.2</t>
  </si>
  <si>
    <t>R.1.3.1</t>
  </si>
  <si>
    <t>R.1.3.2</t>
  </si>
  <si>
    <t>R.1.3.3</t>
  </si>
  <si>
    <t>R.1.3.4</t>
  </si>
  <si>
    <t>R.1.3.4.1</t>
  </si>
  <si>
    <t>R.1.3.5</t>
  </si>
  <si>
    <t>R.1.3.5.1</t>
  </si>
  <si>
    <t>R.1.3.5.2</t>
  </si>
  <si>
    <t>R.1.4</t>
  </si>
  <si>
    <t>R.1.5</t>
  </si>
  <si>
    <t>A.1.1</t>
  </si>
  <si>
    <t>A.1.2</t>
  </si>
  <si>
    <t>A.1</t>
  </si>
  <si>
    <t>A.3</t>
  </si>
  <si>
    <t>S.1</t>
  </si>
  <si>
    <t>S.2</t>
  </si>
  <si>
    <t>S.3</t>
  </si>
  <si>
    <t>S.4</t>
  </si>
  <si>
    <t>UI.TOTAL</t>
  </si>
  <si>
    <t>UI.EC</t>
  </si>
  <si>
    <t>UI.COEF</t>
  </si>
  <si>
    <t>UI.PURE.EC</t>
  </si>
  <si>
    <t>PROFITABILITY</t>
  </si>
  <si>
    <t>D</t>
  </si>
  <si>
    <t>D.0.1</t>
  </si>
  <si>
    <t>D.0.2</t>
  </si>
  <si>
    <t>D.1</t>
  </si>
  <si>
    <t>D.1.1</t>
  </si>
  <si>
    <t>D.1.2</t>
  </si>
  <si>
    <t>D.2</t>
  </si>
  <si>
    <t>D.2.1</t>
  </si>
  <si>
    <t>D.2.2</t>
  </si>
  <si>
    <t>D.3</t>
  </si>
  <si>
    <t>D.3.1</t>
  </si>
  <si>
    <t>D.3.2</t>
  </si>
  <si>
    <t>D.4</t>
  </si>
  <si>
    <t>D.4.1</t>
  </si>
  <si>
    <t>D.4.2</t>
  </si>
  <si>
    <t>Не определено</t>
  </si>
  <si>
    <t>Всего по региону</t>
  </si>
  <si>
    <t>рост к 2021, %</t>
  </si>
  <si>
    <r>
      <rPr>
        <b/>
        <sz val="20"/>
        <color rgb="FFFF0000"/>
        <rFont val="Times New Roman"/>
        <family val="1"/>
        <charset val="204"/>
      </rPr>
      <t>2021</t>
    </r>
    <r>
      <rPr>
        <b/>
        <sz val="8"/>
        <color rgb="FFFF0000"/>
        <rFont val="Times New Roman"/>
        <family val="1"/>
        <charset val="204"/>
      </rPr>
      <t xml:space="preserve">
</t>
    </r>
    <r>
      <rPr>
        <b/>
        <sz val="14"/>
        <color rgb="FFFF0000"/>
        <rFont val="Times New Roman"/>
        <family val="1"/>
        <charset val="204"/>
      </rPr>
      <t>С НДС</t>
    </r>
  </si>
  <si>
    <r>
      <rPr>
        <b/>
        <sz val="20"/>
        <rFont val="Times New Roman"/>
        <family val="1"/>
        <charset val="204"/>
      </rPr>
      <t>2021</t>
    </r>
    <r>
      <rPr>
        <b/>
        <sz val="8"/>
        <rFont val="Times New Roman"/>
        <family val="1"/>
        <charset val="204"/>
      </rPr>
      <t xml:space="preserve">
</t>
    </r>
    <r>
      <rPr>
        <b/>
        <sz val="14"/>
        <rFont val="Times New Roman"/>
        <family val="1"/>
        <charset val="204"/>
      </rPr>
      <t>ИТОГО
без НДС</t>
    </r>
  </si>
  <si>
    <t>из тарифной выручки с НДС</t>
  </si>
  <si>
    <t>перепродо</t>
  </si>
  <si>
    <t>собст</t>
  </si>
  <si>
    <t>выбросить</t>
  </si>
  <si>
    <t>курска выбросить</t>
  </si>
  <si>
    <t>выбпрост перед</t>
  </si>
  <si>
    <t>Постановление КТЦ от 08.11.2018 №19 (в ред. пост. от 12.11.2019 №37, от 27.11.2020 №40, от 02.11.2021 №47)</t>
  </si>
  <si>
    <t>Постановление КТЦ от 23.11.2018 №28 (в ред. пост. от 29.10.2019 №27, 16.11.2020 №28, от 02.11.2021 №46)</t>
  </si>
  <si>
    <t>Постановление КТЦ от 07.12.2018 №40 (в ред. пост. от 06.11.2019 №32, 16.11.2020 №32, от 19.10.2021 №28)</t>
  </si>
  <si>
    <t xml:space="preserve">Постановление КТЦ от 02.11.2021 № 48 </t>
  </si>
  <si>
    <t>МУП "Хомутовское ЖКХ"</t>
  </si>
  <si>
    <t>Постановление КТЦ от 19.10.2021 № 34</t>
  </si>
  <si>
    <t>Постановление КТЦ от 12.11.2019 №35 (в ред.пост. от 19.10.2021 № 25 )</t>
  </si>
  <si>
    <t>Постановление КТЦ от от 01.10.2019  № 20 (в редакции постановлений КТЦ от 27.11.2020 № 38, от 02.11.2021 № 41)</t>
  </si>
  <si>
    <t>Постановление КТЦ от 11.12.2020 № 42 (в редакции от 02.11.2021 № 42)</t>
  </si>
  <si>
    <t>Постановление КТЦ от 03.12.2019 № 53 (в редакии постановлений КТЦ от 16.11.2020 № 18, от 19.10.2021 № 29)</t>
  </si>
  <si>
    <t>Постановление КТЦ от 30.11.2018 №35 (в редакции постановлений КТЦ от 06.11.2019 № 34, от 16.11.2020 № 24, от 16.11.2021 №___)</t>
  </si>
  <si>
    <t xml:space="preserve">Постановление КТЦ от 15.11.2018 №24 (в редакции постановления КТЦ
от  29.10.2019 № 24, от 16.11.2020 № 16, от 19.10.2021 № 26)
</t>
  </si>
  <si>
    <t xml:space="preserve">Постановление КТЦ от 08.11.2018 №22   (в редакции постановления КТЦ  от 29.10.2019 № 23, от 16.11.2020 №19, от 19.10.2021 № 27) 
</t>
  </si>
  <si>
    <t>Постановление КТЦ от 23.11.2018 №30 ( в редакции от 29.10.2019 № 25, от 16.12.2020 № 60, от 02.11.2021 № 44)</t>
  </si>
  <si>
    <t>Постановление КТЦ от 02.11.2021 № 45</t>
  </si>
  <si>
    <t>ООО" НИАГАРА +"</t>
  </si>
  <si>
    <t>Постановление КТЦ от 14.12.2018 № 48 (в редакции от 17.12.2019 № 73, от 11.12.2020 № 45, от 16.11.2021 № 50)</t>
  </si>
  <si>
    <t xml:space="preserve">Постановление КТЦ от 16.11.2021 № 54 </t>
  </si>
  <si>
    <t>Постановление КТЦ от 14.12.2018 №49 (в редакции постановления КТЦ от 10.12.2019 № 56, от 16.11.2020 № 26, от 16.11.2021 № 57))</t>
  </si>
  <si>
    <t>Постановление КТЦ от 07.12.2018 № 41 (в ред. пост. от 26.11.2019 № 48, от 16.11.2020 № 25, от 16.11.2021 № 51)</t>
  </si>
  <si>
    <t xml:space="preserve">Постановление КТЦ от 20.12.2018 № 66 (в редакции постановлений от 06.11.2019 
№ 33, от 16.11.2020 № 17, от 29.11.2021 № 66) </t>
  </si>
  <si>
    <t>Постановление КТЦ  от 17.12.2018 № 58 (в редакции постановлений КТЦ от 10.12.2019 № 58, от 27.11.2020 № 39, от 29.11.2021 № 67)</t>
  </si>
  <si>
    <t>Постановление КТЦ от 30.11.2018 №37 (в ред. от 19.11.2019 №40, от 16.11.2020 №27, от 29.11.2021 №65)</t>
  </si>
  <si>
    <t>Постановление КТЦ от 17.12.2018 №57 (в редакции постановления КТЦ от 10.12.2019 № 59, от 16.11.2020 № 31, от 29.11.2021 № 61)</t>
  </si>
  <si>
    <t>Постановление КТЦ от 29.10.2019 №28 (в ред пост от 19.12.2019 № 77, от 16.12.2020 № 65, от 29.11.2021 № 68)</t>
  </si>
  <si>
    <t>Постановление КТЦ от 20.12.2018 № 65 (в ред пост от 17.12.2019 № 70, от 11.12.2020 № 49, от 29.11.2021 № 69)</t>
  </si>
  <si>
    <t>Постановление КТЦ от 14.12.2018 № 54 (в редакции от 19.11.2019 № 41, от 11.12.2020 № 44, от 29.11.2021 № 63)</t>
  </si>
  <si>
    <t>Постановление КТЦ от 07.12.2018 № 43 (в ред. от 10.12.2019 № 55, от 27.11.2020 № 35, от 29.11.2021 № 64)</t>
  </si>
  <si>
    <t>Постановление КТЦ от 14.12.2018 №53 в редакции от 17.12.2019  № 72, от 16.12.2020 № 63, от 26.10.2021  № 35, от 16.11.2021  № 55</t>
  </si>
  <si>
    <t>Постановление КТЦ от 23.11.2018 №29 
(в редакцииях от 26.11.2019  №47, от 11.12.2020 №52, от 06.09.2021  № 22, от 02.11.2021  № 40)</t>
  </si>
  <si>
    <t>Постановление КТЦ от 20.12.2018 №68  (в редакциях постановления КТЦ
от 17.12.2019 № 71, от 11.12.2020 № 50, от  29.11.2021   № 59)</t>
  </si>
  <si>
    <t>Постановление КТЦ от 19.10.20201 № 32</t>
  </si>
  <si>
    <t>Постановление КТЦ от  29.11.2021  № 60</t>
  </si>
  <si>
    <t>Постановление КТЦ от 29.11.2021  № 60</t>
  </si>
  <si>
    <t>Постановление КТЦ от 30.11.2018 (в редакции постановлений от 19.11.2019 №42, от 27.11.2020 №41, от 02.11.2021 № 39)</t>
  </si>
  <si>
    <t>Постановление КТЦ от 20.12.2018 №64 (в редакции пост. от 19.12.2019 № 78, от 16.12.2020 № 66, от 14.12.2021 № 72)</t>
  </si>
  <si>
    <t>Постановление КТЦ от 16.12.2020 № 58 (в редакции от 14.12.2021 № 14)</t>
  </si>
  <si>
    <t>Постановление КТЦ от 10.12.2019 № 60 (в редакции от 16.12.2020 № 57, от 14.12.2021 № 73)</t>
  </si>
  <si>
    <t>Постановление КТЦ от 23.11.2018 №32 (в редакции постановлений КТЦ от 26.11.2019 № 49, от 11.12.2020 № 43, от 14.12.2021 № 77)</t>
  </si>
  <si>
    <t>от 08.11.2018 №21 (в редакции от 12.11.2019 № 39,  16.11.2020 № 30, от 14.12.2021 № 76)</t>
  </si>
  <si>
    <t>Лобазовский сельсовет</t>
  </si>
  <si>
    <t>Постановление КТЦ от 08.11.2018 №21 (в редакции от 12.11.2019 № 39, от  16.11.2020 № 30, от 14.12.2021 № 76)</t>
  </si>
  <si>
    <t>Постановление КТЦ от 08.11.2018 №21 (в редакции от 12.11.2019 № 39, от 14.12.2021 № 76)</t>
  </si>
  <si>
    <t>Постановление КТЦ от 14.12.2021 № 75</t>
  </si>
  <si>
    <t>Постановление КТЦ от 20.12.2018 (в ред. пост. от 19.12.2019 № 75, от 16.12.2020 № 62, от 20.12.2021 № 80)</t>
  </si>
  <si>
    <t>Постановление КТЦ от 18.12.2018 №62 (в редакции постановления КТЦ от 17.12.2019 № 74, от 16.12.2020 № 64, от 20.12.2021 № 79)</t>
  </si>
  <si>
    <t>Постановление КТЦ от 17.12.2018 №60(в редакции постановлений КТЦ от 17.12.2019 № 69, 16.11.2020  № 14, от 14.12.2021 № 78))</t>
  </si>
  <si>
    <t>бюджетные потребители</t>
  </si>
  <si>
    <t>Постановление КТЦ от 17.12.2018 № 59 (в редакции от 01.11.2019 № 31, от 11.12.2020 № 46, от 29.11.2021 № 62)</t>
  </si>
  <si>
    <t>Постановление КТЦ от 14.12.2018 №55 (в редакции постановления КТЦ от 10.12.2019 № 57, от 16.11.2020 № 15, от 16.11.2021 №58)</t>
  </si>
  <si>
    <t>Заолешенский сельсовет</t>
  </si>
  <si>
    <t>Гончаровский сельсовет</t>
  </si>
  <si>
    <r>
      <t xml:space="preserve">Информация об установленных тарифа на тепловую энергию, поставляемую потребителям Курской области на </t>
    </r>
    <r>
      <rPr>
        <b/>
        <sz val="20"/>
        <color rgb="FFFF0000"/>
        <rFont val="Times New Roman"/>
        <family val="1"/>
        <charset val="204"/>
      </rPr>
      <t>2023</t>
    </r>
    <r>
      <rPr>
        <sz val="20"/>
        <rFont val="Times New Roman"/>
        <family val="1"/>
        <charset val="204"/>
      </rPr>
      <t xml:space="preserve"> год </t>
    </r>
  </si>
  <si>
    <r>
      <t xml:space="preserve">ОБЪЕМЫ, ГКАЛ  </t>
    </r>
    <r>
      <rPr>
        <b/>
        <sz val="11"/>
        <color rgb="FFC00000"/>
        <rFont val="Times New Roman"/>
        <family val="1"/>
        <charset val="204"/>
      </rPr>
      <t xml:space="preserve">(В ПОЛУГОДОВОЙ РАЗБИВКЕ </t>
    </r>
    <r>
      <rPr>
        <b/>
        <sz val="11"/>
        <rFont val="Times New Roman"/>
        <family val="1"/>
        <charset val="204"/>
      </rPr>
      <t>)</t>
    </r>
  </si>
  <si>
    <t>1 полугодие 2022</t>
  </si>
  <si>
    <t>2 полугодие 2022</t>
  </si>
  <si>
    <t xml:space="preserve">ОБЪЕМЫ, ГКАЛ </t>
  </si>
  <si>
    <t>БЮДЖЕТ И ПРОЧИЕ</t>
  </si>
  <si>
    <t>МУП  "Теплосервис"</t>
  </si>
  <si>
    <t xml:space="preserve">АО "Электроагрегат" </t>
  </si>
  <si>
    <t>ГУПКО С НДС</t>
  </si>
  <si>
    <t>Постановление КТЦ от 20.12.2018 №68  (в редакциях постановления КТЦ
от 17.12.2019 № 71, от 11.12.2020 № 50, от  29.11.2021   № 59, от 18.11.2022 № 59)</t>
  </si>
  <si>
    <t>Постановление КТЦ от 23.11.2018 №29 
(в редакцииях от 26.11.2019  №47, от 11.12.2020 №52, от 06.09.2021  № 22, от 02.11.2021  № 40, от 23.11.2022 № 67)</t>
  </si>
  <si>
    <t>Постановление КТЦ от 14.12.2018 №49 (в редакции постановления КТЦ от 10.12.2019 № 56, от 16.11.2020 № 26, от 16.11.2021 № 57, от от 16.11.2022 № 36 )</t>
  </si>
  <si>
    <t>Верхнелюбажский сельсовет</t>
  </si>
  <si>
    <t xml:space="preserve">потери </t>
  </si>
  <si>
    <t>Курчатов покупка</t>
  </si>
  <si>
    <t>собсв нужды</t>
  </si>
  <si>
    <t>потери</t>
  </si>
  <si>
    <t>Полезный отпуск</t>
  </si>
  <si>
    <t>ООО "Энергосервисная компания ЖБК-1"</t>
  </si>
  <si>
    <t>ООО  "Теткинское МУП ЖКХ"</t>
  </si>
  <si>
    <t>Постановление КТЦ от 03.10.2023 № 29</t>
  </si>
  <si>
    <t xml:space="preserve">МКУ «ОДА поселка Кшенский» </t>
  </si>
  <si>
    <t>Постановление КТЦ от 12.10.2023 №31</t>
  </si>
  <si>
    <r>
      <t xml:space="preserve">НВВ в тарифах годовая  
</t>
    </r>
    <r>
      <rPr>
        <b/>
        <sz val="11"/>
        <color rgb="FFFF0000"/>
        <rFont val="Times New Roman"/>
        <family val="1"/>
        <charset val="204"/>
      </rPr>
      <t>(без НДС)</t>
    </r>
  </si>
  <si>
    <t>ПО СОСТОЯНИЮ НА 01.07.2024</t>
  </si>
  <si>
    <t>ПО СОСТОЯНИЮ НА 01.01.2024</t>
  </si>
  <si>
    <t>1 января 2024</t>
  </si>
  <si>
    <t>1 июля 2024</t>
  </si>
  <si>
    <t>В ЦЕНАХ ПО СОСТОЯНИЮ НА 01.01.2024</t>
  </si>
  <si>
    <t>В ЦЕНАХ ПО СОСТОЯНИЮ НА 01.07.2024</t>
  </si>
  <si>
    <t>ПОЛЕЗНЫЙ ОТПУСК НА 2024</t>
  </si>
  <si>
    <r>
      <t xml:space="preserve">Информация об установленных тарифа на тепловую энергию, поставляемую потребителям Курской области на </t>
    </r>
    <r>
      <rPr>
        <b/>
        <sz val="20"/>
        <color rgb="FFFF0000"/>
        <rFont val="Times New Roman"/>
        <family val="1"/>
        <charset val="204"/>
      </rPr>
      <t>2024</t>
    </r>
    <r>
      <rPr>
        <sz val="20"/>
        <rFont val="Times New Roman"/>
        <family val="1"/>
        <charset val="204"/>
      </rPr>
      <t xml:space="preserve"> год </t>
    </r>
  </si>
  <si>
    <t xml:space="preserve">НВВ исходя из объемов по периодам календарной разбивки для расчета средних </t>
  </si>
  <si>
    <t xml:space="preserve">Постановление КТЦ от 26.10.2023 № 44
</t>
  </si>
  <si>
    <t>Постановление КТЦ от 11.12.2020 № 42 (в редакции от 02.11.2021 № 42, от 16.11.2022 № 46, от 26.10.2023 № 43)</t>
  </si>
  <si>
    <t xml:space="preserve">Постановление КТЦ от 26.10.2023 № 45
</t>
  </si>
  <si>
    <t>Постановление КТЦ от 30.11.2023 № 79</t>
  </si>
  <si>
    <t>Постановление КТЦ от 25.11.2022 № 77 (в редакции от 30.11.2023 № 80)</t>
  </si>
  <si>
    <t>Постановление КТЦ от 23.11.2023 № 68</t>
  </si>
  <si>
    <t>Постановление КТЦ от 30.11.2023 № 77</t>
  </si>
  <si>
    <t xml:space="preserve">Постановление КТЦ от 16.11.2022 № 43 (в редакции постановлений КТЦ от 06.07.2023 № 20, от 16.11.2023 № 58)
</t>
  </si>
  <si>
    <t>Постановление КТЦ от 16.12.2020 № 58 (в редакции постановлений КТЦ от 14.12.2021 № 74, от 18.11.2022 № 53, от 16.11.2023 № 60)</t>
  </si>
  <si>
    <t>Постановление КТЦ от 14.12.2021 № 75 ( в редакции постановления КТЦ от 18.11.2022 № 54, от 16.11.2023 № 59)</t>
  </si>
  <si>
    <t>Постановление КТЦ от 30.11.2023 № 76</t>
  </si>
  <si>
    <t>Постановление КТЦ от 14.03.2023 № 7 (в ред. пост. от 23.11.2023 № 72)</t>
  </si>
  <si>
    <t>Постановление КТЦ от 16.11.2023 № 66</t>
  </si>
  <si>
    <t>Постановление КТЦ от 05.12.2023 № 85</t>
  </si>
  <si>
    <t>Постановление КТЦ от 26.10.2023 № 48</t>
  </si>
  <si>
    <t>Постановление КТЦ от 13.09.2022 № 23 (в ред. пост. от 16.11.2022 № 52, от 26.10.2023 № 47)</t>
  </si>
  <si>
    <t>Постановление КТЦ от 16.11.2023 № 67</t>
  </si>
  <si>
    <t>Постановление КТЦ от 19.10.20201 № 32 (в редакции постановлений комитета по тарифам и ценам Курской области от 16.11.2023 № 64)</t>
  </si>
  <si>
    <t>Постановление КТЦ от 16.11.2023 № 65</t>
  </si>
  <si>
    <t>Постановление КТЦ от 28.11.2023 № 74</t>
  </si>
  <si>
    <t>Постановление КТЦ от 16.11.2023 № 53</t>
  </si>
  <si>
    <t>Постановление КТЦ от 18.11.2022 № 62 (в редакции от 16.11.2023 № 54)</t>
  </si>
  <si>
    <t xml:space="preserve">НАСЕЛЕНИЕ </t>
  </si>
  <si>
    <t>Постановление КТЦ от 23.11.2023 № 71</t>
  </si>
  <si>
    <t>Постановление КТЦ от 16.11.2022 № 40 (в редакции от 16.11.2023 № 56)</t>
  </si>
  <si>
    <t>Постановление КТЦ от 19.10.2021 № 34 ( в редакции постановлений КТЦ от 16.11.2022 № 42, от 16.11.2023 № 55)</t>
  </si>
  <si>
    <t>Постановление КТЦ от 23.11.2022 № 71 (в редакции от 16.11.2023 № 57)</t>
  </si>
  <si>
    <t>Постановление КТЦ от от 30.11.2023 № 78</t>
  </si>
  <si>
    <t>Постановление КТЦ от 05.12.2023 № 83</t>
  </si>
  <si>
    <t xml:space="preserve">Постановление КТЦ от 26.10.2023 № 42
</t>
  </si>
  <si>
    <t>Постановление КТЦ от 23.11.2023 №69</t>
  </si>
  <si>
    <t>Постановление КТЦ от 16.11.2021 №58 (в редакции постановления КТЦ от 16.11.2022 № 45, от 26.10.2023 № 39)</t>
  </si>
  <si>
    <t>АО"Квадра" (филиал "Курская генерация")</t>
  </si>
  <si>
    <t xml:space="preserve">АО "Квадра" (филиал "Курская генерация") </t>
  </si>
  <si>
    <t xml:space="preserve">АО "Квадра" (филиал "Курская генерация")  </t>
  </si>
  <si>
    <t>Постановление КТЦ от 18.12.2018 №62 (в редакции постановления КТЦ от 17.12.2019 № 74, от 16.12.2020 № 64, от 20.12.2021 № 79, от 25.11.2022 №75, от 30.03.2023 № 10, от 05.12.2023 № 84 )</t>
  </si>
  <si>
    <t>Постановление КТЦ от от 05.12.2023 № 82</t>
  </si>
  <si>
    <t>АО "Теплоэнергосбытовая компания" (АО "ТЭСК")</t>
  </si>
  <si>
    <t xml:space="preserve">Постановление КТЦ от 07.11.2023 № 50 </t>
  </si>
  <si>
    <t xml:space="preserve">Постановление КТЦ от 29.11.2021 № 60 (в ред от 3.11.2022 № 68, от 16.11.2023 № 61) </t>
  </si>
  <si>
    <t>Постановление КТЦ от 26.10.2023 № 41</t>
  </si>
  <si>
    <t xml:space="preserve">Индивидуальный предприниматель 
Рустем Мансур Исмаилович 
</t>
  </si>
  <si>
    <t>Постановление КТЦ от 12.10.2023 № 34</t>
  </si>
  <si>
    <r>
      <t xml:space="preserve">НВВ Предложения предприятия
</t>
    </r>
    <r>
      <rPr>
        <b/>
        <sz val="11"/>
        <color rgb="FFFF0000"/>
        <rFont val="Times New Roman"/>
        <family val="1"/>
        <charset val="204"/>
      </rPr>
      <t>(без НДС)</t>
    </r>
  </si>
  <si>
    <t>Бюджет</t>
  </si>
  <si>
    <t>Иванино</t>
  </si>
  <si>
    <t>Студенокский сельсовет</t>
  </si>
  <si>
    <t>Разветьевский сельсовет</t>
  </si>
  <si>
    <t>Михайловский сельсовет</t>
  </si>
  <si>
    <t>Новоандросовское сельсовет</t>
  </si>
  <si>
    <t>Клюквинский сельсовет</t>
  </si>
  <si>
    <t>Щетинский сельсовет</t>
  </si>
  <si>
    <t>Ворошневский сельсовет</t>
  </si>
  <si>
    <t>ИТОГО</t>
  </si>
  <si>
    <t>!!! НЕ ТРОГАТЬ</t>
  </si>
  <si>
    <t>4631005223</t>
  </si>
  <si>
    <t>4603005599</t>
  </si>
  <si>
    <t>Постановление КТЦ 
05.12.2023 № 81</t>
  </si>
  <si>
    <t>Постановление КТЦ от 16.11.2023 № 62</t>
  </si>
  <si>
    <t>Постановление КТЦ от 08.02.2024 № 3</t>
  </si>
  <si>
    <t>ООО "Санаторий имени И.Д. Черняховского"</t>
  </si>
  <si>
    <t>Тариф населения на ОТОПЛЕНИЕ
 1 полуг 2025</t>
  </si>
  <si>
    <t>ЭОТ 
1 полугодия 2025</t>
  </si>
  <si>
    <t>ЭОТ 
2 полугодия 2025</t>
  </si>
  <si>
    <t>СРЕДНЕВЗВЕШЕННЫЙ ТАРИФ НАСЕЛЕНИЯ
1 полуг 2025</t>
  </si>
  <si>
    <t>СРЕДНЕВЗВЕШЕННЫЙ ТАРИФ НАСЕЛЕНИЯ
2 полуг 2025</t>
  </si>
  <si>
    <t>Тариф населения на ОТОПЛЕНИЕ
 2 полуг 2025</t>
  </si>
  <si>
    <t>Тариф населения на ГВС
 1 полуг 2025</t>
  </si>
  <si>
    <t>Тариф населения на ГВС
 2 полуг 2025</t>
  </si>
  <si>
    <t>другие ТСО</t>
  </si>
  <si>
    <t>«АО «РИР Энерго» (филиал                 АО «РИР Энерго» - «Курская генерация»)</t>
  </si>
  <si>
    <t>Горячее водоснабжение</t>
  </si>
  <si>
    <t>с 01.01.2026</t>
  </si>
  <si>
    <t>с 01.10.2026</t>
  </si>
  <si>
    <r>
      <t xml:space="preserve">Информация об установленных тарифах на тепловую энергию, поставляемую потребителям Курской области на </t>
    </r>
    <r>
      <rPr>
        <b/>
        <sz val="20"/>
        <rFont val="Times New Roman"/>
        <family val="1"/>
        <charset val="204"/>
      </rPr>
      <t>2026</t>
    </r>
    <r>
      <rPr>
        <sz val="20"/>
        <rFont val="Times New Roman"/>
        <family val="1"/>
        <charset val="204"/>
      </rPr>
      <t xml:space="preserve"> год </t>
    </r>
  </si>
  <si>
    <t>Постановление КТЦ от 23.11.2022 № 71 (в редакции от 16.11.2023 № 57, от 18.12.2024 № 67, от 19.12.2025 № 40)</t>
  </si>
  <si>
    <t>Постановление КТЦ от 16.11.2022 № 40 (в редакции от 16.11.2023 № 56, от 18.12.2024 № 72, от 19.12.2025 № 41)</t>
  </si>
  <si>
    <t>Постановление КТЦ от 08.02.2024 № 3 (в ред от 17.12.2024 № 60, от 19.12.2025 № 42)</t>
  </si>
  <si>
    <t xml:space="preserve">Постановление КТЦ от 19.12.2025 № 43
</t>
  </si>
  <si>
    <t>Постановление КТЦ от 05.12.2023 № 85 (в редакции от 19.12.2024 № 90, от 19.12.2025 № 44)</t>
  </si>
  <si>
    <t>Постановление КТЦ от 05.12.2023 № 83 (в редакции от 19.12.2024 № 91, от 19.12.2025 № 45)</t>
  </si>
  <si>
    <t>Постановление КТЦ от 16.11.2023 № 65 (в редакции от 18.12.2024 № 66, от 19.12.2025 № 47)</t>
  </si>
  <si>
    <t>Постановление КТЦ от 28.11.2023 № 74 (в редакции от 18.12.2024 № 64, от 29.08.2025 № 24, от 19.12.2025 № 48)</t>
  </si>
  <si>
    <t>Постановление КТЦ от 12.10.2023 № 31 (в редакции от 17.12.2024 № 52, от 19.12.2025 № 64)</t>
  </si>
  <si>
    <t>Постановление КТЦ от 23.11.2023 № 71 (в редакции от 18.12.2024 № 69, от 19.12.2025 № 74)</t>
  </si>
  <si>
    <t>Постановление КТЦ от 30.11.2023 № 77 (в редакции от 18.12.2024 № 70, от 19.12.2025 № 75)</t>
  </si>
  <si>
    <t>Постановление КТЦ от 30.11.2023 № 78 (в редакции от 19.12.2024 № 85, от 19.12.2025 № 72)</t>
  </si>
  <si>
    <t>Постановление КТЦ от 18.12.2018 №62 (в редакции постановления КТЦ от 17.12.2019 № 74, от 16.12.2020 № 64, от 20.12.2021 № 79, от 25.11.2022 №75, от 30.03.2023 № 10, от 05.12.2023 № 84, от 19.12.2024 № 89, от 19.12.2025 № 51 )</t>
  </si>
  <si>
    <t xml:space="preserve">Постановление КТЦ от 19.12.2024 № 84 (в редакции от 19.12.2025 № 60)
</t>
  </si>
  <si>
    <t>Постановление КТЦ от 07.11.2023 № 50 (в редакции от 18.12.2024 № 76, от 19.12.2025 №57)</t>
  </si>
  <si>
    <t>Постановление КТЦ от 19.12.2025 № 65</t>
  </si>
  <si>
    <t>Постановление КТЦ от 16.11.2023 № 62 (в редакции от 10.12.2024 № 46, от 19.12.2025 №56)</t>
  </si>
  <si>
    <t xml:space="preserve">Постановление КТЦ от 19.12.2025 № 63 </t>
  </si>
  <si>
    <t xml:space="preserve">Постановление КТЦ от 19.12.2025 № 61 </t>
  </si>
  <si>
    <t>Постановление КТЦ от 16.11.2023 № 66 (в редакции от 18.12.2024 № 79, от 19.12.2025 № 67)</t>
  </si>
  <si>
    <t>Постановление КТЦ от 19.12.2024 № 87 (в редакции от 19.12.2025 № 62)</t>
  </si>
  <si>
    <t xml:space="preserve">Постановление КТЦ от 23.11.2023 № 69 (в редакции от 10.12.2024 № 47, от 19.12.2025 № 49) </t>
  </si>
  <si>
    <t>Постановление КТЦ 
05.12.2023 № 81 (в редакции от 17.12.2024 № 54, 19.12.2025 № 55)</t>
  </si>
  <si>
    <t>Постановление КТЦ от 30.11.2023 № 79 (в ред. от 19.12.2024 № 88, от 19.12.2025 № 70)</t>
  </si>
  <si>
    <t>Постановление КТЦ от 25.11.2022 № 77 (в редакции от 30.11.2023 № 80, от 17.12.2024 № 62, от 19.12.2025 № 71)</t>
  </si>
  <si>
    <t>Постановление КТЦ от 26.10.2023 № 41 (в редакции от 18.12.2024 № 75, от 19.12.2025 № 58)</t>
  </si>
  <si>
    <t>Постановление КТЦ от 16.11.2023 № 67 (в редакции от 19.12.2024 № 81, от 19.12.2025 № 68)</t>
  </si>
  <si>
    <t>Постановление КТЦ от 14.03.2023 № 7 (в ред. пост. от 23.11.2023 № 72, от 17.12.2024 № 61, от 19.12.2025 № 69)</t>
  </si>
  <si>
    <t>Постановление КТЦ от 26.10.2023 № 48 ( в редакции от 18.12.2024 № 78, от 19.12.2025 № 66)</t>
  </si>
  <si>
    <t xml:space="preserve">Постановление КТЦ от 29.11.2021 № 60 (в ред от 3.11.2022 № 68, от 16.11.2023 № 61, от 17.12.2024 № 55, от 19.12.2025 № 59) </t>
  </si>
  <si>
    <t>Постановление КТЦ от 05.12.2023 № 82 (в редакции от 17.12.2024 № 53, от 19.12.2025 № 53)</t>
  </si>
  <si>
    <t>Постановление КТЦ от 14.12.2021 № 75 ( в редакции от 18.11.2022 № 54, от 16.11.2023 № 59, от 17.12.2024 № 63, от 19.12.2025 № 78)</t>
  </si>
  <si>
    <t xml:space="preserve">Постановление КТЦ от 26.10.2023 № 44 (в редакции от 17.12.2024 № 59, от 19.12.2025 № 77)
</t>
  </si>
  <si>
    <t xml:space="preserve">Постановление КТЦ от 26.10.2023 № 45 (в редакции от 18.12.2024 № 68, от 19.12.2025 № 73)
</t>
  </si>
  <si>
    <t>Постановление КТЦ от  17.12.2024 № 51 (в редакции от 19.12.2025  № 46)</t>
  </si>
  <si>
    <t>Постановление КТЦ от 17.12.2024 № 58 (в редакции от 19.12.2025 № 76)</t>
  </si>
  <si>
    <t>Постановление КТЦ от 23.11.2023 № 70 (в редакции постановления МинТЦ
18.12.2024 № 74, 19.12.2025 № 54)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</si>
</sst>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2">
    <numFmt numFmtId="43" formatCode="_-* #,##0.00\ _₽_-;\-* #,##0.00\ _₽_-;_-* &quot;-&quot;??\ _₽_-;_-@_-"/>
    <numFmt numFmtId="164" formatCode="#,##0.00&quot;р.&quot;;\-#,##0.00&quot;р.&quot;"/>
    <numFmt numFmtId="165" formatCode="_-* #,##0_р_._-;\-* #,##0_р_._-;_-* &quot;-&quot;_р_._-;_-@_-"/>
    <numFmt numFmtId="166" formatCode="_-* #,##0.00&quot;р.&quot;_-;\-* #,##0.00&quot;р.&quot;_-;_-* &quot;-&quot;??&quot;р.&quot;_-;_-@_-"/>
    <numFmt numFmtId="167" formatCode="_-* #,##0.00_р_._-;\-* #,##0.00_р_._-;_-* &quot;-&quot;??_р_._-;_-@_-"/>
    <numFmt numFmtId="168" formatCode="_-* #,##0_-;\-* #,##0_-;_-* &quot;-&quot;_-;_-@_-"/>
    <numFmt numFmtId="169" formatCode="_-* #,##0.00_-;\-* #,##0.00_-;_-* &quot;-&quot;??_-;_-@_-"/>
    <numFmt numFmtId="170" formatCode="#,##0.00_ ;\-#,##0.00\ "/>
    <numFmt numFmtId="171" formatCode="_-* #,##0.000_р_._-;\-* #,##0.000_р_._-;_-* &quot;-&quot;??_р_._-;_-@_-"/>
    <numFmt numFmtId="172" formatCode="0.0"/>
    <numFmt numFmtId="173" formatCode="0.000"/>
    <numFmt numFmtId="174" formatCode="#,##0.00_ ;[Red]\-#,##0.00\ "/>
    <numFmt numFmtId="175" formatCode="_-* #,##0.00[$€-1]_-;\-* #,##0.00[$€-1]_-;_-* &quot;-&quot;??[$€-1]_-"/>
    <numFmt numFmtId="176" formatCode="0.0%"/>
    <numFmt numFmtId="177" formatCode="0.0%_);\(0.0%\)"/>
    <numFmt numFmtId="178" formatCode="#,##0;\(#,##0\)"/>
    <numFmt numFmtId="179" formatCode="_-* #,##0.00\ _$_-;\-* #,##0.00\ _$_-;_-* &quot;-&quot;??\ _$_-;_-@_-"/>
    <numFmt numFmtId="180" formatCode="#.##0\.00"/>
    <numFmt numFmtId="181" formatCode="#\.00"/>
    <numFmt numFmtId="182" formatCode="\$#\.00"/>
    <numFmt numFmtId="183" formatCode="#\."/>
    <numFmt numFmtId="184" formatCode="General_)"/>
    <numFmt numFmtId="185" formatCode="_-* #,##0&quot;đ.&quot;_-;\-* #,##0&quot;đ.&quot;_-;_-* &quot;-&quot;&quot;đ.&quot;_-;_-@_-"/>
    <numFmt numFmtId="186" formatCode="_-* #,##0.00&quot;đ.&quot;_-;\-* #,##0.00&quot;đ.&quot;_-;_-* &quot;-&quot;??&quot;đ.&quot;_-;_-@_-"/>
    <numFmt numFmtId="187" formatCode="&quot;$&quot;#,##0_);[Red]\(&quot;$&quot;#,##0\)"/>
    <numFmt numFmtId="188" formatCode="\$#,##0\ ;\(\$#,##0\)"/>
    <numFmt numFmtId="189" formatCode="#,##0.000[$р.-419];\-#,##0.000[$р.-419]"/>
    <numFmt numFmtId="190" formatCode="_-* #,##0.0\ _$_-;\-* #,##0.0\ _$_-;_-* &quot;-&quot;??\ _$_-;_-@_-"/>
    <numFmt numFmtId="191" formatCode="#,##0.0_);\(#,##0.0\)"/>
    <numFmt numFmtId="192" formatCode="#,##0_ ;[Red]\-#,##0\ "/>
    <numFmt numFmtId="193" formatCode="#,##0_);[Blue]\(#,##0\)"/>
    <numFmt numFmtId="194" formatCode="#,##0__\ \ \ \ "/>
    <numFmt numFmtId="195" formatCode="_-&quot;£&quot;* #,##0_-;\-&quot;£&quot;* #,##0_-;_-&quot;£&quot;* &quot;-&quot;_-;_-@_-"/>
    <numFmt numFmtId="196" formatCode="_-&quot;£&quot;* #,##0.00_-;\-&quot;£&quot;* #,##0.00_-;_-&quot;£&quot;* &quot;-&quot;??_-;_-@_-"/>
    <numFmt numFmtId="197" formatCode="#,##0.00&quot;т.р.&quot;;\-#,##0.00&quot;т.р.&quot;"/>
    <numFmt numFmtId="198" formatCode="#,##0.0;[Red]#,##0.0"/>
    <numFmt numFmtId="199" formatCode="_-* #,##0_đ_._-;\-* #,##0_đ_._-;_-* &quot;-&quot;_đ_._-;_-@_-"/>
    <numFmt numFmtId="200" formatCode="_-* #,##0.00_đ_._-;\-* #,##0.00_đ_._-;_-* &quot;-&quot;??_đ_._-;_-@_-"/>
    <numFmt numFmtId="201" formatCode="\(#,##0.0\)"/>
    <numFmt numFmtId="202" formatCode="#,##0\ &quot;?.&quot;;\-#,##0\ &quot;?.&quot;"/>
    <numFmt numFmtId="203" formatCode="#,##0______;;&quot;------------      &quot;"/>
    <numFmt numFmtId="204" formatCode="#,##0.000_ ;\-#,##0.000\ "/>
    <numFmt numFmtId="205" formatCode="#,##0.000"/>
    <numFmt numFmtId="206" formatCode="_-* #,##0\ _р_._-;\-* #,##0\ _р_._-;_-* &quot;-&quot;\ _р_._-;_-@_-"/>
    <numFmt numFmtId="207" formatCode="_-* #,##0.00\ _р_._-;\-* #,##0.00\ _р_._-;_-* &quot;-&quot;??\ _р_._-;_-@_-"/>
    <numFmt numFmtId="208" formatCode="_-* #,##0\ _$_-;\-* #,##0\ _$_-;_-* &quot;-&quot;\ _$_-;_-@_-"/>
    <numFmt numFmtId="209" formatCode="#,##0.0"/>
    <numFmt numFmtId="210" formatCode="%#\.00"/>
    <numFmt numFmtId="211" formatCode="0.0000"/>
    <numFmt numFmtId="212" formatCode="0_)"/>
    <numFmt numFmtId="213" formatCode="_-* #,##0.0_р_._-;\-* #,##0.0_р_._-;_-* &quot;-&quot;??_р_._-;_-@_-"/>
    <numFmt numFmtId="214" formatCode="_-* #,##0.000_р_._-;\-* #,##0.000_р_._-;_-* &quot;-&quot;???_р_._-;_-@_-"/>
    <numFmt numFmtId="215" formatCode="0.00000"/>
    <numFmt numFmtId="216" formatCode="_-* #,##0_р_._-;\-* #,##0_р_._-;_-* &quot;-&quot;??_р_._-;_-@_-"/>
    <numFmt numFmtId="217" formatCode="_-* #,##0.0000_р_._-;\-* #,##0.0000_р_._-;_-* &quot;-&quot;??_р_._-;_-@_-"/>
    <numFmt numFmtId="218" formatCode="_-* #,##0.0000_р_._-;\-* #,##0.0000_р_._-;_-* &quot;-&quot;????_р_._-;_-@_-"/>
    <numFmt numFmtId="219" formatCode="_-* #,##0.00000_р_._-;\-* #,##0.00000_р_._-;_-* &quot;-&quot;??_р_._-;_-@_-"/>
    <numFmt numFmtId="220" formatCode="_-* #,##0.0000000_р_._-;\-* #,##0.0000000_р_._-;_-* &quot;-&quot;??_р_._-;_-@_-"/>
    <numFmt numFmtId="221" formatCode="_-* #,##0.0000\ _₽_-;\-* #,##0.0000\ _₽_-;_-* &quot;-&quot;????\ _₽_-;_-@_-"/>
    <numFmt numFmtId="222" formatCode="_-* #,##0.000\ _₽_-;\-* #,##0.000\ _₽_-;_-* &quot;-&quot;???\ _₽_-;_-@_-"/>
    <numFmt numFmtId="223" formatCode="0.0000000"/>
    <numFmt numFmtId="224" formatCode="0.000000"/>
  </numFmts>
  <fonts count="209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2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name val="Times New Roman"/>
      <family val="1"/>
      <charset val="204"/>
    </font>
    <font>
      <sz val="20"/>
      <name val="Times New Roman"/>
      <family val="1"/>
      <charset val="204"/>
    </font>
    <font>
      <sz val="10"/>
      <name val="Arial"/>
      <family val="2"/>
      <charset val="204"/>
    </font>
    <font>
      <sz val="10"/>
      <name val="Helv"/>
    </font>
    <font>
      <sz val="10"/>
      <name val="Helv"/>
      <charset val="204"/>
    </font>
    <font>
      <sz val="8"/>
      <name val="Arial"/>
      <family val="2"/>
      <charset val="204"/>
    </font>
    <font>
      <sz val="8"/>
      <color indexed="12"/>
      <name val="Arial"/>
      <family val="2"/>
      <charset val="204"/>
    </font>
    <font>
      <sz val="11"/>
      <name val="?l?r ?o?S?V?b?N"/>
      <family val="3"/>
    </font>
    <font>
      <sz val="10"/>
      <name val="’†?S?V?b?N‘М"/>
      <family val="3"/>
      <charset val="128"/>
    </font>
    <font>
      <sz val="10"/>
      <name val="Arial Cyr"/>
    </font>
    <font>
      <sz val="1"/>
      <color indexed="8"/>
      <name val="Courier"/>
      <family val="1"/>
      <charset val="204"/>
    </font>
    <font>
      <b/>
      <sz val="1"/>
      <color indexed="8"/>
      <name val="Courier"/>
      <family val="1"/>
      <charset val="204"/>
    </font>
    <font>
      <sz val="10"/>
      <name val="MS Sans Serif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u/>
      <sz val="10"/>
      <color indexed="12"/>
      <name val="Courier"/>
      <family val="3"/>
    </font>
    <font>
      <sz val="10"/>
      <name val="Arial Cyr"/>
      <family val="2"/>
      <charset val="204"/>
    </font>
    <font>
      <sz val="11"/>
      <color indexed="20"/>
      <name val="Calibri"/>
      <family val="2"/>
      <charset val="204"/>
    </font>
    <font>
      <sz val="9"/>
      <color indexed="56"/>
      <name val="Frutiger 45 Light"/>
      <family val="2"/>
    </font>
    <font>
      <sz val="10"/>
      <name val="Times New Roman"/>
      <family val="1"/>
    </font>
    <font>
      <b/>
      <sz val="11"/>
      <color indexed="52"/>
      <name val="Calibri"/>
      <family val="2"/>
      <charset val="204"/>
    </font>
    <font>
      <sz val="10"/>
      <name val="Tahoma"/>
      <family val="2"/>
      <charset val="204"/>
    </font>
    <font>
      <b/>
      <sz val="11"/>
      <color indexed="9"/>
      <name val="Calibri"/>
      <family val="2"/>
      <charset val="204"/>
    </font>
    <font>
      <sz val="10"/>
      <color indexed="57"/>
      <name val="Wingdings"/>
      <charset val="2"/>
    </font>
    <font>
      <sz val="8"/>
      <name val="Palatino"/>
      <family val="1"/>
    </font>
    <font>
      <sz val="10"/>
      <color indexed="24"/>
      <name val="Arial"/>
      <family val="2"/>
      <charset val="204"/>
    </font>
    <font>
      <b/>
      <sz val="10"/>
      <color indexed="12"/>
      <name val="Arial Cyr"/>
      <family val="2"/>
      <charset val="204"/>
    </font>
    <font>
      <sz val="8"/>
      <name val="Arial Cyr"/>
      <charset val="204"/>
    </font>
    <font>
      <sz val="12"/>
      <name val="Tms Rmn"/>
      <charset val="204"/>
    </font>
    <font>
      <u/>
      <sz val="8"/>
      <color indexed="12"/>
      <name val="Arial Cyr"/>
      <charset val="204"/>
    </font>
    <font>
      <i/>
      <sz val="11"/>
      <color indexed="23"/>
      <name val="Calibri"/>
      <family val="2"/>
      <charset val="204"/>
    </font>
    <font>
      <sz val="18"/>
      <name val="Arial"/>
      <family val="2"/>
      <charset val="204"/>
    </font>
    <font>
      <i/>
      <sz val="12"/>
      <name val="Arial"/>
      <family val="2"/>
      <charset val="204"/>
    </font>
    <font>
      <sz val="12"/>
      <name val="Symbol"/>
      <family val="1"/>
      <charset val="2"/>
    </font>
    <font>
      <sz val="18"/>
      <name val="Symbol"/>
      <family val="1"/>
      <charset val="2"/>
    </font>
    <font>
      <sz val="8"/>
      <name val="Symbol"/>
      <family val="1"/>
      <charset val="2"/>
    </font>
    <font>
      <i/>
      <sz val="12"/>
      <name val="Symbol"/>
      <family val="1"/>
      <charset val="2"/>
    </font>
    <font>
      <sz val="10"/>
      <name val="Courier"/>
      <family val="1"/>
      <charset val="204"/>
    </font>
    <font>
      <u/>
      <sz val="10"/>
      <color indexed="36"/>
      <name val="Arial Cyr"/>
      <charset val="204"/>
    </font>
    <font>
      <sz val="7"/>
      <name val="Palatino"/>
      <family val="1"/>
    </font>
    <font>
      <sz val="11"/>
      <color indexed="17"/>
      <name val="Calibri"/>
      <family val="2"/>
      <charset val="204"/>
    </font>
    <font>
      <sz val="10"/>
      <name val="Arial"/>
      <family val="2"/>
    </font>
    <font>
      <sz val="9"/>
      <name val="Futura UBS Bk"/>
      <family val="2"/>
    </font>
    <font>
      <sz val="6"/>
      <color indexed="16"/>
      <name val="Palatino"/>
      <family val="1"/>
    </font>
    <font>
      <b/>
      <sz val="10"/>
      <color indexed="18"/>
      <name val="Arial Cyr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sz val="8"/>
      <color indexed="13"/>
      <name val="Arial"/>
      <family val="2"/>
    </font>
    <font>
      <b/>
      <sz val="8"/>
      <name val="Arial Cyr"/>
      <charset val="204"/>
    </font>
    <font>
      <u/>
      <sz val="10"/>
      <color indexed="12"/>
      <name val="Arial Cyr"/>
      <charset val="204"/>
    </font>
    <font>
      <sz val="10"/>
      <name val="Courier"/>
      <family val="3"/>
    </font>
    <font>
      <u/>
      <sz val="10"/>
      <color indexed="36"/>
      <name val="Courier"/>
      <family val="3"/>
    </font>
    <font>
      <b/>
      <i/>
      <sz val="11"/>
      <color indexed="12"/>
      <name val="Arial Cyr"/>
      <family val="2"/>
      <charset val="204"/>
    </font>
    <font>
      <sz val="11"/>
      <color indexed="62"/>
      <name val="Calibri"/>
      <family val="2"/>
      <charset val="204"/>
    </font>
    <font>
      <sz val="8"/>
      <color indexed="12"/>
      <name val="Palatino"/>
      <family val="1"/>
    </font>
    <font>
      <sz val="11"/>
      <color indexed="52"/>
      <name val="Calibri"/>
      <family val="2"/>
      <charset val="204"/>
    </font>
    <font>
      <sz val="12"/>
      <name val="Gill Sans"/>
    </font>
    <font>
      <i/>
      <sz val="10"/>
      <name val="PragmaticaC"/>
      <charset val="204"/>
    </font>
    <font>
      <sz val="11"/>
      <color indexed="60"/>
      <name val="Calibri"/>
      <family val="2"/>
      <charset val="204"/>
    </font>
    <font>
      <sz val="12"/>
      <name val="Arial"/>
      <family val="2"/>
      <charset val="204"/>
    </font>
    <font>
      <sz val="14"/>
      <name val="NewtonC"/>
      <charset val="204"/>
    </font>
    <font>
      <sz val="8"/>
      <name val="Helv"/>
      <charset val="204"/>
    </font>
    <font>
      <sz val="10"/>
      <name val="Palatino"/>
      <family val="1"/>
    </font>
    <font>
      <sz val="9"/>
      <name val="Tahoma"/>
      <family val="2"/>
      <charset val="204"/>
    </font>
    <font>
      <b/>
      <sz val="11"/>
      <color indexed="63"/>
      <name val="Calibri"/>
      <family val="2"/>
      <charset val="204"/>
    </font>
    <font>
      <sz val="10"/>
      <color indexed="16"/>
      <name val="Helvetica-Black"/>
    </font>
    <font>
      <sz val="22"/>
      <name val="UBSHeadline"/>
      <family val="1"/>
    </font>
    <font>
      <u/>
      <sz val="10"/>
      <name val="Arial"/>
      <family val="2"/>
      <charset val="204"/>
    </font>
    <font>
      <sz val="8"/>
      <name val="Helv"/>
    </font>
    <font>
      <i/>
      <sz val="12"/>
      <name val="Tms Rmn"/>
      <charset val="204"/>
    </font>
    <font>
      <b/>
      <sz val="10"/>
      <color indexed="10"/>
      <name val="Arial Cyr"/>
      <family val="2"/>
      <charset val="204"/>
    </font>
    <font>
      <sz val="9.5"/>
      <color indexed="23"/>
      <name val="Helvetica-Black"/>
    </font>
    <font>
      <sz val="10"/>
      <color indexed="8"/>
      <name val="Arial"/>
      <family val="2"/>
    </font>
    <font>
      <sz val="10"/>
      <color indexed="39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b/>
      <sz val="16"/>
      <color indexed="23"/>
      <name val="Arial"/>
      <family val="2"/>
      <charset val="204"/>
    </font>
    <font>
      <sz val="10"/>
      <color indexed="10"/>
      <name val="Arial"/>
      <family val="2"/>
    </font>
    <font>
      <sz val="8"/>
      <name val="Arial Cyr"/>
      <family val="2"/>
      <charset val="204"/>
    </font>
    <font>
      <b/>
      <sz val="9"/>
      <name val="Palatino"/>
      <family val="1"/>
    </font>
    <font>
      <sz val="9"/>
      <color indexed="21"/>
      <name val="Helvetica-Black"/>
    </font>
    <font>
      <b/>
      <sz val="10"/>
      <name val="Palatino"/>
      <family val="1"/>
    </font>
    <font>
      <b/>
      <sz val="8"/>
      <color indexed="9"/>
      <name val="Arial Cyr"/>
      <charset val="204"/>
    </font>
    <font>
      <sz val="9"/>
      <name val="Helvetica-Black"/>
    </font>
    <font>
      <b/>
      <sz val="10"/>
      <name val="Times New Roman"/>
      <family val="1"/>
    </font>
    <font>
      <sz val="12"/>
      <color indexed="8"/>
      <name val="Palatino"/>
      <family val="1"/>
    </font>
    <font>
      <sz val="11"/>
      <name val="Helvetica-Black"/>
    </font>
    <font>
      <sz val="11"/>
      <color indexed="8"/>
      <name val="Helvetica-Black"/>
    </font>
    <font>
      <b/>
      <sz val="18"/>
      <color indexed="56"/>
      <name val="Cambria"/>
      <family val="2"/>
      <charset val="204"/>
    </font>
    <font>
      <sz val="11"/>
      <name val="Tahoma"/>
      <family val="2"/>
      <charset val="204"/>
    </font>
    <font>
      <b/>
      <sz val="11"/>
      <color indexed="8"/>
      <name val="Calibri"/>
      <family val="2"/>
      <charset val="204"/>
    </font>
    <font>
      <b/>
      <sz val="8"/>
      <name val="Palatino"/>
      <family val="1"/>
    </font>
    <font>
      <u/>
      <sz val="8"/>
      <color indexed="8"/>
      <name val="Arial"/>
      <family val="2"/>
    </font>
    <font>
      <sz val="11"/>
      <color indexed="10"/>
      <name val="Calibri"/>
      <family val="2"/>
      <charset val="204"/>
    </font>
    <font>
      <b/>
      <i/>
      <sz val="8"/>
      <name val="Helv"/>
    </font>
    <font>
      <b/>
      <sz val="8"/>
      <name val="Arial Cyr"/>
      <family val="2"/>
      <charset val="204"/>
    </font>
    <font>
      <u/>
      <sz val="9"/>
      <color indexed="32"/>
      <name val="Tahoma"/>
      <family val="2"/>
      <charset val="204"/>
    </font>
    <font>
      <u/>
      <sz val="9"/>
      <color indexed="12"/>
      <name val="Tahoma"/>
      <family val="2"/>
      <charset val="204"/>
    </font>
    <font>
      <u/>
      <sz val="9"/>
      <color indexed="18"/>
      <name val="Tahoma"/>
      <family val="2"/>
      <charset val="204"/>
    </font>
    <font>
      <b/>
      <u/>
      <sz val="9"/>
      <color indexed="12"/>
      <name val="Tahoma"/>
      <family val="2"/>
      <charset val="204"/>
    </font>
    <font>
      <u/>
      <sz val="10"/>
      <color indexed="12"/>
      <name val="Times New Roman Cyr"/>
      <charset val="204"/>
    </font>
    <font>
      <b/>
      <sz val="12"/>
      <color indexed="12"/>
      <name val="Arial Cyr"/>
      <family val="2"/>
      <charset val="204"/>
    </font>
    <font>
      <b/>
      <sz val="12"/>
      <name val="Arial Cyr"/>
      <family val="2"/>
      <charset val="204"/>
    </font>
    <font>
      <b/>
      <sz val="10"/>
      <name val="Arial Cyr"/>
      <family val="2"/>
      <charset val="204"/>
    </font>
    <font>
      <b/>
      <sz val="18"/>
      <color indexed="62"/>
      <name val="Arial Cyr"/>
      <family val="2"/>
      <charset val="204"/>
    </font>
    <font>
      <b/>
      <i/>
      <sz val="18"/>
      <color indexed="62"/>
      <name val="Arial Cyr"/>
      <family val="2"/>
      <charset val="204"/>
    </font>
    <font>
      <b/>
      <sz val="14"/>
      <name val="Franklin Gothic Medium"/>
      <family val="2"/>
      <charset val="204"/>
    </font>
    <font>
      <b/>
      <sz val="18"/>
      <name val="Arial"/>
      <family val="2"/>
      <charset val="204"/>
    </font>
    <font>
      <b/>
      <sz val="12"/>
      <name val="Arial"/>
      <family val="2"/>
      <charset val="204"/>
    </font>
    <font>
      <b/>
      <sz val="9"/>
      <name val="Tahoma"/>
      <family val="2"/>
      <charset val="204"/>
    </font>
    <font>
      <b/>
      <sz val="14"/>
      <name val="Arial Cyr"/>
      <family val="2"/>
      <charset val="204"/>
    </font>
    <font>
      <b/>
      <sz val="14"/>
      <name val="Arial"/>
      <family val="2"/>
      <charset val="204"/>
    </font>
    <font>
      <b/>
      <sz val="10"/>
      <name val="Arial Cyr"/>
      <charset val="204"/>
    </font>
    <font>
      <sz val="10"/>
      <color indexed="9"/>
      <name val="Arial Cyr"/>
      <family val="2"/>
      <charset val="204"/>
    </font>
    <font>
      <sz val="12"/>
      <name val="Arial Cyr"/>
      <family val="2"/>
      <charset val="204"/>
    </font>
    <font>
      <sz val="10"/>
      <color indexed="64"/>
      <name val="Arial"/>
      <family val="2"/>
      <charset val="204"/>
    </font>
    <font>
      <sz val="8"/>
      <name val="Arial"/>
      <family val="2"/>
    </font>
    <font>
      <b/>
      <i/>
      <sz val="10"/>
      <color indexed="10"/>
      <name val="Arial Cyr"/>
      <family val="2"/>
      <charset val="204"/>
    </font>
    <font>
      <b/>
      <sz val="11"/>
      <name val="Arial Cyr"/>
      <family val="2"/>
      <charset val="204"/>
    </font>
    <font>
      <sz val="11"/>
      <name val="Times New Roman CYR"/>
      <family val="1"/>
      <charset val="204"/>
    </font>
    <font>
      <b/>
      <i/>
      <sz val="14"/>
      <color indexed="57"/>
      <name val="Arial Cyr"/>
      <family val="2"/>
      <charset val="204"/>
    </font>
    <font>
      <sz val="10"/>
      <color indexed="8"/>
      <name val="Times New Roman Cyr"/>
      <family val="1"/>
      <charset val="204"/>
    </font>
    <font>
      <sz val="14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u/>
      <sz val="9"/>
      <color rgb="FF0000FF"/>
      <name val="Tahoma"/>
      <family val="2"/>
      <charset val="204"/>
    </font>
    <font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rgb="FF0000CC"/>
      <name val="Times New Roman"/>
      <family val="1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b/>
      <i/>
      <sz val="11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CC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b/>
      <sz val="14"/>
      <color rgb="FFFF0000"/>
      <name val="Times New Roman"/>
      <family val="1"/>
      <charset val="204"/>
    </font>
    <font>
      <i/>
      <sz val="11"/>
      <color rgb="FF0000CC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rgb="FFC00000"/>
      <name val="Times New Roman"/>
      <family val="1"/>
      <charset val="204"/>
    </font>
    <font>
      <b/>
      <i/>
      <sz val="11"/>
      <color rgb="FFC00000"/>
      <name val="Times New Roman"/>
      <family val="1"/>
      <charset val="204"/>
    </font>
    <font>
      <b/>
      <i/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i/>
      <sz val="11"/>
      <name val="Calibri"/>
      <family val="2"/>
      <charset val="204"/>
      <scheme val="minor"/>
    </font>
    <font>
      <b/>
      <i/>
      <sz val="12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i/>
      <sz val="10"/>
      <name val="Calibri"/>
      <family val="2"/>
      <charset val="204"/>
      <scheme val="minor"/>
    </font>
    <font>
      <i/>
      <sz val="11"/>
      <color rgb="FFFF0000"/>
      <name val="Calibri"/>
      <family val="2"/>
      <charset val="204"/>
      <scheme val="minor"/>
    </font>
    <font>
      <b/>
      <i/>
      <sz val="11"/>
      <color rgb="FFFF0000"/>
      <name val="Calibri"/>
      <family val="2"/>
      <charset val="204"/>
      <scheme val="minor"/>
    </font>
    <font>
      <sz val="11"/>
      <color rgb="FF0000CC"/>
      <name val="Calibri"/>
      <family val="2"/>
      <charset val="204"/>
      <scheme val="minor"/>
    </font>
    <font>
      <sz val="14"/>
      <name val="Calibri"/>
      <family val="2"/>
      <charset val="204"/>
      <scheme val="minor"/>
    </font>
    <font>
      <i/>
      <sz val="14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20"/>
      <color rgb="FFFF0000"/>
      <name val="Times New Roman"/>
      <family val="1"/>
      <charset val="204"/>
    </font>
    <font>
      <sz val="11"/>
      <color rgb="FF0000FF"/>
      <name val="Times New Roman"/>
      <family val="1"/>
      <charset val="204"/>
    </font>
    <font>
      <sz val="10"/>
      <color rgb="FF0000FF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b/>
      <sz val="8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sz val="9"/>
      <color indexed="10"/>
      <name val="Times New Roman"/>
      <family val="1"/>
      <charset val="204"/>
    </font>
    <font>
      <sz val="8"/>
      <color indexed="9"/>
      <name val="Times New Roman"/>
      <family val="1"/>
      <charset val="204"/>
    </font>
    <font>
      <sz val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color indexed="10"/>
      <name val="Times New Roman"/>
      <family val="1"/>
      <charset val="204"/>
    </font>
    <font>
      <b/>
      <i/>
      <sz val="10"/>
      <color rgb="FFC00000"/>
      <name val="Times New Roman"/>
      <family val="1"/>
      <charset val="204"/>
    </font>
    <font>
      <b/>
      <sz val="12"/>
      <color indexed="9"/>
      <name val="Times New Roman"/>
      <family val="1"/>
      <charset val="204"/>
    </font>
    <font>
      <b/>
      <sz val="12"/>
      <color indexed="18"/>
      <name val="Times New Roman"/>
      <family val="1"/>
      <charset val="204"/>
    </font>
    <font>
      <b/>
      <i/>
      <sz val="12"/>
      <color rgb="FFFF0000"/>
      <name val="Times New Roman"/>
      <family val="1"/>
      <charset val="204"/>
    </font>
    <font>
      <sz val="9"/>
      <color indexed="9"/>
      <name val="Times New Roman"/>
      <family val="1"/>
      <charset val="204"/>
    </font>
    <font>
      <sz val="9"/>
      <color indexed="18"/>
      <name val="Times New Roman"/>
      <family val="1"/>
      <charset val="204"/>
    </font>
    <font>
      <sz val="12"/>
      <name val="Times New Roman"/>
      <family val="1"/>
      <charset val="204"/>
    </font>
    <font>
      <sz val="16"/>
      <color rgb="FF0000CC"/>
      <name val="Times New Roman"/>
      <family val="1"/>
      <charset val="204"/>
    </font>
    <font>
      <sz val="12"/>
      <color indexed="18"/>
      <name val="Times New Roman"/>
      <family val="1"/>
      <charset val="204"/>
    </font>
    <font>
      <sz val="12"/>
      <color rgb="FF0000CC"/>
      <name val="Times New Roman"/>
      <family val="1"/>
      <charset val="204"/>
    </font>
    <font>
      <b/>
      <sz val="8"/>
      <color rgb="FFFF0000"/>
      <name val="Times New Roman"/>
      <family val="1"/>
      <charset val="204"/>
    </font>
    <font>
      <i/>
      <sz val="12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b/>
      <sz val="10"/>
      <color rgb="FFC00000"/>
      <name val="Times New Roman"/>
      <family val="1"/>
      <charset val="204"/>
    </font>
    <font>
      <b/>
      <sz val="14"/>
      <color indexed="81"/>
      <name val="Tahoma"/>
      <family val="2"/>
      <charset val="204"/>
    </font>
    <font>
      <sz val="14"/>
      <color indexed="81"/>
      <name val="Tahoma"/>
      <family val="2"/>
      <charset val="204"/>
    </font>
    <font>
      <sz val="11"/>
      <color rgb="FFFF0000"/>
      <name val="Times New Roman"/>
      <family val="1"/>
      <charset val="204"/>
    </font>
    <font>
      <b/>
      <sz val="11"/>
      <color rgb="FF006600"/>
      <name val="Times New Roman"/>
      <family val="1"/>
      <charset val="204"/>
    </font>
    <font>
      <sz val="10"/>
      <color rgb="FFC0000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1"/>
      <color indexed="81"/>
      <name val="Tahoma"/>
      <family val="2"/>
      <charset val="204"/>
    </font>
    <font>
      <sz val="11"/>
      <color indexed="81"/>
      <name val="Tahoma"/>
      <family val="2"/>
      <charset val="204"/>
    </font>
    <font>
      <b/>
      <sz val="22"/>
      <color rgb="FFFF0000"/>
      <name val="Calibri"/>
      <family val="2"/>
      <charset val="204"/>
      <scheme val="minor"/>
    </font>
    <font>
      <b/>
      <sz val="12"/>
      <color rgb="FF0000CC"/>
      <name val="Times New Roman"/>
      <family val="1"/>
      <charset val="204"/>
    </font>
    <font>
      <b/>
      <sz val="12"/>
      <color rgb="FF0000CC"/>
      <name val="Calibri"/>
      <family val="2"/>
      <charset val="204"/>
      <scheme val="minor"/>
    </font>
  </fonts>
  <fills count="9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lightGray">
        <fgColor indexed="2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7"/>
        <bgColor indexed="64"/>
      </patternFill>
    </fill>
    <fill>
      <patternFill patternType="solid">
        <fgColor indexed="32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3"/>
        <bgColor indexed="24"/>
      </patternFill>
    </fill>
    <fill>
      <patternFill patternType="lightUp">
        <fgColor indexed="55"/>
      </patternFill>
    </fill>
    <fill>
      <patternFill patternType="solid">
        <fgColor indexed="4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9F9F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8FFF8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89E0FF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8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E1CCF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05FF05"/>
        <bgColor indexed="64"/>
      </patternFill>
    </fill>
    <fill>
      <patternFill patternType="solid">
        <fgColor rgb="FFC2A3FF"/>
        <bgColor indexed="64"/>
      </patternFill>
    </fill>
    <fill>
      <patternFill patternType="solid">
        <fgColor rgb="FFDECDFF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D6FFC9"/>
        <bgColor indexed="64"/>
      </patternFill>
    </fill>
    <fill>
      <patternFill patternType="solid">
        <fgColor rgb="FFC5FFFF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EDB3"/>
        <bgColor indexed="64"/>
      </patternFill>
    </fill>
    <fill>
      <patternFill patternType="solid">
        <fgColor rgb="FFFDE8D7"/>
        <bgColor indexed="64"/>
      </patternFill>
    </fill>
  </fills>
  <borders count="18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64"/>
      </left>
      <right/>
      <top/>
      <bottom/>
      <diagonal/>
    </border>
    <border>
      <left style="thick">
        <color indexed="23"/>
      </left>
      <right style="thick">
        <color indexed="23"/>
      </right>
      <top style="thick">
        <color indexed="23"/>
      </top>
      <bottom style="thick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thin">
        <color indexed="22"/>
      </top>
      <bottom/>
      <diagonal/>
    </border>
    <border>
      <left style="medium">
        <color indexed="64"/>
      </left>
      <right/>
      <top style="thin">
        <color indexed="22"/>
      </top>
      <bottom/>
      <diagonal/>
    </border>
    <border>
      <left/>
      <right style="medium">
        <color indexed="64"/>
      </right>
      <top style="thin">
        <color indexed="22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22"/>
      </left>
      <right/>
      <top style="thin">
        <color indexed="22"/>
      </top>
      <bottom/>
      <diagonal/>
    </border>
    <border>
      <left/>
      <right style="medium">
        <color indexed="64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22"/>
      </bottom>
      <diagonal/>
    </border>
    <border>
      <left/>
      <right style="medium">
        <color indexed="64"/>
      </right>
      <top/>
      <bottom style="thin">
        <color indexed="22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22"/>
      </right>
      <top style="medium">
        <color indexed="64"/>
      </top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medium">
        <color indexed="64"/>
      </top>
      <bottom style="medium">
        <color indexed="64"/>
      </bottom>
      <diagonal/>
    </border>
    <border>
      <left style="thin">
        <color indexed="22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22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22"/>
      </right>
      <top style="thin">
        <color indexed="22"/>
      </top>
      <bottom/>
      <diagonal/>
    </border>
    <border>
      <left style="medium">
        <color indexed="64"/>
      </left>
      <right style="medium">
        <color indexed="64"/>
      </right>
      <top style="thin">
        <color indexed="22"/>
      </top>
      <bottom/>
      <diagonal/>
    </border>
    <border>
      <left style="thin">
        <color indexed="64"/>
      </left>
      <right style="thin">
        <color indexed="64"/>
      </right>
      <top style="thin">
        <color indexed="22"/>
      </top>
      <bottom/>
      <diagonal/>
    </border>
    <border>
      <left/>
      <right style="thin">
        <color indexed="64"/>
      </right>
      <top style="thin">
        <color indexed="22"/>
      </top>
      <bottom/>
      <diagonal/>
    </border>
    <border>
      <left style="thin">
        <color indexed="22"/>
      </left>
      <right style="medium">
        <color indexed="64"/>
      </right>
      <top style="thin">
        <color indexed="22"/>
      </top>
      <bottom/>
      <diagonal/>
    </border>
    <border>
      <left/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medium">
        <color indexed="64"/>
      </left>
      <right style="thin">
        <color indexed="64"/>
      </right>
      <top style="thin">
        <color indexed="22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/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 style="thin">
        <color indexed="22"/>
      </left>
      <right style="medium">
        <color indexed="64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/>
      <top/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 style="thin">
        <color indexed="22"/>
      </bottom>
      <diagonal/>
    </border>
    <border>
      <left/>
      <right style="thin">
        <color indexed="64"/>
      </right>
      <top/>
      <bottom style="thin">
        <color indexed="22"/>
      </bottom>
      <diagonal/>
    </border>
    <border>
      <left/>
      <right/>
      <top/>
      <bottom style="thin">
        <color indexed="22"/>
      </bottom>
      <diagonal/>
    </border>
    <border>
      <left/>
      <right style="thin">
        <color indexed="22"/>
      </right>
      <top/>
      <bottom style="thin">
        <color indexed="22"/>
      </bottom>
      <diagonal/>
    </border>
    <border>
      <left style="thick">
        <color indexed="58"/>
      </left>
      <right style="thick">
        <color indexed="58"/>
      </right>
      <top style="thick">
        <color indexed="58"/>
      </top>
      <bottom style="thick">
        <color indexed="58"/>
      </bottom>
      <diagonal/>
    </border>
    <border>
      <left/>
      <right style="thin">
        <color indexed="22"/>
      </right>
      <top/>
      <bottom/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/>
      <top/>
      <bottom style="hair">
        <color auto="1"/>
      </bottom>
      <diagonal/>
    </border>
    <border>
      <left style="medium">
        <color indexed="64"/>
      </left>
      <right style="thin">
        <color indexed="22"/>
      </right>
      <top style="thin">
        <color indexed="22"/>
      </top>
      <bottom style="hair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hair">
        <color auto="1"/>
      </bottom>
      <diagonal/>
    </border>
    <border>
      <left style="thin">
        <color indexed="22"/>
      </left>
      <right/>
      <top style="thin">
        <color indexed="22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22"/>
      </top>
      <bottom style="hair">
        <color auto="1"/>
      </bottom>
      <diagonal/>
    </border>
    <border>
      <left/>
      <right style="medium">
        <color indexed="64"/>
      </right>
      <top style="thin">
        <color indexed="22"/>
      </top>
      <bottom style="hair">
        <color auto="1"/>
      </bottom>
      <diagonal/>
    </border>
    <border>
      <left style="medium">
        <color indexed="64"/>
      </left>
      <right/>
      <top style="thin">
        <color indexed="22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22"/>
      </top>
      <bottom style="hair">
        <color auto="1"/>
      </bottom>
      <diagonal/>
    </border>
    <border>
      <left/>
      <right style="thin">
        <color indexed="64"/>
      </right>
      <top style="thin">
        <color indexed="22"/>
      </top>
      <bottom style="hair">
        <color auto="1"/>
      </bottom>
      <diagonal/>
    </border>
    <border>
      <left/>
      <right/>
      <top style="thin">
        <color indexed="22"/>
      </top>
      <bottom style="hair">
        <color auto="1"/>
      </bottom>
      <diagonal/>
    </border>
    <border>
      <left style="thin">
        <color indexed="22"/>
      </left>
      <right style="medium">
        <color indexed="64"/>
      </right>
      <top style="thin">
        <color indexed="22"/>
      </top>
      <bottom style="hair">
        <color auto="1"/>
      </bottom>
      <diagonal/>
    </border>
    <border>
      <left/>
      <right style="thin">
        <color indexed="22"/>
      </right>
      <top style="thin">
        <color indexed="22"/>
      </top>
      <bottom style="hair">
        <color auto="1"/>
      </bottom>
      <diagonal/>
    </border>
    <border>
      <left style="thin">
        <color indexed="22"/>
      </left>
      <right style="thin">
        <color indexed="22"/>
      </right>
      <top/>
      <bottom style="hair">
        <color auto="1"/>
      </bottom>
      <diagonal/>
    </border>
    <border>
      <left style="thick">
        <color indexed="58"/>
      </left>
      <right style="thick">
        <color indexed="58"/>
      </right>
      <top style="thick">
        <color indexed="58"/>
      </top>
      <bottom style="hair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22"/>
      </top>
      <bottom style="hair">
        <color auto="1"/>
      </bottom>
      <diagonal/>
    </border>
    <border>
      <left style="medium">
        <color indexed="64"/>
      </left>
      <right style="thin">
        <color indexed="22"/>
      </right>
      <top style="hair">
        <color auto="1"/>
      </top>
      <bottom style="hair">
        <color auto="1"/>
      </bottom>
      <diagonal/>
    </border>
    <border>
      <left style="thin">
        <color indexed="22"/>
      </left>
      <right style="thin">
        <color indexed="22"/>
      </right>
      <top style="hair">
        <color auto="1"/>
      </top>
      <bottom style="hair">
        <color auto="1"/>
      </bottom>
      <diagonal/>
    </border>
    <border>
      <left style="thin">
        <color indexed="22"/>
      </left>
      <right/>
      <top style="hair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22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/>
      <right style="thin">
        <color indexed="22"/>
      </right>
      <top style="hair">
        <color auto="1"/>
      </top>
      <bottom style="hair">
        <color auto="1"/>
      </bottom>
      <diagonal/>
    </border>
    <border>
      <left style="thick">
        <color indexed="58"/>
      </left>
      <right style="thick">
        <color indexed="58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/>
      <top style="hair">
        <color auto="1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auto="1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auto="1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</borders>
  <cellStyleXfs count="2448">
    <xf numFmtId="0" fontId="0" fillId="0" borderId="0"/>
    <xf numFmtId="0" fontId="11" fillId="0" borderId="0"/>
    <xf numFmtId="175" fontId="11" fillId="0" borderId="0"/>
    <xf numFmtId="0" fontId="12" fillId="0" borderId="0"/>
    <xf numFmtId="0" fontId="10" fillId="0" borderId="0"/>
    <xf numFmtId="176" fontId="13" fillId="0" borderId="0">
      <alignment vertical="top"/>
    </xf>
    <xf numFmtId="176" fontId="14" fillId="0" borderId="0">
      <alignment vertical="top"/>
    </xf>
    <xf numFmtId="177" fontId="14" fillId="2" borderId="0">
      <alignment vertical="top"/>
    </xf>
    <xf numFmtId="176" fontId="14" fillId="3" borderId="0">
      <alignment vertical="top"/>
    </xf>
    <xf numFmtId="40" fontId="15" fillId="0" borderId="0" applyFont="0" applyFill="0" applyBorder="0" applyAlignment="0" applyProtection="0"/>
    <xf numFmtId="0" fontId="16" fillId="0" borderId="0"/>
    <xf numFmtId="0" fontId="12" fillId="0" borderId="0"/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178" fontId="10" fillId="4" borderId="1">
      <alignment wrapText="1"/>
      <protection locked="0"/>
    </xf>
    <xf numFmtId="178" fontId="10" fillId="4" borderId="1">
      <alignment wrapText="1"/>
      <protection locked="0"/>
    </xf>
    <xf numFmtId="178" fontId="10" fillId="4" borderId="1">
      <alignment wrapText="1"/>
      <protection locked="0"/>
    </xf>
    <xf numFmtId="0" fontId="11" fillId="0" borderId="0"/>
    <xf numFmtId="0" fontId="12" fillId="0" borderId="0"/>
    <xf numFmtId="175" fontId="12" fillId="0" borderId="0"/>
    <xf numFmtId="0" fontId="12" fillId="0" borderId="0"/>
    <xf numFmtId="175" fontId="12" fillId="0" borderId="0"/>
    <xf numFmtId="0" fontId="12" fillId="0" borderId="0"/>
    <xf numFmtId="175" fontId="12" fillId="0" borderId="0"/>
    <xf numFmtId="0" fontId="12" fillId="0" borderId="0"/>
    <xf numFmtId="175" fontId="12" fillId="0" borderId="0"/>
    <xf numFmtId="0" fontId="17" fillId="0" borderId="0"/>
    <xf numFmtId="0" fontId="11" fillId="0" borderId="0"/>
    <xf numFmtId="175" fontId="11" fillId="0" borderId="0"/>
    <xf numFmtId="0" fontId="11" fillId="0" borderId="0"/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0" fontId="11" fillId="0" borderId="0"/>
    <xf numFmtId="175" fontId="11" fillId="0" borderId="0"/>
    <xf numFmtId="0" fontId="11" fillId="0" borderId="0"/>
    <xf numFmtId="175" fontId="11" fillId="0" borderId="0"/>
    <xf numFmtId="0" fontId="12" fillId="0" borderId="0"/>
    <xf numFmtId="175" fontId="12" fillId="0" borderId="0"/>
    <xf numFmtId="0" fontId="12" fillId="0" borderId="0"/>
    <xf numFmtId="175" fontId="12" fillId="0" borderId="0"/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0" fontId="12" fillId="0" borderId="0"/>
    <xf numFmtId="175" fontId="12" fillId="0" borderId="0"/>
    <xf numFmtId="0" fontId="12" fillId="0" borderId="0"/>
    <xf numFmtId="0" fontId="12" fillId="0" borderId="0"/>
    <xf numFmtId="175" fontId="12" fillId="0" borderId="0"/>
    <xf numFmtId="0" fontId="12" fillId="0" borderId="0"/>
    <xf numFmtId="175" fontId="12" fillId="0" borderId="0"/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0" fontId="12" fillId="0" borderId="0"/>
    <xf numFmtId="175" fontId="12" fillId="0" borderId="0"/>
    <xf numFmtId="0" fontId="12" fillId="0" borderId="0"/>
    <xf numFmtId="0" fontId="11" fillId="0" borderId="0"/>
    <xf numFmtId="175" fontId="11" fillId="0" borderId="0"/>
    <xf numFmtId="0" fontId="11" fillId="0" borderId="0"/>
    <xf numFmtId="175" fontId="11" fillId="0" borderId="0"/>
    <xf numFmtId="0" fontId="12" fillId="0" borderId="0"/>
    <xf numFmtId="175" fontId="12" fillId="0" borderId="0"/>
    <xf numFmtId="0" fontId="11" fillId="0" borderId="0"/>
    <xf numFmtId="175" fontId="11" fillId="0" borderId="0"/>
    <xf numFmtId="0" fontId="11" fillId="0" borderId="0"/>
    <xf numFmtId="175" fontId="11" fillId="0" borderId="0"/>
    <xf numFmtId="0" fontId="1" fillId="0" borderId="0"/>
    <xf numFmtId="0" fontId="12" fillId="0" borderId="0"/>
    <xf numFmtId="175" fontId="12" fillId="0" borderId="0"/>
    <xf numFmtId="179" fontId="1" fillId="0" borderId="0" applyFont="0" applyFill="0" applyBorder="0" applyAlignment="0" applyProtection="0"/>
    <xf numFmtId="180" fontId="18" fillId="0" borderId="0">
      <protection locked="0"/>
    </xf>
    <xf numFmtId="181" fontId="18" fillId="0" borderId="0">
      <protection locked="0"/>
    </xf>
    <xf numFmtId="180" fontId="18" fillId="0" borderId="0">
      <protection locked="0"/>
    </xf>
    <xf numFmtId="180" fontId="18" fillId="0" borderId="0">
      <protection locked="0"/>
    </xf>
    <xf numFmtId="181" fontId="18" fillId="0" borderId="0">
      <protection locked="0"/>
    </xf>
    <xf numFmtId="181" fontId="18" fillId="0" borderId="0">
      <protection locked="0"/>
    </xf>
    <xf numFmtId="182" fontId="18" fillId="0" borderId="0">
      <protection locked="0"/>
    </xf>
    <xf numFmtId="182" fontId="18" fillId="0" borderId="0">
      <protection locked="0"/>
    </xf>
    <xf numFmtId="183" fontId="18" fillId="0" borderId="2">
      <protection locked="0"/>
    </xf>
    <xf numFmtId="183" fontId="19" fillId="0" borderId="0">
      <protection locked="0"/>
    </xf>
    <xf numFmtId="183" fontId="19" fillId="0" borderId="0">
      <protection locked="0"/>
    </xf>
    <xf numFmtId="183" fontId="19" fillId="0" borderId="0">
      <protection locked="0"/>
    </xf>
    <xf numFmtId="183" fontId="19" fillId="0" borderId="0">
      <protection locked="0"/>
    </xf>
    <xf numFmtId="183" fontId="18" fillId="0" borderId="2">
      <protection locked="0"/>
    </xf>
    <xf numFmtId="183" fontId="18" fillId="0" borderId="2">
      <protection locked="0"/>
    </xf>
    <xf numFmtId="0" fontId="20" fillId="5" borderId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20" borderId="0" applyNumberFormat="0" applyBorder="0" applyAlignment="0" applyProtection="0"/>
    <xf numFmtId="0" fontId="2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23" borderId="0" applyNumberFormat="0" applyBorder="0" applyAlignment="0" applyProtection="0"/>
    <xf numFmtId="0" fontId="23" fillId="0" borderId="0" applyNumberFormat="0" applyFill="0" applyBorder="0" applyAlignment="0" applyProtection="0">
      <alignment vertical="top"/>
      <protection locked="0"/>
    </xf>
    <xf numFmtId="0" fontId="17" fillId="0" borderId="0"/>
    <xf numFmtId="184" fontId="24" fillId="0" borderId="3">
      <protection locked="0"/>
    </xf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0" fontId="25" fillId="7" borderId="0" applyNumberFormat="0" applyBorder="0" applyAlignment="0" applyProtection="0"/>
    <xf numFmtId="10" fontId="26" fillId="0" borderId="0" applyNumberFormat="0" applyFill="0" applyBorder="0" applyAlignment="0"/>
    <xf numFmtId="0" fontId="27" fillId="0" borderId="0"/>
    <xf numFmtId="0" fontId="28" fillId="24" borderId="4" applyNumberFormat="0" applyAlignment="0" applyProtection="0"/>
    <xf numFmtId="0" fontId="29" fillId="0" borderId="4" applyNumberFormat="0" applyAlignment="0">
      <protection locked="0"/>
    </xf>
    <xf numFmtId="0" fontId="30" fillId="25" borderId="5" applyNumberFormat="0" applyAlignment="0" applyProtection="0"/>
    <xf numFmtId="0" fontId="31" fillId="0" borderId="6">
      <alignment horizontal="left" vertical="center"/>
    </xf>
    <xf numFmtId="165" fontId="10" fillId="0" borderId="0" applyFont="0" applyFill="0" applyBorder="0" applyAlignment="0" applyProtection="0"/>
    <xf numFmtId="0" fontId="32" fillId="0" borderId="0" applyFont="0" applyFill="0" applyBorder="0" applyAlignment="0" applyProtection="0">
      <alignment horizontal="right"/>
    </xf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>
      <alignment horizontal="right"/>
    </xf>
    <xf numFmtId="0" fontId="32" fillId="0" borderId="0" applyFont="0" applyFill="0" applyBorder="0" applyAlignment="0" applyProtection="0"/>
    <xf numFmtId="167" fontId="10" fillId="0" borderId="0" applyFont="0" applyFill="0" applyBorder="0" applyAlignment="0" applyProtection="0"/>
    <xf numFmtId="3" fontId="33" fillId="0" borderId="0" applyFont="0" applyFill="0" applyBorder="0" applyAlignment="0" applyProtection="0"/>
    <xf numFmtId="184" fontId="34" fillId="26" borderId="3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187" fontId="20" fillId="0" borderId="0" applyFont="0" applyFill="0" applyBorder="0" applyAlignment="0" applyProtection="0"/>
    <xf numFmtId="0" fontId="32" fillId="0" borderId="0" applyFont="0" applyFill="0" applyBorder="0" applyAlignment="0" applyProtection="0">
      <alignment horizontal="right"/>
    </xf>
    <xf numFmtId="0" fontId="32" fillId="0" borderId="0" applyFont="0" applyFill="0" applyBorder="0" applyAlignment="0" applyProtection="0">
      <alignment horizontal="right"/>
    </xf>
    <xf numFmtId="166" fontId="1" fillId="0" borderId="0" applyFont="0" applyFill="0" applyBorder="0" applyAlignment="0" applyProtection="0"/>
    <xf numFmtId="188" fontId="33" fillId="0" borderId="0" applyFont="0" applyFill="0" applyBorder="0" applyAlignment="0" applyProtection="0"/>
    <xf numFmtId="0" fontId="32" fillId="0" borderId="0" applyFill="0" applyBorder="0" applyProtection="0">
      <alignment vertical="center"/>
    </xf>
    <xf numFmtId="0" fontId="33" fillId="0" borderId="0" applyFont="0" applyFill="0" applyBorder="0" applyAlignment="0" applyProtection="0"/>
    <xf numFmtId="0" fontId="32" fillId="0" borderId="0" applyFont="0" applyFill="0" applyBorder="0" applyAlignment="0" applyProtection="0"/>
    <xf numFmtId="14" fontId="35" fillId="0" borderId="0">
      <alignment vertical="top"/>
    </xf>
    <xf numFmtId="189" fontId="1" fillId="0" borderId="0" applyFont="0" applyFill="0" applyBorder="0" applyAlignment="0" applyProtection="0"/>
    <xf numFmtId="190" fontId="1" fillId="0" borderId="0" applyFont="0" applyFill="0" applyBorder="0" applyAlignment="0" applyProtection="0"/>
    <xf numFmtId="0" fontId="32" fillId="0" borderId="7" applyNumberFormat="0" applyFont="0" applyFill="0" applyAlignment="0" applyProtection="0"/>
    <xf numFmtId="0" fontId="36" fillId="0" borderId="0" applyNumberFormat="0" applyFill="0" applyBorder="0" applyAlignment="0" applyProtection="0"/>
    <xf numFmtId="38" fontId="37" fillId="0" borderId="0">
      <alignment vertical="top"/>
    </xf>
    <xf numFmtId="38" fontId="37" fillId="0" borderId="0">
      <alignment vertical="top"/>
    </xf>
    <xf numFmtId="38" fontId="37" fillId="0" borderId="0">
      <alignment vertical="top"/>
    </xf>
    <xf numFmtId="175" fontId="35" fillId="0" borderId="0" applyFont="0" applyFill="0" applyBorder="0" applyAlignment="0" applyProtection="0"/>
    <xf numFmtId="175" fontId="35" fillId="0" borderId="0" applyFont="0" applyFill="0" applyBorder="0" applyAlignment="0" applyProtection="0"/>
    <xf numFmtId="37" fontId="10" fillId="0" borderId="0"/>
    <xf numFmtId="0" fontId="21" fillId="0" borderId="0"/>
    <xf numFmtId="0" fontId="38" fillId="0" borderId="0" applyNumberFormat="0" applyFill="0" applyBorder="0" applyAlignment="0" applyProtection="0"/>
    <xf numFmtId="172" fontId="39" fillId="0" borderId="0" applyFill="0" applyBorder="0" applyAlignment="0" applyProtection="0"/>
    <xf numFmtId="172" fontId="13" fillId="0" borderId="0" applyFill="0" applyBorder="0" applyAlignment="0" applyProtection="0"/>
    <xf numFmtId="172" fontId="40" fillId="0" borderId="0" applyFill="0" applyBorder="0" applyAlignment="0" applyProtection="0"/>
    <xf numFmtId="172" fontId="41" fillId="0" borderId="0" applyFill="0" applyBorder="0" applyAlignment="0" applyProtection="0"/>
    <xf numFmtId="172" fontId="42" fillId="0" borderId="0" applyFill="0" applyBorder="0" applyAlignment="0" applyProtection="0"/>
    <xf numFmtId="172" fontId="43" fillId="0" borderId="0" applyFill="0" applyBorder="0" applyAlignment="0" applyProtection="0"/>
    <xf numFmtId="172" fontId="44" fillId="0" borderId="0" applyFill="0" applyBorder="0" applyAlignment="0" applyProtection="0"/>
    <xf numFmtId="2" fontId="33" fillId="0" borderId="0" applyFont="0" applyFill="0" applyBorder="0" applyAlignment="0" applyProtection="0"/>
    <xf numFmtId="0" fontId="45" fillId="0" borderId="0">
      <alignment vertical="center"/>
    </xf>
    <xf numFmtId="0" fontId="46" fillId="0" borderId="0" applyNumberFormat="0" applyFill="0" applyBorder="0" applyAlignment="0" applyProtection="0">
      <alignment vertical="top"/>
      <protection locked="0"/>
    </xf>
    <xf numFmtId="0" fontId="47" fillId="0" borderId="0" applyFill="0" applyBorder="0" applyProtection="0">
      <alignment horizontal="left"/>
    </xf>
    <xf numFmtId="0" fontId="48" fillId="8" borderId="0" applyNumberFormat="0" applyBorder="0" applyAlignment="0" applyProtection="0"/>
    <xf numFmtId="176" fontId="49" fillId="3" borderId="6" applyNumberFormat="0" applyFont="0" applyBorder="0" applyAlignment="0" applyProtection="0"/>
    <xf numFmtId="0" fontId="32" fillId="0" borderId="0" applyFont="0" applyFill="0" applyBorder="0" applyAlignment="0" applyProtection="0">
      <alignment horizontal="right"/>
    </xf>
    <xf numFmtId="191" fontId="50" fillId="3" borderId="0" applyNumberFormat="0" applyFont="0" applyAlignment="0"/>
    <xf numFmtId="0" fontId="51" fillId="0" borderId="0" applyProtection="0">
      <alignment horizontal="right"/>
    </xf>
    <xf numFmtId="0" fontId="29" fillId="24" borderId="4" applyNumberFormat="0" applyAlignment="0"/>
    <xf numFmtId="0" fontId="52" fillId="0" borderId="0">
      <alignment vertical="top"/>
    </xf>
    <xf numFmtId="0" fontId="53" fillId="0" borderId="8" applyNumberFormat="0" applyFill="0" applyAlignment="0" applyProtection="0"/>
    <xf numFmtId="0" fontId="53" fillId="0" borderId="8" applyNumberFormat="0" applyFill="0" applyAlignment="0" applyProtection="0"/>
    <xf numFmtId="0" fontId="54" fillId="0" borderId="9" applyNumberFormat="0" applyFill="0" applyAlignment="0" applyProtection="0"/>
    <xf numFmtId="0" fontId="54" fillId="0" borderId="9" applyNumberFormat="0" applyFill="0" applyAlignment="0" applyProtection="0"/>
    <xf numFmtId="0" fontId="55" fillId="0" borderId="10" applyNumberFormat="0" applyFill="0" applyAlignment="0" applyProtection="0"/>
    <xf numFmtId="0" fontId="55" fillId="0" borderId="0" applyNumberFormat="0" applyFill="0" applyBorder="0" applyAlignment="0" applyProtection="0"/>
    <xf numFmtId="2" fontId="56" fillId="27" borderId="0" applyAlignment="0">
      <alignment horizontal="right"/>
      <protection locked="0"/>
    </xf>
    <xf numFmtId="38" fontId="57" fillId="0" borderId="0">
      <alignment vertical="top"/>
    </xf>
    <xf numFmtId="38" fontId="57" fillId="0" borderId="0">
      <alignment vertical="top"/>
    </xf>
    <xf numFmtId="38" fontId="57" fillId="0" borderId="0">
      <alignment vertical="top"/>
    </xf>
    <xf numFmtId="0" fontId="58" fillId="0" borderId="0" applyNumberFormat="0" applyFill="0" applyBorder="0" applyAlignment="0" applyProtection="0">
      <alignment vertical="top"/>
      <protection locked="0"/>
    </xf>
    <xf numFmtId="184" fontId="59" fillId="0" borderId="0"/>
    <xf numFmtId="0" fontId="10" fillId="0" borderId="0"/>
    <xf numFmtId="0" fontId="60" fillId="0" borderId="0" applyNumberFormat="0" applyFill="0" applyBorder="0" applyAlignment="0" applyProtection="0">
      <alignment vertical="top"/>
      <protection locked="0"/>
    </xf>
    <xf numFmtId="192" fontId="61" fillId="0" borderId="6">
      <alignment horizontal="center" vertical="center" wrapText="1"/>
    </xf>
    <xf numFmtId="0" fontId="62" fillId="11" borderId="4" applyNumberFormat="0" applyAlignment="0" applyProtection="0"/>
    <xf numFmtId="0" fontId="63" fillId="0" borderId="0" applyFill="0" applyBorder="0" applyProtection="0">
      <alignment vertical="center"/>
    </xf>
    <xf numFmtId="0" fontId="63" fillId="0" borderId="0" applyFill="0" applyBorder="0" applyProtection="0">
      <alignment vertical="center"/>
    </xf>
    <xf numFmtId="0" fontId="63" fillId="0" borderId="0" applyFill="0" applyBorder="0" applyProtection="0">
      <alignment vertical="center"/>
    </xf>
    <xf numFmtId="0" fontId="63" fillId="0" borderId="0" applyFill="0" applyBorder="0" applyProtection="0">
      <alignment vertical="center"/>
    </xf>
    <xf numFmtId="38" fontId="14" fillId="0" borderId="0">
      <alignment vertical="top"/>
    </xf>
    <xf numFmtId="38" fontId="14" fillId="2" borderId="0">
      <alignment vertical="top"/>
    </xf>
    <xf numFmtId="38" fontId="14" fillId="2" borderId="0">
      <alignment vertical="top"/>
    </xf>
    <xf numFmtId="38" fontId="14" fillId="2" borderId="0">
      <alignment vertical="top"/>
    </xf>
    <xf numFmtId="38" fontId="14" fillId="0" borderId="0">
      <alignment vertical="top"/>
    </xf>
    <xf numFmtId="38" fontId="14" fillId="0" borderId="0">
      <alignment vertical="top"/>
    </xf>
    <xf numFmtId="193" fontId="14" fillId="3" borderId="0">
      <alignment vertical="top"/>
    </xf>
    <xf numFmtId="38" fontId="14" fillId="0" borderId="0">
      <alignment vertical="top"/>
    </xf>
    <xf numFmtId="0" fontId="64" fillId="0" borderId="11" applyNumberFormat="0" applyFill="0" applyAlignment="0" applyProtection="0"/>
    <xf numFmtId="168" fontId="65" fillId="0" borderId="0" applyFont="0" applyFill="0" applyBorder="0" applyAlignment="0" applyProtection="0"/>
    <xf numFmtId="169" fontId="65" fillId="0" borderId="0" applyFont="0" applyFill="0" applyBorder="0" applyAlignment="0" applyProtection="0"/>
    <xf numFmtId="168" fontId="65" fillId="0" borderId="0" applyFont="0" applyFill="0" applyBorder="0" applyAlignment="0" applyProtection="0"/>
    <xf numFmtId="169" fontId="65" fillId="0" borderId="0" applyFont="0" applyFill="0" applyBorder="0" applyAlignment="0" applyProtection="0"/>
    <xf numFmtId="194" fontId="66" fillId="0" borderId="6">
      <alignment horizontal="right"/>
      <protection locked="0"/>
    </xf>
    <xf numFmtId="195" fontId="65" fillId="0" borderId="0" applyFont="0" applyFill="0" applyBorder="0" applyAlignment="0" applyProtection="0"/>
    <xf numFmtId="196" fontId="65" fillId="0" borderId="0" applyFont="0" applyFill="0" applyBorder="0" applyAlignment="0" applyProtection="0"/>
    <xf numFmtId="195" fontId="65" fillId="0" borderId="0" applyFont="0" applyFill="0" applyBorder="0" applyAlignment="0" applyProtection="0"/>
    <xf numFmtId="196" fontId="65" fillId="0" borderId="0" applyFont="0" applyFill="0" applyBorder="0" applyAlignment="0" applyProtection="0"/>
    <xf numFmtId="0" fontId="32" fillId="0" borderId="0" applyFont="0" applyFill="0" applyBorder="0" applyAlignment="0" applyProtection="0">
      <alignment horizontal="right"/>
    </xf>
    <xf numFmtId="0" fontId="32" fillId="0" borderId="0" applyFill="0" applyBorder="0" applyProtection="0">
      <alignment vertical="center"/>
    </xf>
    <xf numFmtId="0" fontId="32" fillId="0" borderId="0" applyFont="0" applyFill="0" applyBorder="0" applyAlignment="0" applyProtection="0">
      <alignment horizontal="right"/>
    </xf>
    <xf numFmtId="3" fontId="1" fillId="0" borderId="12" applyFont="0" applyBorder="0">
      <alignment horizontal="center" vertical="center"/>
    </xf>
    <xf numFmtId="0" fontId="67" fillId="28" borderId="0" applyNumberFormat="0" applyBorder="0" applyAlignment="0" applyProtection="0"/>
    <xf numFmtId="0" fontId="20" fillId="0" borderId="13"/>
    <xf numFmtId="0" fontId="68" fillId="0" borderId="0" applyNumberFormat="0" applyFill="0" applyBorder="0" applyAlignment="0" applyProtection="0"/>
    <xf numFmtId="197" fontId="1" fillId="0" borderId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9" fillId="0" borderId="0">
      <alignment horizontal="right"/>
    </xf>
    <xf numFmtId="0" fontId="1" fillId="0" borderId="0"/>
    <xf numFmtId="0" fontId="70" fillId="0" borderId="0"/>
    <xf numFmtId="0" fontId="32" fillId="0" borderId="0" applyFill="0" applyBorder="0" applyProtection="0">
      <alignment vertical="center"/>
    </xf>
    <xf numFmtId="0" fontId="71" fillId="0" borderId="0"/>
    <xf numFmtId="0" fontId="10" fillId="0" borderId="0"/>
    <xf numFmtId="0" fontId="11" fillId="0" borderId="0"/>
    <xf numFmtId="0" fontId="72" fillId="29" borderId="14" applyNumberFormat="0" applyFont="0" applyAlignment="0" applyProtection="0"/>
    <xf numFmtId="198" fontId="1" fillId="0" borderId="0" applyFont="0" applyAlignment="0">
      <alignment horizontal="center"/>
    </xf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49" fillId="0" borderId="0"/>
    <xf numFmtId="201" fontId="49" fillId="0" borderId="0" applyFont="0" applyFill="0" applyBorder="0" applyAlignment="0" applyProtection="0"/>
    <xf numFmtId="202" fontId="49" fillId="0" borderId="0" applyFont="0" applyFill="0" applyBorder="0" applyAlignment="0" applyProtection="0"/>
    <xf numFmtId="0" fontId="73" fillId="24" borderId="15" applyNumberFormat="0" applyAlignment="0" applyProtection="0"/>
    <xf numFmtId="1" fontId="74" fillId="0" borderId="0" applyProtection="0">
      <alignment horizontal="right" vertical="center"/>
    </xf>
    <xf numFmtId="49" fontId="75" fillId="0" borderId="16" applyFill="0" applyProtection="0">
      <alignment vertical="center"/>
    </xf>
    <xf numFmtId="9" fontId="10" fillId="0" borderId="0" applyFont="0" applyFill="0" applyBorder="0" applyAlignment="0" applyProtection="0"/>
    <xf numFmtId="0" fontId="32" fillId="0" borderId="0" applyFill="0" applyBorder="0" applyProtection="0">
      <alignment vertical="center"/>
    </xf>
    <xf numFmtId="37" fontId="76" fillId="4" borderId="17"/>
    <xf numFmtId="37" fontId="76" fillId="4" borderId="17"/>
    <xf numFmtId="0" fontId="77" fillId="0" borderId="0" applyNumberFormat="0">
      <alignment horizontal="left"/>
    </xf>
    <xf numFmtId="203" fontId="78" fillId="0" borderId="18" applyBorder="0">
      <alignment horizontal="right"/>
      <protection locked="0"/>
    </xf>
    <xf numFmtId="49" fontId="79" fillId="0" borderId="6" applyNumberFormat="0">
      <alignment horizontal="left" vertical="center"/>
    </xf>
    <xf numFmtId="0" fontId="80" fillId="0" borderId="19">
      <alignment vertical="center"/>
    </xf>
    <xf numFmtId="4" fontId="81" fillId="4" borderId="15" applyNumberFormat="0" applyProtection="0">
      <alignment vertical="center"/>
    </xf>
    <xf numFmtId="4" fontId="82" fillId="4" borderId="15" applyNumberFormat="0" applyProtection="0">
      <alignment vertical="center"/>
    </xf>
    <xf numFmtId="4" fontId="81" fillId="4" borderId="15" applyNumberFormat="0" applyProtection="0">
      <alignment horizontal="left" vertical="center" indent="1"/>
    </xf>
    <xf numFmtId="4" fontId="81" fillId="4" borderId="15" applyNumberFormat="0" applyProtection="0">
      <alignment horizontal="left" vertical="center" indent="1"/>
    </xf>
    <xf numFmtId="0" fontId="10" fillId="30" borderId="15" applyNumberFormat="0" applyProtection="0">
      <alignment horizontal="left" vertical="center" indent="1"/>
    </xf>
    <xf numFmtId="4" fontId="81" fillId="31" borderId="15" applyNumberFormat="0" applyProtection="0">
      <alignment horizontal="right" vertical="center"/>
    </xf>
    <xf numFmtId="4" fontId="81" fillId="32" borderId="15" applyNumberFormat="0" applyProtection="0">
      <alignment horizontal="right" vertical="center"/>
    </xf>
    <xf numFmtId="4" fontId="81" fillId="33" borderId="15" applyNumberFormat="0" applyProtection="0">
      <alignment horizontal="right" vertical="center"/>
    </xf>
    <xf numFmtId="4" fontId="81" fillId="34" borderId="15" applyNumberFormat="0" applyProtection="0">
      <alignment horizontal="right" vertical="center"/>
    </xf>
    <xf numFmtId="4" fontId="81" fillId="35" borderId="15" applyNumberFormat="0" applyProtection="0">
      <alignment horizontal="right" vertical="center"/>
    </xf>
    <xf numFmtId="4" fontId="81" fillId="36" borderId="15" applyNumberFormat="0" applyProtection="0">
      <alignment horizontal="right" vertical="center"/>
    </xf>
    <xf numFmtId="4" fontId="81" fillId="37" borderId="15" applyNumberFormat="0" applyProtection="0">
      <alignment horizontal="right" vertical="center"/>
    </xf>
    <xf numFmtId="4" fontId="81" fillId="38" borderId="15" applyNumberFormat="0" applyProtection="0">
      <alignment horizontal="right" vertical="center"/>
    </xf>
    <xf numFmtId="4" fontId="81" fillId="39" borderId="15" applyNumberFormat="0" applyProtection="0">
      <alignment horizontal="right" vertical="center"/>
    </xf>
    <xf numFmtId="4" fontId="83" fillId="40" borderId="15" applyNumberFormat="0" applyProtection="0">
      <alignment horizontal="left" vertical="center" indent="1"/>
    </xf>
    <xf numFmtId="4" fontId="81" fillId="41" borderId="20" applyNumberFormat="0" applyProtection="0">
      <alignment horizontal="left" vertical="center" indent="1"/>
    </xf>
    <xf numFmtId="4" fontId="84" fillId="42" borderId="0" applyNumberFormat="0" applyProtection="0">
      <alignment horizontal="left" vertical="center" indent="1"/>
    </xf>
    <xf numFmtId="0" fontId="10" fillId="30" borderId="15" applyNumberFormat="0" applyProtection="0">
      <alignment horizontal="left" vertical="center" indent="1"/>
    </xf>
    <xf numFmtId="4" fontId="85" fillId="41" borderId="15" applyNumberFormat="0" applyProtection="0">
      <alignment horizontal="left" vertical="center" indent="1"/>
    </xf>
    <xf numFmtId="4" fontId="85" fillId="43" borderId="15" applyNumberFormat="0" applyProtection="0">
      <alignment horizontal="left" vertical="center" indent="1"/>
    </xf>
    <xf numFmtId="0" fontId="10" fillId="43" borderId="15" applyNumberFormat="0" applyProtection="0">
      <alignment horizontal="left" vertical="center" indent="1"/>
    </xf>
    <xf numFmtId="0" fontId="10" fillId="43" borderId="15" applyNumberFormat="0" applyProtection="0">
      <alignment horizontal="left" vertical="center" indent="1"/>
    </xf>
    <xf numFmtId="0" fontId="10" fillId="44" borderId="15" applyNumberFormat="0" applyProtection="0">
      <alignment horizontal="left" vertical="center" indent="1"/>
    </xf>
    <xf numFmtId="0" fontId="10" fillId="44" borderId="15" applyNumberFormat="0" applyProtection="0">
      <alignment horizontal="left" vertical="center" indent="1"/>
    </xf>
    <xf numFmtId="0" fontId="10" fillId="2" borderId="15" applyNumberFormat="0" applyProtection="0">
      <alignment horizontal="left" vertical="center" indent="1"/>
    </xf>
    <xf numFmtId="0" fontId="10" fillId="2" borderId="15" applyNumberFormat="0" applyProtection="0">
      <alignment horizontal="left" vertical="center" indent="1"/>
    </xf>
    <xf numFmtId="0" fontId="10" fillId="30" borderId="15" applyNumberFormat="0" applyProtection="0">
      <alignment horizontal="left" vertical="center" indent="1"/>
    </xf>
    <xf numFmtId="0" fontId="10" fillId="30" borderId="15" applyNumberFormat="0" applyProtection="0">
      <alignment horizontal="left" vertical="center" indent="1"/>
    </xf>
    <xf numFmtId="0" fontId="1" fillId="0" borderId="0"/>
    <xf numFmtId="0" fontId="1" fillId="0" borderId="0"/>
    <xf numFmtId="0" fontId="1" fillId="0" borderId="0"/>
    <xf numFmtId="0" fontId="1" fillId="0" borderId="0"/>
    <xf numFmtId="4" fontId="81" fillId="45" borderId="15" applyNumberFormat="0" applyProtection="0">
      <alignment vertical="center"/>
    </xf>
    <xf numFmtId="4" fontId="82" fillId="45" borderId="15" applyNumberFormat="0" applyProtection="0">
      <alignment vertical="center"/>
    </xf>
    <xf numFmtId="4" fontId="81" fillId="45" borderId="15" applyNumberFormat="0" applyProtection="0">
      <alignment horizontal="left" vertical="center" indent="1"/>
    </xf>
    <xf numFmtId="4" fontId="81" fillId="45" borderId="15" applyNumberFormat="0" applyProtection="0">
      <alignment horizontal="left" vertical="center" indent="1"/>
    </xf>
    <xf numFmtId="4" fontId="81" fillId="41" borderId="15" applyNumberFormat="0" applyProtection="0">
      <alignment horizontal="right" vertical="center"/>
    </xf>
    <xf numFmtId="4" fontId="82" fillId="41" borderId="15" applyNumberFormat="0" applyProtection="0">
      <alignment horizontal="right" vertical="center"/>
    </xf>
    <xf numFmtId="0" fontId="10" fillId="30" borderId="15" applyNumberFormat="0" applyProtection="0">
      <alignment horizontal="left" vertical="center" indent="1"/>
    </xf>
    <xf numFmtId="0" fontId="10" fillId="30" borderId="15" applyNumberFormat="0" applyProtection="0">
      <alignment horizontal="left" vertical="center" indent="1"/>
    </xf>
    <xf numFmtId="0" fontId="86" fillId="0" borderId="0"/>
    <xf numFmtId="4" fontId="87" fillId="41" borderId="15" applyNumberFormat="0" applyProtection="0">
      <alignment horizontal="right" vertical="center"/>
    </xf>
    <xf numFmtId="0" fontId="88" fillId="0" borderId="0">
      <alignment horizontal="left" vertical="center" wrapText="1"/>
    </xf>
    <xf numFmtId="0" fontId="10" fillId="0" borderId="0"/>
    <xf numFmtId="0" fontId="11" fillId="0" borderId="0"/>
    <xf numFmtId="0" fontId="89" fillId="0" borderId="0" applyBorder="0" applyProtection="0">
      <alignment vertical="center"/>
    </xf>
    <xf numFmtId="0" fontId="89" fillId="0" borderId="16" applyBorder="0" applyProtection="0">
      <alignment horizontal="right" vertical="center"/>
    </xf>
    <xf numFmtId="0" fontId="90" fillId="46" borderId="0" applyBorder="0" applyProtection="0">
      <alignment horizontal="centerContinuous" vertical="center"/>
    </xf>
    <xf numFmtId="0" fontId="90" fillId="47" borderId="16" applyBorder="0" applyProtection="0">
      <alignment horizontal="centerContinuous" vertical="center"/>
    </xf>
    <xf numFmtId="0" fontId="91" fillId="0" borderId="0"/>
    <xf numFmtId="38" fontId="92" fillId="48" borderId="0">
      <alignment horizontal="right" vertical="top"/>
    </xf>
    <xf numFmtId="38" fontId="92" fillId="48" borderId="0">
      <alignment horizontal="right" vertical="top"/>
    </xf>
    <xf numFmtId="38" fontId="92" fillId="48" borderId="0">
      <alignment horizontal="right" vertical="top"/>
    </xf>
    <xf numFmtId="0" fontId="71" fillId="0" borderId="0"/>
    <xf numFmtId="0" fontId="93" fillId="0" borderId="0" applyFill="0" applyBorder="0" applyProtection="0">
      <alignment horizontal="left"/>
    </xf>
    <xf numFmtId="0" fontId="47" fillId="0" borderId="21" applyFill="0" applyBorder="0" applyProtection="0">
      <alignment horizontal="left" vertical="top"/>
    </xf>
    <xf numFmtId="0" fontId="94" fillId="0" borderId="0">
      <alignment horizontal="centerContinuous"/>
    </xf>
    <xf numFmtId="0" fontId="95" fillId="0" borderId="21" applyFill="0" applyBorder="0" applyProtection="0"/>
    <xf numFmtId="0" fontId="95" fillId="0" borderId="0"/>
    <xf numFmtId="0" fontId="96" fillId="0" borderId="0" applyFill="0" applyBorder="0" applyProtection="0"/>
    <xf numFmtId="0" fontId="97" fillId="0" borderId="0"/>
    <xf numFmtId="0" fontId="98" fillId="0" borderId="0" applyNumberFormat="0" applyFill="0" applyBorder="0" applyAlignment="0" applyProtection="0"/>
    <xf numFmtId="49" fontId="99" fillId="44" borderId="22" applyNumberFormat="0">
      <alignment horizontal="center" vertical="center"/>
    </xf>
    <xf numFmtId="0" fontId="100" fillId="0" borderId="23" applyNumberFormat="0" applyFill="0" applyAlignment="0" applyProtection="0"/>
    <xf numFmtId="0" fontId="100" fillId="0" borderId="23" applyNumberFormat="0" applyFill="0" applyAlignment="0" applyProtection="0"/>
    <xf numFmtId="0" fontId="101" fillId="0" borderId="7" applyFill="0" applyBorder="0" applyProtection="0">
      <alignment vertical="center"/>
    </xf>
    <xf numFmtId="0" fontId="102" fillId="0" borderId="0">
      <alignment horizontal="fill"/>
    </xf>
    <xf numFmtId="0" fontId="49" fillId="0" borderId="0"/>
    <xf numFmtId="0" fontId="103" fillId="0" borderId="0" applyNumberFormat="0" applyFill="0" applyBorder="0" applyAlignment="0" applyProtection="0"/>
    <xf numFmtId="0" fontId="104" fillId="0" borderId="16" applyBorder="0" applyProtection="0">
      <alignment horizontal="right"/>
    </xf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0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184" fontId="24" fillId="0" borderId="3">
      <protection locked="0"/>
    </xf>
    <xf numFmtId="0" fontId="62" fillId="11" borderId="4" applyNumberFormat="0" applyAlignment="0" applyProtection="0"/>
    <xf numFmtId="0" fontId="62" fillId="11" borderId="4" applyNumberFormat="0" applyAlignment="0" applyProtection="0"/>
    <xf numFmtId="0" fontId="62" fillId="11" borderId="4" applyNumberFormat="0" applyAlignment="0" applyProtection="0"/>
    <xf numFmtId="0" fontId="62" fillId="11" borderId="4" applyNumberFormat="0" applyAlignment="0" applyProtection="0"/>
    <xf numFmtId="0" fontId="62" fillId="11" borderId="4" applyNumberFormat="0" applyAlignment="0" applyProtection="0"/>
    <xf numFmtId="0" fontId="62" fillId="11" borderId="4" applyNumberFormat="0" applyAlignment="0" applyProtection="0"/>
    <xf numFmtId="0" fontId="62" fillId="11" borderId="4" applyNumberFormat="0" applyAlignment="0" applyProtection="0"/>
    <xf numFmtId="0" fontId="62" fillId="11" borderId="4" applyNumberFormat="0" applyAlignment="0" applyProtection="0"/>
    <xf numFmtId="0" fontId="62" fillId="11" borderId="4" applyNumberFormat="0" applyAlignment="0" applyProtection="0"/>
    <xf numFmtId="0" fontId="62" fillId="11" borderId="4" applyNumberFormat="0" applyAlignment="0" applyProtection="0"/>
    <xf numFmtId="0" fontId="62" fillId="11" borderId="4" applyNumberFormat="0" applyAlignment="0" applyProtection="0"/>
    <xf numFmtId="0" fontId="62" fillId="11" borderId="4" applyNumberFormat="0" applyAlignment="0" applyProtection="0"/>
    <xf numFmtId="0" fontId="62" fillId="11" borderId="4" applyNumberFormat="0" applyAlignment="0" applyProtection="0"/>
    <xf numFmtId="0" fontId="62" fillId="11" borderId="4" applyNumberFormat="0" applyAlignment="0" applyProtection="0"/>
    <xf numFmtId="0" fontId="62" fillId="11" borderId="4" applyNumberFormat="0" applyAlignment="0" applyProtection="0"/>
    <xf numFmtId="0" fontId="62" fillId="11" borderId="4" applyNumberFormat="0" applyAlignment="0" applyProtection="0"/>
    <xf numFmtId="0" fontId="62" fillId="11" borderId="4" applyNumberFormat="0" applyAlignment="0" applyProtection="0"/>
    <xf numFmtId="0" fontId="62" fillId="11" borderId="4" applyNumberFormat="0" applyAlignment="0" applyProtection="0"/>
    <xf numFmtId="0" fontId="62" fillId="11" borderId="4" applyNumberFormat="0" applyAlignment="0" applyProtection="0"/>
    <xf numFmtId="0" fontId="62" fillId="11" borderId="4" applyNumberFormat="0" applyAlignment="0" applyProtection="0"/>
    <xf numFmtId="0" fontId="62" fillId="11" borderId="4" applyNumberFormat="0" applyAlignment="0" applyProtection="0"/>
    <xf numFmtId="0" fontId="62" fillId="11" borderId="4" applyNumberFormat="0" applyAlignment="0" applyProtection="0"/>
    <xf numFmtId="0" fontId="62" fillId="11" borderId="4" applyNumberFormat="0" applyAlignment="0" applyProtection="0"/>
    <xf numFmtId="0" fontId="62" fillId="11" borderId="4" applyNumberFormat="0" applyAlignment="0" applyProtection="0"/>
    <xf numFmtId="0" fontId="62" fillId="11" borderId="4" applyNumberFormat="0" applyAlignment="0" applyProtection="0"/>
    <xf numFmtId="3" fontId="105" fillId="0" borderId="0">
      <alignment horizontal="center" vertical="center" textRotation="90" wrapText="1"/>
    </xf>
    <xf numFmtId="204" fontId="24" fillId="0" borderId="6">
      <alignment vertical="top" wrapText="1"/>
    </xf>
    <xf numFmtId="0" fontId="73" fillId="24" borderId="15" applyNumberFormat="0" applyAlignment="0" applyProtection="0"/>
    <xf numFmtId="0" fontId="73" fillId="24" borderId="15" applyNumberFormat="0" applyAlignment="0" applyProtection="0"/>
    <xf numFmtId="0" fontId="73" fillId="24" borderId="15" applyNumberFormat="0" applyAlignment="0" applyProtection="0"/>
    <xf numFmtId="0" fontId="73" fillId="24" borderId="15" applyNumberFormat="0" applyAlignment="0" applyProtection="0"/>
    <xf numFmtId="0" fontId="73" fillId="24" borderId="15" applyNumberFormat="0" applyAlignment="0" applyProtection="0"/>
    <xf numFmtId="0" fontId="73" fillId="24" borderId="15" applyNumberFormat="0" applyAlignment="0" applyProtection="0"/>
    <xf numFmtId="0" fontId="73" fillId="24" borderId="15" applyNumberFormat="0" applyAlignment="0" applyProtection="0"/>
    <xf numFmtId="0" fontId="73" fillId="24" borderId="15" applyNumberFormat="0" applyAlignment="0" applyProtection="0"/>
    <xf numFmtId="0" fontId="73" fillId="24" borderId="15" applyNumberFormat="0" applyAlignment="0" applyProtection="0"/>
    <xf numFmtId="0" fontId="73" fillId="24" borderId="15" applyNumberFormat="0" applyAlignment="0" applyProtection="0"/>
    <xf numFmtId="0" fontId="73" fillId="24" borderId="15" applyNumberFormat="0" applyAlignment="0" applyProtection="0"/>
    <xf numFmtId="0" fontId="73" fillId="24" borderId="15" applyNumberFormat="0" applyAlignment="0" applyProtection="0"/>
    <xf numFmtId="0" fontId="73" fillId="24" borderId="15" applyNumberFormat="0" applyAlignment="0" applyProtection="0"/>
    <xf numFmtId="0" fontId="73" fillId="24" borderId="15" applyNumberFormat="0" applyAlignment="0" applyProtection="0"/>
    <xf numFmtId="0" fontId="73" fillId="24" borderId="15" applyNumberFormat="0" applyAlignment="0" applyProtection="0"/>
    <xf numFmtId="0" fontId="73" fillId="24" borderId="15" applyNumberFormat="0" applyAlignment="0" applyProtection="0"/>
    <xf numFmtId="0" fontId="73" fillId="24" borderId="15" applyNumberFormat="0" applyAlignment="0" applyProtection="0"/>
    <xf numFmtId="0" fontId="73" fillId="24" borderId="15" applyNumberFormat="0" applyAlignment="0" applyProtection="0"/>
    <xf numFmtId="0" fontId="73" fillId="24" borderId="15" applyNumberFormat="0" applyAlignment="0" applyProtection="0"/>
    <xf numFmtId="0" fontId="73" fillId="24" borderId="15" applyNumberFormat="0" applyAlignment="0" applyProtection="0"/>
    <xf numFmtId="0" fontId="73" fillId="24" borderId="15" applyNumberFormat="0" applyAlignment="0" applyProtection="0"/>
    <xf numFmtId="0" fontId="73" fillId="24" borderId="15" applyNumberFormat="0" applyAlignment="0" applyProtection="0"/>
    <xf numFmtId="0" fontId="73" fillId="24" borderId="15" applyNumberFormat="0" applyAlignment="0" applyProtection="0"/>
    <xf numFmtId="0" fontId="73" fillId="24" borderId="15" applyNumberFormat="0" applyAlignment="0" applyProtection="0"/>
    <xf numFmtId="0" fontId="73" fillId="24" borderId="15" applyNumberFormat="0" applyAlignment="0" applyProtection="0"/>
    <xf numFmtId="0" fontId="28" fillId="24" borderId="4" applyNumberFormat="0" applyAlignment="0" applyProtection="0"/>
    <xf numFmtId="0" fontId="28" fillId="24" borderId="4" applyNumberFormat="0" applyAlignment="0" applyProtection="0"/>
    <xf numFmtId="0" fontId="28" fillId="24" borderId="4" applyNumberFormat="0" applyAlignment="0" applyProtection="0"/>
    <xf numFmtId="0" fontId="28" fillId="24" borderId="4" applyNumberFormat="0" applyAlignment="0" applyProtection="0"/>
    <xf numFmtId="0" fontId="28" fillId="24" borderId="4" applyNumberFormat="0" applyAlignment="0" applyProtection="0"/>
    <xf numFmtId="0" fontId="28" fillId="24" borderId="4" applyNumberFormat="0" applyAlignment="0" applyProtection="0"/>
    <xf numFmtId="0" fontId="28" fillId="24" borderId="4" applyNumberFormat="0" applyAlignment="0" applyProtection="0"/>
    <xf numFmtId="0" fontId="28" fillId="24" borderId="4" applyNumberFormat="0" applyAlignment="0" applyProtection="0"/>
    <xf numFmtId="0" fontId="28" fillId="24" borderId="4" applyNumberFormat="0" applyAlignment="0" applyProtection="0"/>
    <xf numFmtId="0" fontId="28" fillId="24" borderId="4" applyNumberFormat="0" applyAlignment="0" applyProtection="0"/>
    <xf numFmtId="0" fontId="28" fillId="24" borderId="4" applyNumberFormat="0" applyAlignment="0" applyProtection="0"/>
    <xf numFmtId="0" fontId="28" fillId="24" borderId="4" applyNumberFormat="0" applyAlignment="0" applyProtection="0"/>
    <xf numFmtId="0" fontId="28" fillId="24" borderId="4" applyNumberFormat="0" applyAlignment="0" applyProtection="0"/>
    <xf numFmtId="0" fontId="28" fillId="24" borderId="4" applyNumberFormat="0" applyAlignment="0" applyProtection="0"/>
    <xf numFmtId="0" fontId="28" fillId="24" borderId="4" applyNumberFormat="0" applyAlignment="0" applyProtection="0"/>
    <xf numFmtId="0" fontId="28" fillId="24" borderId="4" applyNumberFormat="0" applyAlignment="0" applyProtection="0"/>
    <xf numFmtId="0" fontId="28" fillId="24" borderId="4" applyNumberFormat="0" applyAlignment="0" applyProtection="0"/>
    <xf numFmtId="0" fontId="28" fillId="24" borderId="4" applyNumberFormat="0" applyAlignment="0" applyProtection="0"/>
    <xf numFmtId="0" fontId="28" fillId="24" borderId="4" applyNumberFormat="0" applyAlignment="0" applyProtection="0"/>
    <xf numFmtId="0" fontId="28" fillId="24" borderId="4" applyNumberFormat="0" applyAlignment="0" applyProtection="0"/>
    <xf numFmtId="0" fontId="28" fillId="24" borderId="4" applyNumberFormat="0" applyAlignment="0" applyProtection="0"/>
    <xf numFmtId="0" fontId="28" fillId="24" borderId="4" applyNumberFormat="0" applyAlignment="0" applyProtection="0"/>
    <xf numFmtId="0" fontId="28" fillId="24" borderId="4" applyNumberFormat="0" applyAlignment="0" applyProtection="0"/>
    <xf numFmtId="0" fontId="28" fillId="24" borderId="4" applyNumberFormat="0" applyAlignment="0" applyProtection="0"/>
    <xf numFmtId="0" fontId="28" fillId="24" borderId="4" applyNumberFormat="0" applyAlignment="0" applyProtection="0"/>
    <xf numFmtId="0" fontId="106" fillId="0" borderId="0" applyNumberFormat="0" applyFill="0" applyBorder="0" applyAlignment="0" applyProtection="0">
      <alignment vertical="top"/>
      <protection locked="0"/>
    </xf>
    <xf numFmtId="0" fontId="107" fillId="0" borderId="0" applyNumberFormat="0" applyFill="0" applyBorder="0" applyAlignment="0" applyProtection="0">
      <alignment vertical="top"/>
      <protection locked="0"/>
    </xf>
    <xf numFmtId="49" fontId="108" fillId="0" borderId="0" applyNumberFormat="0" applyFill="0" applyBorder="0" applyAlignment="0" applyProtection="0">
      <alignment vertical="top"/>
    </xf>
    <xf numFmtId="0" fontId="5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 applyNumberFormat="0" applyFill="0" applyBorder="0" applyAlignment="0" applyProtection="0">
      <alignment vertical="top"/>
      <protection locked="0"/>
    </xf>
    <xf numFmtId="0" fontId="110" fillId="0" borderId="0" applyNumberFormat="0" applyFill="0" applyBorder="0" applyAlignment="0" applyProtection="0">
      <alignment vertical="top"/>
      <protection locked="0"/>
    </xf>
    <xf numFmtId="174" fontId="111" fillId="0" borderId="6">
      <alignment vertical="top" wrapText="1"/>
    </xf>
    <xf numFmtId="4" fontId="112" fillId="0" borderId="6">
      <alignment horizontal="left" vertical="center"/>
    </xf>
    <xf numFmtId="4" fontId="112" fillId="0" borderId="6"/>
    <xf numFmtId="4" fontId="112" fillId="49" borderId="6"/>
    <xf numFmtId="4" fontId="112" fillId="50" borderId="6"/>
    <xf numFmtId="4" fontId="113" fillId="51" borderId="6"/>
    <xf numFmtId="4" fontId="114" fillId="2" borderId="6"/>
    <xf numFmtId="4" fontId="115" fillId="0" borderId="6">
      <alignment horizontal="center" wrapText="1"/>
    </xf>
    <xf numFmtId="174" fontId="112" fillId="0" borderId="6"/>
    <xf numFmtId="174" fontId="111" fillId="0" borderId="6">
      <alignment horizontal="center" vertical="center" wrapText="1"/>
    </xf>
    <xf numFmtId="174" fontId="111" fillId="0" borderId="6">
      <alignment vertical="top" wrapText="1"/>
    </xf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21" fillId="0" borderId="0" applyFont="0" applyFill="0" applyBorder="0" applyAlignment="0" applyProtection="0"/>
    <xf numFmtId="0" fontId="116" fillId="0" borderId="0" applyBorder="0">
      <alignment horizontal="center" vertical="center" wrapText="1"/>
    </xf>
    <xf numFmtId="0" fontId="53" fillId="0" borderId="8" applyNumberFormat="0" applyFill="0" applyAlignment="0" applyProtection="0"/>
    <xf numFmtId="0" fontId="53" fillId="0" borderId="8" applyNumberFormat="0" applyFill="0" applyAlignment="0" applyProtection="0"/>
    <xf numFmtId="0" fontId="53" fillId="0" borderId="8" applyNumberFormat="0" applyFill="0" applyAlignment="0" applyProtection="0"/>
    <xf numFmtId="0" fontId="53" fillId="0" borderId="8" applyNumberFormat="0" applyFill="0" applyAlignment="0" applyProtection="0"/>
    <xf numFmtId="0" fontId="53" fillId="0" borderId="8" applyNumberFormat="0" applyFill="0" applyAlignment="0" applyProtection="0"/>
    <xf numFmtId="0" fontId="53" fillId="0" borderId="8" applyNumberFormat="0" applyFill="0" applyAlignment="0" applyProtection="0"/>
    <xf numFmtId="0" fontId="53" fillId="0" borderId="8" applyNumberFormat="0" applyFill="0" applyAlignment="0" applyProtection="0"/>
    <xf numFmtId="0" fontId="53" fillId="0" borderId="8" applyNumberFormat="0" applyFill="0" applyAlignment="0" applyProtection="0"/>
    <xf numFmtId="0" fontId="53" fillId="0" borderId="8" applyNumberFormat="0" applyFill="0" applyAlignment="0" applyProtection="0"/>
    <xf numFmtId="0" fontId="53" fillId="0" borderId="8" applyNumberFormat="0" applyFill="0" applyAlignment="0" applyProtection="0"/>
    <xf numFmtId="0" fontId="53" fillId="0" borderId="8" applyNumberFormat="0" applyFill="0" applyAlignment="0" applyProtection="0"/>
    <xf numFmtId="0" fontId="53" fillId="0" borderId="8" applyNumberFormat="0" applyFill="0" applyAlignment="0" applyProtection="0"/>
    <xf numFmtId="0" fontId="53" fillId="0" borderId="8" applyNumberFormat="0" applyFill="0" applyAlignment="0" applyProtection="0"/>
    <xf numFmtId="0" fontId="53" fillId="0" borderId="8" applyNumberFormat="0" applyFill="0" applyAlignment="0" applyProtection="0"/>
    <xf numFmtId="0" fontId="53" fillId="0" borderId="8" applyNumberFormat="0" applyFill="0" applyAlignment="0" applyProtection="0"/>
    <xf numFmtId="0" fontId="53" fillId="0" borderId="8" applyNumberFormat="0" applyFill="0" applyAlignment="0" applyProtection="0"/>
    <xf numFmtId="0" fontId="53" fillId="0" borderId="8" applyNumberFormat="0" applyFill="0" applyAlignment="0" applyProtection="0"/>
    <xf numFmtId="0" fontId="53" fillId="0" borderId="8" applyNumberFormat="0" applyFill="0" applyAlignment="0" applyProtection="0"/>
    <xf numFmtId="0" fontId="53" fillId="0" borderId="8" applyNumberFormat="0" applyFill="0" applyAlignment="0" applyProtection="0"/>
    <xf numFmtId="0" fontId="53" fillId="0" borderId="8" applyNumberFormat="0" applyFill="0" applyAlignment="0" applyProtection="0"/>
    <xf numFmtId="0" fontId="53" fillId="0" borderId="8" applyNumberFormat="0" applyFill="0" applyAlignment="0" applyProtection="0"/>
    <xf numFmtId="0" fontId="53" fillId="0" borderId="8" applyNumberFormat="0" applyFill="0" applyAlignment="0" applyProtection="0"/>
    <xf numFmtId="0" fontId="53" fillId="0" borderId="8" applyNumberFormat="0" applyFill="0" applyAlignment="0" applyProtection="0"/>
    <xf numFmtId="0" fontId="53" fillId="0" borderId="8" applyNumberFormat="0" applyFill="0" applyAlignment="0" applyProtection="0"/>
    <xf numFmtId="0" fontId="53" fillId="0" borderId="8" applyNumberFormat="0" applyFill="0" applyAlignment="0" applyProtection="0"/>
    <xf numFmtId="0" fontId="54" fillId="0" borderId="9" applyNumberFormat="0" applyFill="0" applyAlignment="0" applyProtection="0"/>
    <xf numFmtId="0" fontId="54" fillId="0" borderId="9" applyNumberFormat="0" applyFill="0" applyAlignment="0" applyProtection="0"/>
    <xf numFmtId="0" fontId="54" fillId="0" borderId="9" applyNumberFormat="0" applyFill="0" applyAlignment="0" applyProtection="0"/>
    <xf numFmtId="0" fontId="54" fillId="0" borderId="9" applyNumberFormat="0" applyFill="0" applyAlignment="0" applyProtection="0"/>
    <xf numFmtId="0" fontId="54" fillId="0" borderId="9" applyNumberFormat="0" applyFill="0" applyAlignment="0" applyProtection="0"/>
    <xf numFmtId="0" fontId="54" fillId="0" borderId="9" applyNumberFormat="0" applyFill="0" applyAlignment="0" applyProtection="0"/>
    <xf numFmtId="0" fontId="54" fillId="0" borderId="9" applyNumberFormat="0" applyFill="0" applyAlignment="0" applyProtection="0"/>
    <xf numFmtId="0" fontId="54" fillId="0" borderId="9" applyNumberFormat="0" applyFill="0" applyAlignment="0" applyProtection="0"/>
    <xf numFmtId="0" fontId="54" fillId="0" borderId="9" applyNumberFormat="0" applyFill="0" applyAlignment="0" applyProtection="0"/>
    <xf numFmtId="0" fontId="54" fillId="0" borderId="9" applyNumberFormat="0" applyFill="0" applyAlignment="0" applyProtection="0"/>
    <xf numFmtId="0" fontId="54" fillId="0" borderId="9" applyNumberFormat="0" applyFill="0" applyAlignment="0" applyProtection="0"/>
    <xf numFmtId="0" fontId="54" fillId="0" borderId="9" applyNumberFormat="0" applyFill="0" applyAlignment="0" applyProtection="0"/>
    <xf numFmtId="0" fontId="54" fillId="0" borderId="9" applyNumberFormat="0" applyFill="0" applyAlignment="0" applyProtection="0"/>
    <xf numFmtId="0" fontId="54" fillId="0" borderId="9" applyNumberFormat="0" applyFill="0" applyAlignment="0" applyProtection="0"/>
    <xf numFmtId="0" fontId="54" fillId="0" borderId="9" applyNumberFormat="0" applyFill="0" applyAlignment="0" applyProtection="0"/>
    <xf numFmtId="0" fontId="54" fillId="0" borderId="9" applyNumberFormat="0" applyFill="0" applyAlignment="0" applyProtection="0"/>
    <xf numFmtId="0" fontId="54" fillId="0" borderId="9" applyNumberFormat="0" applyFill="0" applyAlignment="0" applyProtection="0"/>
    <xf numFmtId="0" fontId="54" fillId="0" borderId="9" applyNumberFormat="0" applyFill="0" applyAlignment="0" applyProtection="0"/>
    <xf numFmtId="0" fontId="54" fillId="0" borderId="9" applyNumberFormat="0" applyFill="0" applyAlignment="0" applyProtection="0"/>
    <xf numFmtId="0" fontId="54" fillId="0" borderId="9" applyNumberFormat="0" applyFill="0" applyAlignment="0" applyProtection="0"/>
    <xf numFmtId="0" fontId="54" fillId="0" borderId="9" applyNumberFormat="0" applyFill="0" applyAlignment="0" applyProtection="0"/>
    <xf numFmtId="0" fontId="54" fillId="0" borderId="9" applyNumberFormat="0" applyFill="0" applyAlignment="0" applyProtection="0"/>
    <xf numFmtId="0" fontId="54" fillId="0" borderId="9" applyNumberFormat="0" applyFill="0" applyAlignment="0" applyProtection="0"/>
    <xf numFmtId="0" fontId="54" fillId="0" borderId="9" applyNumberFormat="0" applyFill="0" applyAlignment="0" applyProtection="0"/>
    <xf numFmtId="0" fontId="54" fillId="0" borderId="9" applyNumberFormat="0" applyFill="0" applyAlignment="0" applyProtection="0"/>
    <xf numFmtId="0" fontId="55" fillId="0" borderId="10" applyNumberFormat="0" applyFill="0" applyAlignment="0" applyProtection="0"/>
    <xf numFmtId="0" fontId="55" fillId="0" borderId="10" applyNumberFormat="0" applyFill="0" applyAlignment="0" applyProtection="0"/>
    <xf numFmtId="0" fontId="55" fillId="0" borderId="10" applyNumberFormat="0" applyFill="0" applyAlignment="0" applyProtection="0"/>
    <xf numFmtId="0" fontId="55" fillId="0" borderId="10" applyNumberFormat="0" applyFill="0" applyAlignment="0" applyProtection="0"/>
    <xf numFmtId="0" fontId="55" fillId="0" borderId="10" applyNumberFormat="0" applyFill="0" applyAlignment="0" applyProtection="0"/>
    <xf numFmtId="0" fontId="55" fillId="0" borderId="10" applyNumberFormat="0" applyFill="0" applyAlignment="0" applyProtection="0"/>
    <xf numFmtId="0" fontId="55" fillId="0" borderId="10" applyNumberFormat="0" applyFill="0" applyAlignment="0" applyProtection="0"/>
    <xf numFmtId="0" fontId="55" fillId="0" borderId="10" applyNumberFormat="0" applyFill="0" applyAlignment="0" applyProtection="0"/>
    <xf numFmtId="0" fontId="55" fillId="0" borderId="10" applyNumberFormat="0" applyFill="0" applyAlignment="0" applyProtection="0"/>
    <xf numFmtId="0" fontId="55" fillId="0" borderId="10" applyNumberFormat="0" applyFill="0" applyAlignment="0" applyProtection="0"/>
    <xf numFmtId="0" fontId="55" fillId="0" borderId="10" applyNumberFormat="0" applyFill="0" applyAlignment="0" applyProtection="0"/>
    <xf numFmtId="0" fontId="55" fillId="0" borderId="10" applyNumberFormat="0" applyFill="0" applyAlignment="0" applyProtection="0"/>
    <xf numFmtId="0" fontId="55" fillId="0" borderId="10" applyNumberFormat="0" applyFill="0" applyAlignment="0" applyProtection="0"/>
    <xf numFmtId="0" fontId="55" fillId="0" borderId="10" applyNumberFormat="0" applyFill="0" applyAlignment="0" applyProtection="0"/>
    <xf numFmtId="0" fontId="55" fillId="0" borderId="10" applyNumberFormat="0" applyFill="0" applyAlignment="0" applyProtection="0"/>
    <xf numFmtId="0" fontId="55" fillId="0" borderId="10" applyNumberFormat="0" applyFill="0" applyAlignment="0" applyProtection="0"/>
    <xf numFmtId="0" fontId="55" fillId="0" borderId="10" applyNumberFormat="0" applyFill="0" applyAlignment="0" applyProtection="0"/>
    <xf numFmtId="0" fontId="55" fillId="0" borderId="10" applyNumberFormat="0" applyFill="0" applyAlignment="0" applyProtection="0"/>
    <xf numFmtId="0" fontId="55" fillId="0" borderId="10" applyNumberFormat="0" applyFill="0" applyAlignment="0" applyProtection="0"/>
    <xf numFmtId="0" fontId="55" fillId="0" borderId="10" applyNumberFormat="0" applyFill="0" applyAlignment="0" applyProtection="0"/>
    <xf numFmtId="0" fontId="55" fillId="0" borderId="10" applyNumberFormat="0" applyFill="0" applyAlignment="0" applyProtection="0"/>
    <xf numFmtId="0" fontId="55" fillId="0" borderId="10" applyNumberFormat="0" applyFill="0" applyAlignment="0" applyProtection="0"/>
    <xf numFmtId="0" fontId="55" fillId="0" borderId="10" applyNumberFormat="0" applyFill="0" applyAlignment="0" applyProtection="0"/>
    <xf numFmtId="0" fontId="55" fillId="0" borderId="10" applyNumberFormat="0" applyFill="0" applyAlignment="0" applyProtection="0"/>
    <xf numFmtId="0" fontId="55" fillId="0" borderId="10" applyNumberFormat="0" applyFill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9" fillId="0" borderId="24" applyBorder="0">
      <alignment horizontal="center" vertical="center" wrapText="1"/>
    </xf>
    <xf numFmtId="184" fontId="34" fillId="26" borderId="3"/>
    <xf numFmtId="4" fontId="72" fillId="4" borderId="6" applyBorder="0">
      <alignment horizontal="right"/>
    </xf>
    <xf numFmtId="49" fontId="120" fillId="0" borderId="0" applyBorder="0">
      <alignment vertical="center"/>
    </xf>
    <xf numFmtId="0" fontId="100" fillId="0" borderId="23" applyNumberFormat="0" applyFill="0" applyAlignment="0" applyProtection="0"/>
    <xf numFmtId="0" fontId="100" fillId="0" borderId="23" applyNumberFormat="0" applyFill="0" applyAlignment="0" applyProtection="0"/>
    <xf numFmtId="0" fontId="100" fillId="0" borderId="23" applyNumberFormat="0" applyFill="0" applyAlignment="0" applyProtection="0"/>
    <xf numFmtId="0" fontId="100" fillId="0" borderId="23" applyNumberFormat="0" applyFill="0" applyAlignment="0" applyProtection="0"/>
    <xf numFmtId="0" fontId="100" fillId="0" borderId="23" applyNumberFormat="0" applyFill="0" applyAlignment="0" applyProtection="0"/>
    <xf numFmtId="0" fontId="100" fillId="0" borderId="23" applyNumberFormat="0" applyFill="0" applyAlignment="0" applyProtection="0"/>
    <xf numFmtId="0" fontId="100" fillId="0" borderId="23" applyNumberFormat="0" applyFill="0" applyAlignment="0" applyProtection="0"/>
    <xf numFmtId="0" fontId="100" fillId="0" borderId="23" applyNumberFormat="0" applyFill="0" applyAlignment="0" applyProtection="0"/>
    <xf numFmtId="0" fontId="100" fillId="0" borderId="23" applyNumberFormat="0" applyFill="0" applyAlignment="0" applyProtection="0"/>
    <xf numFmtId="0" fontId="100" fillId="0" borderId="23" applyNumberFormat="0" applyFill="0" applyAlignment="0" applyProtection="0"/>
    <xf numFmtId="0" fontId="100" fillId="0" borderId="23" applyNumberFormat="0" applyFill="0" applyAlignment="0" applyProtection="0"/>
    <xf numFmtId="0" fontId="100" fillId="0" borderId="23" applyNumberFormat="0" applyFill="0" applyAlignment="0" applyProtection="0"/>
    <xf numFmtId="0" fontId="100" fillId="0" borderId="23" applyNumberFormat="0" applyFill="0" applyAlignment="0" applyProtection="0"/>
    <xf numFmtId="0" fontId="100" fillId="0" borderId="23" applyNumberFormat="0" applyFill="0" applyAlignment="0" applyProtection="0"/>
    <xf numFmtId="0" fontId="100" fillId="0" borderId="23" applyNumberFormat="0" applyFill="0" applyAlignment="0" applyProtection="0"/>
    <xf numFmtId="0" fontId="100" fillId="0" borderId="23" applyNumberFormat="0" applyFill="0" applyAlignment="0" applyProtection="0"/>
    <xf numFmtId="0" fontId="100" fillId="0" borderId="23" applyNumberFormat="0" applyFill="0" applyAlignment="0" applyProtection="0"/>
    <xf numFmtId="0" fontId="100" fillId="0" borderId="23" applyNumberFormat="0" applyFill="0" applyAlignment="0" applyProtection="0"/>
    <xf numFmtId="0" fontId="100" fillId="0" borderId="23" applyNumberFormat="0" applyFill="0" applyAlignment="0" applyProtection="0"/>
    <xf numFmtId="0" fontId="100" fillId="0" borderId="23" applyNumberFormat="0" applyFill="0" applyAlignment="0" applyProtection="0"/>
    <xf numFmtId="0" fontId="100" fillId="0" borderId="23" applyNumberFormat="0" applyFill="0" applyAlignment="0" applyProtection="0"/>
    <xf numFmtId="0" fontId="100" fillId="0" borderId="23" applyNumberFormat="0" applyFill="0" applyAlignment="0" applyProtection="0"/>
    <xf numFmtId="0" fontId="100" fillId="0" borderId="23" applyNumberFormat="0" applyFill="0" applyAlignment="0" applyProtection="0"/>
    <xf numFmtId="0" fontId="100" fillId="0" borderId="23" applyNumberFormat="0" applyFill="0" applyAlignment="0" applyProtection="0"/>
    <xf numFmtId="0" fontId="100" fillId="0" borderId="23" applyNumberFormat="0" applyFill="0" applyAlignment="0" applyProtection="0"/>
    <xf numFmtId="3" fontId="34" fillId="0" borderId="6" applyBorder="0">
      <alignment vertical="center"/>
    </xf>
    <xf numFmtId="0" fontId="68" fillId="0" borderId="2" applyNumberFormat="0" applyFill="0" applyAlignment="0" applyProtection="0"/>
    <xf numFmtId="0" fontId="68" fillId="0" borderId="2" applyNumberFormat="0" applyFill="0" applyAlignment="0" applyProtection="0"/>
    <xf numFmtId="0" fontId="68" fillId="0" borderId="2" applyNumberFormat="0" applyFill="0" applyAlignment="0" applyProtection="0"/>
    <xf numFmtId="0" fontId="68" fillId="0" borderId="2" applyNumberFormat="0" applyFill="0" applyAlignment="0" applyProtection="0"/>
    <xf numFmtId="0" fontId="68" fillId="0" borderId="2" applyNumberFormat="0" applyFill="0" applyAlignment="0" applyProtection="0"/>
    <xf numFmtId="0" fontId="68" fillId="0" borderId="2" applyNumberFormat="0" applyFill="0" applyAlignment="0" applyProtection="0"/>
    <xf numFmtId="0" fontId="68" fillId="0" borderId="2" applyNumberFormat="0" applyFill="0" applyAlignment="0" applyProtection="0"/>
    <xf numFmtId="0" fontId="68" fillId="0" borderId="2" applyNumberFormat="0" applyFill="0" applyAlignment="0" applyProtection="0"/>
    <xf numFmtId="0" fontId="68" fillId="0" borderId="2" applyNumberFormat="0" applyFill="0" applyAlignment="0" applyProtection="0"/>
    <xf numFmtId="0" fontId="68" fillId="0" borderId="2" applyNumberFormat="0" applyFill="0" applyAlignment="0" applyProtection="0"/>
    <xf numFmtId="0" fontId="30" fillId="25" borderId="5" applyNumberFormat="0" applyAlignment="0" applyProtection="0"/>
    <xf numFmtId="0" fontId="30" fillId="25" borderId="5" applyNumberFormat="0" applyAlignment="0" applyProtection="0"/>
    <xf numFmtId="0" fontId="30" fillId="25" borderId="5" applyNumberFormat="0" applyAlignment="0" applyProtection="0"/>
    <xf numFmtId="0" fontId="30" fillId="25" borderId="5" applyNumberFormat="0" applyAlignment="0" applyProtection="0"/>
    <xf numFmtId="0" fontId="30" fillId="25" borderId="5" applyNumberFormat="0" applyAlignment="0" applyProtection="0"/>
    <xf numFmtId="0" fontId="30" fillId="25" borderId="5" applyNumberFormat="0" applyAlignment="0" applyProtection="0"/>
    <xf numFmtId="0" fontId="30" fillId="25" borderId="5" applyNumberFormat="0" applyAlignment="0" applyProtection="0"/>
    <xf numFmtId="0" fontId="30" fillId="25" borderId="5" applyNumberFormat="0" applyAlignment="0" applyProtection="0"/>
    <xf numFmtId="0" fontId="30" fillId="25" borderId="5" applyNumberFormat="0" applyAlignment="0" applyProtection="0"/>
    <xf numFmtId="0" fontId="30" fillId="25" borderId="5" applyNumberFormat="0" applyAlignment="0" applyProtection="0"/>
    <xf numFmtId="0" fontId="30" fillId="25" borderId="5" applyNumberFormat="0" applyAlignment="0" applyProtection="0"/>
    <xf numFmtId="0" fontId="30" fillId="25" borderId="5" applyNumberFormat="0" applyAlignment="0" applyProtection="0"/>
    <xf numFmtId="0" fontId="30" fillId="25" borderId="5" applyNumberFormat="0" applyAlignment="0" applyProtection="0"/>
    <xf numFmtId="0" fontId="30" fillId="25" borderId="5" applyNumberFormat="0" applyAlignment="0" applyProtection="0"/>
    <xf numFmtId="0" fontId="30" fillId="25" borderId="5" applyNumberFormat="0" applyAlignment="0" applyProtection="0"/>
    <xf numFmtId="0" fontId="30" fillId="25" borderId="5" applyNumberFormat="0" applyAlignment="0" applyProtection="0"/>
    <xf numFmtId="0" fontId="30" fillId="25" borderId="5" applyNumberFormat="0" applyAlignment="0" applyProtection="0"/>
    <xf numFmtId="0" fontId="30" fillId="25" borderId="5" applyNumberFormat="0" applyAlignment="0" applyProtection="0"/>
    <xf numFmtId="0" fontId="30" fillId="25" borderId="5" applyNumberFormat="0" applyAlignment="0" applyProtection="0"/>
    <xf numFmtId="0" fontId="30" fillId="25" borderId="5" applyNumberFormat="0" applyAlignment="0" applyProtection="0"/>
    <xf numFmtId="0" fontId="30" fillId="25" borderId="5" applyNumberFormat="0" applyAlignment="0" applyProtection="0"/>
    <xf numFmtId="0" fontId="30" fillId="25" borderId="5" applyNumberFormat="0" applyAlignment="0" applyProtection="0"/>
    <xf numFmtId="0" fontId="30" fillId="25" borderId="5" applyNumberFormat="0" applyAlignment="0" applyProtection="0"/>
    <xf numFmtId="0" fontId="30" fillId="25" borderId="5" applyNumberFormat="0" applyAlignment="0" applyProtection="0"/>
    <xf numFmtId="0" fontId="30" fillId="25" borderId="5" applyNumberFormat="0" applyAlignment="0" applyProtection="0"/>
    <xf numFmtId="0" fontId="1" fillId="0" borderId="0">
      <alignment wrapText="1"/>
    </xf>
    <xf numFmtId="0" fontId="118" fillId="0" borderId="0">
      <alignment horizontal="center" vertical="top" wrapText="1"/>
    </xf>
    <xf numFmtId="0" fontId="121" fillId="0" borderId="0">
      <alignment horizontal="centerContinuous" vertical="center" wrapText="1"/>
    </xf>
    <xf numFmtId="0" fontId="121" fillId="0" borderId="0">
      <alignment horizontal="centerContinuous" vertical="center" wrapText="1"/>
    </xf>
    <xf numFmtId="175" fontId="118" fillId="0" borderId="0">
      <alignment horizontal="center" vertical="top"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0" fontId="68" fillId="3" borderId="0" applyFill="0">
      <alignment wrapText="1"/>
    </xf>
    <xf numFmtId="205" fontId="122" fillId="3" borderId="6">
      <alignment wrapText="1"/>
    </xf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164" fontId="123" fillId="0" borderId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0" fontId="67" fillId="28" borderId="0" applyNumberFormat="0" applyBorder="0" applyAlignment="0" applyProtection="0"/>
    <xf numFmtId="49" fontId="105" fillId="0" borderId="6">
      <alignment horizontal="right" vertical="top" wrapText="1"/>
    </xf>
    <xf numFmtId="172" fontId="124" fillId="0" borderId="0">
      <alignment horizontal="right" vertical="top" wrapText="1"/>
    </xf>
    <xf numFmtId="49" fontId="72" fillId="0" borderId="0" applyBorder="0">
      <alignment vertical="top"/>
    </xf>
    <xf numFmtId="0" fontId="125" fillId="0" borderId="0"/>
    <xf numFmtId="0" fontId="10" fillId="0" borderId="0"/>
    <xf numFmtId="0" fontId="133" fillId="0" borderId="0"/>
    <xf numFmtId="0" fontId="125" fillId="0" borderId="0"/>
    <xf numFmtId="0" fontId="133" fillId="0" borderId="0"/>
    <xf numFmtId="0" fontId="21" fillId="0" borderId="0"/>
    <xf numFmtId="0" fontId="126" fillId="0" borderId="0"/>
    <xf numFmtId="0" fontId="1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" fillId="0" borderId="0"/>
    <xf numFmtId="49" fontId="72" fillId="0" borderId="0" applyBorder="0">
      <alignment vertical="top"/>
    </xf>
    <xf numFmtId="49" fontId="72" fillId="0" borderId="0" applyBorder="0">
      <alignment vertical="top"/>
    </xf>
    <xf numFmtId="49" fontId="72" fillId="0" borderId="0" applyBorder="0">
      <alignment vertical="top"/>
    </xf>
    <xf numFmtId="0" fontId="1" fillId="0" borderId="0"/>
    <xf numFmtId="0" fontId="21" fillId="0" borderId="0"/>
    <xf numFmtId="0" fontId="10" fillId="0" borderId="0"/>
    <xf numFmtId="0" fontId="10" fillId="0" borderId="0"/>
    <xf numFmtId="0" fontId="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49" fontId="72" fillId="0" borderId="0" applyBorder="0">
      <alignment vertical="top"/>
    </xf>
    <xf numFmtId="49" fontId="72" fillId="0" borderId="0" applyBorder="0">
      <alignment vertical="top"/>
    </xf>
    <xf numFmtId="0" fontId="21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" fillId="0" borderId="0"/>
    <xf numFmtId="0" fontId="1" fillId="0" borderId="0"/>
    <xf numFmtId="0" fontId="10" fillId="0" borderId="0"/>
    <xf numFmtId="0" fontId="1" fillId="0" borderId="0"/>
    <xf numFmtId="0" fontId="1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0" fontId="134" fillId="0" borderId="0"/>
    <xf numFmtId="49" fontId="72" fillId="0" borderId="0" applyBorder="0">
      <alignment vertical="top"/>
    </xf>
    <xf numFmtId="0" fontId="133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33" fillId="0" borderId="0"/>
    <xf numFmtId="49" fontId="72" fillId="0" borderId="0" applyBorder="0">
      <alignment vertical="top"/>
    </xf>
    <xf numFmtId="0" fontId="134" fillId="0" borderId="0"/>
    <xf numFmtId="0" fontId="134" fillId="0" borderId="0"/>
    <xf numFmtId="0" fontId="133" fillId="0" borderId="0"/>
    <xf numFmtId="0" fontId="133" fillId="0" borderId="0"/>
    <xf numFmtId="0" fontId="133" fillId="0" borderId="0"/>
    <xf numFmtId="49" fontId="72" fillId="0" borderId="0" applyBorder="0">
      <alignment vertical="top"/>
    </xf>
    <xf numFmtId="49" fontId="72" fillId="0" borderId="0" applyBorder="0">
      <alignment vertical="top"/>
    </xf>
    <xf numFmtId="0" fontId="133" fillId="0" borderId="0"/>
    <xf numFmtId="49" fontId="72" fillId="0" borderId="0" applyBorder="0">
      <alignment vertical="top"/>
    </xf>
    <xf numFmtId="49" fontId="72" fillId="0" borderId="0" applyBorder="0">
      <alignment vertical="top"/>
    </xf>
    <xf numFmtId="49" fontId="72" fillId="0" borderId="0" applyBorder="0">
      <alignment vertical="top"/>
    </xf>
    <xf numFmtId="49" fontId="72" fillId="0" borderId="0" applyBorder="0">
      <alignment vertical="top"/>
    </xf>
    <xf numFmtId="49" fontId="72" fillId="0" borderId="0" applyBorder="0">
      <alignment vertical="top"/>
    </xf>
    <xf numFmtId="49" fontId="72" fillId="0" borderId="0" applyBorder="0">
      <alignment vertical="top"/>
    </xf>
    <xf numFmtId="0" fontId="1" fillId="0" borderId="0"/>
    <xf numFmtId="1" fontId="127" fillId="0" borderId="6">
      <alignment horizontal="left" vertical="center"/>
    </xf>
    <xf numFmtId="0" fontId="25" fillId="7" borderId="0" applyNumberFormat="0" applyBorder="0" applyAlignment="0" applyProtection="0"/>
    <xf numFmtId="0" fontId="25" fillId="7" borderId="0" applyNumberFormat="0" applyBorder="0" applyAlignment="0" applyProtection="0"/>
    <xf numFmtId="0" fontId="25" fillId="7" borderId="0" applyNumberFormat="0" applyBorder="0" applyAlignment="0" applyProtection="0"/>
    <xf numFmtId="0" fontId="25" fillId="7" borderId="0" applyNumberFormat="0" applyBorder="0" applyAlignment="0" applyProtection="0"/>
    <xf numFmtId="0" fontId="25" fillId="7" borderId="0" applyNumberFormat="0" applyBorder="0" applyAlignment="0" applyProtection="0"/>
    <xf numFmtId="0" fontId="25" fillId="7" borderId="0" applyNumberFormat="0" applyBorder="0" applyAlignment="0" applyProtection="0"/>
    <xf numFmtId="0" fontId="25" fillId="7" borderId="0" applyNumberFormat="0" applyBorder="0" applyAlignment="0" applyProtection="0"/>
    <xf numFmtId="0" fontId="25" fillId="7" borderId="0" applyNumberFormat="0" applyBorder="0" applyAlignment="0" applyProtection="0"/>
    <xf numFmtId="0" fontId="25" fillId="7" borderId="0" applyNumberFormat="0" applyBorder="0" applyAlignment="0" applyProtection="0"/>
    <xf numFmtId="0" fontId="25" fillId="7" borderId="0" applyNumberFormat="0" applyBorder="0" applyAlignment="0" applyProtection="0"/>
    <xf numFmtId="0" fontId="25" fillId="7" borderId="0" applyNumberFormat="0" applyBorder="0" applyAlignment="0" applyProtection="0"/>
    <xf numFmtId="0" fontId="25" fillId="7" borderId="0" applyNumberFormat="0" applyBorder="0" applyAlignment="0" applyProtection="0"/>
    <xf numFmtId="0" fontId="25" fillId="7" borderId="0" applyNumberFormat="0" applyBorder="0" applyAlignment="0" applyProtection="0"/>
    <xf numFmtId="0" fontId="25" fillId="7" borderId="0" applyNumberFormat="0" applyBorder="0" applyAlignment="0" applyProtection="0"/>
    <xf numFmtId="0" fontId="25" fillId="7" borderId="0" applyNumberFormat="0" applyBorder="0" applyAlignment="0" applyProtection="0"/>
    <xf numFmtId="0" fontId="25" fillId="7" borderId="0" applyNumberFormat="0" applyBorder="0" applyAlignment="0" applyProtection="0"/>
    <xf numFmtId="0" fontId="25" fillId="7" borderId="0" applyNumberFormat="0" applyBorder="0" applyAlignment="0" applyProtection="0"/>
    <xf numFmtId="0" fontId="1" fillId="0" borderId="0" applyFont="0" applyFill="0" applyBorder="0" applyProtection="0">
      <alignment horizontal="center" vertical="center" wrapText="1"/>
    </xf>
    <xf numFmtId="0" fontId="1" fillId="0" borderId="0" applyFont="0" applyFill="0" applyBorder="0" applyProtection="0">
      <alignment horizontal="center" vertical="center" wrapText="1"/>
    </xf>
    <xf numFmtId="0" fontId="1" fillId="0" borderId="0" applyFont="0" applyFill="0" applyBorder="0" applyProtection="0">
      <alignment horizontal="center" vertical="center" wrapText="1"/>
    </xf>
    <xf numFmtId="0" fontId="1" fillId="0" borderId="0" applyFont="0" applyFill="0" applyBorder="0" applyProtection="0">
      <alignment horizontal="center" vertical="center" wrapText="1"/>
    </xf>
    <xf numFmtId="0" fontId="1" fillId="0" borderId="0" applyNumberFormat="0" applyFont="0" applyFill="0" applyBorder="0" applyProtection="0">
      <alignment horizontal="justify" vertical="center" wrapText="1"/>
    </xf>
    <xf numFmtId="0" fontId="1" fillId="0" borderId="0" applyNumberFormat="0" applyFont="0" applyFill="0" applyBorder="0" applyProtection="0">
      <alignment horizontal="justify" vertical="center" wrapText="1"/>
    </xf>
    <xf numFmtId="0" fontId="1" fillId="0" borderId="0" applyNumberFormat="0" applyFont="0" applyFill="0" applyBorder="0" applyProtection="0">
      <alignment horizontal="justify" vertical="center" wrapText="1"/>
    </xf>
    <xf numFmtId="0" fontId="1" fillId="0" borderId="0" applyNumberFormat="0" applyFont="0" applyFill="0" applyBorder="0" applyProtection="0">
      <alignment horizontal="justify" vertical="center" wrapText="1"/>
    </xf>
    <xf numFmtId="174" fontId="128" fillId="0" borderId="6">
      <alignment vertical="top"/>
    </xf>
    <xf numFmtId="172" fontId="129" fillId="4" borderId="17" applyNumberFormat="0" applyBorder="0" applyAlignment="0">
      <alignment vertical="center"/>
      <protection locked="0"/>
    </xf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1" fillId="29" borderId="14" applyNumberFormat="0" applyFont="0" applyAlignment="0" applyProtection="0"/>
    <xf numFmtId="0" fontId="1" fillId="29" borderId="14" applyNumberFormat="0" applyFont="0" applyAlignment="0" applyProtection="0"/>
    <xf numFmtId="0" fontId="1" fillId="29" borderId="14" applyNumberFormat="0" applyFont="0" applyAlignment="0" applyProtection="0"/>
    <xf numFmtId="0" fontId="1" fillId="29" borderId="14" applyNumberFormat="0" applyFont="0" applyAlignment="0" applyProtection="0"/>
    <xf numFmtId="0" fontId="1" fillId="29" borderId="14" applyNumberFormat="0" applyFont="0" applyAlignment="0" applyProtection="0"/>
    <xf numFmtId="0" fontId="1" fillId="29" borderId="14" applyNumberFormat="0" applyFont="0" applyAlignment="0" applyProtection="0"/>
    <xf numFmtId="0" fontId="1" fillId="29" borderId="14" applyNumberFormat="0" applyFont="0" applyAlignment="0" applyProtection="0"/>
    <xf numFmtId="0" fontId="1" fillId="29" borderId="14" applyNumberFormat="0" applyFont="0" applyAlignment="0" applyProtection="0"/>
    <xf numFmtId="0" fontId="1" fillId="29" borderId="14" applyNumberFormat="0" applyFont="0" applyAlignment="0" applyProtection="0"/>
    <xf numFmtId="0" fontId="1" fillId="29" borderId="14" applyNumberFormat="0" applyFont="0" applyAlignment="0" applyProtection="0"/>
    <xf numFmtId="0" fontId="1" fillId="29" borderId="14" applyNumberFormat="0" applyFont="0" applyAlignment="0" applyProtection="0"/>
    <xf numFmtId="0" fontId="1" fillId="29" borderId="14" applyNumberFormat="0" applyFont="0" applyAlignment="0" applyProtection="0"/>
    <xf numFmtId="0" fontId="1" fillId="29" borderId="14" applyNumberFormat="0" applyFont="0" applyAlignment="0" applyProtection="0"/>
    <xf numFmtId="0" fontId="1" fillId="29" borderId="14" applyNumberFormat="0" applyFont="0" applyAlignment="0" applyProtection="0"/>
    <xf numFmtId="0" fontId="1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0" fontId="10" fillId="29" borderId="14" applyNumberFormat="0" applyFont="0" applyAlignment="0" applyProtection="0"/>
    <xf numFmtId="49" fontId="113" fillId="0" borderId="1">
      <alignment horizontal="left" vertical="center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" fillId="0" borderId="0" applyFont="0" applyFill="0" applyBorder="0" applyAlignment="0" applyProtection="0"/>
    <xf numFmtId="173" fontId="130" fillId="0" borderId="6"/>
    <xf numFmtId="0" fontId="1" fillId="0" borderId="6" applyNumberFormat="0" applyFont="0" applyFill="0" applyAlignment="0" applyProtection="0"/>
    <xf numFmtId="3" fontId="131" fillId="52" borderId="1">
      <alignment horizontal="justify" vertical="center"/>
    </xf>
    <xf numFmtId="0" fontId="64" fillId="0" borderId="11" applyNumberFormat="0" applyFill="0" applyAlignment="0" applyProtection="0"/>
    <xf numFmtId="0" fontId="64" fillId="0" borderId="11" applyNumberFormat="0" applyFill="0" applyAlignment="0" applyProtection="0"/>
    <xf numFmtId="0" fontId="64" fillId="0" borderId="11" applyNumberFormat="0" applyFill="0" applyAlignment="0" applyProtection="0"/>
    <xf numFmtId="0" fontId="64" fillId="0" borderId="11" applyNumberFormat="0" applyFill="0" applyAlignment="0" applyProtection="0"/>
    <xf numFmtId="0" fontId="64" fillId="0" borderId="11" applyNumberFormat="0" applyFill="0" applyAlignment="0" applyProtection="0"/>
    <xf numFmtId="0" fontId="64" fillId="0" borderId="11" applyNumberFormat="0" applyFill="0" applyAlignment="0" applyProtection="0"/>
    <xf numFmtId="0" fontId="64" fillId="0" borderId="11" applyNumberFormat="0" applyFill="0" applyAlignment="0" applyProtection="0"/>
    <xf numFmtId="0" fontId="64" fillId="0" borderId="11" applyNumberFormat="0" applyFill="0" applyAlignment="0" applyProtection="0"/>
    <xf numFmtId="0" fontId="64" fillId="0" borderId="11" applyNumberFormat="0" applyFill="0" applyAlignment="0" applyProtection="0"/>
    <xf numFmtId="0" fontId="64" fillId="0" borderId="11" applyNumberFormat="0" applyFill="0" applyAlignment="0" applyProtection="0"/>
    <xf numFmtId="0" fontId="64" fillId="0" borderId="11" applyNumberFormat="0" applyFill="0" applyAlignment="0" applyProtection="0"/>
    <xf numFmtId="0" fontId="64" fillId="0" borderId="11" applyNumberFormat="0" applyFill="0" applyAlignment="0" applyProtection="0"/>
    <xf numFmtId="0" fontId="64" fillId="0" borderId="11" applyNumberFormat="0" applyFill="0" applyAlignment="0" applyProtection="0"/>
    <xf numFmtId="0" fontId="64" fillId="0" borderId="11" applyNumberFormat="0" applyFill="0" applyAlignment="0" applyProtection="0"/>
    <xf numFmtId="0" fontId="64" fillId="0" borderId="11" applyNumberFormat="0" applyFill="0" applyAlignment="0" applyProtection="0"/>
    <xf numFmtId="0" fontId="64" fillId="0" borderId="11" applyNumberFormat="0" applyFill="0" applyAlignment="0" applyProtection="0"/>
    <xf numFmtId="0" fontId="64" fillId="0" borderId="11" applyNumberFormat="0" applyFill="0" applyAlignment="0" applyProtection="0"/>
    <xf numFmtId="0" fontId="64" fillId="0" borderId="11" applyNumberFormat="0" applyFill="0" applyAlignment="0" applyProtection="0"/>
    <xf numFmtId="0" fontId="64" fillId="0" borderId="11" applyNumberFormat="0" applyFill="0" applyAlignment="0" applyProtection="0"/>
    <xf numFmtId="0" fontId="64" fillId="0" borderId="11" applyNumberFormat="0" applyFill="0" applyAlignment="0" applyProtection="0"/>
    <xf numFmtId="0" fontId="64" fillId="0" borderId="11" applyNumberFormat="0" applyFill="0" applyAlignment="0" applyProtection="0"/>
    <xf numFmtId="0" fontId="64" fillId="0" borderId="11" applyNumberFormat="0" applyFill="0" applyAlignment="0" applyProtection="0"/>
    <xf numFmtId="0" fontId="64" fillId="0" borderId="11" applyNumberFormat="0" applyFill="0" applyAlignment="0" applyProtection="0"/>
    <xf numFmtId="0" fontId="64" fillId="0" borderId="11" applyNumberFormat="0" applyFill="0" applyAlignment="0" applyProtection="0"/>
    <xf numFmtId="0" fontId="64" fillId="0" borderId="11" applyNumberFormat="0" applyFill="0" applyAlignment="0" applyProtection="0"/>
    <xf numFmtId="0" fontId="11" fillId="0" borderId="0"/>
    <xf numFmtId="38" fontId="13" fillId="0" borderId="0">
      <alignment vertical="top"/>
    </xf>
    <xf numFmtId="38" fontId="13" fillId="0" borderId="0">
      <alignment vertical="top"/>
    </xf>
    <xf numFmtId="38" fontId="13" fillId="0" borderId="0">
      <alignment vertical="top"/>
    </xf>
    <xf numFmtId="175" fontId="11" fillId="0" borderId="0"/>
    <xf numFmtId="49" fontId="135" fillId="53" borderId="25" applyBorder="0" applyProtection="0">
      <alignment horizontal="left" vertical="center"/>
    </xf>
    <xf numFmtId="49" fontId="124" fillId="0" borderId="0"/>
    <xf numFmtId="49" fontId="132" fillId="0" borderId="0">
      <alignment vertical="top"/>
    </xf>
    <xf numFmtId="172" fontId="68" fillId="0" borderId="0" applyFill="0" applyBorder="0" applyAlignment="0" applyProtection="0"/>
    <xf numFmtId="172" fontId="68" fillId="0" borderId="0" applyFill="0" applyBorder="0" applyAlignment="0" applyProtection="0"/>
    <xf numFmtId="172" fontId="68" fillId="0" borderId="0" applyFill="0" applyBorder="0" applyAlignment="0" applyProtection="0"/>
    <xf numFmtId="172" fontId="68" fillId="0" borderId="0" applyFill="0" applyBorder="0" applyAlignment="0" applyProtection="0"/>
    <xf numFmtId="172" fontId="68" fillId="0" borderId="0" applyFill="0" applyBorder="0" applyAlignment="0" applyProtection="0"/>
    <xf numFmtId="172" fontId="68" fillId="0" borderId="0" applyFill="0" applyBorder="0" applyAlignment="0" applyProtection="0"/>
    <xf numFmtId="172" fontId="68" fillId="0" borderId="0" applyFill="0" applyBorder="0" applyAlignment="0" applyProtection="0"/>
    <xf numFmtId="172" fontId="68" fillId="0" borderId="0" applyFill="0" applyBorder="0" applyAlignment="0" applyProtection="0"/>
    <xf numFmtId="172" fontId="68" fillId="0" borderId="0" applyFill="0" applyBorder="0" applyAlignment="0" applyProtection="0"/>
    <xf numFmtId="0" fontId="103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49" fontId="68" fillId="0" borderId="0">
      <alignment horizontal="center"/>
    </xf>
    <xf numFmtId="49" fontId="68" fillId="0" borderId="0">
      <alignment horizontal="center"/>
    </xf>
    <xf numFmtId="49" fontId="68" fillId="0" borderId="0">
      <alignment horizontal="center"/>
    </xf>
    <xf numFmtId="49" fontId="68" fillId="0" borderId="0">
      <alignment horizontal="center"/>
    </xf>
    <xf numFmtId="49" fontId="68" fillId="0" borderId="0">
      <alignment horizontal="center"/>
    </xf>
    <xf numFmtId="49" fontId="68" fillId="0" borderId="0">
      <alignment horizontal="center"/>
    </xf>
    <xf numFmtId="49" fontId="68" fillId="0" borderId="0">
      <alignment horizontal="center"/>
    </xf>
    <xf numFmtId="49" fontId="68" fillId="0" borderId="0">
      <alignment horizontal="center"/>
    </xf>
    <xf numFmtId="49" fontId="68" fillId="0" borderId="0">
      <alignment horizontal="center"/>
    </xf>
    <xf numFmtId="49" fontId="68" fillId="0" borderId="0">
      <alignment horizontal="center"/>
    </xf>
    <xf numFmtId="49" fontId="68" fillId="0" borderId="0">
      <alignment horizontal="center"/>
    </xf>
    <xf numFmtId="49" fontId="68" fillId="0" borderId="0">
      <alignment horizontal="center"/>
    </xf>
    <xf numFmtId="49" fontId="68" fillId="0" borderId="0">
      <alignment horizontal="center"/>
    </xf>
    <xf numFmtId="49" fontId="68" fillId="0" borderId="0">
      <alignment horizontal="center"/>
    </xf>
    <xf numFmtId="49" fontId="68" fillId="0" borderId="0">
      <alignment horizontal="center"/>
    </xf>
    <xf numFmtId="49" fontId="68" fillId="0" borderId="0">
      <alignment horizontal="center"/>
    </xf>
    <xf numFmtId="49" fontId="68" fillId="0" borderId="0">
      <alignment horizontal="center"/>
    </xf>
    <xf numFmtId="206" fontId="1" fillId="0" borderId="0" applyFont="0" applyFill="0" applyBorder="0" applyAlignment="0" applyProtection="0"/>
    <xf numFmtId="207" fontId="1" fillId="0" borderId="0" applyFont="0" applyFill="0" applyBorder="0" applyAlignment="0" applyProtection="0"/>
    <xf numFmtId="2" fontId="68" fillId="0" borderId="0" applyFill="0" applyBorder="0" applyAlignment="0" applyProtection="0"/>
    <xf numFmtId="2" fontId="68" fillId="0" borderId="0" applyFill="0" applyBorder="0" applyAlignment="0" applyProtection="0"/>
    <xf numFmtId="2" fontId="68" fillId="0" borderId="0" applyFill="0" applyBorder="0" applyAlignment="0" applyProtection="0"/>
    <xf numFmtId="2" fontId="68" fillId="0" borderId="0" applyFill="0" applyBorder="0" applyAlignment="0" applyProtection="0"/>
    <xf numFmtId="2" fontId="68" fillId="0" borderId="0" applyFill="0" applyBorder="0" applyAlignment="0" applyProtection="0"/>
    <xf numFmtId="2" fontId="68" fillId="0" borderId="0" applyFill="0" applyBorder="0" applyAlignment="0" applyProtection="0"/>
    <xf numFmtId="2" fontId="68" fillId="0" borderId="0" applyFill="0" applyBorder="0" applyAlignment="0" applyProtection="0"/>
    <xf numFmtId="2" fontId="68" fillId="0" borderId="0" applyFill="0" applyBorder="0" applyAlignment="0" applyProtection="0"/>
    <xf numFmtId="2" fontId="68" fillId="0" borderId="0" applyFill="0" applyBorder="0" applyAlignment="0" applyProtection="0"/>
    <xf numFmtId="2" fontId="68" fillId="0" borderId="0" applyFill="0" applyBorder="0" applyAlignment="0" applyProtection="0"/>
    <xf numFmtId="167" fontId="7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207" fontId="10" fillId="0" borderId="0" applyFont="0" applyFill="0" applyBorder="0" applyAlignment="0" applyProtection="0"/>
    <xf numFmtId="207" fontId="10" fillId="0" borderId="0" applyFont="0" applyFill="0" applyBorder="0" applyAlignment="0" applyProtection="0"/>
    <xf numFmtId="207" fontId="10" fillId="0" borderId="0" applyFont="0" applyFill="0" applyBorder="0" applyAlignment="0" applyProtection="0"/>
    <xf numFmtId="207" fontId="10" fillId="0" borderId="0" applyFont="0" applyFill="0" applyBorder="0" applyAlignment="0" applyProtection="0"/>
    <xf numFmtId="182" fontId="10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72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208" fontId="1" fillId="0" borderId="0" applyFont="0" applyFill="0" applyBorder="0" applyAlignment="0" applyProtection="0"/>
    <xf numFmtId="4" fontId="72" fillId="3" borderId="0" applyBorder="0">
      <alignment horizontal="right"/>
    </xf>
    <xf numFmtId="4" fontId="72" fillId="3" borderId="0" applyBorder="0">
      <alignment horizontal="right"/>
    </xf>
    <xf numFmtId="4" fontId="72" fillId="3" borderId="0" applyFont="0" applyBorder="0">
      <alignment horizontal="right"/>
    </xf>
    <xf numFmtId="4" fontId="72" fillId="3" borderId="0" applyBorder="0">
      <alignment horizontal="right"/>
    </xf>
    <xf numFmtId="4" fontId="72" fillId="54" borderId="26" applyBorder="0">
      <alignment horizontal="right"/>
    </xf>
    <xf numFmtId="4" fontId="72" fillId="54" borderId="26" applyBorder="0">
      <alignment horizontal="right"/>
    </xf>
    <xf numFmtId="4" fontId="72" fillId="3" borderId="6" applyFont="0" applyBorder="0">
      <alignment horizontal="right"/>
    </xf>
    <xf numFmtId="4" fontId="72" fillId="3" borderId="6" applyFont="0" applyBorder="0">
      <alignment horizontal="right"/>
    </xf>
    <xf numFmtId="0" fontId="48" fillId="8" borderId="0" applyNumberFormat="0" applyBorder="0" applyAlignment="0" applyProtection="0"/>
    <xf numFmtId="0" fontId="48" fillId="8" borderId="0" applyNumberFormat="0" applyBorder="0" applyAlignment="0" applyProtection="0"/>
    <xf numFmtId="0" fontId="48" fillId="8" borderId="0" applyNumberFormat="0" applyBorder="0" applyAlignment="0" applyProtection="0"/>
    <xf numFmtId="0" fontId="48" fillId="8" borderId="0" applyNumberFormat="0" applyBorder="0" applyAlignment="0" applyProtection="0"/>
    <xf numFmtId="0" fontId="48" fillId="8" borderId="0" applyNumberFormat="0" applyBorder="0" applyAlignment="0" applyProtection="0"/>
    <xf numFmtId="0" fontId="48" fillId="8" borderId="0" applyNumberFormat="0" applyBorder="0" applyAlignment="0" applyProtection="0"/>
    <xf numFmtId="0" fontId="48" fillId="8" borderId="0" applyNumberFormat="0" applyBorder="0" applyAlignment="0" applyProtection="0"/>
    <xf numFmtId="0" fontId="48" fillId="8" borderId="0" applyNumberFormat="0" applyBorder="0" applyAlignment="0" applyProtection="0"/>
    <xf numFmtId="0" fontId="48" fillId="8" borderId="0" applyNumberFormat="0" applyBorder="0" applyAlignment="0" applyProtection="0"/>
    <xf numFmtId="0" fontId="48" fillId="8" borderId="0" applyNumberFormat="0" applyBorder="0" applyAlignment="0" applyProtection="0"/>
    <xf numFmtId="0" fontId="48" fillId="8" borderId="0" applyNumberFormat="0" applyBorder="0" applyAlignment="0" applyProtection="0"/>
    <xf numFmtId="0" fontId="48" fillId="8" borderId="0" applyNumberFormat="0" applyBorder="0" applyAlignment="0" applyProtection="0"/>
    <xf numFmtId="0" fontId="48" fillId="8" borderId="0" applyNumberFormat="0" applyBorder="0" applyAlignment="0" applyProtection="0"/>
    <xf numFmtId="0" fontId="48" fillId="8" borderId="0" applyNumberFormat="0" applyBorder="0" applyAlignment="0" applyProtection="0"/>
    <xf numFmtId="0" fontId="48" fillId="8" borderId="0" applyNumberFormat="0" applyBorder="0" applyAlignment="0" applyProtection="0"/>
    <xf numFmtId="0" fontId="48" fillId="8" borderId="0" applyNumberFormat="0" applyBorder="0" applyAlignment="0" applyProtection="0"/>
    <xf numFmtId="0" fontId="48" fillId="8" borderId="0" applyNumberFormat="0" applyBorder="0" applyAlignment="0" applyProtection="0"/>
    <xf numFmtId="170" fontId="24" fillId="0" borderId="1">
      <alignment vertical="top" wrapText="1"/>
    </xf>
    <xf numFmtId="209" fontId="1" fillId="0" borderId="6" applyFont="0" applyFill="0" applyBorder="0" applyProtection="0">
      <alignment horizontal="center" vertical="center"/>
    </xf>
    <xf numFmtId="209" fontId="1" fillId="0" borderId="6" applyFont="0" applyFill="0" applyBorder="0" applyProtection="0">
      <alignment horizontal="center" vertical="center"/>
    </xf>
    <xf numFmtId="209" fontId="1" fillId="0" borderId="6" applyFont="0" applyFill="0" applyBorder="0" applyProtection="0">
      <alignment horizontal="center" vertical="center"/>
    </xf>
    <xf numFmtId="209" fontId="1" fillId="0" borderId="6" applyFont="0" applyFill="0" applyBorder="0" applyProtection="0">
      <alignment horizontal="center" vertical="center"/>
    </xf>
    <xf numFmtId="3" fontId="1" fillId="0" borderId="0" applyFont="0" applyBorder="0">
      <alignment horizontal="center"/>
    </xf>
    <xf numFmtId="210" fontId="18" fillId="0" borderId="0">
      <protection locked="0"/>
    </xf>
    <xf numFmtId="210" fontId="18" fillId="0" borderId="0">
      <protection locked="0"/>
    </xf>
    <xf numFmtId="49" fontId="111" fillId="0" borderId="6">
      <alignment horizontal="center" vertical="center" wrapText="1"/>
    </xf>
    <xf numFmtId="0" fontId="24" fillId="0" borderId="6" applyBorder="0">
      <alignment horizontal="center" vertical="center" wrapText="1"/>
    </xf>
    <xf numFmtId="49" fontId="111" fillId="0" borderId="6">
      <alignment horizontal="center" vertical="center" wrapText="1"/>
    </xf>
    <xf numFmtId="49" fontId="88" fillId="0" borderId="6" applyNumberFormat="0" applyFill="0" applyAlignment="0" applyProtection="0"/>
    <xf numFmtId="205" fontId="1" fillId="0" borderId="0"/>
    <xf numFmtId="0" fontId="10" fillId="0" borderId="0"/>
    <xf numFmtId="167" fontId="133" fillId="0" borderId="0" applyFont="0" applyFill="0" applyBorder="0" applyAlignment="0" applyProtection="0"/>
    <xf numFmtId="0" fontId="11" fillId="0" borderId="0"/>
    <xf numFmtId="166" fontId="1" fillId="0" borderId="0" applyFont="0" applyFill="0" applyBorder="0" applyAlignment="0" applyProtection="0"/>
    <xf numFmtId="0" fontId="133" fillId="0" borderId="0"/>
    <xf numFmtId="212" fontId="59" fillId="0" borderId="0"/>
    <xf numFmtId="0" fontId="133" fillId="0" borderId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0" fillId="0" borderId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10" fillId="0" borderId="0" applyFont="0" applyFill="0" applyBorder="0" applyAlignment="0" applyProtection="0"/>
    <xf numFmtId="9" fontId="133" fillId="0" borderId="0" applyFont="0" applyFill="0" applyBorder="0" applyAlignment="0" applyProtection="0"/>
    <xf numFmtId="49" fontId="72" fillId="0" borderId="0" applyBorder="0">
      <alignment vertical="top"/>
    </xf>
    <xf numFmtId="0" fontId="29" fillId="0" borderId="0">
      <alignment wrapText="1"/>
    </xf>
    <xf numFmtId="0" fontId="29" fillId="0" borderId="0">
      <alignment wrapText="1"/>
    </xf>
    <xf numFmtId="0" fontId="29" fillId="0" borderId="0">
      <alignment wrapText="1"/>
    </xf>
    <xf numFmtId="0" fontId="29" fillId="0" borderId="0">
      <alignment wrapText="1"/>
    </xf>
    <xf numFmtId="43" fontId="133" fillId="0" borderId="0" applyFont="0" applyFill="0" applyBorder="0" applyAlignment="0" applyProtection="0"/>
    <xf numFmtId="43" fontId="10" fillId="0" borderId="0" applyFont="0" applyFill="0" applyBorder="0" applyAlignment="0" applyProtection="0"/>
  </cellStyleXfs>
  <cellXfs count="1739">
    <xf numFmtId="0" fontId="0" fillId="0" borderId="0" xfId="0"/>
    <xf numFmtId="2" fontId="2" fillId="0" borderId="6" xfId="2028" applyNumberFormat="1" applyFont="1" applyFill="1" applyBorder="1" applyAlignment="1">
      <alignment horizontal="center" vertical="center" wrapText="1"/>
    </xf>
    <xf numFmtId="0" fontId="2" fillId="0" borderId="0" xfId="2028" applyFont="1" applyFill="1"/>
    <xf numFmtId="167" fontId="6" fillId="0" borderId="0" xfId="2363" applyFont="1" applyFill="1" applyAlignment="1">
      <alignment vertical="center"/>
    </xf>
    <xf numFmtId="167" fontId="2" fillId="0" borderId="0" xfId="2363" applyFont="1" applyFill="1"/>
    <xf numFmtId="2" fontId="2" fillId="0" borderId="6" xfId="2363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0" fontId="9" fillId="0" borderId="0" xfId="2028" applyFont="1" applyFill="1" applyAlignment="1"/>
    <xf numFmtId="167" fontId="8" fillId="0" borderId="0" xfId="2363" applyFont="1" applyFill="1"/>
    <xf numFmtId="2" fontId="8" fillId="0" borderId="0" xfId="0" applyNumberFormat="1" applyFont="1" applyFill="1"/>
    <xf numFmtId="2" fontId="8" fillId="0" borderId="6" xfId="0" applyNumberFormat="1" applyFont="1" applyFill="1" applyBorder="1" applyAlignment="1">
      <alignment horizontal="right"/>
    </xf>
    <xf numFmtId="0" fontId="8" fillId="0" borderId="6" xfId="0" applyFont="1" applyFill="1" applyBorder="1" applyAlignment="1"/>
    <xf numFmtId="0" fontId="8" fillId="55" borderId="6" xfId="0" applyFont="1" applyFill="1" applyBorder="1" applyAlignment="1"/>
    <xf numFmtId="0" fontId="8" fillId="55" borderId="0" xfId="0" applyFont="1" applyFill="1"/>
    <xf numFmtId="0" fontId="136" fillId="0" borderId="0" xfId="0" applyFont="1"/>
    <xf numFmtId="0" fontId="8" fillId="0" borderId="6" xfId="0" applyFont="1" applyFill="1" applyBorder="1"/>
    <xf numFmtId="0" fontId="8" fillId="0" borderId="6" xfId="0" applyFont="1" applyFill="1" applyBorder="1" applyAlignment="1">
      <alignment vertical="center"/>
    </xf>
    <xf numFmtId="167" fontId="8" fillId="0" borderId="6" xfId="2363" applyFont="1" applyFill="1" applyBorder="1"/>
    <xf numFmtId="0" fontId="8" fillId="55" borderId="6" xfId="0" applyFont="1" applyFill="1" applyBorder="1"/>
    <xf numFmtId="2" fontId="139" fillId="0" borderId="0" xfId="0" applyNumberFormat="1" applyFont="1" applyFill="1"/>
    <xf numFmtId="0" fontId="139" fillId="0" borderId="0" xfId="0" applyFont="1" applyFill="1"/>
    <xf numFmtId="2" fontId="139" fillId="0" borderId="0" xfId="2363" applyNumberFormat="1" applyFont="1" applyFill="1"/>
    <xf numFmtId="0" fontId="2" fillId="0" borderId="32" xfId="2028" applyFont="1" applyFill="1" applyBorder="1" applyAlignment="1">
      <alignment vertical="center" wrapText="1"/>
    </xf>
    <xf numFmtId="2" fontId="8" fillId="0" borderId="6" xfId="0" applyNumberFormat="1" applyFont="1" applyFill="1" applyBorder="1"/>
    <xf numFmtId="213" fontId="4" fillId="0" borderId="0" xfId="2363" applyNumberFormat="1" applyFont="1" applyFill="1"/>
    <xf numFmtId="167" fontId="8" fillId="0" borderId="0" xfId="0" applyNumberFormat="1" applyFont="1" applyFill="1"/>
    <xf numFmtId="2" fontId="142" fillId="0" borderId="6" xfId="0" applyNumberFormat="1" applyFont="1" applyFill="1" applyBorder="1"/>
    <xf numFmtId="0" fontId="8" fillId="0" borderId="0" xfId="0" applyFont="1" applyFill="1" applyBorder="1"/>
    <xf numFmtId="0" fontId="139" fillId="0" borderId="0" xfId="0" applyFont="1" applyFill="1" applyBorder="1"/>
    <xf numFmtId="2" fontId="8" fillId="55" borderId="6" xfId="0" applyNumberFormat="1" applyFont="1" applyFill="1" applyBorder="1"/>
    <xf numFmtId="173" fontId="8" fillId="0" borderId="0" xfId="0" applyNumberFormat="1" applyFont="1" applyFill="1"/>
    <xf numFmtId="173" fontId="8" fillId="0" borderId="0" xfId="2363" applyNumberFormat="1" applyFont="1" applyFill="1"/>
    <xf numFmtId="0" fontId="139" fillId="0" borderId="0" xfId="0" applyFont="1" applyFill="1" applyAlignment="1">
      <alignment vertical="center"/>
    </xf>
    <xf numFmtId="0" fontId="139" fillId="0" borderId="0" xfId="0" applyFont="1" applyFill="1" applyAlignment="1">
      <alignment horizontal="center" vertical="center"/>
    </xf>
    <xf numFmtId="167" fontId="8" fillId="0" borderId="0" xfId="2363" applyNumberFormat="1" applyFont="1" applyFill="1"/>
    <xf numFmtId="173" fontId="8" fillId="0" borderId="6" xfId="0" applyNumberFormat="1" applyFont="1" applyFill="1" applyBorder="1"/>
    <xf numFmtId="2" fontId="8" fillId="0" borderId="6" xfId="2363" applyNumberFormat="1" applyFont="1" applyFill="1" applyBorder="1" applyAlignment="1">
      <alignment horizontal="right"/>
    </xf>
    <xf numFmtId="2" fontId="8" fillId="0" borderId="6" xfId="0" applyNumberFormat="1" applyFont="1" applyFill="1" applyBorder="1" applyAlignment="1">
      <alignment horizontal="right" wrapText="1"/>
    </xf>
    <xf numFmtId="2" fontId="8" fillId="0" borderId="6" xfId="0" applyNumberFormat="1" applyFont="1" applyFill="1" applyBorder="1" applyAlignment="1">
      <alignment horizontal="right" vertical="center"/>
    </xf>
    <xf numFmtId="173" fontId="8" fillId="0" borderId="0" xfId="0" applyNumberFormat="1" applyFont="1" applyFill="1" applyBorder="1"/>
    <xf numFmtId="2" fontId="8" fillId="0" borderId="0" xfId="0" applyNumberFormat="1" applyFont="1" applyFill="1" applyBorder="1"/>
    <xf numFmtId="214" fontId="8" fillId="0" borderId="0" xfId="0" applyNumberFormat="1" applyFont="1" applyFill="1"/>
    <xf numFmtId="0" fontId="8" fillId="60" borderId="0" xfId="0" applyFont="1" applyFill="1"/>
    <xf numFmtId="2" fontId="8" fillId="60" borderId="0" xfId="0" applyNumberFormat="1" applyFont="1" applyFill="1"/>
    <xf numFmtId="173" fontId="8" fillId="55" borderId="6" xfId="0" applyNumberFormat="1" applyFont="1" applyFill="1" applyBorder="1" applyAlignment="1"/>
    <xf numFmtId="2" fontId="139" fillId="58" borderId="0" xfId="2363" applyNumberFormat="1" applyFont="1" applyFill="1"/>
    <xf numFmtId="0" fontId="151" fillId="0" borderId="0" xfId="0" applyFont="1"/>
    <xf numFmtId="0" fontId="0" fillId="0" borderId="0" xfId="0" applyAlignment="1">
      <alignment horizontal="center" vertical="center" wrapText="1"/>
    </xf>
    <xf numFmtId="2" fontId="156" fillId="0" borderId="44" xfId="0" applyNumberFormat="1" applyFont="1" applyBorder="1"/>
    <xf numFmtId="2" fontId="157" fillId="0" borderId="44" xfId="0" applyNumberFormat="1" applyFont="1" applyBorder="1"/>
    <xf numFmtId="0" fontId="158" fillId="0" borderId="0" xfId="0" applyFont="1"/>
    <xf numFmtId="0" fontId="159" fillId="0" borderId="0" xfId="0" applyFont="1"/>
    <xf numFmtId="0" fontId="160" fillId="56" borderId="38" xfId="0" applyFont="1" applyFill="1" applyBorder="1" applyAlignment="1">
      <alignment horizontal="center" vertical="center" wrapText="1"/>
    </xf>
    <xf numFmtId="0" fontId="161" fillId="60" borderId="38" xfId="0" applyFont="1" applyFill="1" applyBorder="1" applyAlignment="1">
      <alignment horizontal="center" vertical="center" wrapText="1"/>
    </xf>
    <xf numFmtId="0" fontId="161" fillId="65" borderId="24" xfId="0" applyFont="1" applyFill="1" applyBorder="1" applyAlignment="1">
      <alignment horizontal="center" vertical="center" wrapText="1"/>
    </xf>
    <xf numFmtId="0" fontId="161" fillId="65" borderId="40" xfId="0" applyFont="1" applyFill="1" applyBorder="1" applyAlignment="1">
      <alignment horizontal="center" vertical="center" wrapText="1"/>
    </xf>
    <xf numFmtId="0" fontId="161" fillId="66" borderId="40" xfId="0" applyFont="1" applyFill="1" applyBorder="1" applyAlignment="1">
      <alignment horizontal="center" vertical="center" wrapText="1"/>
    </xf>
    <xf numFmtId="0" fontId="161" fillId="67" borderId="41" xfId="0" applyFont="1" applyFill="1" applyBorder="1" applyAlignment="1">
      <alignment horizontal="center" vertical="center" wrapText="1"/>
    </xf>
    <xf numFmtId="0" fontId="161" fillId="67" borderId="38" xfId="0" applyFont="1" applyFill="1" applyBorder="1" applyAlignment="1">
      <alignment horizontal="center" vertical="center" wrapText="1"/>
    </xf>
    <xf numFmtId="0" fontId="161" fillId="67" borderId="40" xfId="0" applyFont="1" applyFill="1" applyBorder="1" applyAlignment="1">
      <alignment horizontal="center" vertical="center" wrapText="1"/>
    </xf>
    <xf numFmtId="0" fontId="162" fillId="57" borderId="42" xfId="0" applyFont="1" applyFill="1" applyBorder="1" applyAlignment="1">
      <alignment horizontal="center" vertical="center" wrapText="1"/>
    </xf>
    <xf numFmtId="0" fontId="162" fillId="57" borderId="38" xfId="0" applyFont="1" applyFill="1" applyBorder="1" applyAlignment="1">
      <alignment horizontal="center" vertical="center" wrapText="1"/>
    </xf>
    <xf numFmtId="0" fontId="160" fillId="65" borderId="42" xfId="0" applyFont="1" applyFill="1" applyBorder="1" applyAlignment="1">
      <alignment horizontal="center" vertical="center" wrapText="1"/>
    </xf>
    <xf numFmtId="0" fontId="160" fillId="65" borderId="43" xfId="0" applyFont="1" applyFill="1" applyBorder="1" applyAlignment="1">
      <alignment horizontal="center" vertical="center" wrapText="1"/>
    </xf>
    <xf numFmtId="0" fontId="160" fillId="57" borderId="43" xfId="0" applyFont="1" applyFill="1" applyBorder="1" applyAlignment="1">
      <alignment horizontal="center" vertical="center" wrapText="1"/>
    </xf>
    <xf numFmtId="0" fontId="163" fillId="0" borderId="29" xfId="0" applyFont="1" applyFill="1" applyBorder="1"/>
    <xf numFmtId="0" fontId="158" fillId="0" borderId="6" xfId="0" applyFont="1" applyFill="1" applyBorder="1"/>
    <xf numFmtId="2" fontId="157" fillId="0" borderId="45" xfId="0" applyNumberFormat="1" applyFont="1" applyFill="1" applyBorder="1"/>
    <xf numFmtId="2" fontId="157" fillId="0" borderId="34" xfId="0" applyNumberFormat="1" applyFont="1" applyFill="1" applyBorder="1"/>
    <xf numFmtId="2" fontId="157" fillId="0" borderId="44" xfId="0" applyNumberFormat="1" applyFont="1" applyFill="1" applyBorder="1"/>
    <xf numFmtId="2" fontId="158" fillId="0" borderId="45" xfId="0" applyNumberFormat="1" applyFont="1" applyFill="1" applyBorder="1"/>
    <xf numFmtId="2" fontId="158" fillId="0" borderId="34" xfId="0" applyNumberFormat="1" applyFont="1" applyFill="1" applyBorder="1"/>
    <xf numFmtId="2" fontId="158" fillId="0" borderId="44" xfId="0" applyNumberFormat="1" applyFont="1" applyFill="1" applyBorder="1"/>
    <xf numFmtId="2" fontId="159" fillId="0" borderId="34" xfId="0" applyNumberFormat="1" applyFont="1" applyFill="1" applyBorder="1"/>
    <xf numFmtId="2" fontId="159" fillId="0" borderId="28" xfId="0" applyNumberFormat="1" applyFont="1" applyFill="1" applyBorder="1"/>
    <xf numFmtId="0" fontId="0" fillId="0" borderId="0" xfId="0" applyFill="1"/>
    <xf numFmtId="0" fontId="164" fillId="0" borderId="0" xfId="0" applyFont="1" applyFill="1"/>
    <xf numFmtId="2" fontId="0" fillId="0" borderId="0" xfId="0" applyNumberFormat="1" applyFill="1"/>
    <xf numFmtId="0" fontId="150" fillId="0" borderId="0" xfId="0" applyFont="1" applyFill="1"/>
    <xf numFmtId="0" fontId="147" fillId="0" borderId="0" xfId="0" applyFont="1" applyFill="1"/>
    <xf numFmtId="2" fontId="166" fillId="0" borderId="0" xfId="0" applyNumberFormat="1" applyFont="1"/>
    <xf numFmtId="0" fontId="158" fillId="0" borderId="0" xfId="0" applyFont="1" applyFill="1"/>
    <xf numFmtId="0" fontId="159" fillId="0" borderId="0" xfId="0" applyFont="1" applyFill="1"/>
    <xf numFmtId="0" fontId="168" fillId="0" borderId="0" xfId="0" applyFont="1"/>
    <xf numFmtId="0" fontId="161" fillId="0" borderId="39" xfId="0" applyFont="1" applyFill="1" applyBorder="1" applyAlignment="1">
      <alignment horizontal="center" vertical="center" wrapText="1"/>
    </xf>
    <xf numFmtId="0" fontId="158" fillId="63" borderId="6" xfId="0" applyFont="1" applyFill="1" applyBorder="1"/>
    <xf numFmtId="2" fontId="158" fillId="0" borderId="25" xfId="0" applyNumberFormat="1" applyFont="1" applyFill="1" applyBorder="1"/>
    <xf numFmtId="2" fontId="158" fillId="0" borderId="0" xfId="0" applyNumberFormat="1" applyFont="1" applyFill="1"/>
    <xf numFmtId="0" fontId="167" fillId="0" borderId="0" xfId="0" applyFont="1" applyFill="1"/>
    <xf numFmtId="0" fontId="158" fillId="0" borderId="29" xfId="0" applyFont="1" applyFill="1" applyBorder="1"/>
    <xf numFmtId="0" fontId="160" fillId="0" borderId="49" xfId="0" applyFont="1" applyFill="1" applyBorder="1" applyAlignment="1">
      <alignment horizontal="center" vertical="center" wrapText="1"/>
    </xf>
    <xf numFmtId="0" fontId="159" fillId="0" borderId="50" xfId="0" applyFont="1" applyFill="1" applyBorder="1"/>
    <xf numFmtId="0" fontId="158" fillId="0" borderId="27" xfId="0" applyFont="1" applyFill="1" applyBorder="1"/>
    <xf numFmtId="0" fontId="161" fillId="63" borderId="24" xfId="0" applyFont="1" applyFill="1" applyBorder="1" applyAlignment="1">
      <alignment horizontal="center" vertical="center" wrapText="1"/>
    </xf>
    <xf numFmtId="0" fontId="161" fillId="0" borderId="51" xfId="0" applyFont="1" applyFill="1" applyBorder="1" applyAlignment="1">
      <alignment horizontal="center" vertical="center" wrapText="1"/>
    </xf>
    <xf numFmtId="2" fontId="165" fillId="55" borderId="38" xfId="0" applyNumberFormat="1" applyFont="1" applyFill="1" applyBorder="1"/>
    <xf numFmtId="0" fontId="136" fillId="0" borderId="0" xfId="0" applyFont="1" applyFill="1"/>
    <xf numFmtId="211" fontId="8" fillId="55" borderId="0" xfId="0" applyNumberFormat="1" applyFont="1" applyFill="1"/>
    <xf numFmtId="0" fontId="139" fillId="67" borderId="0" xfId="0" applyFont="1" applyFill="1" applyAlignment="1">
      <alignment vertical="center"/>
    </xf>
    <xf numFmtId="173" fontId="8" fillId="55" borderId="6" xfId="0" applyNumberFormat="1" applyFont="1" applyFill="1" applyBorder="1"/>
    <xf numFmtId="0" fontId="171" fillId="0" borderId="0" xfId="0" applyFont="1" applyFill="1"/>
    <xf numFmtId="0" fontId="144" fillId="55" borderId="0" xfId="0" applyFont="1" applyFill="1"/>
    <xf numFmtId="167" fontId="137" fillId="55" borderId="0" xfId="0" applyNumberFormat="1" applyFont="1" applyFill="1"/>
    <xf numFmtId="0" fontId="137" fillId="62" borderId="6" xfId="0" applyFont="1" applyFill="1" applyBorder="1" applyAlignment="1">
      <alignment horizontal="center" wrapText="1"/>
    </xf>
    <xf numFmtId="0" fontId="137" fillId="62" borderId="0" xfId="0" applyFont="1" applyFill="1" applyBorder="1" applyAlignment="1">
      <alignment horizontal="center" wrapText="1"/>
    </xf>
    <xf numFmtId="0" fontId="8" fillId="62" borderId="0" xfId="0" applyFont="1" applyFill="1" applyAlignment="1">
      <alignment wrapText="1"/>
    </xf>
    <xf numFmtId="0" fontId="8" fillId="62" borderId="0" xfId="0" applyFont="1" applyFill="1"/>
    <xf numFmtId="0" fontId="8" fillId="62" borderId="6" xfId="0" applyFont="1" applyFill="1" applyBorder="1" applyAlignment="1">
      <alignment wrapText="1"/>
    </xf>
    <xf numFmtId="14" fontId="137" fillId="62" borderId="6" xfId="0" applyNumberFormat="1" applyFont="1" applyFill="1" applyBorder="1" applyAlignment="1">
      <alignment horizontal="center" vertical="center"/>
    </xf>
    <xf numFmtId="0" fontId="8" fillId="62" borderId="6" xfId="0" applyFont="1" applyFill="1" applyBorder="1" applyAlignment="1">
      <alignment horizontal="center" vertical="center"/>
    </xf>
    <xf numFmtId="0" fontId="137" fillId="62" borderId="6" xfId="0" applyFont="1" applyFill="1" applyBorder="1" applyAlignment="1"/>
    <xf numFmtId="0" fontId="8" fillId="62" borderId="0" xfId="0" applyFont="1" applyFill="1" applyBorder="1" applyAlignment="1">
      <alignment horizontal="center" vertical="center"/>
    </xf>
    <xf numFmtId="0" fontId="8" fillId="62" borderId="6" xfId="0" applyFont="1" applyFill="1" applyBorder="1"/>
    <xf numFmtId="0" fontId="8" fillId="62" borderId="0" xfId="0" applyFont="1" applyFill="1" applyBorder="1"/>
    <xf numFmtId="0" fontId="2" fillId="62" borderId="6" xfId="2028" applyFont="1" applyFill="1" applyBorder="1" applyAlignment="1">
      <alignment horizontal="center" vertical="center" wrapText="1"/>
    </xf>
    <xf numFmtId="0" fontId="139" fillId="62" borderId="0" xfId="0" applyFont="1" applyFill="1"/>
    <xf numFmtId="2" fontId="139" fillId="62" borderId="0" xfId="0" applyNumberFormat="1" applyFont="1" applyFill="1"/>
    <xf numFmtId="2" fontId="8" fillId="62" borderId="6" xfId="2363" applyNumberFormat="1" applyFont="1" applyFill="1" applyBorder="1"/>
    <xf numFmtId="167" fontId="8" fillId="62" borderId="6" xfId="2363" applyFont="1" applyFill="1" applyBorder="1"/>
    <xf numFmtId="2" fontId="8" fillId="62" borderId="0" xfId="0" applyNumberFormat="1" applyFont="1" applyFill="1" applyBorder="1"/>
    <xf numFmtId="167" fontId="8" fillId="62" borderId="0" xfId="2363" applyFont="1" applyFill="1"/>
    <xf numFmtId="0" fontId="139" fillId="62" borderId="0" xfId="0" applyFont="1" applyFill="1" applyAlignment="1">
      <alignment horizontal="center" vertical="center"/>
    </xf>
    <xf numFmtId="173" fontId="8" fillId="62" borderId="0" xfId="0" applyNumberFormat="1" applyFont="1" applyFill="1" applyBorder="1"/>
    <xf numFmtId="0" fontId="139" fillId="62" borderId="0" xfId="0" applyFont="1" applyFill="1" applyAlignment="1">
      <alignment vertical="center"/>
    </xf>
    <xf numFmtId="2" fontId="8" fillId="62" borderId="6" xfId="0" applyNumberFormat="1" applyFont="1" applyFill="1" applyBorder="1"/>
    <xf numFmtId="2" fontId="139" fillId="62" borderId="0" xfId="2363" applyNumberFormat="1" applyFont="1" applyFill="1"/>
    <xf numFmtId="0" fontId="8" fillId="62" borderId="6" xfId="0" applyFont="1" applyFill="1" applyBorder="1" applyAlignment="1">
      <alignment vertical="center"/>
    </xf>
    <xf numFmtId="173" fontId="8" fillId="62" borderId="6" xfId="0" applyNumberFormat="1" applyFont="1" applyFill="1" applyBorder="1"/>
    <xf numFmtId="2" fontId="8" fillId="62" borderId="0" xfId="0" applyNumberFormat="1" applyFont="1" applyFill="1"/>
    <xf numFmtId="167" fontId="2" fillId="62" borderId="0" xfId="2363" applyFont="1" applyFill="1"/>
    <xf numFmtId="167" fontId="8" fillId="62" borderId="0" xfId="0" applyNumberFormat="1" applyFont="1" applyFill="1"/>
    <xf numFmtId="2" fontId="137" fillId="62" borderId="6" xfId="0" applyNumberFormat="1" applyFont="1" applyFill="1" applyBorder="1"/>
    <xf numFmtId="172" fontId="8" fillId="62" borderId="0" xfId="0" applyNumberFormat="1" applyFont="1" applyFill="1"/>
    <xf numFmtId="2" fontId="143" fillId="62" borderId="6" xfId="0" applyNumberFormat="1" applyFont="1" applyFill="1" applyBorder="1"/>
    <xf numFmtId="167" fontId="8" fillId="62" borderId="6" xfId="0" applyNumberFormat="1" applyFont="1" applyFill="1" applyBorder="1"/>
    <xf numFmtId="167" fontId="144" fillId="62" borderId="6" xfId="0" applyNumberFormat="1" applyFont="1" applyFill="1" applyBorder="1"/>
    <xf numFmtId="2" fontId="144" fillId="62" borderId="6" xfId="0" applyNumberFormat="1" applyFont="1" applyFill="1" applyBorder="1"/>
    <xf numFmtId="2" fontId="137" fillId="62" borderId="0" xfId="0" applyNumberFormat="1" applyFont="1" applyFill="1" applyBorder="1"/>
    <xf numFmtId="167" fontId="137" fillId="62" borderId="0" xfId="0" applyNumberFormat="1" applyFont="1" applyFill="1"/>
    <xf numFmtId="215" fontId="8" fillId="62" borderId="6" xfId="0" applyNumberFormat="1" applyFont="1" applyFill="1" applyBorder="1"/>
    <xf numFmtId="0" fontId="144" fillId="62" borderId="6" xfId="0" applyFont="1" applyFill="1" applyBorder="1"/>
    <xf numFmtId="215" fontId="144" fillId="62" borderId="6" xfId="0" applyNumberFormat="1" applyFont="1" applyFill="1" applyBorder="1"/>
    <xf numFmtId="2" fontId="137" fillId="62" borderId="32" xfId="0" applyNumberFormat="1" applyFont="1" applyFill="1" applyBorder="1"/>
    <xf numFmtId="2" fontId="137" fillId="62" borderId="0" xfId="0" applyNumberFormat="1" applyFont="1" applyFill="1" applyBorder="1" applyAlignment="1">
      <alignment horizontal="center"/>
    </xf>
    <xf numFmtId="2" fontId="137" fillId="62" borderId="35" xfId="0" applyNumberFormat="1" applyFont="1" applyFill="1" applyBorder="1"/>
    <xf numFmtId="215" fontId="8" fillId="62" borderId="0" xfId="0" applyNumberFormat="1" applyFont="1" applyFill="1"/>
    <xf numFmtId="2" fontId="137" fillId="62" borderId="28" xfId="0" applyNumberFormat="1" applyFont="1" applyFill="1" applyBorder="1"/>
    <xf numFmtId="0" fontId="8" fillId="62" borderId="0" xfId="0" applyFont="1" applyFill="1" applyBorder="1" applyAlignment="1"/>
    <xf numFmtId="0" fontId="137" fillId="62" borderId="6" xfId="0" applyFont="1" applyFill="1" applyBorder="1" applyAlignment="1">
      <alignment horizontal="center"/>
    </xf>
    <xf numFmtId="0" fontId="137" fillId="62" borderId="27" xfId="0" applyFont="1" applyFill="1" applyBorder="1" applyAlignment="1">
      <alignment horizontal="center" wrapText="1"/>
    </xf>
    <xf numFmtId="0" fontId="8" fillId="62" borderId="32" xfId="0" applyFont="1" applyFill="1" applyBorder="1"/>
    <xf numFmtId="0" fontId="8" fillId="62" borderId="28" xfId="0" applyFont="1" applyFill="1" applyBorder="1"/>
    <xf numFmtId="0" fontId="171" fillId="62" borderId="0" xfId="0" applyFont="1" applyFill="1" applyAlignment="1">
      <alignment vertical="center"/>
    </xf>
    <xf numFmtId="0" fontId="171" fillId="0" borderId="0" xfId="0" applyFont="1" applyFill="1" applyAlignment="1">
      <alignment vertical="center"/>
    </xf>
    <xf numFmtId="0" fontId="171" fillId="62" borderId="0" xfId="0" applyFont="1" applyFill="1" applyAlignment="1">
      <alignment horizontal="center" vertical="center"/>
    </xf>
    <xf numFmtId="0" fontId="171" fillId="0" borderId="0" xfId="0" applyFont="1" applyFill="1" applyAlignment="1">
      <alignment horizontal="center" vertical="center"/>
    </xf>
    <xf numFmtId="171" fontId="8" fillId="62" borderId="6" xfId="2363" applyNumberFormat="1" applyFont="1" applyFill="1" applyBorder="1"/>
    <xf numFmtId="214" fontId="8" fillId="62" borderId="6" xfId="0" applyNumberFormat="1" applyFont="1" applyFill="1" applyBorder="1"/>
    <xf numFmtId="167" fontId="8" fillId="68" borderId="0" xfId="2363" applyFont="1" applyFill="1"/>
    <xf numFmtId="217" fontId="8" fillId="0" borderId="0" xfId="2363" applyNumberFormat="1" applyFont="1" applyFill="1"/>
    <xf numFmtId="218" fontId="8" fillId="0" borderId="0" xfId="0" applyNumberFormat="1" applyFont="1" applyFill="1"/>
    <xf numFmtId="0" fontId="8" fillId="55" borderId="0" xfId="0" applyFont="1" applyFill="1" applyBorder="1"/>
    <xf numFmtId="2" fontId="8" fillId="55" borderId="0" xfId="0" applyNumberFormat="1" applyFont="1" applyFill="1" applyBorder="1"/>
    <xf numFmtId="0" fontId="8" fillId="55" borderId="6" xfId="0" applyFont="1" applyFill="1" applyBorder="1" applyAlignment="1">
      <alignment vertical="center"/>
    </xf>
    <xf numFmtId="173" fontId="8" fillId="55" borderId="6" xfId="0" applyNumberFormat="1" applyFont="1" applyFill="1" applyBorder="1" applyAlignment="1">
      <alignment vertical="center"/>
    </xf>
    <xf numFmtId="173" fontId="8" fillId="55" borderId="32" xfId="0" applyNumberFormat="1" applyFont="1" applyFill="1" applyBorder="1" applyAlignment="1"/>
    <xf numFmtId="173" fontId="8" fillId="55" borderId="6" xfId="0" applyNumberFormat="1" applyFont="1" applyFill="1" applyBorder="1" applyAlignment="1">
      <alignment horizontal="right"/>
    </xf>
    <xf numFmtId="173" fontId="8" fillId="55" borderId="6" xfId="2363" applyNumberFormat="1" applyFont="1" applyFill="1" applyBorder="1" applyAlignment="1">
      <alignment horizontal="right"/>
    </xf>
    <xf numFmtId="0" fontId="139" fillId="55" borderId="0" xfId="0" applyFont="1" applyFill="1" applyAlignment="1">
      <alignment vertical="center"/>
    </xf>
    <xf numFmtId="173" fontId="8" fillId="62" borderId="6" xfId="0" applyNumberFormat="1" applyFont="1" applyFill="1" applyBorder="1" applyAlignment="1">
      <alignment horizontal="right" vertical="center"/>
    </xf>
    <xf numFmtId="173" fontId="8" fillId="62" borderId="6" xfId="2363" applyNumberFormat="1" applyFont="1" applyFill="1" applyBorder="1" applyAlignment="1">
      <alignment horizontal="right" vertical="center"/>
    </xf>
    <xf numFmtId="2" fontId="8" fillId="62" borderId="0" xfId="2363" applyNumberFormat="1" applyFont="1" applyFill="1"/>
    <xf numFmtId="0" fontId="171" fillId="62" borderId="0" xfId="0" applyFont="1" applyFill="1"/>
    <xf numFmtId="2" fontId="8" fillId="0" borderId="6" xfId="2363" applyNumberFormat="1" applyFont="1" applyFill="1" applyBorder="1"/>
    <xf numFmtId="172" fontId="8" fillId="0" borderId="6" xfId="0" applyNumberFormat="1" applyFont="1" applyFill="1" applyBorder="1" applyAlignment="1">
      <alignment horizontal="center"/>
    </xf>
    <xf numFmtId="0" fontId="8" fillId="0" borderId="6" xfId="0" applyFont="1" applyFill="1" applyBorder="1" applyAlignment="1">
      <alignment horizontal="center"/>
    </xf>
    <xf numFmtId="4" fontId="8" fillId="0" borderId="6" xfId="0" applyNumberFormat="1" applyFont="1" applyFill="1" applyBorder="1"/>
    <xf numFmtId="173" fontId="8" fillId="0" borderId="6" xfId="2363" applyNumberFormat="1" applyFont="1" applyFill="1" applyBorder="1"/>
    <xf numFmtId="173" fontId="8" fillId="0" borderId="6" xfId="0" applyNumberFormat="1" applyFont="1" applyFill="1" applyBorder="1" applyAlignment="1">
      <alignment vertical="center"/>
    </xf>
    <xf numFmtId="172" fontId="8" fillId="0" borderId="6" xfId="0" applyNumberFormat="1" applyFont="1" applyFill="1" applyBorder="1"/>
    <xf numFmtId="0" fontId="2" fillId="0" borderId="6" xfId="0" applyFont="1" applyFill="1" applyBorder="1"/>
    <xf numFmtId="167" fontId="137" fillId="0" borderId="0" xfId="2363" applyFont="1" applyFill="1"/>
    <xf numFmtId="0" fontId="8" fillId="70" borderId="6" xfId="0" applyFont="1" applyFill="1" applyBorder="1"/>
    <xf numFmtId="0" fontId="8" fillId="70" borderId="0" xfId="0" applyFont="1" applyFill="1" applyBorder="1"/>
    <xf numFmtId="2" fontId="8" fillId="70" borderId="0" xfId="0" applyNumberFormat="1" applyFont="1" applyFill="1" applyBorder="1"/>
    <xf numFmtId="0" fontId="8" fillId="70" borderId="0" xfId="0" applyFont="1" applyFill="1"/>
    <xf numFmtId="2" fontId="166" fillId="0" borderId="0" xfId="0" applyNumberFormat="1" applyFont="1" applyFill="1"/>
    <xf numFmtId="0" fontId="151" fillId="0" borderId="0" xfId="0" applyFont="1" applyFill="1"/>
    <xf numFmtId="0" fontId="0" fillId="0" borderId="0" xfId="0" applyFill="1" applyAlignment="1">
      <alignment horizontal="center" vertical="center" wrapText="1"/>
    </xf>
    <xf numFmtId="0" fontId="2" fillId="0" borderId="0" xfId="2028" applyFont="1" applyFill="1" applyBorder="1" applyAlignment="1">
      <alignment horizontal="center" vertical="center" wrapText="1"/>
    </xf>
    <xf numFmtId="0" fontId="2" fillId="0" borderId="0" xfId="2028" applyFont="1" applyFill="1" applyBorder="1" applyAlignment="1">
      <alignment wrapText="1"/>
    </xf>
    <xf numFmtId="0" fontId="2" fillId="0" borderId="0" xfId="0" applyFont="1" applyFill="1" applyBorder="1"/>
    <xf numFmtId="172" fontId="8" fillId="0" borderId="0" xfId="0" applyNumberFormat="1" applyFont="1" applyFill="1" applyBorder="1"/>
    <xf numFmtId="2" fontId="160" fillId="71" borderId="44" xfId="0" applyNumberFormat="1" applyFont="1" applyFill="1" applyBorder="1"/>
    <xf numFmtId="2" fontId="161" fillId="71" borderId="44" xfId="0" applyNumberFormat="1" applyFont="1" applyFill="1" applyBorder="1"/>
    <xf numFmtId="2" fontId="161" fillId="71" borderId="45" xfId="0" applyNumberFormat="1" applyFont="1" applyFill="1" applyBorder="1"/>
    <xf numFmtId="2" fontId="161" fillId="71" borderId="34" xfId="0" applyNumberFormat="1" applyFont="1" applyFill="1" applyBorder="1"/>
    <xf numFmtId="0" fontId="174" fillId="71" borderId="0" xfId="0" applyFont="1" applyFill="1"/>
    <xf numFmtId="0" fontId="161" fillId="71" borderId="6" xfId="0" applyFont="1" applyFill="1" applyBorder="1"/>
    <xf numFmtId="0" fontId="161" fillId="71" borderId="27" xfId="0" applyFont="1" applyFill="1" applyBorder="1"/>
    <xf numFmtId="0" fontId="161" fillId="71" borderId="29" xfId="0" applyFont="1" applyFill="1" applyBorder="1"/>
    <xf numFmtId="0" fontId="160" fillId="71" borderId="50" xfId="0" applyFont="1" applyFill="1" applyBorder="1"/>
    <xf numFmtId="2" fontId="161" fillId="71" borderId="25" xfId="0" applyNumberFormat="1" applyFont="1" applyFill="1" applyBorder="1"/>
    <xf numFmtId="2" fontId="160" fillId="71" borderId="34" xfId="0" applyNumberFormat="1" applyFont="1" applyFill="1" applyBorder="1"/>
    <xf numFmtId="2" fontId="160" fillId="71" borderId="28" xfId="0" applyNumberFormat="1" applyFont="1" applyFill="1" applyBorder="1"/>
    <xf numFmtId="2" fontId="8" fillId="58" borderId="6" xfId="0" applyNumberFormat="1" applyFont="1" applyFill="1" applyBorder="1" applyAlignment="1">
      <alignment horizontal="center"/>
    </xf>
    <xf numFmtId="2" fontId="8" fillId="58" borderId="6" xfId="0" applyNumberFormat="1" applyFont="1" applyFill="1" applyBorder="1"/>
    <xf numFmtId="172" fontId="8" fillId="58" borderId="6" xfId="0" applyNumberFormat="1" applyFont="1" applyFill="1" applyBorder="1"/>
    <xf numFmtId="0" fontId="8" fillId="58" borderId="6" xfId="0" applyFont="1" applyFill="1" applyBorder="1"/>
    <xf numFmtId="0" fontId="8" fillId="58" borderId="0" xfId="0" applyFont="1" applyFill="1" applyBorder="1"/>
    <xf numFmtId="0" fontId="160" fillId="61" borderId="43" xfId="0" applyFont="1" applyFill="1" applyBorder="1" applyAlignment="1">
      <alignment horizontal="center" vertical="center" wrapText="1"/>
    </xf>
    <xf numFmtId="2" fontId="0" fillId="0" borderId="0" xfId="0" applyNumberFormat="1"/>
    <xf numFmtId="0" fontId="150" fillId="55" borderId="0" xfId="0" applyFont="1" applyFill="1"/>
    <xf numFmtId="0" fontId="164" fillId="55" borderId="0" xfId="0" applyFont="1" applyFill="1"/>
    <xf numFmtId="2" fontId="159" fillId="55" borderId="28" xfId="0" applyNumberFormat="1" applyFont="1" applyFill="1" applyBorder="1"/>
    <xf numFmtId="2" fontId="160" fillId="55" borderId="28" xfId="0" applyNumberFormat="1" applyFont="1" applyFill="1" applyBorder="1"/>
    <xf numFmtId="0" fontId="159" fillId="55" borderId="0" xfId="0" applyFont="1" applyFill="1"/>
    <xf numFmtId="2" fontId="149" fillId="55" borderId="28" xfId="0" applyNumberFormat="1" applyFont="1" applyFill="1" applyBorder="1"/>
    <xf numFmtId="0" fontId="139" fillId="59" borderId="0" xfId="0" applyFont="1" applyFill="1"/>
    <xf numFmtId="0" fontId="8" fillId="65" borderId="0" xfId="0" applyFont="1" applyFill="1"/>
    <xf numFmtId="0" fontId="137" fillId="63" borderId="0" xfId="0" applyFont="1" applyFill="1"/>
    <xf numFmtId="0" fontId="8" fillId="63" borderId="0" xfId="0" applyFont="1" applyFill="1"/>
    <xf numFmtId="0" fontId="8" fillId="58" borderId="0" xfId="0" applyFont="1" applyFill="1"/>
    <xf numFmtId="0" fontId="2" fillId="58" borderId="6" xfId="2028" applyFont="1" applyFill="1" applyBorder="1" applyAlignment="1">
      <alignment horizontal="center" vertical="center" wrapText="1"/>
    </xf>
    <xf numFmtId="2" fontId="8" fillId="58" borderId="6" xfId="2363" applyNumberFormat="1" applyFont="1" applyFill="1" applyBorder="1"/>
    <xf numFmtId="0" fontId="8" fillId="58" borderId="6" xfId="0" applyFont="1" applyFill="1" applyBorder="1" applyAlignment="1">
      <alignment horizontal="center"/>
    </xf>
    <xf numFmtId="4" fontId="8" fillId="58" borderId="6" xfId="0" applyNumberFormat="1" applyFont="1" applyFill="1" applyBorder="1"/>
    <xf numFmtId="0" fontId="8" fillId="58" borderId="6" xfId="0" applyFont="1" applyFill="1" applyBorder="1" applyAlignment="1">
      <alignment vertical="center"/>
    </xf>
    <xf numFmtId="167" fontId="8" fillId="58" borderId="0" xfId="2363" applyFont="1" applyFill="1"/>
    <xf numFmtId="173" fontId="8" fillId="58" borderId="0" xfId="0" applyNumberFormat="1" applyFont="1" applyFill="1"/>
    <xf numFmtId="167" fontId="137" fillId="58" borderId="0" xfId="2363" applyFont="1" applyFill="1"/>
    <xf numFmtId="218" fontId="8" fillId="58" borderId="0" xfId="0" applyNumberFormat="1" applyFont="1" applyFill="1"/>
    <xf numFmtId="173" fontId="8" fillId="58" borderId="6" xfId="0" applyNumberFormat="1" applyFont="1" applyFill="1" applyBorder="1"/>
    <xf numFmtId="0" fontId="136" fillId="0" borderId="0" xfId="0" applyFont="1" applyFill="1" applyAlignment="1"/>
    <xf numFmtId="0" fontId="136" fillId="55" borderId="0" xfId="0" applyFont="1" applyFill="1"/>
    <xf numFmtId="0" fontId="2" fillId="0" borderId="71" xfId="0" applyNumberFormat="1" applyFont="1" applyFill="1" applyBorder="1" applyAlignment="1" applyProtection="1">
      <alignment horizontal="left" vertical="center" indent="1"/>
    </xf>
    <xf numFmtId="0" fontId="148" fillId="0" borderId="0" xfId="0" applyFont="1"/>
    <xf numFmtId="0" fontId="136" fillId="0" borderId="54" xfId="0" applyFont="1" applyBorder="1"/>
    <xf numFmtId="0" fontId="2" fillId="0" borderId="39" xfId="0" applyNumberFormat="1" applyFont="1" applyFill="1" applyBorder="1" applyAlignment="1" applyProtection="1">
      <alignment vertical="center"/>
    </xf>
    <xf numFmtId="0" fontId="2" fillId="0" borderId="55" xfId="0" applyNumberFormat="1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vertical="center" wrapText="1"/>
    </xf>
    <xf numFmtId="0" fontId="4" fillId="55" borderId="0" xfId="0" applyFont="1" applyFill="1" applyBorder="1" applyAlignment="1" applyProtection="1">
      <alignment vertical="center" wrapText="1"/>
    </xf>
    <xf numFmtId="49" fontId="178" fillId="76" borderId="72" xfId="0" applyNumberFormat="1" applyFont="1" applyFill="1" applyBorder="1" applyAlignment="1" applyProtection="1">
      <alignment horizontal="left" vertical="center"/>
    </xf>
    <xf numFmtId="49" fontId="4" fillId="0" borderId="71" xfId="0" applyNumberFormat="1" applyFont="1" applyFill="1" applyBorder="1" applyAlignment="1" applyProtection="1">
      <alignment vertical="center"/>
    </xf>
    <xf numFmtId="49" fontId="4" fillId="0" borderId="71" xfId="0" applyNumberFormat="1" applyFont="1" applyFill="1" applyBorder="1" applyAlignment="1" applyProtection="1">
      <alignment vertical="center" wrapText="1"/>
    </xf>
    <xf numFmtId="49" fontId="4" fillId="76" borderId="73" xfId="0" applyNumberFormat="1" applyFont="1" applyFill="1" applyBorder="1" applyAlignment="1" applyProtection="1">
      <alignment vertical="center" wrapText="1"/>
    </xf>
    <xf numFmtId="0" fontId="179" fillId="78" borderId="75" xfId="0" applyFont="1" applyFill="1" applyBorder="1" applyAlignment="1" applyProtection="1">
      <alignment horizontal="center" vertical="center"/>
    </xf>
    <xf numFmtId="49" fontId="179" fillId="2" borderId="75" xfId="0" applyNumberFormat="1" applyFont="1" applyFill="1" applyBorder="1" applyAlignment="1" applyProtection="1">
      <alignment horizontal="center" vertical="center" wrapText="1"/>
    </xf>
    <xf numFmtId="49" fontId="179" fillId="2" borderId="14" xfId="0" applyNumberFormat="1" applyFont="1" applyFill="1" applyBorder="1" applyAlignment="1" applyProtection="1">
      <alignment horizontal="center" vertical="center" wrapText="1"/>
    </xf>
    <xf numFmtId="0" fontId="179" fillId="78" borderId="14" xfId="0" applyFont="1" applyFill="1" applyBorder="1" applyAlignment="1" applyProtection="1">
      <alignment horizontal="center" vertical="center"/>
    </xf>
    <xf numFmtId="0" fontId="179" fillId="79" borderId="14" xfId="0" applyFont="1" applyFill="1" applyBorder="1" applyAlignment="1" applyProtection="1">
      <alignment horizontal="center" vertical="center"/>
    </xf>
    <xf numFmtId="0" fontId="179" fillId="33" borderId="14" xfId="0" applyFont="1" applyFill="1" applyBorder="1" applyAlignment="1" applyProtection="1">
      <alignment horizontal="center" vertical="center"/>
    </xf>
    <xf numFmtId="49" fontId="179" fillId="79" borderId="14" xfId="0" applyNumberFormat="1" applyFont="1" applyFill="1" applyBorder="1" applyAlignment="1" applyProtection="1">
      <alignment horizontal="center" vertical="center"/>
    </xf>
    <xf numFmtId="49" fontId="179" fillId="33" borderId="14" xfId="0" applyNumberFormat="1" applyFont="1" applyFill="1" applyBorder="1" applyAlignment="1" applyProtection="1">
      <alignment horizontal="center" vertical="center"/>
    </xf>
    <xf numFmtId="49" fontId="179" fillId="35" borderId="14" xfId="0" applyNumberFormat="1" applyFont="1" applyFill="1" applyBorder="1" applyAlignment="1" applyProtection="1">
      <alignment horizontal="center" vertical="center"/>
    </xf>
    <xf numFmtId="0" fontId="180" fillId="2" borderId="14" xfId="0" applyFont="1" applyFill="1" applyBorder="1" applyAlignment="1" applyProtection="1">
      <alignment horizontal="center" vertical="center" wrapText="1"/>
    </xf>
    <xf numFmtId="0" fontId="179" fillId="80" borderId="14" xfId="0" applyFont="1" applyFill="1" applyBorder="1" applyAlignment="1" applyProtection="1">
      <alignment horizontal="center" vertical="center" wrapText="1"/>
    </xf>
    <xf numFmtId="49" fontId="179" fillId="55" borderId="14" xfId="0" applyNumberFormat="1" applyFont="1" applyFill="1" applyBorder="1" applyAlignment="1" applyProtection="1">
      <alignment horizontal="center" vertical="center" wrapText="1"/>
    </xf>
    <xf numFmtId="49" fontId="180" fillId="0" borderId="72" xfId="0" applyNumberFormat="1" applyFont="1" applyFill="1" applyBorder="1" applyAlignment="1" applyProtection="1">
      <alignment horizontal="center" vertical="center" wrapText="1"/>
    </xf>
    <xf numFmtId="49" fontId="180" fillId="0" borderId="77" xfId="0" applyNumberFormat="1" applyFont="1" applyFill="1" applyBorder="1" applyAlignment="1" applyProtection="1">
      <alignment horizontal="center" vertical="center"/>
    </xf>
    <xf numFmtId="49" fontId="180" fillId="0" borderId="77" xfId="0" applyNumberFormat="1" applyFont="1" applyFill="1" applyBorder="1" applyAlignment="1" applyProtection="1">
      <alignment horizontal="center" vertical="center" wrapText="1"/>
    </xf>
    <xf numFmtId="0" fontId="180" fillId="0" borderId="78" xfId="0" applyFont="1" applyFill="1" applyBorder="1" applyAlignment="1" applyProtection="1">
      <alignment horizontal="center" vertical="center" wrapText="1"/>
    </xf>
    <xf numFmtId="0" fontId="180" fillId="77" borderId="79" xfId="0" applyFont="1" applyFill="1" applyBorder="1" applyAlignment="1" applyProtection="1">
      <alignment horizontal="center" vertical="center" wrapText="1"/>
    </xf>
    <xf numFmtId="0" fontId="180" fillId="77" borderId="6" xfId="0" applyFont="1" applyFill="1" applyBorder="1" applyAlignment="1" applyProtection="1">
      <alignment horizontal="center" vertical="center" wrapText="1"/>
    </xf>
    <xf numFmtId="0" fontId="180" fillId="77" borderId="27" xfId="0" applyFont="1" applyFill="1" applyBorder="1" applyAlignment="1" applyProtection="1">
      <alignment horizontal="center" vertical="center" wrapText="1"/>
    </xf>
    <xf numFmtId="0" fontId="180" fillId="77" borderId="33" xfId="0" applyFont="1" applyFill="1" applyBorder="1" applyAlignment="1" applyProtection="1">
      <alignment horizontal="center" vertical="center" wrapText="1"/>
    </xf>
    <xf numFmtId="0" fontId="180" fillId="77" borderId="25" xfId="0" applyFont="1" applyFill="1" applyBorder="1" applyAlignment="1" applyProtection="1">
      <alignment horizontal="center" vertical="center" wrapText="1"/>
    </xf>
    <xf numFmtId="0" fontId="180" fillId="77" borderId="82" xfId="0" applyFont="1" applyFill="1" applyBorder="1" applyAlignment="1" applyProtection="1">
      <alignment horizontal="center" vertical="center" wrapText="1"/>
    </xf>
    <xf numFmtId="2" fontId="180" fillId="73" borderId="54" xfId="0" applyNumberFormat="1" applyFont="1" applyFill="1" applyBorder="1" applyAlignment="1" applyProtection="1">
      <alignment horizontal="center" vertical="center" wrapText="1"/>
    </xf>
    <xf numFmtId="2" fontId="180" fillId="55" borderId="49" xfId="0" applyNumberFormat="1" applyFont="1" applyFill="1" applyBorder="1" applyAlignment="1" applyProtection="1">
      <alignment horizontal="center" vertical="center" wrapText="1"/>
    </xf>
    <xf numFmtId="0" fontId="180" fillId="67" borderId="83" xfId="0" applyFont="1" applyFill="1" applyBorder="1" applyAlignment="1" applyProtection="1">
      <alignment horizontal="center" vertical="center" wrapText="1"/>
    </xf>
    <xf numFmtId="49" fontId="180" fillId="67" borderId="84" xfId="0" applyNumberFormat="1" applyFont="1" applyFill="1" applyBorder="1" applyAlignment="1" applyProtection="1">
      <alignment horizontal="center" vertical="center" wrapText="1"/>
    </xf>
    <xf numFmtId="49" fontId="179" fillId="67" borderId="84" xfId="0" applyNumberFormat="1" applyFont="1" applyFill="1" applyBorder="1" applyAlignment="1" applyProtection="1">
      <alignment horizontal="center" vertical="center" wrapText="1"/>
    </xf>
    <xf numFmtId="49" fontId="180" fillId="67" borderId="85" xfId="0" applyNumberFormat="1" applyFont="1" applyFill="1" applyBorder="1" applyAlignment="1" applyProtection="1">
      <alignment horizontal="center" vertical="center" wrapText="1"/>
    </xf>
    <xf numFmtId="0" fontId="180" fillId="82" borderId="86" xfId="0" applyFont="1" applyFill="1" applyBorder="1" applyAlignment="1" applyProtection="1">
      <alignment horizontal="center" vertical="center" wrapText="1"/>
    </xf>
    <xf numFmtId="0" fontId="180" fillId="82" borderId="14" xfId="0" applyFont="1" applyFill="1" applyBorder="1" applyAlignment="1" applyProtection="1">
      <alignment horizontal="center" vertical="center" wrapText="1"/>
    </xf>
    <xf numFmtId="49" fontId="180" fillId="0" borderId="14" xfId="0" applyNumberFormat="1" applyFont="1" applyFill="1" applyBorder="1" applyAlignment="1" applyProtection="1">
      <alignment horizontal="center" vertical="center" wrapText="1"/>
    </xf>
    <xf numFmtId="49" fontId="180" fillId="76" borderId="14" xfId="0" applyNumberFormat="1" applyFont="1" applyFill="1" applyBorder="1" applyAlignment="1" applyProtection="1">
      <alignment horizontal="center" vertical="center" wrapText="1"/>
    </xf>
    <xf numFmtId="49" fontId="181" fillId="0" borderId="14" xfId="2441" applyFont="1" applyFill="1" applyBorder="1" applyAlignment="1" applyProtection="1">
      <alignment horizontal="center" vertical="center" wrapText="1"/>
    </xf>
    <xf numFmtId="0" fontId="181" fillId="0" borderId="14" xfId="2442" applyFont="1" applyFill="1" applyBorder="1" applyAlignment="1" applyProtection="1">
      <alignment horizontal="center" vertical="center" wrapText="1"/>
    </xf>
    <xf numFmtId="0" fontId="180" fillId="0" borderId="14" xfId="2442" applyFont="1" applyFill="1" applyBorder="1" applyAlignment="1" applyProtection="1">
      <alignment horizontal="center" vertical="center" wrapText="1"/>
    </xf>
    <xf numFmtId="0" fontId="181" fillId="0" borderId="14" xfId="2443" applyFont="1" applyFill="1" applyBorder="1" applyAlignment="1" applyProtection="1">
      <alignment horizontal="center" vertical="center" wrapText="1"/>
    </xf>
    <xf numFmtId="49" fontId="181" fillId="76" borderId="14" xfId="0" applyNumberFormat="1" applyFont="1" applyFill="1" applyBorder="1" applyAlignment="1" applyProtection="1">
      <alignment horizontal="center" vertical="center" wrapText="1"/>
    </xf>
    <xf numFmtId="49" fontId="181" fillId="0" borderId="14" xfId="2441" applyNumberFormat="1" applyFont="1" applyFill="1" applyBorder="1" applyAlignment="1" applyProtection="1">
      <alignment horizontal="center" vertical="center" wrapText="1"/>
    </xf>
    <xf numFmtId="0" fontId="181" fillId="0" borderId="14" xfId="2444" applyFont="1" applyFill="1" applyBorder="1" applyAlignment="1" applyProtection="1">
      <alignment horizontal="center" vertical="center" wrapText="1"/>
    </xf>
    <xf numFmtId="0" fontId="181" fillId="0" borderId="14" xfId="2445" applyFont="1" applyFill="1" applyBorder="1" applyAlignment="1" applyProtection="1">
      <alignment horizontal="center" vertical="center" wrapText="1"/>
    </xf>
    <xf numFmtId="49" fontId="180" fillId="0" borderId="14" xfId="2441" applyFont="1" applyFill="1" applyBorder="1" applyAlignment="1" applyProtection="1">
      <alignment horizontal="center" vertical="center" wrapText="1"/>
    </xf>
    <xf numFmtId="0" fontId="182" fillId="82" borderId="14" xfId="0" applyFont="1" applyFill="1" applyBorder="1" applyAlignment="1" applyProtection="1">
      <alignment horizontal="center" vertical="center" wrapText="1"/>
    </xf>
    <xf numFmtId="49" fontId="181" fillId="82" borderId="14" xfId="0" applyNumberFormat="1" applyFont="1" applyFill="1" applyBorder="1" applyAlignment="1" applyProtection="1">
      <alignment horizontal="center" vertical="center" wrapText="1"/>
    </xf>
    <xf numFmtId="0" fontId="181" fillId="0" borderId="14" xfId="2441" applyNumberFormat="1" applyFont="1" applyFill="1" applyBorder="1" applyAlignment="1" applyProtection="1">
      <alignment horizontal="center" vertical="center" wrapText="1"/>
    </xf>
    <xf numFmtId="49" fontId="180" fillId="54" borderId="14" xfId="2441" applyFont="1" applyFill="1" applyBorder="1" applyAlignment="1" applyProtection="1">
      <alignment horizontal="center" vertical="center" wrapText="1"/>
    </xf>
    <xf numFmtId="0" fontId="180" fillId="0" borderId="14" xfId="0" applyFont="1" applyBorder="1" applyAlignment="1">
      <alignment horizontal="center" vertical="center" wrapText="1"/>
    </xf>
    <xf numFmtId="0" fontId="180" fillId="0" borderId="14" xfId="0" applyFont="1" applyFill="1" applyBorder="1" applyAlignment="1" applyProtection="1">
      <alignment horizontal="center" vertical="center" wrapText="1"/>
    </xf>
    <xf numFmtId="0" fontId="179" fillId="79" borderId="14" xfId="0" applyFont="1" applyFill="1" applyBorder="1" applyAlignment="1" applyProtection="1">
      <alignment horizontal="center" vertical="center" wrapText="1"/>
    </xf>
    <xf numFmtId="0" fontId="179" fillId="33" borderId="14" xfId="0" applyFont="1" applyFill="1" applyBorder="1" applyAlignment="1" applyProtection="1">
      <alignment horizontal="center" vertical="center" wrapText="1"/>
    </xf>
    <xf numFmtId="0" fontId="179" fillId="78" borderId="14" xfId="0" applyFont="1" applyFill="1" applyBorder="1" applyAlignment="1" applyProtection="1">
      <alignment horizontal="center" vertical="center" wrapText="1"/>
    </xf>
    <xf numFmtId="0" fontId="179" fillId="35" borderId="14" xfId="0" applyFont="1" applyFill="1" applyBorder="1" applyAlignment="1" applyProtection="1">
      <alignment horizontal="center" vertical="center" wrapText="1"/>
    </xf>
    <xf numFmtId="0" fontId="180" fillId="55" borderId="14" xfId="0" applyFont="1" applyFill="1" applyBorder="1" applyAlignment="1" applyProtection="1">
      <alignment horizontal="center" vertical="center" wrapText="1"/>
    </xf>
    <xf numFmtId="0" fontId="180" fillId="76" borderId="14" xfId="0" applyNumberFormat="1" applyFont="1" applyFill="1" applyBorder="1" applyAlignment="1" applyProtection="1">
      <alignment horizontal="center" vertical="center" wrapText="1"/>
    </xf>
    <xf numFmtId="0" fontId="180" fillId="0" borderId="14" xfId="0" applyNumberFormat="1" applyFont="1" applyFill="1" applyBorder="1" applyAlignment="1" applyProtection="1">
      <alignment horizontal="center" vertical="center" wrapText="1"/>
    </xf>
    <xf numFmtId="0" fontId="2" fillId="74" borderId="33" xfId="0" applyFont="1" applyFill="1" applyBorder="1" applyAlignment="1" applyProtection="1">
      <alignment horizontal="center" vertical="center" wrapText="1"/>
    </xf>
    <xf numFmtId="0" fontId="2" fillId="74" borderId="87" xfId="0" applyFont="1" applyFill="1" applyBorder="1" applyAlignment="1" applyProtection="1">
      <alignment horizontal="center" vertical="center" wrapText="1"/>
    </xf>
    <xf numFmtId="0" fontId="2" fillId="74" borderId="88" xfId="0" applyFont="1" applyFill="1" applyBorder="1" applyAlignment="1" applyProtection="1">
      <alignment horizontal="center" vertical="center" wrapText="1"/>
    </xf>
    <xf numFmtId="0" fontId="2" fillId="63" borderId="90" xfId="0" applyFont="1" applyFill="1" applyBorder="1" applyAlignment="1" applyProtection="1">
      <alignment horizontal="center" vertical="center" wrapText="1"/>
    </xf>
    <xf numFmtId="0" fontId="2" fillId="63" borderId="91" xfId="0" applyFont="1" applyFill="1" applyBorder="1" applyAlignment="1" applyProtection="1">
      <alignment horizontal="center" vertical="center" wrapText="1"/>
    </xf>
    <xf numFmtId="0" fontId="2" fillId="63" borderId="92" xfId="0" applyFont="1" applyFill="1" applyBorder="1" applyAlignment="1" applyProtection="1">
      <alignment horizontal="center" vertical="center" wrapText="1"/>
    </xf>
    <xf numFmtId="0" fontId="2" fillId="63" borderId="93" xfId="0" applyFont="1" applyFill="1" applyBorder="1" applyAlignment="1" applyProtection="1">
      <alignment horizontal="center" vertical="center" wrapText="1"/>
    </xf>
    <xf numFmtId="2" fontId="2" fillId="73" borderId="49" xfId="0" applyNumberFormat="1" applyFont="1" applyFill="1" applyBorder="1" applyAlignment="1" applyProtection="1">
      <alignment horizontal="center" vertical="center" wrapText="1"/>
    </xf>
    <xf numFmtId="2" fontId="2" fillId="63" borderId="55" xfId="0" applyNumberFormat="1" applyFont="1" applyFill="1" applyBorder="1" applyAlignment="1" applyProtection="1">
      <alignment horizontal="center" vertical="center" wrapText="1"/>
    </xf>
    <xf numFmtId="0" fontId="180" fillId="0" borderId="94" xfId="0" applyFont="1" applyBorder="1" applyAlignment="1">
      <alignment vertical="top"/>
    </xf>
    <xf numFmtId="176" fontId="180" fillId="0" borderId="75" xfId="0" applyNumberFormat="1" applyFont="1" applyFill="1" applyBorder="1" applyAlignment="1" applyProtection="1">
      <alignment vertical="center"/>
    </xf>
    <xf numFmtId="176" fontId="180" fillId="0" borderId="77" xfId="0" applyNumberFormat="1" applyFont="1" applyFill="1" applyBorder="1" applyAlignment="1" applyProtection="1">
      <alignment vertical="center" wrapText="1"/>
    </xf>
    <xf numFmtId="176" fontId="180" fillId="0" borderId="95" xfId="0" applyNumberFormat="1" applyFont="1" applyFill="1" applyBorder="1" applyAlignment="1" applyProtection="1">
      <alignment vertical="center" wrapText="1"/>
    </xf>
    <xf numFmtId="176" fontId="180" fillId="76" borderId="73" xfId="0" applyNumberFormat="1" applyFont="1" applyFill="1" applyBorder="1" applyAlignment="1" applyProtection="1">
      <alignment vertical="center" wrapText="1"/>
    </xf>
    <xf numFmtId="176" fontId="180" fillId="76" borderId="95" xfId="0" applyNumberFormat="1" applyFont="1" applyFill="1" applyBorder="1" applyAlignment="1" applyProtection="1">
      <alignment vertical="center" wrapText="1"/>
    </xf>
    <xf numFmtId="176" fontId="180" fillId="76" borderId="72" xfId="0" applyNumberFormat="1" applyFont="1" applyFill="1" applyBorder="1" applyAlignment="1" applyProtection="1">
      <alignment vertical="center" wrapText="1"/>
    </xf>
    <xf numFmtId="176" fontId="180" fillId="76" borderId="96" xfId="0" applyNumberFormat="1" applyFont="1" applyFill="1" applyBorder="1" applyAlignment="1" applyProtection="1">
      <alignment vertical="center" wrapText="1"/>
    </xf>
    <xf numFmtId="176" fontId="180" fillId="76" borderId="97" xfId="0" applyNumberFormat="1" applyFont="1" applyFill="1" applyBorder="1" applyAlignment="1" applyProtection="1">
      <alignment vertical="center" wrapText="1"/>
    </xf>
    <xf numFmtId="176" fontId="180" fillId="76" borderId="71" xfId="0" applyNumberFormat="1" applyFont="1" applyFill="1" applyBorder="1" applyAlignment="1" applyProtection="1">
      <alignment vertical="center" wrapText="1"/>
    </xf>
    <xf numFmtId="176" fontId="180" fillId="76" borderId="94" xfId="0" applyNumberFormat="1" applyFont="1" applyFill="1" applyBorder="1" applyAlignment="1" applyProtection="1">
      <alignment vertical="center" wrapText="1"/>
    </xf>
    <xf numFmtId="176" fontId="180" fillId="76" borderId="75" xfId="0" applyNumberFormat="1" applyFont="1" applyFill="1" applyBorder="1" applyAlignment="1" applyProtection="1">
      <alignment vertical="center" wrapText="1"/>
    </xf>
    <xf numFmtId="176" fontId="180" fillId="76" borderId="98" xfId="0" applyNumberFormat="1" applyFont="1" applyFill="1" applyBorder="1" applyAlignment="1" applyProtection="1">
      <alignment vertical="center" wrapText="1"/>
    </xf>
    <xf numFmtId="176" fontId="180" fillId="76" borderId="99" xfId="0" applyNumberFormat="1" applyFont="1" applyFill="1" applyBorder="1" applyAlignment="1" applyProtection="1">
      <alignment vertical="center" wrapText="1"/>
    </xf>
    <xf numFmtId="49" fontId="180" fillId="76" borderId="100" xfId="0" applyNumberFormat="1" applyFont="1" applyFill="1" applyBorder="1" applyAlignment="1" applyProtection="1">
      <alignment horizontal="center" vertical="center" wrapText="1"/>
    </xf>
    <xf numFmtId="0" fontId="180" fillId="0" borderId="100" xfId="0" applyFont="1" applyBorder="1" applyAlignment="1" applyProtection="1">
      <alignment horizontal="center" vertical="center"/>
    </xf>
    <xf numFmtId="49" fontId="180" fillId="0" borderId="14" xfId="2441" applyFont="1" applyFill="1" applyBorder="1" applyAlignment="1" applyProtection="1">
      <alignment horizontal="center" vertical="center"/>
    </xf>
    <xf numFmtId="49" fontId="180" fillId="2" borderId="14" xfId="0" applyNumberFormat="1" applyFont="1" applyFill="1" applyBorder="1" applyAlignment="1" applyProtection="1">
      <alignment horizontal="center" vertical="center" wrapText="1"/>
    </xf>
    <xf numFmtId="4" fontId="180" fillId="2" borderId="14" xfId="0" applyNumberFormat="1" applyFont="1" applyFill="1" applyBorder="1" applyAlignment="1" applyProtection="1">
      <alignment horizontal="center" vertical="center"/>
    </xf>
    <xf numFmtId="0" fontId="180" fillId="0" borderId="14" xfId="0" applyFont="1" applyBorder="1" applyAlignment="1">
      <alignment horizontal="center" vertical="center"/>
    </xf>
    <xf numFmtId="49" fontId="180" fillId="55" borderId="14" xfId="0" applyNumberFormat="1" applyFont="1" applyFill="1" applyBorder="1" applyAlignment="1" applyProtection="1">
      <alignment horizontal="center" vertical="center" wrapText="1"/>
    </xf>
    <xf numFmtId="176" fontId="180" fillId="76" borderId="101" xfId="0" applyNumberFormat="1" applyFont="1" applyFill="1" applyBorder="1" applyAlignment="1" applyProtection="1">
      <alignment vertical="center" wrapText="1"/>
    </xf>
    <xf numFmtId="176" fontId="180" fillId="76" borderId="102" xfId="0" applyNumberFormat="1" applyFont="1" applyFill="1" applyBorder="1" applyAlignment="1" applyProtection="1">
      <alignment vertical="center" wrapText="1"/>
    </xf>
    <xf numFmtId="176" fontId="180" fillId="76" borderId="103" xfId="0" applyNumberFormat="1" applyFont="1" applyFill="1" applyBorder="1" applyAlignment="1" applyProtection="1">
      <alignment vertical="center" wrapText="1"/>
    </xf>
    <xf numFmtId="176" fontId="180" fillId="76" borderId="104" xfId="0" applyNumberFormat="1" applyFont="1" applyFill="1" applyBorder="1" applyAlignment="1" applyProtection="1">
      <alignment vertical="center" wrapText="1"/>
    </xf>
    <xf numFmtId="176" fontId="180" fillId="76" borderId="13" xfId="0" applyNumberFormat="1" applyFont="1" applyFill="1" applyBorder="1" applyAlignment="1" applyProtection="1">
      <alignment vertical="center" wrapText="1"/>
    </xf>
    <xf numFmtId="176" fontId="180" fillId="76" borderId="105" xfId="0" applyNumberFormat="1" applyFont="1" applyFill="1" applyBorder="1" applyAlignment="1" applyProtection="1">
      <alignment vertical="center" wrapText="1"/>
    </xf>
    <xf numFmtId="176" fontId="180" fillId="76" borderId="106" xfId="0" applyNumberFormat="1" applyFont="1" applyFill="1" applyBorder="1" applyAlignment="1" applyProtection="1">
      <alignment vertical="center" wrapText="1"/>
    </xf>
    <xf numFmtId="0" fontId="180" fillId="0" borderId="107" xfId="0" applyFont="1" applyBorder="1" applyAlignment="1">
      <alignment vertical="top"/>
    </xf>
    <xf numFmtId="0" fontId="180" fillId="0" borderId="14" xfId="0" applyFont="1" applyFill="1" applyBorder="1" applyAlignment="1">
      <alignment vertical="top"/>
    </xf>
    <xf numFmtId="0" fontId="180" fillId="0" borderId="77" xfId="0" applyFont="1" applyFill="1" applyBorder="1" applyAlignment="1">
      <alignment vertical="top"/>
    </xf>
    <xf numFmtId="10" fontId="183" fillId="0" borderId="95" xfId="2440" applyNumberFormat="1" applyFont="1" applyFill="1" applyBorder="1" applyAlignment="1">
      <alignment vertical="top"/>
    </xf>
    <xf numFmtId="0" fontId="180" fillId="0" borderId="78" xfId="0" applyFont="1" applyBorder="1" applyAlignment="1">
      <alignment vertical="top"/>
    </xf>
    <xf numFmtId="167" fontId="180" fillId="0" borderId="108" xfId="0" applyNumberFormat="1" applyFont="1" applyBorder="1" applyAlignment="1">
      <alignment vertical="top"/>
    </xf>
    <xf numFmtId="0" fontId="180" fillId="0" borderId="108" xfId="0" applyFont="1" applyBorder="1" applyAlignment="1">
      <alignment vertical="top"/>
    </xf>
    <xf numFmtId="0" fontId="180" fillId="0" borderId="109" xfId="0" applyFont="1" applyBorder="1" applyAlignment="1">
      <alignment vertical="top"/>
    </xf>
    <xf numFmtId="0" fontId="180" fillId="0" borderId="110" xfId="0" applyFont="1" applyBorder="1" applyAlignment="1">
      <alignment vertical="top"/>
    </xf>
    <xf numFmtId="0" fontId="180" fillId="0" borderId="111" xfId="0" applyFont="1" applyBorder="1" applyAlignment="1">
      <alignment vertical="top"/>
    </xf>
    <xf numFmtId="0" fontId="180" fillId="0" borderId="112" xfId="0" applyFont="1" applyBorder="1" applyAlignment="1">
      <alignment vertical="top"/>
    </xf>
    <xf numFmtId="0" fontId="180" fillId="0" borderId="14" xfId="0" applyFont="1" applyBorder="1" applyAlignment="1">
      <alignment vertical="top"/>
    </xf>
    <xf numFmtId="0" fontId="180" fillId="0" borderId="113" xfId="0" applyFont="1" applyBorder="1" applyAlignment="1">
      <alignment vertical="top"/>
    </xf>
    <xf numFmtId="0" fontId="180" fillId="0" borderId="86" xfId="0" applyFont="1" applyBorder="1" applyAlignment="1">
      <alignment vertical="top"/>
    </xf>
    <xf numFmtId="0" fontId="180" fillId="82" borderId="75" xfId="0" applyFont="1" applyFill="1" applyBorder="1" applyAlignment="1" applyProtection="1">
      <alignment horizontal="center" vertical="center" wrapText="1"/>
    </xf>
    <xf numFmtId="0" fontId="179" fillId="0" borderId="75" xfId="0" applyFont="1" applyBorder="1" applyAlignment="1" applyProtection="1">
      <alignment horizontal="center" vertical="center"/>
    </xf>
    <xf numFmtId="0" fontId="180" fillId="0" borderId="14" xfId="2441" applyNumberFormat="1" applyFont="1" applyFill="1" applyBorder="1" applyAlignment="1" applyProtection="1">
      <alignment horizontal="center" vertical="center" wrapText="1"/>
    </xf>
    <xf numFmtId="0" fontId="179" fillId="82" borderId="14" xfId="0" applyFont="1" applyFill="1" applyBorder="1" applyAlignment="1" applyProtection="1">
      <alignment horizontal="center" vertical="center" wrapText="1"/>
    </xf>
    <xf numFmtId="0" fontId="179" fillId="0" borderId="14" xfId="0" applyFont="1" applyBorder="1" applyAlignment="1">
      <alignment horizontal="center" vertical="center"/>
    </xf>
    <xf numFmtId="49" fontId="180" fillId="82" borderId="14" xfId="0" applyNumberFormat="1" applyFont="1" applyFill="1" applyBorder="1" applyAlignment="1" applyProtection="1">
      <alignment horizontal="center" vertical="center" wrapText="1"/>
    </xf>
    <xf numFmtId="49" fontId="180" fillId="0" borderId="14" xfId="2441" applyNumberFormat="1" applyFont="1" applyFill="1" applyBorder="1" applyAlignment="1" applyProtection="1">
      <alignment horizontal="center" vertical="center" wrapText="1"/>
    </xf>
    <xf numFmtId="0" fontId="180" fillId="0" borderId="14" xfId="0" applyNumberFormat="1" applyFont="1" applyBorder="1" applyAlignment="1">
      <alignment horizontal="center" vertical="center"/>
    </xf>
    <xf numFmtId="49" fontId="180" fillId="0" borderId="14" xfId="0" applyNumberFormat="1" applyFont="1" applyBorder="1" applyAlignment="1">
      <alignment horizontal="center" vertical="center"/>
    </xf>
    <xf numFmtId="167" fontId="180" fillId="0" borderId="114" xfId="0" applyNumberFormat="1" applyFont="1" applyBorder="1" applyAlignment="1">
      <alignment vertical="top"/>
    </xf>
    <xf numFmtId="0" fontId="180" fillId="0" borderId="102" xfId="0" applyFont="1" applyBorder="1" applyAlignment="1">
      <alignment vertical="top"/>
    </xf>
    <xf numFmtId="0" fontId="180" fillId="0" borderId="103" xfId="0" applyFont="1" applyBorder="1" applyAlignment="1">
      <alignment vertical="top"/>
    </xf>
    <xf numFmtId="0" fontId="180" fillId="0" borderId="104" xfId="0" applyFont="1" applyBorder="1" applyAlignment="1">
      <alignment vertical="top"/>
    </xf>
    <xf numFmtId="0" fontId="180" fillId="0" borderId="13" xfId="0" applyFont="1" applyBorder="1" applyAlignment="1">
      <alignment vertical="top"/>
    </xf>
    <xf numFmtId="0" fontId="180" fillId="0" borderId="105" xfId="0" applyFont="1" applyBorder="1" applyAlignment="1">
      <alignment vertical="top"/>
    </xf>
    <xf numFmtId="0" fontId="180" fillId="0" borderId="106" xfId="0" applyFont="1" applyBorder="1" applyAlignment="1">
      <alignment vertical="top"/>
    </xf>
    <xf numFmtId="216" fontId="152" fillId="83" borderId="0" xfId="2427" applyNumberFormat="1" applyFont="1" applyFill="1"/>
    <xf numFmtId="167" fontId="184" fillId="83" borderId="94" xfId="2427" applyFont="1" applyFill="1" applyBorder="1" applyAlignment="1" applyProtection="1">
      <alignment vertical="center"/>
    </xf>
    <xf numFmtId="167" fontId="138" fillId="83" borderId="75" xfId="2427" applyFont="1" applyFill="1" applyBorder="1" applyAlignment="1" applyProtection="1">
      <alignment vertical="center"/>
    </xf>
    <xf numFmtId="167" fontId="138" fillId="83" borderId="77" xfId="2427" applyFont="1" applyFill="1" applyBorder="1" applyAlignment="1" applyProtection="1">
      <alignment vertical="center" wrapText="1"/>
    </xf>
    <xf numFmtId="167" fontId="138" fillId="83" borderId="80" xfId="2427" applyFont="1" applyFill="1" applyBorder="1" applyAlignment="1" applyProtection="1">
      <alignment horizontal="right" vertical="center"/>
    </xf>
    <xf numFmtId="167" fontId="138" fillId="83" borderId="81" xfId="2427" applyFont="1" applyFill="1" applyBorder="1" applyAlignment="1" applyProtection="1">
      <alignment horizontal="left" vertical="center"/>
    </xf>
    <xf numFmtId="167" fontId="138" fillId="83" borderId="115" xfId="2427" applyFont="1" applyFill="1" applyBorder="1" applyAlignment="1" applyProtection="1">
      <alignment horizontal="right" vertical="center"/>
    </xf>
    <xf numFmtId="167" fontId="138" fillId="83" borderId="116" xfId="2427" applyFont="1" applyFill="1" applyBorder="1" applyAlignment="1" applyProtection="1">
      <alignment horizontal="right" vertical="center"/>
    </xf>
    <xf numFmtId="167" fontId="138" fillId="83" borderId="117" xfId="2427" applyFont="1" applyFill="1" applyBorder="1" applyAlignment="1" applyProtection="1">
      <alignment horizontal="right" vertical="center"/>
    </xf>
    <xf numFmtId="167" fontId="138" fillId="83" borderId="118" xfId="2427" applyFont="1" applyFill="1" applyBorder="1" applyAlignment="1" applyProtection="1">
      <alignment horizontal="right" vertical="center"/>
    </xf>
    <xf numFmtId="167" fontId="138" fillId="83" borderId="83" xfId="2427" applyFont="1" applyFill="1" applyBorder="1" applyAlignment="1" applyProtection="1">
      <alignment horizontal="right" vertical="center"/>
    </xf>
    <xf numFmtId="167" fontId="138" fillId="83" borderId="84" xfId="2427" applyFont="1" applyFill="1" applyBorder="1" applyAlignment="1" applyProtection="1">
      <alignment horizontal="right" vertical="center"/>
    </xf>
    <xf numFmtId="167" fontId="138" fillId="83" borderId="85" xfId="2427" applyFont="1" applyFill="1" applyBorder="1" applyAlignment="1" applyProtection="1">
      <alignment horizontal="right" vertical="center"/>
    </xf>
    <xf numFmtId="167" fontId="138" fillId="83" borderId="119" xfId="2427" applyFont="1" applyFill="1" applyBorder="1" applyAlignment="1" applyProtection="1">
      <alignment horizontal="right" vertical="center"/>
    </xf>
    <xf numFmtId="167" fontId="138" fillId="83" borderId="100" xfId="2427" applyFont="1" applyFill="1" applyBorder="1" applyAlignment="1" applyProtection="1">
      <alignment horizontal="right" vertical="center"/>
    </xf>
    <xf numFmtId="167" fontId="152" fillId="83" borderId="86" xfId="2427" applyFont="1" applyFill="1" applyBorder="1" applyAlignment="1" applyProtection="1">
      <alignment horizontal="right" vertical="center"/>
    </xf>
    <xf numFmtId="167" fontId="138" fillId="83" borderId="100" xfId="2427" applyFont="1" applyFill="1" applyBorder="1" applyAlignment="1" applyProtection="1">
      <alignment vertical="center"/>
    </xf>
    <xf numFmtId="167" fontId="185" fillId="83" borderId="120" xfId="2427" applyFont="1" applyFill="1" applyBorder="1" applyAlignment="1" applyProtection="1">
      <alignment horizontal="right" vertical="center"/>
    </xf>
    <xf numFmtId="167" fontId="138" fillId="83" borderId="14" xfId="2427" applyFont="1" applyFill="1" applyBorder="1" applyAlignment="1" applyProtection="1">
      <alignment vertical="center"/>
    </xf>
    <xf numFmtId="167" fontId="185" fillId="55" borderId="0" xfId="2427" applyFont="1" applyFill="1" applyBorder="1" applyAlignment="1" applyProtection="1">
      <alignment horizontal="right" vertical="center"/>
    </xf>
    <xf numFmtId="167" fontId="152" fillId="83" borderId="14" xfId="2427" applyFont="1" applyFill="1" applyBorder="1" applyAlignment="1" applyProtection="1">
      <alignment horizontal="right" vertical="center"/>
    </xf>
    <xf numFmtId="167" fontId="152" fillId="83" borderId="14" xfId="2427" quotePrefix="1" applyFont="1" applyFill="1" applyBorder="1" applyAlignment="1" applyProtection="1">
      <alignment horizontal="right" vertical="center"/>
    </xf>
    <xf numFmtId="167" fontId="138" fillId="83" borderId="14" xfId="2427" applyFont="1" applyFill="1" applyBorder="1" applyAlignment="1" applyProtection="1">
      <alignment horizontal="right" vertical="center"/>
    </xf>
    <xf numFmtId="167" fontId="138" fillId="83" borderId="89" xfId="2427" applyFont="1" applyFill="1" applyBorder="1" applyAlignment="1" applyProtection="1">
      <alignment horizontal="right" vertical="center"/>
    </xf>
    <xf numFmtId="167" fontId="138" fillId="83" borderId="102" xfId="2427" applyFont="1" applyFill="1" applyBorder="1" applyAlignment="1" applyProtection="1">
      <alignment horizontal="right" vertical="center"/>
    </xf>
    <xf numFmtId="167" fontId="138" fillId="83" borderId="103" xfId="2427" applyFont="1" applyFill="1" applyBorder="1" applyAlignment="1" applyProtection="1">
      <alignment horizontal="right" vertical="center"/>
    </xf>
    <xf numFmtId="167" fontId="138" fillId="83" borderId="104" xfId="2427" applyFont="1" applyFill="1" applyBorder="1" applyAlignment="1" applyProtection="1">
      <alignment horizontal="right" vertical="center"/>
    </xf>
    <xf numFmtId="167" fontId="138" fillId="83" borderId="13" xfId="2427" applyFont="1" applyFill="1" applyBorder="1" applyAlignment="1" applyProtection="1">
      <alignment horizontal="right" vertical="center"/>
    </xf>
    <xf numFmtId="167" fontId="138" fillId="83" borderId="105" xfId="2427" applyFont="1" applyFill="1" applyBorder="1" applyAlignment="1" applyProtection="1">
      <alignment horizontal="right" vertical="center"/>
    </xf>
    <xf numFmtId="167" fontId="138" fillId="83" borderId="106" xfId="2427" applyFont="1" applyFill="1" applyBorder="1" applyAlignment="1" applyProtection="1">
      <alignment horizontal="right" vertical="center"/>
    </xf>
    <xf numFmtId="167" fontId="138" fillId="83" borderId="81" xfId="2427" applyFont="1" applyFill="1" applyBorder="1" applyAlignment="1" applyProtection="1">
      <alignment horizontal="right" vertical="center"/>
    </xf>
    <xf numFmtId="167" fontId="152" fillId="83" borderId="0" xfId="2427" applyFont="1" applyFill="1"/>
    <xf numFmtId="167" fontId="186" fillId="0" borderId="94" xfId="2427" applyFont="1" applyFill="1" applyBorder="1" applyAlignment="1" applyProtection="1">
      <alignment vertical="center"/>
    </xf>
    <xf numFmtId="167" fontId="186" fillId="0" borderId="75" xfId="2427" applyFont="1" applyFill="1" applyBorder="1" applyAlignment="1" applyProtection="1">
      <alignment vertical="center"/>
    </xf>
    <xf numFmtId="167" fontId="186" fillId="0" borderId="77" xfId="2427" applyFont="1" applyFill="1" applyBorder="1" applyAlignment="1" applyProtection="1">
      <alignment vertical="center" wrapText="1"/>
    </xf>
    <xf numFmtId="167" fontId="186" fillId="0" borderId="52" xfId="2427" applyFont="1" applyFill="1" applyBorder="1" applyAlignment="1" applyProtection="1">
      <alignment vertical="center" wrapText="1"/>
    </xf>
    <xf numFmtId="167" fontId="186" fillId="0" borderId="57" xfId="2427" applyFont="1" applyFill="1" applyBorder="1" applyAlignment="1" applyProtection="1">
      <alignment horizontal="left" vertical="center"/>
    </xf>
    <xf numFmtId="167" fontId="186" fillId="0" borderId="52" xfId="2427" applyFont="1" applyFill="1" applyBorder="1" applyAlignment="1" applyProtection="1">
      <alignment horizontal="right" vertical="center"/>
    </xf>
    <xf numFmtId="167" fontId="186" fillId="0" borderId="56" xfId="2427" applyFont="1" applyFill="1" applyBorder="1" applyAlignment="1" applyProtection="1">
      <alignment horizontal="right" vertical="center"/>
    </xf>
    <xf numFmtId="167" fontId="186" fillId="0" borderId="1" xfId="2427" applyFont="1" applyFill="1" applyBorder="1" applyAlignment="1" applyProtection="1">
      <alignment horizontal="right" vertical="center"/>
    </xf>
    <xf numFmtId="167" fontId="186" fillId="0" borderId="17" xfId="2427" applyFont="1" applyFill="1" applyBorder="1" applyAlignment="1" applyProtection="1">
      <alignment horizontal="right" vertical="center"/>
    </xf>
    <xf numFmtId="167" fontId="186" fillId="0" borderId="0" xfId="2427" applyFont="1" applyFill="1" applyBorder="1" applyAlignment="1" applyProtection="1">
      <alignment horizontal="right" vertical="center"/>
    </xf>
    <xf numFmtId="167" fontId="186" fillId="0" borderId="57" xfId="2427" applyFont="1" applyFill="1" applyBorder="1" applyAlignment="1" applyProtection="1">
      <alignment horizontal="right" vertical="center"/>
    </xf>
    <xf numFmtId="167" fontId="186" fillId="0" borderId="121" xfId="2427" applyFont="1" applyFill="1" applyBorder="1" applyAlignment="1" applyProtection="1">
      <alignment horizontal="right" vertical="center"/>
    </xf>
    <xf numFmtId="167" fontId="186" fillId="0" borderId="122" xfId="2427" applyFont="1" applyFill="1" applyBorder="1" applyAlignment="1" applyProtection="1">
      <alignment horizontal="right" vertical="center"/>
    </xf>
    <xf numFmtId="167" fontId="186" fillId="0" borderId="123" xfId="2427" applyFont="1" applyFill="1" applyBorder="1" applyAlignment="1" applyProtection="1">
      <alignment horizontal="right" vertical="center"/>
    </xf>
    <xf numFmtId="167" fontId="186" fillId="0" borderId="119" xfId="2427" applyFont="1" applyFill="1" applyBorder="1" applyAlignment="1" applyProtection="1">
      <alignment horizontal="right" vertical="center"/>
    </xf>
    <xf numFmtId="167" fontId="186" fillId="0" borderId="100" xfId="2427" applyFont="1" applyFill="1" applyBorder="1" applyAlignment="1" applyProtection="1">
      <alignment horizontal="right" vertical="center"/>
    </xf>
    <xf numFmtId="167" fontId="186" fillId="0" borderId="86" xfId="2427" applyFont="1" applyFill="1" applyBorder="1" applyAlignment="1" applyProtection="1">
      <alignment horizontal="right" vertical="center"/>
    </xf>
    <xf numFmtId="167" fontId="186" fillId="0" borderId="100" xfId="2427" applyFont="1" applyFill="1" applyBorder="1" applyAlignment="1" applyProtection="1">
      <alignment vertical="center"/>
    </xf>
    <xf numFmtId="167" fontId="186" fillId="0" borderId="120" xfId="2427" applyFont="1" applyFill="1" applyBorder="1" applyAlignment="1" applyProtection="1">
      <alignment horizontal="right" vertical="center"/>
    </xf>
    <xf numFmtId="167" fontId="186" fillId="0" borderId="14" xfId="2427" applyFont="1" applyFill="1" applyBorder="1" applyAlignment="1" applyProtection="1">
      <alignment vertical="center"/>
    </xf>
    <xf numFmtId="167" fontId="186" fillId="0" borderId="14" xfId="2427" applyFont="1" applyFill="1" applyBorder="1" applyAlignment="1" applyProtection="1">
      <alignment horizontal="right" vertical="center"/>
    </xf>
    <xf numFmtId="167" fontId="186" fillId="0" borderId="14" xfId="2427" quotePrefix="1" applyFont="1" applyFill="1" applyBorder="1" applyAlignment="1" applyProtection="1">
      <alignment horizontal="right" vertical="center"/>
    </xf>
    <xf numFmtId="10" fontId="186" fillId="0" borderId="56" xfId="2440" applyNumberFormat="1" applyFont="1" applyFill="1" applyBorder="1" applyAlignment="1" applyProtection="1">
      <alignment horizontal="right" vertical="center"/>
    </xf>
    <xf numFmtId="10" fontId="186" fillId="0" borderId="76" xfId="2440" applyNumberFormat="1" applyFont="1" applyFill="1" applyBorder="1" applyAlignment="1" applyProtection="1">
      <alignment horizontal="right" vertical="center"/>
    </xf>
    <xf numFmtId="10" fontId="186" fillId="0" borderId="0" xfId="2440" applyNumberFormat="1" applyFont="1" applyFill="1" applyBorder="1" applyAlignment="1" applyProtection="1">
      <alignment horizontal="right" vertical="center"/>
    </xf>
    <xf numFmtId="167" fontId="186" fillId="0" borderId="102" xfId="2427" applyFont="1" applyFill="1" applyBorder="1" applyAlignment="1" applyProtection="1">
      <alignment horizontal="right" vertical="center"/>
    </xf>
    <xf numFmtId="176" fontId="186" fillId="0" borderId="103" xfId="2440" applyNumberFormat="1" applyFont="1" applyFill="1" applyBorder="1" applyAlignment="1" applyProtection="1">
      <alignment horizontal="right" vertical="center"/>
    </xf>
    <xf numFmtId="176" fontId="186" fillId="0" borderId="57" xfId="2440" applyNumberFormat="1" applyFont="1" applyFill="1" applyBorder="1" applyAlignment="1" applyProtection="1">
      <alignment horizontal="right" vertical="center"/>
    </xf>
    <xf numFmtId="176" fontId="186" fillId="0" borderId="104" xfId="2440" applyNumberFormat="1" applyFont="1" applyFill="1" applyBorder="1" applyAlignment="1" applyProtection="1">
      <alignment horizontal="right" vertical="center"/>
    </xf>
    <xf numFmtId="176" fontId="186" fillId="0" borderId="13" xfId="2440" applyNumberFormat="1" applyFont="1" applyFill="1" applyBorder="1" applyAlignment="1" applyProtection="1">
      <alignment horizontal="right" vertical="center"/>
    </xf>
    <xf numFmtId="176" fontId="186" fillId="0" borderId="105" xfId="2440" applyNumberFormat="1" applyFont="1" applyFill="1" applyBorder="1" applyAlignment="1" applyProtection="1">
      <alignment horizontal="right" vertical="center"/>
    </xf>
    <xf numFmtId="176" fontId="186" fillId="0" borderId="106" xfId="2440" applyNumberFormat="1" applyFont="1" applyFill="1" applyBorder="1" applyAlignment="1" applyProtection="1">
      <alignment horizontal="right" vertical="center"/>
    </xf>
    <xf numFmtId="176" fontId="186" fillId="0" borderId="52" xfId="2440" applyNumberFormat="1" applyFont="1" applyFill="1" applyBorder="1" applyAlignment="1" applyProtection="1">
      <alignment horizontal="right" vertical="center"/>
    </xf>
    <xf numFmtId="167" fontId="186" fillId="0" borderId="0" xfId="2427" applyFont="1" applyFill="1"/>
    <xf numFmtId="0" fontId="136" fillId="0" borderId="124" xfId="0" applyFont="1" applyFill="1" applyBorder="1"/>
    <xf numFmtId="0" fontId="187" fillId="0" borderId="125" xfId="0" applyFont="1" applyFill="1" applyBorder="1" applyAlignment="1" applyProtection="1">
      <alignment vertical="center"/>
    </xf>
    <xf numFmtId="0" fontId="4" fillId="0" borderId="126" xfId="0" applyFont="1" applyFill="1" applyBorder="1" applyAlignment="1" applyProtection="1">
      <alignment vertical="center"/>
    </xf>
    <xf numFmtId="0" fontId="4" fillId="0" borderId="127" xfId="0" applyFont="1" applyFill="1" applyBorder="1" applyAlignment="1" applyProtection="1">
      <alignment vertical="center" wrapText="1"/>
    </xf>
    <xf numFmtId="0" fontId="4" fillId="0" borderId="128" xfId="0" applyFont="1" applyFill="1" applyBorder="1" applyAlignment="1" applyProtection="1">
      <alignment vertical="center" wrapText="1"/>
    </xf>
    <xf numFmtId="0" fontId="4" fillId="0" borderId="129" xfId="0" applyFont="1" applyFill="1" applyBorder="1" applyAlignment="1" applyProtection="1">
      <alignment vertical="center" wrapText="1"/>
    </xf>
    <xf numFmtId="0" fontId="4" fillId="0" borderId="130" xfId="0" applyFont="1" applyFill="1" applyBorder="1" applyAlignment="1" applyProtection="1">
      <alignment vertical="center" wrapText="1"/>
    </xf>
    <xf numFmtId="0" fontId="4" fillId="0" borderId="131" xfId="0" applyFont="1" applyFill="1" applyBorder="1" applyAlignment="1" applyProtection="1">
      <alignment vertical="center" wrapText="1"/>
    </xf>
    <xf numFmtId="0" fontId="4" fillId="0" borderId="132" xfId="0" applyFont="1" applyFill="1" applyBorder="1" applyAlignment="1" applyProtection="1">
      <alignment vertical="center" wrapText="1"/>
    </xf>
    <xf numFmtId="0" fontId="4" fillId="0" borderId="133" xfId="0" applyFont="1" applyFill="1" applyBorder="1" applyAlignment="1" applyProtection="1">
      <alignment vertical="center" wrapText="1"/>
    </xf>
    <xf numFmtId="0" fontId="4" fillId="0" borderId="125" xfId="0" applyFont="1" applyFill="1" applyBorder="1" applyAlignment="1" applyProtection="1">
      <alignment vertical="center" wrapText="1"/>
    </xf>
    <xf numFmtId="0" fontId="4" fillId="0" borderId="126" xfId="0" applyFont="1" applyFill="1" applyBorder="1" applyAlignment="1" applyProtection="1">
      <alignment vertical="center" wrapText="1"/>
    </xf>
    <xf numFmtId="0" fontId="4" fillId="0" borderId="134" xfId="0" applyFont="1" applyFill="1" applyBorder="1" applyAlignment="1" applyProtection="1">
      <alignment vertical="center" wrapText="1"/>
    </xf>
    <xf numFmtId="0" fontId="4" fillId="0" borderId="135" xfId="0" applyFont="1" applyFill="1" applyBorder="1" applyAlignment="1" applyProtection="1">
      <alignment vertical="center" wrapText="1"/>
    </xf>
    <xf numFmtId="167" fontId="4" fillId="0" borderId="126" xfId="2427" applyFont="1" applyFill="1" applyBorder="1" applyAlignment="1" applyProtection="1">
      <alignment vertical="center" wrapText="1"/>
    </xf>
    <xf numFmtId="167" fontId="4" fillId="0" borderId="128" xfId="2427" applyFont="1" applyFill="1" applyBorder="1" applyAlignment="1" applyProtection="1">
      <alignment vertical="center" wrapText="1"/>
    </xf>
    <xf numFmtId="4" fontId="4" fillId="0" borderId="136" xfId="0" applyNumberFormat="1" applyFont="1" applyFill="1" applyBorder="1" applyAlignment="1" applyProtection="1">
      <alignment horizontal="right" vertical="center"/>
    </xf>
    <xf numFmtId="4" fontId="136" fillId="0" borderId="135" xfId="0" applyNumberFormat="1" applyFont="1" applyFill="1" applyBorder="1" applyAlignment="1" applyProtection="1">
      <alignment horizontal="right" vertical="center"/>
    </xf>
    <xf numFmtId="0" fontId="4" fillId="0" borderId="136" xfId="0" applyFont="1" applyFill="1" applyBorder="1" applyAlignment="1" applyProtection="1">
      <alignment vertical="center"/>
    </xf>
    <xf numFmtId="4" fontId="188" fillId="0" borderId="137" xfId="0" applyNumberFormat="1" applyFont="1" applyFill="1" applyBorder="1" applyAlignment="1" applyProtection="1">
      <alignment horizontal="right" vertical="center"/>
    </xf>
    <xf numFmtId="4" fontId="188" fillId="0" borderId="124" xfId="0" applyNumberFormat="1" applyFont="1" applyFill="1" applyBorder="1" applyAlignment="1" applyProtection="1">
      <alignment horizontal="right" vertical="center"/>
    </xf>
    <xf numFmtId="4" fontId="136" fillId="0" borderId="126" xfId="0" applyNumberFormat="1" applyFont="1" applyFill="1" applyBorder="1" applyAlignment="1" applyProtection="1">
      <alignment horizontal="right" vertical="center"/>
    </xf>
    <xf numFmtId="4" fontId="136" fillId="0" borderId="126" xfId="0" quotePrefix="1" applyNumberFormat="1" applyFont="1" applyFill="1" applyBorder="1" applyAlignment="1" applyProtection="1">
      <alignment horizontal="right" vertical="center"/>
    </xf>
    <xf numFmtId="3" fontId="4" fillId="0" borderId="126" xfId="0" applyNumberFormat="1" applyFont="1" applyFill="1" applyBorder="1" applyAlignment="1" applyProtection="1">
      <alignment horizontal="right" vertical="center"/>
    </xf>
    <xf numFmtId="205" fontId="4" fillId="0" borderId="126" xfId="0" applyNumberFormat="1" applyFont="1" applyFill="1" applyBorder="1" applyAlignment="1" applyProtection="1">
      <alignment horizontal="right" vertical="center"/>
    </xf>
    <xf numFmtId="0" fontId="4" fillId="0" borderId="138" xfId="0" applyFont="1" applyFill="1" applyBorder="1" applyAlignment="1" applyProtection="1">
      <alignment vertical="center" wrapText="1"/>
    </xf>
    <xf numFmtId="167" fontId="186" fillId="0" borderId="103" xfId="2427" applyFont="1" applyFill="1" applyBorder="1" applyAlignment="1" applyProtection="1">
      <alignment horizontal="right" vertical="center"/>
    </xf>
    <xf numFmtId="0" fontId="4" fillId="0" borderId="104" xfId="0" applyFont="1" applyFill="1" applyBorder="1" applyAlignment="1" applyProtection="1">
      <alignment vertical="center" wrapText="1"/>
    </xf>
    <xf numFmtId="0" fontId="4" fillId="0" borderId="13" xfId="0" applyFont="1" applyFill="1" applyBorder="1" applyAlignment="1" applyProtection="1">
      <alignment vertical="center" wrapText="1"/>
    </xf>
    <xf numFmtId="0" fontId="4" fillId="0" borderId="105" xfId="0" applyFont="1" applyFill="1" applyBorder="1" applyAlignment="1" applyProtection="1">
      <alignment vertical="center" wrapText="1"/>
    </xf>
    <xf numFmtId="167" fontId="4" fillId="0" borderId="13" xfId="2427" applyFont="1" applyFill="1" applyBorder="1" applyAlignment="1" applyProtection="1">
      <alignment vertical="center" wrapText="1"/>
    </xf>
    <xf numFmtId="0" fontId="4" fillId="0" borderId="106" xfId="0" applyFont="1" applyFill="1" applyBorder="1" applyAlignment="1" applyProtection="1">
      <alignment vertical="center" wrapText="1"/>
    </xf>
    <xf numFmtId="0" fontId="136" fillId="64" borderId="47" xfId="0" applyFont="1" applyFill="1" applyBorder="1"/>
    <xf numFmtId="0" fontId="136" fillId="64" borderId="139" xfId="0" applyFont="1" applyFill="1" applyBorder="1" applyAlignment="1" applyProtection="1">
      <alignment vertical="center"/>
    </xf>
    <xf numFmtId="0" fontId="189" fillId="64" borderId="140" xfId="0" applyFont="1" applyFill="1" applyBorder="1" applyAlignment="1" applyProtection="1">
      <alignment vertical="center"/>
    </xf>
    <xf numFmtId="0" fontId="4" fillId="64" borderId="141" xfId="0" applyFont="1" applyFill="1" applyBorder="1" applyAlignment="1" applyProtection="1">
      <alignment vertical="center" wrapText="1"/>
    </xf>
    <xf numFmtId="167" fontId="189" fillId="64" borderId="142" xfId="2427" applyFont="1" applyFill="1" applyBorder="1" applyAlignment="1" applyProtection="1">
      <alignment vertical="center" wrapText="1"/>
    </xf>
    <xf numFmtId="0" fontId="190" fillId="64" borderId="58" xfId="0" applyNumberFormat="1" applyFont="1" applyFill="1" applyBorder="1" applyAlignment="1" applyProtection="1">
      <alignment horizontal="left" vertical="center"/>
    </xf>
    <xf numFmtId="167" fontId="189" fillId="64" borderId="142" xfId="0" applyNumberFormat="1" applyFont="1" applyFill="1" applyBorder="1" applyAlignment="1" applyProtection="1">
      <alignment horizontal="left" vertical="center"/>
    </xf>
    <xf numFmtId="2" fontId="189" fillId="64" borderId="142" xfId="0" applyNumberFormat="1" applyFont="1" applyFill="1" applyBorder="1" applyAlignment="1" applyProtection="1">
      <alignment horizontal="right" vertical="center"/>
    </xf>
    <xf numFmtId="167" fontId="189" fillId="64" borderId="143" xfId="2427" applyFont="1" applyFill="1" applyBorder="1" applyAlignment="1" applyProtection="1">
      <alignment horizontal="right" vertical="center"/>
    </xf>
    <xf numFmtId="167" fontId="189" fillId="64" borderId="69" xfId="2427" applyFont="1" applyFill="1" applyBorder="1" applyAlignment="1" applyProtection="1">
      <alignment horizontal="right" vertical="center"/>
    </xf>
    <xf numFmtId="167" fontId="189" fillId="64" borderId="64" xfId="2427" applyFont="1" applyFill="1" applyBorder="1" applyAlignment="1" applyProtection="1">
      <alignment horizontal="right" vertical="center"/>
    </xf>
    <xf numFmtId="167" fontId="189" fillId="64" borderId="47" xfId="2427" applyFont="1" applyFill="1" applyBorder="1" applyAlignment="1" applyProtection="1">
      <alignment horizontal="right" vertical="center"/>
    </xf>
    <xf numFmtId="167" fontId="189" fillId="64" borderId="142" xfId="2427" applyFont="1" applyFill="1" applyBorder="1" applyAlignment="1" applyProtection="1">
      <alignment horizontal="right" vertical="center"/>
    </xf>
    <xf numFmtId="4" fontId="189" fillId="64" borderId="58" xfId="0" applyNumberFormat="1" applyFont="1" applyFill="1" applyBorder="1" applyAlignment="1" applyProtection="1">
      <alignment horizontal="right" vertical="center"/>
    </xf>
    <xf numFmtId="167" fontId="189" fillId="64" borderId="140" xfId="2427" applyFont="1" applyFill="1" applyBorder="1" applyAlignment="1" applyProtection="1">
      <alignment horizontal="left" vertical="center"/>
    </xf>
    <xf numFmtId="167" fontId="189" fillId="64" borderId="144" xfId="2427" applyFont="1" applyFill="1" applyBorder="1" applyAlignment="1" applyProtection="1">
      <alignment horizontal="left" vertical="center"/>
    </xf>
    <xf numFmtId="167" fontId="189" fillId="64" borderId="139" xfId="2427" applyFont="1" applyFill="1" applyBorder="1" applyAlignment="1" applyProtection="1">
      <alignment horizontal="left" vertical="center"/>
    </xf>
    <xf numFmtId="167" fontId="189" fillId="64" borderId="145" xfId="2427" applyFont="1" applyFill="1" applyBorder="1" applyAlignment="1" applyProtection="1">
      <alignment horizontal="left" vertical="center"/>
    </xf>
    <xf numFmtId="167" fontId="189" fillId="64" borderId="144" xfId="0" applyNumberFormat="1" applyFont="1" applyFill="1" applyBorder="1" applyAlignment="1" applyProtection="1">
      <alignment horizontal="left" vertical="center"/>
    </xf>
    <xf numFmtId="167" fontId="189" fillId="64" borderId="143" xfId="2427" applyFont="1" applyFill="1" applyBorder="1" applyAlignment="1" applyProtection="1">
      <alignment horizontal="left" vertical="center"/>
    </xf>
    <xf numFmtId="167" fontId="189" fillId="64" borderId="142" xfId="2427" applyFont="1" applyFill="1" applyBorder="1" applyAlignment="1" applyProtection="1">
      <alignment horizontal="left" vertical="center"/>
    </xf>
    <xf numFmtId="0" fontId="173" fillId="0" borderId="0" xfId="0" applyFont="1" applyFill="1"/>
    <xf numFmtId="4" fontId="189" fillId="64" borderId="140" xfId="0" applyNumberFormat="1" applyFont="1" applyFill="1" applyBorder="1" applyAlignment="1" applyProtection="1">
      <alignment horizontal="right" vertical="center"/>
    </xf>
    <xf numFmtId="4" fontId="191" fillId="64" borderId="146" xfId="0" applyNumberFormat="1" applyFont="1" applyFill="1" applyBorder="1" applyAlignment="1" applyProtection="1">
      <alignment horizontal="right" vertical="center"/>
    </xf>
    <xf numFmtId="4" fontId="191" fillId="64" borderId="47" xfId="0" applyNumberFormat="1" applyFont="1" applyFill="1" applyBorder="1" applyAlignment="1" applyProtection="1">
      <alignment horizontal="right" vertical="center"/>
    </xf>
    <xf numFmtId="4" fontId="173" fillId="64" borderId="140" xfId="0" quotePrefix="1" applyNumberFormat="1" applyFont="1" applyFill="1" applyBorder="1" applyAlignment="1" applyProtection="1">
      <alignment horizontal="right" vertical="center"/>
    </xf>
    <xf numFmtId="4" fontId="173" fillId="64" borderId="140" xfId="0" applyNumberFormat="1" applyFont="1" applyFill="1" applyBorder="1" applyAlignment="1" applyProtection="1">
      <alignment horizontal="right" vertical="center"/>
    </xf>
    <xf numFmtId="3" fontId="189" fillId="64" borderId="140" xfId="0" applyNumberFormat="1" applyFont="1" applyFill="1" applyBorder="1" applyAlignment="1" applyProtection="1">
      <alignment horizontal="right" vertical="center"/>
    </xf>
    <xf numFmtId="205" fontId="189" fillId="64" borderId="140" xfId="0" applyNumberFormat="1" applyFont="1" applyFill="1" applyBorder="1" applyAlignment="1" applyProtection="1">
      <alignment horizontal="right" vertical="center"/>
    </xf>
    <xf numFmtId="167" fontId="192" fillId="64" borderId="142" xfId="2427" applyFont="1" applyFill="1" applyBorder="1" applyAlignment="1" applyProtection="1">
      <alignment vertical="center" wrapText="1"/>
    </xf>
    <xf numFmtId="167" fontId="189" fillId="64" borderId="65" xfId="0" applyNumberFormat="1" applyFont="1" applyFill="1" applyBorder="1" applyAlignment="1" applyProtection="1">
      <alignment horizontal="left" vertical="center"/>
    </xf>
    <xf numFmtId="171" fontId="186" fillId="64" borderId="102" xfId="2427" applyNumberFormat="1" applyFont="1" applyFill="1" applyBorder="1" applyAlignment="1" applyProtection="1">
      <alignment horizontal="right" vertical="center"/>
    </xf>
    <xf numFmtId="167" fontId="189" fillId="64" borderId="103" xfId="2427" applyFont="1" applyFill="1" applyBorder="1" applyAlignment="1" applyProtection="1">
      <alignment horizontal="right" vertical="center"/>
    </xf>
    <xf numFmtId="171" fontId="186" fillId="64" borderId="147" xfId="2427" applyNumberFormat="1" applyFont="1" applyFill="1" applyBorder="1" applyAlignment="1" applyProtection="1">
      <alignment horizontal="right" vertical="center"/>
    </xf>
    <xf numFmtId="167" fontId="189" fillId="64" borderId="104" xfId="2427" applyFont="1" applyFill="1" applyBorder="1" applyAlignment="1" applyProtection="1">
      <alignment horizontal="left" vertical="center"/>
    </xf>
    <xf numFmtId="167" fontId="192" fillId="64" borderId="13" xfId="2427" applyFont="1" applyFill="1" applyBorder="1" applyAlignment="1" applyProtection="1">
      <alignment horizontal="left" vertical="center"/>
    </xf>
    <xf numFmtId="167" fontId="192" fillId="64" borderId="105" xfId="2427" applyFont="1" applyFill="1" applyBorder="1" applyAlignment="1" applyProtection="1">
      <alignment horizontal="left" vertical="center"/>
    </xf>
    <xf numFmtId="167" fontId="192" fillId="64" borderId="106" xfId="2427" applyFont="1" applyFill="1" applyBorder="1" applyAlignment="1" applyProtection="1">
      <alignment horizontal="left" vertical="center"/>
    </xf>
    <xf numFmtId="167" fontId="192" fillId="64" borderId="142" xfId="2427" applyFont="1" applyFill="1" applyBorder="1" applyAlignment="1" applyProtection="1">
      <alignment horizontal="left" vertical="center"/>
    </xf>
    <xf numFmtId="167" fontId="192" fillId="64" borderId="64" xfId="2427" applyFont="1" applyFill="1" applyBorder="1" applyAlignment="1" applyProtection="1">
      <alignment horizontal="left" vertical="center"/>
    </xf>
    <xf numFmtId="0" fontId="136" fillId="0" borderId="47" xfId="0" applyFont="1" applyBorder="1"/>
    <xf numFmtId="0" fontId="136" fillId="76" borderId="139" xfId="0" applyFont="1" applyFill="1" applyBorder="1" applyAlignment="1" applyProtection="1">
      <alignment vertical="center"/>
    </xf>
    <xf numFmtId="0" fontId="189" fillId="0" borderId="140" xfId="0" applyFont="1" applyFill="1" applyBorder="1" applyAlignment="1" applyProtection="1">
      <alignment vertical="center"/>
    </xf>
    <xf numFmtId="0" fontId="4" fillId="0" borderId="141" xfId="0" applyFont="1" applyFill="1" applyBorder="1" applyAlignment="1" applyProtection="1">
      <alignment vertical="center" wrapText="1"/>
    </xf>
    <xf numFmtId="167" fontId="189" fillId="76" borderId="142" xfId="0" applyNumberFormat="1" applyFont="1" applyFill="1" applyBorder="1" applyAlignment="1" applyProtection="1">
      <alignment horizontal="left" vertical="center"/>
    </xf>
    <xf numFmtId="2" fontId="189" fillId="76" borderId="142" xfId="0" applyNumberFormat="1" applyFont="1" applyFill="1" applyBorder="1" applyAlignment="1" applyProtection="1">
      <alignment horizontal="right" vertical="center"/>
    </xf>
    <xf numFmtId="167" fontId="189" fillId="81" borderId="143" xfId="2427" applyFont="1" applyFill="1" applyBorder="1" applyAlignment="1" applyProtection="1">
      <alignment horizontal="right" vertical="center"/>
    </xf>
    <xf numFmtId="167" fontId="189" fillId="76" borderId="69" xfId="2427" applyFont="1" applyFill="1" applyBorder="1" applyAlignment="1" applyProtection="1">
      <alignment horizontal="right" vertical="center"/>
    </xf>
    <xf numFmtId="167" fontId="189" fillId="76" borderId="64" xfId="2427" applyFont="1" applyFill="1" applyBorder="1" applyAlignment="1" applyProtection="1">
      <alignment horizontal="right" vertical="center"/>
    </xf>
    <xf numFmtId="167" fontId="189" fillId="76" borderId="47" xfId="2427" applyFont="1" applyFill="1" applyBorder="1" applyAlignment="1" applyProtection="1">
      <alignment horizontal="right" vertical="center"/>
    </xf>
    <xf numFmtId="167" fontId="189" fillId="76" borderId="142" xfId="2427" applyFont="1" applyFill="1" applyBorder="1" applyAlignment="1" applyProtection="1">
      <alignment horizontal="right" vertical="center"/>
    </xf>
    <xf numFmtId="4" fontId="189" fillId="76" borderId="58" xfId="0" applyNumberFormat="1" applyFont="1" applyFill="1" applyBorder="1" applyAlignment="1" applyProtection="1">
      <alignment horizontal="right" vertical="center"/>
    </xf>
    <xf numFmtId="167" fontId="189" fillId="81" borderId="140" xfId="2427" applyFont="1" applyFill="1" applyBorder="1" applyAlignment="1" applyProtection="1">
      <alignment horizontal="left" vertical="center"/>
    </xf>
    <xf numFmtId="167" fontId="189" fillId="76" borderId="140" xfId="2427" applyFont="1" applyFill="1" applyBorder="1" applyAlignment="1" applyProtection="1">
      <alignment horizontal="left" vertical="center"/>
    </xf>
    <xf numFmtId="167" fontId="189" fillId="76" borderId="144" xfId="2427" applyFont="1" applyFill="1" applyBorder="1" applyAlignment="1" applyProtection="1">
      <alignment horizontal="left" vertical="center"/>
    </xf>
    <xf numFmtId="167" fontId="189" fillId="76" borderId="139" xfId="2427" applyFont="1" applyFill="1" applyBorder="1" applyAlignment="1" applyProtection="1">
      <alignment horizontal="left" vertical="center"/>
    </xf>
    <xf numFmtId="167" fontId="189" fillId="76" borderId="145" xfId="2427" applyFont="1" applyFill="1" applyBorder="1" applyAlignment="1" applyProtection="1">
      <alignment horizontal="left" vertical="center"/>
    </xf>
    <xf numFmtId="167" fontId="189" fillId="76" borderId="144" xfId="0" applyNumberFormat="1" applyFont="1" applyFill="1" applyBorder="1" applyAlignment="1" applyProtection="1">
      <alignment horizontal="left" vertical="center"/>
    </xf>
    <xf numFmtId="167" fontId="189" fillId="76" borderId="143" xfId="2427" applyFont="1" applyFill="1" applyBorder="1" applyAlignment="1" applyProtection="1">
      <alignment horizontal="left" vertical="center"/>
    </xf>
    <xf numFmtId="167" fontId="189" fillId="76" borderId="142" xfId="2427" applyFont="1" applyFill="1" applyBorder="1" applyAlignment="1" applyProtection="1">
      <alignment horizontal="left" vertical="center"/>
    </xf>
    <xf numFmtId="4" fontId="189" fillId="3" borderId="140" xfId="0" applyNumberFormat="1" applyFont="1" applyFill="1" applyBorder="1" applyAlignment="1" applyProtection="1">
      <alignment horizontal="right" vertical="center"/>
    </xf>
    <xf numFmtId="0" fontId="189" fillId="2" borderId="140" xfId="0" applyFont="1" applyFill="1" applyBorder="1" applyAlignment="1" applyProtection="1">
      <alignment vertical="center"/>
    </xf>
    <xf numFmtId="4" fontId="191" fillId="3" borderId="146" xfId="0" applyNumberFormat="1" applyFont="1" applyFill="1" applyBorder="1" applyAlignment="1" applyProtection="1">
      <alignment horizontal="right" vertical="center"/>
    </xf>
    <xf numFmtId="4" fontId="191" fillId="55" borderId="47" xfId="0" applyNumberFormat="1" applyFont="1" applyFill="1" applyBorder="1" applyAlignment="1" applyProtection="1">
      <alignment horizontal="right" vertical="center"/>
    </xf>
    <xf numFmtId="4" fontId="173" fillId="3" borderId="140" xfId="0" quotePrefix="1" applyNumberFormat="1" applyFont="1" applyFill="1" applyBorder="1" applyAlignment="1" applyProtection="1">
      <alignment horizontal="right" vertical="center"/>
    </xf>
    <xf numFmtId="4" fontId="173" fillId="3" borderId="140" xfId="0" applyNumberFormat="1" applyFont="1" applyFill="1" applyBorder="1" applyAlignment="1" applyProtection="1">
      <alignment horizontal="right" vertical="center"/>
    </xf>
    <xf numFmtId="4" fontId="189" fillId="76" borderId="140" xfId="0" applyNumberFormat="1" applyFont="1" applyFill="1" applyBorder="1" applyAlignment="1" applyProtection="1">
      <alignment horizontal="right" vertical="center"/>
    </xf>
    <xf numFmtId="3" fontId="189" fillId="76" borderId="140" xfId="0" applyNumberFormat="1" applyFont="1" applyFill="1" applyBorder="1" applyAlignment="1" applyProtection="1">
      <alignment horizontal="right" vertical="center"/>
    </xf>
    <xf numFmtId="205" fontId="189" fillId="76" borderId="140" xfId="0" applyNumberFormat="1" applyFont="1" applyFill="1" applyBorder="1" applyAlignment="1" applyProtection="1">
      <alignment horizontal="right" vertical="center"/>
    </xf>
    <xf numFmtId="167" fontId="189" fillId="76" borderId="65" xfId="0" applyNumberFormat="1" applyFont="1" applyFill="1" applyBorder="1" applyAlignment="1" applyProtection="1">
      <alignment horizontal="left" vertical="center"/>
    </xf>
    <xf numFmtId="167" fontId="189" fillId="81" borderId="47" xfId="2427" applyFont="1" applyFill="1" applyBorder="1" applyAlignment="1" applyProtection="1">
      <alignment horizontal="right" vertical="center"/>
    </xf>
    <xf numFmtId="171" fontId="186" fillId="76" borderId="102" xfId="2427" applyNumberFormat="1" applyFont="1" applyFill="1" applyBorder="1" applyAlignment="1" applyProtection="1">
      <alignment horizontal="right" vertical="center"/>
    </xf>
    <xf numFmtId="167" fontId="189" fillId="76" borderId="103" xfId="2427" applyFont="1" applyFill="1" applyBorder="1" applyAlignment="1" applyProtection="1">
      <alignment horizontal="right" vertical="center"/>
    </xf>
    <xf numFmtId="171" fontId="186" fillId="76" borderId="147" xfId="2427" applyNumberFormat="1" applyFont="1" applyFill="1" applyBorder="1" applyAlignment="1" applyProtection="1">
      <alignment horizontal="right" vertical="center"/>
    </xf>
    <xf numFmtId="167" fontId="189" fillId="0" borderId="104" xfId="2427" applyFont="1" applyFill="1" applyBorder="1" applyAlignment="1" applyProtection="1">
      <alignment horizontal="left" vertical="center"/>
    </xf>
    <xf numFmtId="167" fontId="192" fillId="76" borderId="13" xfId="2427" applyFont="1" applyFill="1" applyBorder="1" applyAlignment="1" applyProtection="1">
      <alignment horizontal="left" vertical="center"/>
    </xf>
    <xf numFmtId="167" fontId="192" fillId="76" borderId="105" xfId="2427" applyFont="1" applyFill="1" applyBorder="1" applyAlignment="1" applyProtection="1">
      <alignment horizontal="left" vertical="center"/>
    </xf>
    <xf numFmtId="167" fontId="189" fillId="76" borderId="104" xfId="2427" applyFont="1" applyFill="1" applyBorder="1" applyAlignment="1" applyProtection="1">
      <alignment horizontal="left" vertical="center"/>
    </xf>
    <xf numFmtId="167" fontId="192" fillId="76" borderId="106" xfId="2427" applyFont="1" applyFill="1" applyBorder="1" applyAlignment="1" applyProtection="1">
      <alignment horizontal="left" vertical="center"/>
    </xf>
    <xf numFmtId="167" fontId="192" fillId="76" borderId="142" xfId="2427" applyFont="1" applyFill="1" applyBorder="1" applyAlignment="1" applyProtection="1">
      <alignment horizontal="left" vertical="center"/>
    </xf>
    <xf numFmtId="167" fontId="192" fillId="76" borderId="64" xfId="2427" applyFont="1" applyFill="1" applyBorder="1" applyAlignment="1" applyProtection="1">
      <alignment horizontal="left" vertical="center"/>
    </xf>
    <xf numFmtId="0" fontId="136" fillId="0" borderId="148" xfId="0" applyFont="1" applyBorder="1"/>
    <xf numFmtId="4" fontId="4" fillId="0" borderId="149" xfId="0" applyNumberFormat="1" applyFont="1" applyFill="1" applyBorder="1" applyAlignment="1" applyProtection="1">
      <alignment vertical="center" wrapText="1"/>
    </xf>
    <xf numFmtId="4" fontId="4" fillId="0" borderId="150" xfId="0" applyNumberFormat="1" applyFont="1" applyFill="1" applyBorder="1" applyAlignment="1" applyProtection="1">
      <alignment vertical="center"/>
    </xf>
    <xf numFmtId="4" fontId="4" fillId="0" borderId="150" xfId="0" applyNumberFormat="1" applyFont="1" applyFill="1" applyBorder="1" applyAlignment="1" applyProtection="1">
      <alignment vertical="center" wrapText="1"/>
    </xf>
    <xf numFmtId="4" fontId="4" fillId="0" borderId="151" xfId="0" applyNumberFormat="1" applyFont="1" applyFill="1" applyBorder="1" applyAlignment="1" applyProtection="1">
      <alignment vertical="center" wrapText="1"/>
    </xf>
    <xf numFmtId="4" fontId="4" fillId="0" borderId="68" xfId="0" applyNumberFormat="1" applyFont="1" applyFill="1" applyBorder="1" applyAlignment="1" applyProtection="1">
      <alignment vertical="center" wrapText="1"/>
    </xf>
    <xf numFmtId="4" fontId="189" fillId="0" borderId="151" xfId="0" applyNumberFormat="1" applyFont="1" applyFill="1" applyBorder="1" applyAlignment="1" applyProtection="1">
      <alignment vertical="center" wrapText="1"/>
    </xf>
    <xf numFmtId="167" fontId="189" fillId="81" borderId="149" xfId="2427" applyFont="1" applyFill="1" applyBorder="1" applyAlignment="1" applyProtection="1">
      <alignment horizontal="right" vertical="center" wrapText="1"/>
    </xf>
    <xf numFmtId="167" fontId="189" fillId="0" borderId="70" xfId="2427" applyFont="1" applyFill="1" applyBorder="1" applyAlignment="1" applyProtection="1">
      <alignment horizontal="right" vertical="center" wrapText="1"/>
    </xf>
    <xf numFmtId="167" fontId="189" fillId="0" borderId="67" xfId="2427" applyFont="1" applyFill="1" applyBorder="1" applyAlignment="1" applyProtection="1">
      <alignment horizontal="right" vertical="center" wrapText="1"/>
    </xf>
    <xf numFmtId="167" fontId="189" fillId="0" borderId="150" xfId="2427" applyFont="1" applyFill="1" applyBorder="1" applyAlignment="1" applyProtection="1">
      <alignment horizontal="right" vertical="center" wrapText="1"/>
    </xf>
    <xf numFmtId="167" fontId="189" fillId="0" borderId="151" xfId="2427" applyFont="1" applyFill="1" applyBorder="1" applyAlignment="1" applyProtection="1">
      <alignment horizontal="right" vertical="center" wrapText="1"/>
    </xf>
    <xf numFmtId="4" fontId="189" fillId="0" borderId="68" xfId="0" applyNumberFormat="1" applyFont="1" applyFill="1" applyBorder="1" applyAlignment="1" applyProtection="1">
      <alignment vertical="center" wrapText="1"/>
    </xf>
    <xf numFmtId="4" fontId="189" fillId="81" borderId="149" xfId="0" applyNumberFormat="1" applyFont="1" applyFill="1" applyBorder="1" applyAlignment="1" applyProtection="1">
      <alignment vertical="center" wrapText="1"/>
    </xf>
    <xf numFmtId="4" fontId="189" fillId="0" borderId="150" xfId="0" applyNumberFormat="1" applyFont="1" applyFill="1" applyBorder="1" applyAlignment="1" applyProtection="1">
      <alignment vertical="center" wrapText="1"/>
    </xf>
    <xf numFmtId="4" fontId="189" fillId="0" borderId="149" xfId="0" applyNumberFormat="1" applyFont="1" applyFill="1" applyBorder="1" applyAlignment="1" applyProtection="1">
      <alignment vertical="center" wrapText="1"/>
    </xf>
    <xf numFmtId="167" fontId="189" fillId="0" borderId="151" xfId="2427" applyFont="1" applyFill="1" applyBorder="1" applyAlignment="1" applyProtection="1">
      <alignment vertical="center" wrapText="1"/>
    </xf>
    <xf numFmtId="0" fontId="189" fillId="0" borderId="148" xfId="0" applyFont="1" applyBorder="1" applyAlignment="1" applyProtection="1">
      <alignment vertical="center" wrapText="1"/>
    </xf>
    <xf numFmtId="0" fontId="189" fillId="55" borderId="148" xfId="0" applyFont="1" applyFill="1" applyBorder="1" applyAlignment="1" applyProtection="1">
      <alignment vertical="center" wrapText="1"/>
    </xf>
    <xf numFmtId="4" fontId="189" fillId="0" borderId="66" xfId="0" applyNumberFormat="1" applyFont="1" applyFill="1" applyBorder="1" applyAlignment="1" applyProtection="1">
      <alignment vertical="center" wrapText="1"/>
    </xf>
    <xf numFmtId="167" fontId="189" fillId="81" borderId="150" xfId="2427" applyFont="1" applyFill="1" applyBorder="1" applyAlignment="1" applyProtection="1">
      <alignment horizontal="right" vertical="center" wrapText="1"/>
    </xf>
    <xf numFmtId="167" fontId="189" fillId="0" borderId="152" xfId="2427" applyFont="1" applyFill="1" applyBorder="1" applyAlignment="1" applyProtection="1">
      <alignment horizontal="right" vertical="center" wrapText="1"/>
    </xf>
    <xf numFmtId="167" fontId="189" fillId="0" borderId="153" xfId="2427" applyFont="1" applyFill="1" applyBorder="1" applyAlignment="1" applyProtection="1">
      <alignment horizontal="right" vertical="center" wrapText="1"/>
    </xf>
    <xf numFmtId="167" fontId="189" fillId="0" borderId="154" xfId="2427" applyFont="1" applyFill="1" applyBorder="1" applyAlignment="1" applyProtection="1">
      <alignment horizontal="right" vertical="center" wrapText="1"/>
    </xf>
    <xf numFmtId="167" fontId="189" fillId="0" borderId="155" xfId="2427" applyFont="1" applyFill="1" applyBorder="1" applyAlignment="1" applyProtection="1">
      <alignment vertical="center" wrapText="1"/>
    </xf>
    <xf numFmtId="4" fontId="189" fillId="0" borderId="156" xfId="0" applyNumberFormat="1" applyFont="1" applyFill="1" applyBorder="1" applyAlignment="1" applyProtection="1">
      <alignment vertical="center" wrapText="1"/>
    </xf>
    <xf numFmtId="4" fontId="189" fillId="0" borderId="157" xfId="0" applyNumberFormat="1" applyFont="1" applyFill="1" applyBorder="1" applyAlignment="1" applyProtection="1">
      <alignment vertical="center" wrapText="1"/>
    </xf>
    <xf numFmtId="167" fontId="189" fillId="0" borderId="156" xfId="2427" applyFont="1" applyFill="1" applyBorder="1" applyAlignment="1" applyProtection="1">
      <alignment vertical="center" wrapText="1"/>
    </xf>
    <xf numFmtId="167" fontId="189" fillId="0" borderId="158" xfId="2427" applyFont="1" applyFill="1" applyBorder="1" applyAlignment="1" applyProtection="1">
      <alignment vertical="center" wrapText="1"/>
    </xf>
    <xf numFmtId="167" fontId="189" fillId="0" borderId="68" xfId="2427" applyFont="1" applyFill="1" applyBorder="1" applyAlignment="1" applyProtection="1">
      <alignment vertical="center" wrapText="1"/>
    </xf>
    <xf numFmtId="49" fontId="4" fillId="0" borderId="0" xfId="0" applyNumberFormat="1" applyFont="1" applyBorder="1" applyAlignment="1" applyProtection="1">
      <alignment vertical="center" wrapText="1"/>
    </xf>
    <xf numFmtId="0" fontId="4" fillId="0" borderId="0" xfId="0" applyFont="1" applyFill="1" applyBorder="1" applyAlignment="1" applyProtection="1">
      <alignment vertical="center"/>
    </xf>
    <xf numFmtId="0" fontId="4" fillId="0" borderId="0" xfId="0" applyFont="1" applyBorder="1" applyAlignment="1" applyProtection="1">
      <alignment vertical="center" wrapText="1"/>
    </xf>
    <xf numFmtId="167" fontId="4" fillId="0" borderId="0" xfId="2427" applyFont="1" applyBorder="1" applyAlignment="1" applyProtection="1">
      <alignment vertical="center" wrapText="1"/>
    </xf>
    <xf numFmtId="0" fontId="4" fillId="0" borderId="71" xfId="0" applyFont="1" applyBorder="1" applyAlignment="1" applyProtection="1">
      <alignment vertical="center" wrapText="1"/>
    </xf>
    <xf numFmtId="0" fontId="4" fillId="55" borderId="71" xfId="0" applyFont="1" applyFill="1" applyBorder="1" applyAlignment="1" applyProtection="1">
      <alignment vertical="center" wrapText="1"/>
    </xf>
    <xf numFmtId="49" fontId="4" fillId="0" borderId="0" xfId="0" applyNumberFormat="1" applyFont="1" applyAlignment="1" applyProtection="1">
      <alignment vertical="center" wrapText="1"/>
    </xf>
    <xf numFmtId="0" fontId="4" fillId="0" borderId="0" xfId="0" applyFont="1" applyFill="1" applyAlignment="1" applyProtection="1">
      <alignment vertical="center"/>
    </xf>
    <xf numFmtId="0" fontId="4" fillId="0" borderId="0" xfId="0" applyFont="1" applyFill="1" applyAlignment="1" applyProtection="1">
      <alignment vertical="center" wrapText="1"/>
    </xf>
    <xf numFmtId="0" fontId="4" fillId="0" borderId="0" xfId="0" applyFont="1" applyAlignment="1" applyProtection="1">
      <alignment vertical="center" wrapText="1"/>
    </xf>
    <xf numFmtId="167" fontId="4" fillId="0" borderId="0" xfId="2427" applyFont="1" applyAlignment="1" applyProtection="1">
      <alignment vertical="center" wrapText="1"/>
    </xf>
    <xf numFmtId="0" fontId="4" fillId="55" borderId="0" xfId="0" applyFont="1" applyFill="1" applyAlignment="1" applyProtection="1">
      <alignment vertical="center" wrapText="1"/>
    </xf>
    <xf numFmtId="0" fontId="2" fillId="55" borderId="55" xfId="0" applyNumberFormat="1" applyFont="1" applyFill="1" applyBorder="1" applyAlignment="1" applyProtection="1">
      <alignment vertical="center"/>
    </xf>
    <xf numFmtId="49" fontId="4" fillId="55" borderId="57" xfId="0" applyNumberFormat="1" applyFont="1" applyFill="1" applyBorder="1" applyAlignment="1" applyProtection="1">
      <alignment vertical="center" wrapText="1"/>
    </xf>
    <xf numFmtId="0" fontId="180" fillId="55" borderId="57" xfId="0" applyFont="1" applyFill="1" applyBorder="1" applyAlignment="1" applyProtection="1">
      <alignment horizontal="center" vertical="center" wrapText="1"/>
    </xf>
    <xf numFmtId="0" fontId="180" fillId="55" borderId="78" xfId="0" applyFont="1" applyFill="1" applyBorder="1" applyAlignment="1">
      <alignment vertical="top"/>
    </xf>
    <xf numFmtId="167" fontId="186" fillId="55" borderId="57" xfId="2427" applyFont="1" applyFill="1" applyBorder="1" applyAlignment="1" applyProtection="1">
      <alignment horizontal="left" vertical="center"/>
    </xf>
    <xf numFmtId="0" fontId="4" fillId="55" borderId="129" xfId="0" applyFont="1" applyFill="1" applyBorder="1" applyAlignment="1" applyProtection="1">
      <alignment vertical="center" wrapText="1"/>
    </xf>
    <xf numFmtId="4" fontId="4" fillId="55" borderId="68" xfId="0" applyNumberFormat="1" applyFont="1" applyFill="1" applyBorder="1" applyAlignment="1" applyProtection="1">
      <alignment vertical="center" wrapText="1"/>
    </xf>
    <xf numFmtId="167" fontId="190" fillId="55" borderId="159" xfId="2363" applyFont="1" applyFill="1" applyBorder="1" applyAlignment="1" applyProtection="1">
      <alignment horizontal="left" vertical="center"/>
    </xf>
    <xf numFmtId="167" fontId="190" fillId="55" borderId="57" xfId="2363" applyFont="1" applyFill="1" applyBorder="1" applyAlignment="1" applyProtection="1">
      <alignment horizontal="left" vertical="center"/>
    </xf>
    <xf numFmtId="167" fontId="190" fillId="84" borderId="159" xfId="2363" applyFont="1" applyFill="1" applyBorder="1" applyAlignment="1" applyProtection="1">
      <alignment horizontal="left" vertical="center"/>
    </xf>
    <xf numFmtId="167" fontId="2" fillId="0" borderId="0" xfId="2363" applyFont="1" applyFill="1" applyBorder="1"/>
    <xf numFmtId="167" fontId="8" fillId="0" borderId="0" xfId="2363" applyFont="1" applyFill="1" applyBorder="1"/>
    <xf numFmtId="0" fontId="8" fillId="58" borderId="32" xfId="0" applyFont="1" applyFill="1" applyBorder="1"/>
    <xf numFmtId="167" fontId="8" fillId="56" borderId="46" xfId="2363" applyFont="1" applyFill="1" applyBorder="1"/>
    <xf numFmtId="167" fontId="8" fillId="58" borderId="0" xfId="0" applyNumberFormat="1" applyFont="1" applyFill="1" applyBorder="1"/>
    <xf numFmtId="2" fontId="8" fillId="0" borderId="6" xfId="0" applyNumberFormat="1" applyFont="1" applyFill="1" applyBorder="1" applyAlignment="1">
      <alignment horizontal="center" vertical="center"/>
    </xf>
    <xf numFmtId="2" fontId="8" fillId="0" borderId="6" xfId="2363" applyNumberFormat="1" applyFont="1" applyFill="1" applyBorder="1" applyAlignment="1">
      <alignment horizontal="center" vertical="center"/>
    </xf>
    <xf numFmtId="2" fontId="8" fillId="58" borderId="6" xfId="0" applyNumberFormat="1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2" fontId="8" fillId="0" borderId="6" xfId="2363" applyNumberFormat="1" applyFont="1" applyFill="1" applyBorder="1" applyAlignment="1">
      <alignment horizontal="right" vertical="center"/>
    </xf>
    <xf numFmtId="2" fontId="8" fillId="0" borderId="6" xfId="0" applyNumberFormat="1" applyFont="1" applyFill="1" applyBorder="1" applyAlignment="1">
      <alignment horizontal="right" vertical="center" wrapText="1"/>
    </xf>
    <xf numFmtId="2" fontId="8" fillId="59" borderId="6" xfId="0" applyNumberFormat="1" applyFont="1" applyFill="1" applyBorder="1" applyAlignment="1">
      <alignment horizontal="right" vertical="center"/>
    </xf>
    <xf numFmtId="171" fontId="137" fillId="0" borderId="0" xfId="2363" applyNumberFormat="1" applyFont="1" applyFill="1"/>
    <xf numFmtId="217" fontId="137" fillId="0" borderId="0" xfId="2363" applyNumberFormat="1" applyFont="1" applyFill="1"/>
    <xf numFmtId="217" fontId="137" fillId="58" borderId="0" xfId="2363" applyNumberFormat="1" applyFont="1" applyFill="1"/>
    <xf numFmtId="219" fontId="137" fillId="0" borderId="0" xfId="2363" applyNumberFormat="1" applyFont="1" applyFill="1"/>
    <xf numFmtId="219" fontId="137" fillId="58" borderId="0" xfId="2363" applyNumberFormat="1" applyFont="1" applyFill="1"/>
    <xf numFmtId="220" fontId="137" fillId="0" borderId="0" xfId="2363" applyNumberFormat="1" applyFont="1" applyFill="1"/>
    <xf numFmtId="171" fontId="5" fillId="0" borderId="0" xfId="2363" applyNumberFormat="1" applyFont="1" applyFill="1"/>
    <xf numFmtId="0" fontId="145" fillId="0" borderId="6" xfId="2028" applyFont="1" applyFill="1" applyBorder="1" applyAlignment="1">
      <alignment horizontal="center" vertical="center" wrapText="1"/>
    </xf>
    <xf numFmtId="167" fontId="8" fillId="63" borderId="6" xfId="2363" applyFont="1" applyFill="1" applyBorder="1"/>
    <xf numFmtId="172" fontId="8" fillId="62" borderId="0" xfId="0" applyNumberFormat="1" applyFont="1" applyFill="1" applyBorder="1"/>
    <xf numFmtId="173" fontId="8" fillId="0" borderId="6" xfId="0" applyNumberFormat="1" applyFont="1" applyFill="1" applyBorder="1" applyAlignment="1">
      <alignment horizontal="center" vertical="center"/>
    </xf>
    <xf numFmtId="0" fontId="8" fillId="62" borderId="0" xfId="0" applyFont="1" applyFill="1" applyAlignment="1">
      <alignment horizontal="center" vertical="center"/>
    </xf>
    <xf numFmtId="2" fontId="8" fillId="0" borderId="6" xfId="0" applyNumberFormat="1" applyFont="1" applyFill="1" applyBorder="1" applyAlignment="1">
      <alignment vertical="center"/>
    </xf>
    <xf numFmtId="173" fontId="8" fillId="59" borderId="6" xfId="0" applyNumberFormat="1" applyFont="1" applyFill="1" applyBorder="1" applyAlignment="1">
      <alignment horizontal="right" vertical="center"/>
    </xf>
    <xf numFmtId="173" fontId="8" fillId="59" borderId="6" xfId="2363" applyNumberFormat="1" applyFont="1" applyFill="1" applyBorder="1" applyAlignment="1">
      <alignment horizontal="right" vertical="center"/>
    </xf>
    <xf numFmtId="0" fontId="8" fillId="62" borderId="0" xfId="0" applyFont="1" applyFill="1" applyAlignment="1">
      <alignment vertical="center"/>
    </xf>
    <xf numFmtId="1" fontId="2" fillId="0" borderId="6" xfId="2028" applyNumberFormat="1" applyFont="1" applyFill="1" applyBorder="1" applyAlignment="1">
      <alignment horizontal="center" vertical="center" wrapText="1"/>
    </xf>
    <xf numFmtId="0" fontId="2" fillId="59" borderId="6" xfId="2028" applyFont="1" applyFill="1" applyBorder="1" applyAlignment="1">
      <alignment horizontal="center" vertical="center" wrapText="1"/>
    </xf>
    <xf numFmtId="0" fontId="145" fillId="59" borderId="6" xfId="2028" applyFont="1" applyFill="1" applyBorder="1" applyAlignment="1">
      <alignment horizontal="center" vertical="center" wrapText="1"/>
    </xf>
    <xf numFmtId="0" fontId="8" fillId="59" borderId="6" xfId="0" applyFont="1" applyFill="1" applyBorder="1"/>
    <xf numFmtId="211" fontId="8" fillId="59" borderId="6" xfId="0" applyNumberFormat="1" applyFont="1" applyFill="1" applyBorder="1"/>
    <xf numFmtId="211" fontId="8" fillId="58" borderId="6" xfId="0" applyNumberFormat="1" applyFont="1" applyFill="1" applyBorder="1"/>
    <xf numFmtId="173" fontId="8" fillId="59" borderId="6" xfId="0" applyNumberFormat="1" applyFont="1" applyFill="1" applyBorder="1" applyAlignment="1">
      <alignment vertical="center"/>
    </xf>
    <xf numFmtId="0" fontId="8" fillId="59" borderId="6" xfId="0" applyFont="1" applyFill="1" applyBorder="1" applyAlignment="1">
      <alignment vertical="center"/>
    </xf>
    <xf numFmtId="211" fontId="8" fillId="59" borderId="6" xfId="0" applyNumberFormat="1" applyFont="1" applyFill="1" applyBorder="1" applyAlignment="1">
      <alignment vertical="center"/>
    </xf>
    <xf numFmtId="211" fontId="8" fillId="58" borderId="6" xfId="0" applyNumberFormat="1" applyFont="1" applyFill="1" applyBorder="1" applyAlignment="1">
      <alignment vertical="center"/>
    </xf>
    <xf numFmtId="173" fontId="8" fillId="59" borderId="6" xfId="0" applyNumberFormat="1" applyFont="1" applyFill="1" applyBorder="1"/>
    <xf numFmtId="167" fontId="8" fillId="59" borderId="6" xfId="2363" applyFont="1" applyFill="1" applyBorder="1"/>
    <xf numFmtId="0" fontId="8" fillId="59" borderId="0" xfId="0" applyFont="1" applyFill="1" applyBorder="1"/>
    <xf numFmtId="2" fontId="8" fillId="59" borderId="0" xfId="0" applyNumberFormat="1" applyFont="1" applyFill="1" applyBorder="1"/>
    <xf numFmtId="172" fontId="8" fillId="59" borderId="0" xfId="0" applyNumberFormat="1" applyFont="1" applyFill="1" applyBorder="1"/>
    <xf numFmtId="172" fontId="8" fillId="59" borderId="0" xfId="0" applyNumberFormat="1" applyFont="1" applyFill="1"/>
    <xf numFmtId="0" fontId="8" fillId="59" borderId="0" xfId="0" applyFont="1" applyFill="1"/>
    <xf numFmtId="217" fontId="8" fillId="59" borderId="6" xfId="2363" applyNumberFormat="1" applyFont="1" applyFill="1" applyBorder="1" applyAlignment="1">
      <alignment horizontal="center" vertical="center"/>
    </xf>
    <xf numFmtId="0" fontId="8" fillId="59" borderId="6" xfId="0" applyFont="1" applyFill="1" applyBorder="1" applyAlignment="1">
      <alignment horizontal="center" vertical="center"/>
    </xf>
    <xf numFmtId="171" fontId="8" fillId="59" borderId="6" xfId="2363" applyNumberFormat="1" applyFont="1" applyFill="1" applyBorder="1" applyAlignment="1">
      <alignment vertical="center"/>
    </xf>
    <xf numFmtId="2" fontId="8" fillId="59" borderId="6" xfId="0" applyNumberFormat="1" applyFont="1" applyFill="1" applyBorder="1"/>
    <xf numFmtId="2" fontId="8" fillId="59" borderId="0" xfId="0" applyNumberFormat="1" applyFont="1" applyFill="1"/>
    <xf numFmtId="173" fontId="8" fillId="0" borderId="6" xfId="0" applyNumberFormat="1" applyFont="1" applyFill="1" applyBorder="1" applyAlignment="1">
      <alignment horizontal="right" vertical="center"/>
    </xf>
    <xf numFmtId="173" fontId="8" fillId="0" borderId="6" xfId="2363" applyNumberFormat="1" applyFont="1" applyFill="1" applyBorder="1" applyAlignment="1">
      <alignment horizontal="right" vertical="center"/>
    </xf>
    <xf numFmtId="211" fontId="8" fillId="0" borderId="6" xfId="0" applyNumberFormat="1" applyFont="1" applyFill="1" applyBorder="1" applyAlignment="1">
      <alignment horizontal="right" vertical="center"/>
    </xf>
    <xf numFmtId="172" fontId="8" fillId="55" borderId="0" xfId="0" applyNumberFormat="1" applyFont="1" applyFill="1" applyBorder="1"/>
    <xf numFmtId="172" fontId="8" fillId="55" borderId="0" xfId="0" applyNumberFormat="1" applyFont="1" applyFill="1"/>
    <xf numFmtId="2" fontId="8" fillId="55" borderId="0" xfId="0" applyNumberFormat="1" applyFont="1" applyFill="1"/>
    <xf numFmtId="173" fontId="8" fillId="70" borderId="6" xfId="0" applyNumberFormat="1" applyFont="1" applyFill="1" applyBorder="1"/>
    <xf numFmtId="172" fontId="8" fillId="70" borderId="0" xfId="0" applyNumberFormat="1" applyFont="1" applyFill="1" applyBorder="1"/>
    <xf numFmtId="172" fontId="8" fillId="70" borderId="0" xfId="0" applyNumberFormat="1" applyFont="1" applyFill="1"/>
    <xf numFmtId="173" fontId="8" fillId="0" borderId="6" xfId="2363" applyNumberFormat="1" applyFont="1" applyFill="1" applyBorder="1" applyAlignment="1">
      <alignment vertical="center"/>
    </xf>
    <xf numFmtId="2" fontId="8" fillId="0" borderId="6" xfId="2363" applyNumberFormat="1" applyFont="1" applyFill="1" applyBorder="1" applyAlignment="1">
      <alignment vertical="center"/>
    </xf>
    <xf numFmtId="2" fontId="8" fillId="58" borderId="6" xfId="2363" applyNumberFormat="1" applyFont="1" applyFill="1" applyBorder="1" applyAlignment="1">
      <alignment vertical="center"/>
    </xf>
    <xf numFmtId="167" fontId="8" fillId="0" borderId="6" xfId="2363" applyFont="1" applyFill="1" applyBorder="1" applyAlignment="1">
      <alignment horizontal="right" vertical="center"/>
    </xf>
    <xf numFmtId="167" fontId="8" fillId="58" borderId="6" xfId="2363" applyFont="1" applyFill="1" applyBorder="1" applyAlignment="1">
      <alignment vertical="center"/>
    </xf>
    <xf numFmtId="167" fontId="8" fillId="0" borderId="6" xfId="2363" applyFont="1" applyFill="1" applyBorder="1" applyAlignment="1">
      <alignment vertical="center"/>
    </xf>
    <xf numFmtId="173" fontId="8" fillId="0" borderId="6" xfId="2363" applyNumberFormat="1" applyFont="1" applyFill="1" applyBorder="1" applyAlignment="1">
      <alignment horizontal="center" vertical="center"/>
    </xf>
    <xf numFmtId="167" fontId="8" fillId="0" borderId="6" xfId="2363" applyFont="1" applyFill="1" applyBorder="1" applyAlignment="1">
      <alignment horizontal="center" vertical="center"/>
    </xf>
    <xf numFmtId="167" fontId="8" fillId="58" borderId="6" xfId="2363" applyFont="1" applyFill="1" applyBorder="1" applyAlignment="1">
      <alignment horizontal="center" vertical="center"/>
    </xf>
    <xf numFmtId="173" fontId="8" fillId="59" borderId="6" xfId="0" applyNumberFormat="1" applyFont="1" applyFill="1" applyBorder="1" applyAlignment="1">
      <alignment horizontal="center" vertical="center"/>
    </xf>
    <xf numFmtId="173" fontId="8" fillId="59" borderId="6" xfId="2363" applyNumberFormat="1" applyFont="1" applyFill="1" applyBorder="1" applyAlignment="1">
      <alignment horizontal="center" vertical="center"/>
    </xf>
    <xf numFmtId="167" fontId="8" fillId="62" borderId="6" xfId="2363" applyFont="1" applyFill="1" applyBorder="1" applyAlignment="1">
      <alignment horizontal="center" vertical="center"/>
    </xf>
    <xf numFmtId="0" fontId="8" fillId="58" borderId="6" xfId="0" applyFont="1" applyFill="1" applyBorder="1" applyAlignment="1">
      <alignment horizontal="center" vertical="center"/>
    </xf>
    <xf numFmtId="2" fontId="8" fillId="0" borderId="6" xfId="2028" applyNumberFormat="1" applyFont="1" applyFill="1" applyBorder="1" applyAlignment="1">
      <alignment horizontal="center"/>
    </xf>
    <xf numFmtId="2" fontId="8" fillId="58" borderId="6" xfId="0" applyNumberFormat="1" applyFont="1" applyFill="1" applyBorder="1" applyAlignment="1">
      <alignment vertical="center"/>
    </xf>
    <xf numFmtId="0" fontId="2" fillId="0" borderId="6" xfId="2028" applyFont="1" applyFill="1" applyBorder="1" applyAlignment="1">
      <alignment vertical="center" wrapText="1"/>
    </xf>
    <xf numFmtId="173" fontId="8" fillId="59" borderId="6" xfId="2363" applyNumberFormat="1" applyFont="1" applyFill="1" applyBorder="1" applyAlignment="1">
      <alignment vertical="center"/>
    </xf>
    <xf numFmtId="173" fontId="8" fillId="62" borderId="6" xfId="0" applyNumberFormat="1" applyFont="1" applyFill="1" applyBorder="1" applyAlignment="1">
      <alignment vertical="center"/>
    </xf>
    <xf numFmtId="0" fontId="8" fillId="62" borderId="0" xfId="0" applyFont="1" applyFill="1" applyBorder="1" applyAlignment="1">
      <alignment vertical="center"/>
    </xf>
    <xf numFmtId="2" fontId="8" fillId="62" borderId="0" xfId="0" applyNumberFormat="1" applyFont="1" applyFill="1" applyBorder="1" applyAlignment="1">
      <alignment vertical="center"/>
    </xf>
    <xf numFmtId="172" fontId="8" fillId="62" borderId="0" xfId="0" applyNumberFormat="1" applyFont="1" applyFill="1" applyBorder="1" applyAlignment="1">
      <alignment vertical="center"/>
    </xf>
    <xf numFmtId="172" fontId="8" fillId="62" borderId="0" xfId="0" applyNumberFormat="1" applyFont="1" applyFill="1" applyAlignment="1">
      <alignment vertical="center"/>
    </xf>
    <xf numFmtId="2" fontId="8" fillId="62" borderId="6" xfId="0" applyNumberFormat="1" applyFont="1" applyFill="1" applyBorder="1" applyAlignment="1">
      <alignment vertical="center"/>
    </xf>
    <xf numFmtId="2" fontId="8" fillId="62" borderId="0" xfId="0" applyNumberFormat="1" applyFont="1" applyFill="1" applyAlignment="1">
      <alignment vertical="center"/>
    </xf>
    <xf numFmtId="0" fontId="8" fillId="55" borderId="0" xfId="0" applyFont="1" applyFill="1" applyAlignment="1">
      <alignment vertical="center"/>
    </xf>
    <xf numFmtId="173" fontId="8" fillId="58" borderId="6" xfId="0" applyNumberFormat="1" applyFont="1" applyFill="1" applyBorder="1" applyAlignment="1">
      <alignment vertical="center"/>
    </xf>
    <xf numFmtId="173" fontId="137" fillId="62" borderId="6" xfId="0" applyNumberFormat="1" applyFont="1" applyFill="1" applyBorder="1"/>
    <xf numFmtId="167" fontId="8" fillId="62" borderId="6" xfId="2363" applyFont="1" applyFill="1" applyBorder="1" applyAlignment="1">
      <alignment vertical="center"/>
    </xf>
    <xf numFmtId="215" fontId="8" fillId="0" borderId="6" xfId="0" applyNumberFormat="1" applyFont="1" applyFill="1" applyBorder="1"/>
    <xf numFmtId="211" fontId="8" fillId="0" borderId="6" xfId="0" applyNumberFormat="1" applyFont="1" applyFill="1" applyBorder="1"/>
    <xf numFmtId="4" fontId="2" fillId="0" borderId="0" xfId="0" applyNumberFormat="1" applyFont="1" applyFill="1"/>
    <xf numFmtId="4" fontId="2" fillId="0" borderId="0" xfId="0" applyNumberFormat="1" applyFont="1" applyFill="1" applyBorder="1" applyAlignment="1">
      <alignment vertical="center"/>
    </xf>
    <xf numFmtId="2" fontId="5" fillId="62" borderId="6" xfId="0" applyNumberFormat="1" applyFont="1" applyFill="1" applyBorder="1"/>
    <xf numFmtId="172" fontId="144" fillId="62" borderId="6" xfId="0" applyNumberFormat="1" applyFont="1" applyFill="1" applyBorder="1"/>
    <xf numFmtId="171" fontId="194" fillId="0" borderId="0" xfId="2363" applyNumberFormat="1" applyFont="1" applyFill="1"/>
    <xf numFmtId="173" fontId="137" fillId="62" borderId="49" xfId="0" applyNumberFormat="1" applyFont="1" applyFill="1" applyBorder="1" applyAlignment="1">
      <alignment horizontal="center"/>
    </xf>
    <xf numFmtId="2" fontId="137" fillId="62" borderId="30" xfId="0" applyNumberFormat="1" applyFont="1" applyFill="1" applyBorder="1"/>
    <xf numFmtId="2" fontId="137" fillId="62" borderId="53" xfId="0" applyNumberFormat="1" applyFont="1" applyFill="1" applyBorder="1" applyAlignment="1">
      <alignment horizontal="center"/>
    </xf>
    <xf numFmtId="0" fontId="139" fillId="55" borderId="0" xfId="0" applyFont="1" applyFill="1"/>
    <xf numFmtId="0" fontId="2" fillId="55" borderId="6" xfId="2028" applyFont="1" applyFill="1" applyBorder="1" applyAlignment="1">
      <alignment horizontal="center" vertical="center" wrapText="1"/>
    </xf>
    <xf numFmtId="2" fontId="8" fillId="55" borderId="6" xfId="0" applyNumberFormat="1" applyFont="1" applyFill="1" applyBorder="1" applyAlignment="1">
      <alignment horizontal="right" vertical="center"/>
    </xf>
    <xf numFmtId="2" fontId="8" fillId="55" borderId="6" xfId="0" applyNumberFormat="1" applyFont="1" applyFill="1" applyBorder="1" applyAlignment="1">
      <alignment horizontal="right"/>
    </xf>
    <xf numFmtId="0" fontId="8" fillId="55" borderId="6" xfId="0" applyFont="1" applyFill="1" applyBorder="1" applyAlignment="1">
      <alignment horizontal="center"/>
    </xf>
    <xf numFmtId="2" fontId="8" fillId="55" borderId="6" xfId="0" applyNumberFormat="1" applyFont="1" applyFill="1" applyBorder="1" applyAlignment="1">
      <alignment horizontal="center"/>
    </xf>
    <xf numFmtId="167" fontId="8" fillId="55" borderId="6" xfId="2363" applyFont="1" applyFill="1" applyBorder="1"/>
    <xf numFmtId="172" fontId="8" fillId="55" borderId="6" xfId="0" applyNumberFormat="1" applyFont="1" applyFill="1" applyBorder="1"/>
    <xf numFmtId="172" fontId="8" fillId="55" borderId="6" xfId="0" applyNumberFormat="1" applyFont="1" applyFill="1" applyBorder="1" applyAlignment="1"/>
    <xf numFmtId="172" fontId="8" fillId="55" borderId="6" xfId="0" applyNumberFormat="1" applyFont="1" applyFill="1" applyBorder="1" applyAlignment="1">
      <alignment horizontal="center"/>
    </xf>
    <xf numFmtId="0" fontId="2" fillId="55" borderId="32" xfId="2028" applyFont="1" applyFill="1" applyBorder="1" applyAlignment="1">
      <alignment vertical="center" wrapText="1"/>
    </xf>
    <xf numFmtId="0" fontId="145" fillId="55" borderId="6" xfId="2028" applyFont="1" applyFill="1" applyBorder="1" applyAlignment="1">
      <alignment horizontal="center" vertical="center" wrapText="1"/>
    </xf>
    <xf numFmtId="2" fontId="8" fillId="62" borderId="6" xfId="0" applyNumberFormat="1" applyFont="1" applyFill="1" applyBorder="1" applyAlignment="1">
      <alignment horizontal="right" vertical="center"/>
    </xf>
    <xf numFmtId="2" fontId="8" fillId="62" borderId="6" xfId="0" applyNumberFormat="1" applyFont="1" applyFill="1" applyBorder="1" applyAlignment="1">
      <alignment horizontal="right"/>
    </xf>
    <xf numFmtId="172" fontId="8" fillId="62" borderId="6" xfId="0" applyNumberFormat="1" applyFont="1" applyFill="1" applyBorder="1"/>
    <xf numFmtId="2" fontId="2" fillId="55" borderId="6" xfId="2028" applyNumberFormat="1" applyFont="1" applyFill="1" applyBorder="1" applyAlignment="1">
      <alignment horizontal="center" vertical="center" wrapText="1"/>
    </xf>
    <xf numFmtId="0" fontId="2" fillId="55" borderId="6" xfId="2028" applyNumberFormat="1" applyFont="1" applyFill="1" applyBorder="1" applyAlignment="1">
      <alignment horizontal="center" vertical="center" wrapText="1"/>
    </xf>
    <xf numFmtId="2" fontId="2" fillId="55" borderId="32" xfId="2028" applyNumberFormat="1" applyFont="1" applyFill="1" applyBorder="1" applyAlignment="1">
      <alignment horizontal="center" vertical="center" wrapText="1"/>
    </xf>
    <xf numFmtId="0" fontId="2" fillId="55" borderId="28" xfId="2028" applyFont="1" applyFill="1" applyBorder="1" applyAlignment="1">
      <alignment horizontal="center" vertical="center" wrapText="1"/>
    </xf>
    <xf numFmtId="2" fontId="8" fillId="55" borderId="6" xfId="0" applyNumberFormat="1" applyFont="1" applyFill="1" applyBorder="1" applyAlignment="1">
      <alignment horizontal="center" vertical="center"/>
    </xf>
    <xf numFmtId="172" fontId="8" fillId="55" borderId="6" xfId="0" applyNumberFormat="1" applyFont="1" applyFill="1" applyBorder="1" applyAlignment="1">
      <alignment horizontal="center" vertical="center"/>
    </xf>
    <xf numFmtId="0" fontId="8" fillId="55" borderId="6" xfId="0" applyFont="1" applyFill="1" applyBorder="1" applyAlignment="1">
      <alignment horizontal="center" vertical="center"/>
    </xf>
    <xf numFmtId="173" fontId="8" fillId="55" borderId="6" xfId="0" applyNumberFormat="1" applyFont="1" applyFill="1" applyBorder="1" applyAlignment="1">
      <alignment horizontal="center" vertical="center"/>
    </xf>
    <xf numFmtId="0" fontId="8" fillId="55" borderId="0" xfId="0" applyFont="1" applyFill="1" applyBorder="1" applyAlignment="1">
      <alignment horizontal="center" vertical="center"/>
    </xf>
    <xf numFmtId="173" fontId="8" fillId="55" borderId="0" xfId="0" applyNumberFormat="1" applyFont="1" applyFill="1" applyBorder="1" applyAlignment="1">
      <alignment horizontal="center" vertical="center"/>
    </xf>
    <xf numFmtId="2" fontId="8" fillId="55" borderId="0" xfId="0" applyNumberFormat="1" applyFont="1" applyFill="1" applyBorder="1" applyAlignment="1">
      <alignment horizontal="center" vertical="center"/>
    </xf>
    <xf numFmtId="172" fontId="8" fillId="55" borderId="0" xfId="0" applyNumberFormat="1" applyFont="1" applyFill="1" applyBorder="1" applyAlignment="1">
      <alignment horizontal="center" vertical="center"/>
    </xf>
    <xf numFmtId="172" fontId="8" fillId="55" borderId="0" xfId="0" applyNumberFormat="1" applyFont="1" applyFill="1" applyAlignment="1">
      <alignment horizontal="center" vertical="center"/>
    </xf>
    <xf numFmtId="0" fontId="8" fillId="55" borderId="0" xfId="0" applyFont="1" applyFill="1" applyAlignment="1">
      <alignment horizontal="center" vertical="center"/>
    </xf>
    <xf numFmtId="0" fontId="139" fillId="55" borderId="0" xfId="0" applyFont="1" applyFill="1" applyAlignment="1">
      <alignment horizontal="center" vertical="center"/>
    </xf>
    <xf numFmtId="0" fontId="2" fillId="55" borderId="0" xfId="0" applyFont="1" applyFill="1" applyAlignment="1">
      <alignment horizontal="center" wrapText="1"/>
    </xf>
    <xf numFmtId="0" fontId="2" fillId="55" borderId="31" xfId="2028" applyFont="1" applyFill="1" applyBorder="1" applyAlignment="1">
      <alignment vertical="center" wrapText="1"/>
    </xf>
    <xf numFmtId="0" fontId="2" fillId="55" borderId="31" xfId="2028" applyFont="1" applyFill="1" applyBorder="1" applyAlignment="1">
      <alignment horizontal="center" vertical="center" wrapText="1"/>
    </xf>
    <xf numFmtId="2" fontId="8" fillId="55" borderId="0" xfId="0" applyNumberFormat="1" applyFont="1" applyFill="1" applyAlignment="1">
      <alignment horizontal="right" vertical="center"/>
    </xf>
    <xf numFmtId="166" fontId="2" fillId="55" borderId="6" xfId="1751" applyFont="1" applyFill="1" applyBorder="1" applyAlignment="1">
      <alignment vertical="center" wrapText="1"/>
    </xf>
    <xf numFmtId="216" fontId="2" fillId="55" borderId="6" xfId="2363" applyNumberFormat="1" applyFont="1" applyFill="1" applyBorder="1" applyAlignment="1">
      <alignment vertical="center" wrapText="1"/>
    </xf>
    <xf numFmtId="0" fontId="2" fillId="55" borderId="27" xfId="2028" applyFont="1" applyFill="1" applyBorder="1" applyAlignment="1">
      <alignment horizontal="center" vertical="center" wrapText="1"/>
    </xf>
    <xf numFmtId="2" fontId="145" fillId="55" borderId="6" xfId="0" applyNumberFormat="1" applyFont="1" applyFill="1" applyBorder="1" applyAlignment="1">
      <alignment horizontal="right"/>
    </xf>
    <xf numFmtId="2" fontId="8" fillId="55" borderId="6" xfId="0" applyNumberFormat="1" applyFont="1" applyFill="1" applyBorder="1" applyAlignment="1">
      <alignment horizontal="right" vertical="center" wrapText="1"/>
    </xf>
    <xf numFmtId="2" fontId="8" fillId="55" borderId="6" xfId="0" applyNumberFormat="1" applyFont="1" applyFill="1" applyBorder="1" applyAlignment="1">
      <alignment horizontal="right" wrapText="1"/>
    </xf>
    <xf numFmtId="0" fontId="2" fillId="55" borderId="28" xfId="2028" applyFont="1" applyFill="1" applyBorder="1" applyAlignment="1">
      <alignment vertical="center" wrapText="1"/>
    </xf>
    <xf numFmtId="167" fontId="2" fillId="55" borderId="6" xfId="2363" applyFont="1" applyFill="1" applyBorder="1" applyAlignment="1">
      <alignment horizontal="center" vertical="center" wrapText="1"/>
    </xf>
    <xf numFmtId="0" fontId="145" fillId="55" borderId="6" xfId="2363" applyNumberFormat="1" applyFont="1" applyFill="1" applyBorder="1" applyAlignment="1">
      <alignment horizontal="center" vertical="center" wrapText="1"/>
    </xf>
    <xf numFmtId="2" fontId="8" fillId="55" borderId="6" xfId="0" applyNumberFormat="1" applyFont="1" applyFill="1" applyBorder="1" applyAlignment="1">
      <alignment vertical="center"/>
    </xf>
    <xf numFmtId="0" fontId="2" fillId="55" borderId="6" xfId="2028" applyFont="1" applyFill="1" applyBorder="1" applyAlignment="1">
      <alignment wrapText="1"/>
    </xf>
    <xf numFmtId="0" fontId="8" fillId="55" borderId="6" xfId="0" applyFont="1" applyFill="1" applyBorder="1" applyAlignment="1">
      <alignment horizontal="right" vertical="center"/>
    </xf>
    <xf numFmtId="2" fontId="8" fillId="55" borderId="0" xfId="0" applyNumberFormat="1" applyFont="1" applyFill="1" applyAlignment="1">
      <alignment vertical="center"/>
    </xf>
    <xf numFmtId="2" fontId="145" fillId="55" borderId="6" xfId="0" applyNumberFormat="1" applyFont="1" applyFill="1" applyBorder="1" applyAlignment="1">
      <alignment horizontal="right" vertical="center"/>
    </xf>
    <xf numFmtId="0" fontId="145" fillId="55" borderId="6" xfId="0" applyFont="1" applyFill="1" applyBorder="1" applyAlignment="1">
      <alignment vertical="center"/>
    </xf>
    <xf numFmtId="2" fontId="8" fillId="55" borderId="6" xfId="0" applyNumberFormat="1" applyFont="1" applyFill="1" applyBorder="1" applyAlignment="1"/>
    <xf numFmtId="0" fontId="145" fillId="55" borderId="32" xfId="2028" applyFont="1" applyFill="1" applyBorder="1" applyAlignment="1">
      <alignment horizontal="center" vertical="center" wrapText="1"/>
    </xf>
    <xf numFmtId="4" fontId="8" fillId="55" borderId="6" xfId="0" applyNumberFormat="1" applyFont="1" applyFill="1" applyBorder="1"/>
    <xf numFmtId="205" fontId="8" fillId="55" borderId="6" xfId="0" applyNumberFormat="1" applyFont="1" applyFill="1" applyBorder="1"/>
    <xf numFmtId="0" fontId="2" fillId="85" borderId="6" xfId="2028" applyFont="1" applyFill="1" applyBorder="1" applyAlignment="1">
      <alignment horizontal="center" vertical="center" wrapText="1"/>
    </xf>
    <xf numFmtId="2" fontId="2" fillId="85" borderId="32" xfId="2363" applyNumberFormat="1" applyFont="1" applyFill="1" applyBorder="1" applyAlignment="1">
      <alignment horizontal="center" vertical="center" wrapText="1"/>
    </xf>
    <xf numFmtId="0" fontId="2" fillId="85" borderId="32" xfId="2028" applyFont="1" applyFill="1" applyBorder="1" applyAlignment="1">
      <alignment horizontal="center" vertical="center" wrapText="1"/>
    </xf>
    <xf numFmtId="0" fontId="195" fillId="0" borderId="32" xfId="2028" applyFont="1" applyFill="1" applyBorder="1" applyAlignment="1">
      <alignment horizontal="center" vertical="center" wrapText="1"/>
    </xf>
    <xf numFmtId="2" fontId="171" fillId="0" borderId="6" xfId="0" applyNumberFormat="1" applyFont="1" applyFill="1" applyBorder="1" applyAlignment="1">
      <alignment vertical="center"/>
    </xf>
    <xf numFmtId="221" fontId="8" fillId="0" borderId="0" xfId="0" applyNumberFormat="1" applyFont="1" applyFill="1"/>
    <xf numFmtId="43" fontId="8" fillId="0" borderId="0" xfId="0" applyNumberFormat="1" applyFont="1" applyFill="1"/>
    <xf numFmtId="0" fontId="146" fillId="0" borderId="6" xfId="2028" applyFont="1" applyFill="1" applyBorder="1" applyAlignment="1">
      <alignment horizontal="center" vertical="center" wrapText="1"/>
    </xf>
    <xf numFmtId="1" fontId="8" fillId="55" borderId="6" xfId="0" applyNumberFormat="1" applyFont="1" applyFill="1" applyBorder="1"/>
    <xf numFmtId="2" fontId="2" fillId="55" borderId="6" xfId="2363" applyNumberFormat="1" applyFont="1" applyFill="1" applyBorder="1" applyAlignment="1">
      <alignment horizontal="center" vertical="center" wrapText="1"/>
    </xf>
    <xf numFmtId="1" fontId="2" fillId="55" borderId="6" xfId="2028" applyNumberFormat="1" applyFont="1" applyFill="1" applyBorder="1" applyAlignment="1">
      <alignment horizontal="center" vertical="center" wrapText="1"/>
    </xf>
    <xf numFmtId="0" fontId="2" fillId="55" borderId="6" xfId="2028" applyFont="1" applyFill="1" applyBorder="1" applyAlignment="1">
      <alignment vertical="center" wrapText="1"/>
    </xf>
    <xf numFmtId="1" fontId="2" fillId="55" borderId="6" xfId="2363" applyNumberFormat="1" applyFont="1" applyFill="1" applyBorder="1" applyAlignment="1">
      <alignment horizontal="center" vertical="center" wrapText="1"/>
    </xf>
    <xf numFmtId="167" fontId="2" fillId="55" borderId="6" xfId="2363" applyFont="1" applyFill="1" applyBorder="1" applyAlignment="1">
      <alignment vertical="center" wrapText="1"/>
    </xf>
    <xf numFmtId="0" fontId="8" fillId="56" borderId="6" xfId="0" applyFont="1" applyFill="1" applyBorder="1"/>
    <xf numFmtId="4" fontId="8" fillId="56" borderId="6" xfId="0" applyNumberFormat="1" applyFont="1" applyFill="1" applyBorder="1"/>
    <xf numFmtId="173" fontId="8" fillId="56" borderId="6" xfId="0" applyNumberFormat="1" applyFont="1" applyFill="1" applyBorder="1"/>
    <xf numFmtId="0" fontId="189" fillId="55" borderId="6" xfId="0" applyFont="1" applyFill="1" applyBorder="1" applyAlignment="1">
      <alignment horizontal="center"/>
    </xf>
    <xf numFmtId="171" fontId="8" fillId="55" borderId="6" xfId="2363" applyNumberFormat="1" applyFont="1" applyFill="1" applyBorder="1"/>
    <xf numFmtId="167" fontId="8" fillId="55" borderId="6" xfId="2363" applyFont="1" applyFill="1" applyBorder="1" applyAlignment="1">
      <alignment horizontal="right" vertical="center"/>
    </xf>
    <xf numFmtId="167" fontId="8" fillId="55" borderId="6" xfId="2363" applyFont="1" applyFill="1" applyBorder="1" applyAlignment="1">
      <alignment vertical="center"/>
    </xf>
    <xf numFmtId="4" fontId="8" fillId="55" borderId="6" xfId="0" applyNumberFormat="1" applyFont="1" applyFill="1" applyBorder="1" applyAlignment="1">
      <alignment vertical="center"/>
    </xf>
    <xf numFmtId="173" fontId="8" fillId="55" borderId="0" xfId="0" applyNumberFormat="1" applyFont="1" applyFill="1" applyBorder="1"/>
    <xf numFmtId="2" fontId="8" fillId="55" borderId="32" xfId="0" applyNumberFormat="1" applyFont="1" applyFill="1" applyBorder="1" applyAlignment="1"/>
    <xf numFmtId="214" fontId="8" fillId="62" borderId="0" xfId="0" applyNumberFormat="1" applyFont="1" applyFill="1" applyBorder="1"/>
    <xf numFmtId="167" fontId="8" fillId="55" borderId="0" xfId="2363" applyFont="1" applyFill="1"/>
    <xf numFmtId="167" fontId="8" fillId="55" borderId="0" xfId="2363" applyFont="1" applyFill="1" applyBorder="1"/>
    <xf numFmtId="173" fontId="8" fillId="58" borderId="0" xfId="0" applyNumberFormat="1" applyFont="1" applyFill="1" applyBorder="1"/>
    <xf numFmtId="43" fontId="8" fillId="62" borderId="6" xfId="0" applyNumberFormat="1" applyFont="1" applyFill="1" applyBorder="1"/>
    <xf numFmtId="167" fontId="8" fillId="58" borderId="0" xfId="2363" applyFont="1" applyFill="1" applyBorder="1"/>
    <xf numFmtId="0" fontId="139" fillId="87" borderId="0" xfId="0" applyFont="1" applyFill="1"/>
    <xf numFmtId="0" fontId="2" fillId="87" borderId="32" xfId="2028" applyFont="1" applyFill="1" applyBorder="1" applyAlignment="1">
      <alignment vertical="center" wrapText="1"/>
    </xf>
    <xf numFmtId="0" fontId="2" fillId="87" borderId="6" xfId="2028" applyFont="1" applyFill="1" applyBorder="1" applyAlignment="1">
      <alignment horizontal="center" vertical="center" wrapText="1"/>
    </xf>
    <xf numFmtId="0" fontId="2" fillId="87" borderId="32" xfId="2028" applyFont="1" applyFill="1" applyBorder="1" applyAlignment="1">
      <alignment horizontal="center" vertical="center" wrapText="1"/>
    </xf>
    <xf numFmtId="2" fontId="8" fillId="87" borderId="6" xfId="0" applyNumberFormat="1" applyFont="1" applyFill="1" applyBorder="1" applyAlignment="1">
      <alignment horizontal="right" vertical="center"/>
    </xf>
    <xf numFmtId="0" fontId="8" fillId="87" borderId="6" xfId="0" applyFont="1" applyFill="1" applyBorder="1"/>
    <xf numFmtId="173" fontId="8" fillId="87" borderId="6" xfId="0" applyNumberFormat="1" applyFont="1" applyFill="1" applyBorder="1"/>
    <xf numFmtId="0" fontId="8" fillId="87" borderId="0" xfId="0" applyFont="1" applyFill="1" applyBorder="1"/>
    <xf numFmtId="2" fontId="8" fillId="87" borderId="0" xfId="0" applyNumberFormat="1" applyFont="1" applyFill="1" applyBorder="1"/>
    <xf numFmtId="172" fontId="8" fillId="87" borderId="0" xfId="0" applyNumberFormat="1" applyFont="1" applyFill="1" applyBorder="1"/>
    <xf numFmtId="172" fontId="8" fillId="87" borderId="0" xfId="0" applyNumberFormat="1" applyFont="1" applyFill="1"/>
    <xf numFmtId="0" fontId="8" fillId="87" borderId="0" xfId="0" applyFont="1" applyFill="1"/>
    <xf numFmtId="2" fontId="8" fillId="87" borderId="6" xfId="0" applyNumberFormat="1" applyFont="1" applyFill="1" applyBorder="1"/>
    <xf numFmtId="2" fontId="8" fillId="87" borderId="0" xfId="0" applyNumberFormat="1" applyFont="1" applyFill="1"/>
    <xf numFmtId="167" fontId="8" fillId="87" borderId="6" xfId="2363" applyFont="1" applyFill="1" applyBorder="1"/>
    <xf numFmtId="2" fontId="8" fillId="87" borderId="6" xfId="0" applyNumberFormat="1" applyFont="1" applyFill="1" applyBorder="1" applyAlignment="1">
      <alignment vertical="center"/>
    </xf>
    <xf numFmtId="0" fontId="8" fillId="88" borderId="6" xfId="0" applyFont="1" applyFill="1" applyBorder="1"/>
    <xf numFmtId="173" fontId="8" fillId="88" borderId="6" xfId="0" applyNumberFormat="1" applyFont="1" applyFill="1" applyBorder="1"/>
    <xf numFmtId="172" fontId="8" fillId="88" borderId="6" xfId="0" applyNumberFormat="1" applyFont="1" applyFill="1" applyBorder="1"/>
    <xf numFmtId="0" fontId="0" fillId="88" borderId="0" xfId="0" applyFill="1"/>
    <xf numFmtId="0" fontId="147" fillId="88" borderId="0" xfId="0" applyFont="1" applyFill="1"/>
    <xf numFmtId="0" fontId="8" fillId="0" borderId="0" xfId="0" applyFont="1" applyFill="1" applyAlignment="1">
      <alignment horizontal="center" vertical="center"/>
    </xf>
    <xf numFmtId="2" fontId="137" fillId="62" borderId="36" xfId="0" applyNumberFormat="1" applyFont="1" applyFill="1" applyBorder="1" applyAlignment="1">
      <alignment horizontal="center"/>
    </xf>
    <xf numFmtId="0" fontId="2" fillId="0" borderId="32" xfId="2028" applyFont="1" applyFill="1" applyBorder="1" applyAlignment="1">
      <alignment horizontal="center" vertical="center" wrapText="1"/>
    </xf>
    <xf numFmtId="0" fontId="2" fillId="0" borderId="28" xfId="2028" applyFont="1" applyFill="1" applyBorder="1" applyAlignment="1">
      <alignment horizontal="center" vertical="center" wrapText="1"/>
    </xf>
    <xf numFmtId="0" fontId="2" fillId="0" borderId="6" xfId="2028" applyFont="1" applyFill="1" applyBorder="1" applyAlignment="1">
      <alignment horizontal="center" vertical="center" wrapText="1"/>
    </xf>
    <xf numFmtId="0" fontId="172" fillId="0" borderId="32" xfId="2028" applyFont="1" applyFill="1" applyBorder="1" applyAlignment="1">
      <alignment horizontal="center" vertical="center" wrapText="1"/>
    </xf>
    <xf numFmtId="0" fontId="2" fillId="55" borderId="32" xfId="2028" applyFont="1" applyFill="1" applyBorder="1" applyAlignment="1">
      <alignment horizontal="center" vertical="center" wrapText="1"/>
    </xf>
    <xf numFmtId="0" fontId="2" fillId="55" borderId="1" xfId="2028" applyFont="1" applyFill="1" applyBorder="1" applyAlignment="1">
      <alignment horizontal="center" vertical="center" wrapText="1"/>
    </xf>
    <xf numFmtId="0" fontId="2" fillId="0" borderId="28" xfId="2028" applyFont="1" applyFill="1" applyBorder="1" applyAlignment="1">
      <alignment vertical="center" wrapText="1"/>
    </xf>
    <xf numFmtId="2" fontId="2" fillId="0" borderId="32" xfId="2363" applyNumberFormat="1" applyFont="1" applyFill="1" applyBorder="1" applyAlignment="1">
      <alignment horizontal="center" vertical="center" wrapText="1"/>
    </xf>
    <xf numFmtId="0" fontId="146" fillId="0" borderId="32" xfId="2028" applyFont="1" applyFill="1" applyBorder="1" applyAlignment="1">
      <alignment horizontal="center" vertical="center" wrapText="1"/>
    </xf>
    <xf numFmtId="0" fontId="2" fillId="62" borderId="32" xfId="2028" applyFont="1" applyFill="1" applyBorder="1" applyAlignment="1">
      <alignment horizontal="center" vertical="center" wrapText="1"/>
    </xf>
    <xf numFmtId="0" fontId="2" fillId="62" borderId="28" xfId="2028" applyFont="1" applyFill="1" applyBorder="1" applyAlignment="1">
      <alignment horizontal="center" vertical="center" wrapText="1"/>
    </xf>
    <xf numFmtId="0" fontId="3" fillId="62" borderId="33" xfId="2028" applyFont="1" applyFill="1" applyBorder="1" applyAlignment="1">
      <alignment horizontal="center" vertical="center"/>
    </xf>
    <xf numFmtId="173" fontId="3" fillId="0" borderId="33" xfId="2028" applyNumberFormat="1" applyFont="1" applyFill="1" applyBorder="1" applyAlignment="1">
      <alignment horizontal="center" vertical="center"/>
    </xf>
    <xf numFmtId="0" fontId="154" fillId="0" borderId="0" xfId="0" applyFont="1" applyFill="1"/>
    <xf numFmtId="0" fontId="154" fillId="58" borderId="0" xfId="0" applyFont="1" applyFill="1"/>
    <xf numFmtId="0" fontId="8" fillId="0" borderId="0" xfId="0" applyFont="1" applyFill="1" applyAlignment="1">
      <alignment vertical="center"/>
    </xf>
    <xf numFmtId="2" fontId="8" fillId="0" borderId="6" xfId="0" applyNumberFormat="1" applyFont="1" applyFill="1" applyBorder="1" applyAlignment="1">
      <alignment horizontal="center" vertical="center" wrapText="1"/>
    </xf>
    <xf numFmtId="2" fontId="8" fillId="0" borderId="6" xfId="0" applyNumberFormat="1" applyFont="1" applyFill="1" applyBorder="1" applyAlignment="1">
      <alignment horizontal="center"/>
    </xf>
    <xf numFmtId="0" fontId="2" fillId="88" borderId="6" xfId="2028" applyFont="1" applyFill="1" applyBorder="1" applyAlignment="1">
      <alignment horizontal="center" vertical="center" wrapText="1"/>
    </xf>
    <xf numFmtId="0" fontId="155" fillId="0" borderId="0" xfId="0" applyFont="1" applyFill="1"/>
    <xf numFmtId="0" fontId="142" fillId="0" borderId="0" xfId="0" applyFont="1" applyFill="1"/>
    <xf numFmtId="0" fontId="142" fillId="62" borderId="0" xfId="0" applyFont="1" applyFill="1"/>
    <xf numFmtId="0" fontId="8" fillId="62" borderId="6" xfId="0" applyFont="1" applyFill="1" applyBorder="1" applyAlignment="1">
      <alignment horizontal="center" vertical="center" wrapText="1"/>
    </xf>
    <xf numFmtId="173" fontId="8" fillId="71" borderId="6" xfId="0" applyNumberFormat="1" applyFont="1" applyFill="1" applyBorder="1" applyAlignment="1">
      <alignment vertical="center"/>
    </xf>
    <xf numFmtId="173" fontId="8" fillId="71" borderId="6" xfId="0" applyNumberFormat="1" applyFont="1" applyFill="1" applyBorder="1"/>
    <xf numFmtId="171" fontId="137" fillId="58" borderId="0" xfId="2363" applyNumberFormat="1" applyFont="1" applyFill="1"/>
    <xf numFmtId="0" fontId="2" fillId="86" borderId="6" xfId="2028" applyFont="1" applyFill="1" applyBorder="1" applyAlignment="1">
      <alignment horizontal="center" vertical="center" wrapText="1"/>
    </xf>
    <xf numFmtId="166" fontId="2" fillId="86" borderId="32" xfId="1751" applyFont="1" applyFill="1" applyBorder="1" applyAlignment="1">
      <alignment horizontal="center" vertical="center" wrapText="1"/>
    </xf>
    <xf numFmtId="2" fontId="8" fillId="69" borderId="6" xfId="0" applyNumberFormat="1" applyFont="1" applyFill="1" applyBorder="1"/>
    <xf numFmtId="172" fontId="8" fillId="69" borderId="6" xfId="0" applyNumberFormat="1" applyFont="1" applyFill="1" applyBorder="1"/>
    <xf numFmtId="173" fontId="8" fillId="69" borderId="6" xfId="0" applyNumberFormat="1" applyFont="1" applyFill="1" applyBorder="1"/>
    <xf numFmtId="0" fontId="0" fillId="89" borderId="0" xfId="0" applyFill="1"/>
    <xf numFmtId="2" fontId="8" fillId="90" borderId="0" xfId="0" applyNumberFormat="1" applyFont="1" applyFill="1" applyBorder="1"/>
    <xf numFmtId="0" fontId="8" fillId="91" borderId="0" xfId="0" applyFont="1" applyFill="1" applyAlignment="1">
      <alignment vertical="center"/>
    </xf>
    <xf numFmtId="0" fontId="137" fillId="62" borderId="27" xfId="0" applyFont="1" applyFill="1" applyBorder="1" applyAlignment="1">
      <alignment horizontal="center" vertical="center" wrapText="1"/>
    </xf>
    <xf numFmtId="167" fontId="145" fillId="0" borderId="0" xfId="2363" applyFont="1" applyFill="1"/>
    <xf numFmtId="222" fontId="8" fillId="0" borderId="0" xfId="0" applyNumberFormat="1" applyFont="1" applyFill="1"/>
    <xf numFmtId="217" fontId="137" fillId="86" borderId="0" xfId="2363" applyNumberFormat="1" applyFont="1" applyFill="1" applyAlignment="1">
      <alignment horizontal="right"/>
    </xf>
    <xf numFmtId="217" fontId="201" fillId="86" borderId="0" xfId="2363" applyNumberFormat="1" applyFont="1" applyFill="1" applyAlignment="1">
      <alignment horizontal="right"/>
    </xf>
    <xf numFmtId="0" fontId="8" fillId="0" borderId="0" xfId="0" applyFont="1" applyFill="1" applyBorder="1" applyAlignment="1">
      <alignment vertical="center"/>
    </xf>
    <xf numFmtId="2" fontId="8" fillId="0" borderId="0" xfId="0" applyNumberFormat="1" applyFont="1" applyFill="1" applyBorder="1" applyAlignment="1">
      <alignment vertical="center"/>
    </xf>
    <xf numFmtId="0" fontId="137" fillId="67" borderId="27" xfId="0" applyFont="1" applyFill="1" applyBorder="1" applyAlignment="1">
      <alignment horizontal="center" vertical="center" wrapText="1"/>
    </xf>
    <xf numFmtId="217" fontId="201" fillId="55" borderId="0" xfId="2363" applyNumberFormat="1" applyFont="1" applyFill="1" applyAlignment="1">
      <alignment horizontal="right"/>
    </xf>
    <xf numFmtId="217" fontId="137" fillId="55" borderId="0" xfId="2363" applyNumberFormat="1" applyFont="1" applyFill="1"/>
    <xf numFmtId="0" fontId="154" fillId="55" borderId="0" xfId="0" applyFont="1" applyFill="1"/>
    <xf numFmtId="0" fontId="143" fillId="55" borderId="32" xfId="0" applyFont="1" applyFill="1" applyBorder="1" applyAlignment="1">
      <alignment horizontal="center" vertical="center"/>
    </xf>
    <xf numFmtId="0" fontId="143" fillId="55" borderId="1" xfId="0" applyFont="1" applyFill="1" applyBorder="1" applyAlignment="1">
      <alignment horizontal="center" vertical="center"/>
    </xf>
    <xf numFmtId="0" fontId="143" fillId="55" borderId="28" xfId="0" applyFont="1" applyFill="1" applyBorder="1" applyAlignment="1">
      <alignment horizontal="center" vertical="center"/>
    </xf>
    <xf numFmtId="167" fontId="146" fillId="0" borderId="1" xfId="2363" applyFont="1" applyFill="1" applyBorder="1" applyAlignment="1">
      <alignment horizontal="center" vertical="center" wrapText="1"/>
    </xf>
    <xf numFmtId="0" fontId="0" fillId="57" borderId="0" xfId="0" applyFill="1"/>
    <xf numFmtId="167" fontId="147" fillId="0" borderId="0" xfId="2363" applyFont="1" applyFill="1"/>
    <xf numFmtId="167" fontId="166" fillId="0" borderId="0" xfId="2363" applyFont="1"/>
    <xf numFmtId="0" fontId="0" fillId="71" borderId="0" xfId="0" applyFill="1"/>
    <xf numFmtId="0" fontId="137" fillId="62" borderId="6" xfId="0" applyFont="1" applyFill="1" applyBorder="1" applyAlignment="1">
      <alignment horizontal="center" vertical="center" wrapText="1"/>
    </xf>
    <xf numFmtId="0" fontId="137" fillId="62" borderId="0" xfId="0" applyFont="1" applyFill="1" applyBorder="1" applyAlignment="1">
      <alignment horizontal="center" vertical="center" wrapText="1"/>
    </xf>
    <xf numFmtId="0" fontId="8" fillId="62" borderId="0" xfId="0" applyFont="1" applyFill="1" applyAlignment="1">
      <alignment vertical="center" wrapText="1"/>
    </xf>
    <xf numFmtId="0" fontId="5" fillId="55" borderId="27" xfId="0" applyFont="1" applyFill="1" applyBorder="1" applyAlignment="1">
      <alignment horizontal="center" vertical="center" wrapText="1"/>
    </xf>
    <xf numFmtId="0" fontId="8" fillId="62" borderId="6" xfId="0" applyFont="1" applyFill="1" applyBorder="1" applyAlignment="1">
      <alignment vertical="center" wrapText="1"/>
    </xf>
    <xf numFmtId="0" fontId="137" fillId="62" borderId="6" xfId="0" applyFont="1" applyFill="1" applyBorder="1" applyAlignment="1">
      <alignment vertical="center"/>
    </xf>
    <xf numFmtId="0" fontId="142" fillId="62" borderId="6" xfId="0" applyFont="1" applyFill="1" applyBorder="1" applyAlignment="1">
      <alignment vertical="center"/>
    </xf>
    <xf numFmtId="0" fontId="8" fillId="62" borderId="32" xfId="0" applyFont="1" applyFill="1" applyBorder="1" applyAlignment="1">
      <alignment vertical="center"/>
    </xf>
    <xf numFmtId="0" fontId="137" fillId="63" borderId="0" xfId="0" applyFont="1" applyFill="1" applyAlignment="1">
      <alignment vertical="center"/>
    </xf>
    <xf numFmtId="0" fontId="8" fillId="62" borderId="28" xfId="0" applyFont="1" applyFill="1" applyBorder="1" applyAlignment="1">
      <alignment vertical="center"/>
    </xf>
    <xf numFmtId="0" fontId="142" fillId="62" borderId="6" xfId="0" applyFont="1" applyFill="1" applyBorder="1" applyAlignment="1">
      <alignment vertical="center" wrapText="1"/>
    </xf>
    <xf numFmtId="0" fontId="8" fillId="63" borderId="0" xfId="0" applyFont="1" applyFill="1" applyAlignment="1">
      <alignment vertical="center"/>
    </xf>
    <xf numFmtId="0" fontId="193" fillId="62" borderId="6" xfId="0" applyFont="1" applyFill="1" applyBorder="1" applyAlignment="1">
      <alignment horizontal="center" vertical="center" wrapText="1"/>
    </xf>
    <xf numFmtId="167" fontId="8" fillId="62" borderId="0" xfId="2363" applyFont="1" applyFill="1" applyBorder="1"/>
    <xf numFmtId="2" fontId="8" fillId="0" borderId="0" xfId="2363" applyNumberFormat="1" applyFont="1" applyFill="1"/>
    <xf numFmtId="0" fontId="158" fillId="0" borderId="0" xfId="0" applyFont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158" fillId="0" borderId="0" xfId="0" applyFont="1" applyFill="1" applyAlignment="1">
      <alignment vertical="center"/>
    </xf>
    <xf numFmtId="2" fontId="8" fillId="0" borderId="0" xfId="0" applyNumberFormat="1" applyFont="1" applyFill="1" applyBorder="1" applyAlignment="1">
      <alignment horizontal="right" vertical="center"/>
    </xf>
    <xf numFmtId="173" fontId="3" fillId="88" borderId="79" xfId="2028" applyNumberFormat="1" applyFont="1" applyFill="1" applyBorder="1" applyAlignment="1">
      <alignment horizontal="center" vertical="center"/>
    </xf>
    <xf numFmtId="0" fontId="2" fillId="88" borderId="61" xfId="2028" applyFont="1" applyFill="1" applyBorder="1" applyAlignment="1">
      <alignment horizontal="center" vertical="center" wrapText="1"/>
    </xf>
    <xf numFmtId="0" fontId="2" fillId="88" borderId="45" xfId="2028" applyFont="1" applyFill="1" applyBorder="1" applyAlignment="1">
      <alignment horizontal="center" vertical="center" wrapText="1"/>
    </xf>
    <xf numFmtId="0" fontId="137" fillId="62" borderId="33" xfId="0" applyFont="1" applyFill="1" applyBorder="1" applyAlignment="1">
      <alignment horizontal="center" vertical="center"/>
    </xf>
    <xf numFmtId="0" fontId="2" fillId="62" borderId="36" xfId="2028" applyFont="1" applyFill="1" applyBorder="1" applyAlignment="1">
      <alignment horizontal="center" vertical="center" wrapText="1"/>
    </xf>
    <xf numFmtId="0" fontId="2" fillId="62" borderId="16" xfId="2028" applyFont="1" applyFill="1" applyBorder="1" applyAlignment="1">
      <alignment horizontal="center" vertical="center" wrapText="1"/>
    </xf>
    <xf numFmtId="14" fontId="137" fillId="62" borderId="27" xfId="0" applyNumberFormat="1" applyFont="1" applyFill="1" applyBorder="1" applyAlignment="1">
      <alignment horizontal="center" vertical="center"/>
    </xf>
    <xf numFmtId="0" fontId="8" fillId="62" borderId="27" xfId="0" applyFont="1" applyFill="1" applyBorder="1" applyAlignment="1">
      <alignment vertical="center"/>
    </xf>
    <xf numFmtId="0" fontId="2" fillId="0" borderId="165" xfId="2028" applyFont="1" applyFill="1" applyBorder="1" applyAlignment="1">
      <alignment horizontal="center" vertical="center" wrapText="1"/>
    </xf>
    <xf numFmtId="0" fontId="145" fillId="0" borderId="165" xfId="2028" applyFont="1" applyFill="1" applyBorder="1" applyAlignment="1">
      <alignment horizontal="center" vertical="center" wrapText="1"/>
    </xf>
    <xf numFmtId="2" fontId="8" fillId="0" borderId="165" xfId="0" applyNumberFormat="1" applyFont="1" applyFill="1" applyBorder="1" applyAlignment="1">
      <alignment horizontal="right" vertical="center"/>
    </xf>
    <xf numFmtId="0" fontId="8" fillId="0" borderId="124" xfId="0" applyFont="1" applyFill="1" applyBorder="1"/>
    <xf numFmtId="2" fontId="8" fillId="0" borderId="124" xfId="0" applyNumberFormat="1" applyFont="1" applyFill="1" applyBorder="1"/>
    <xf numFmtId="0" fontId="2" fillId="0" borderId="168" xfId="2028" applyFont="1" applyFill="1" applyBorder="1" applyAlignment="1">
      <alignment horizontal="center" vertical="center" wrapText="1"/>
    </xf>
    <xf numFmtId="0" fontId="145" fillId="0" borderId="168" xfId="2028" applyFont="1" applyFill="1" applyBorder="1" applyAlignment="1">
      <alignment horizontal="center" vertical="center" wrapText="1"/>
    </xf>
    <xf numFmtId="0" fontId="2" fillId="0" borderId="162" xfId="2028" applyFont="1" applyFill="1" applyBorder="1" applyAlignment="1">
      <alignment horizontal="center" vertical="center" wrapText="1"/>
    </xf>
    <xf numFmtId="0" fontId="8" fillId="0" borderId="167" xfId="0" applyFont="1" applyFill="1" applyBorder="1" applyAlignment="1">
      <alignment vertical="center"/>
    </xf>
    <xf numFmtId="0" fontId="8" fillId="0" borderId="168" xfId="0" applyFont="1" applyFill="1" applyBorder="1" applyAlignment="1">
      <alignment vertical="center"/>
    </xf>
    <xf numFmtId="2" fontId="8" fillId="0" borderId="168" xfId="0" applyNumberFormat="1" applyFont="1" applyFill="1" applyBorder="1" applyAlignment="1">
      <alignment horizontal="right" vertical="center"/>
    </xf>
    <xf numFmtId="2" fontId="8" fillId="0" borderId="169" xfId="0" applyNumberFormat="1" applyFont="1" applyFill="1" applyBorder="1" applyAlignment="1">
      <alignment horizontal="right"/>
    </xf>
    <xf numFmtId="2" fontId="8" fillId="0" borderId="179" xfId="0" applyNumberFormat="1" applyFont="1" applyFill="1" applyBorder="1" applyAlignment="1">
      <alignment vertical="center"/>
    </xf>
    <xf numFmtId="2" fontId="8" fillId="0" borderId="168" xfId="0" applyNumberFormat="1" applyFont="1" applyFill="1" applyBorder="1" applyAlignment="1">
      <alignment vertical="center"/>
    </xf>
    <xf numFmtId="2" fontId="8" fillId="0" borderId="168" xfId="0" applyNumberFormat="1" applyFont="1" applyFill="1" applyBorder="1" applyAlignment="1">
      <alignment horizontal="right"/>
    </xf>
    <xf numFmtId="173" fontId="8" fillId="0" borderId="167" xfId="0" applyNumberFormat="1" applyFont="1" applyFill="1" applyBorder="1"/>
    <xf numFmtId="0" fontId="8" fillId="0" borderId="168" xfId="0" applyFont="1" applyFill="1" applyBorder="1"/>
    <xf numFmtId="173" fontId="8" fillId="0" borderId="169" xfId="0" applyNumberFormat="1" applyFont="1" applyFill="1" applyBorder="1"/>
    <xf numFmtId="173" fontId="8" fillId="0" borderId="179" xfId="0" applyNumberFormat="1" applyFont="1" applyFill="1" applyBorder="1"/>
    <xf numFmtId="173" fontId="8" fillId="0" borderId="162" xfId="0" applyNumberFormat="1" applyFont="1" applyFill="1" applyBorder="1"/>
    <xf numFmtId="0" fontId="8" fillId="0" borderId="169" xfId="0" applyFont="1" applyFill="1" applyBorder="1"/>
    <xf numFmtId="173" fontId="8" fillId="0" borderId="180" xfId="0" applyNumberFormat="1" applyFont="1" applyFill="1" applyBorder="1"/>
    <xf numFmtId="0" fontId="8" fillId="0" borderId="167" xfId="0" applyFont="1" applyFill="1" applyBorder="1"/>
    <xf numFmtId="0" fontId="8" fillId="0" borderId="179" xfId="0" applyFont="1" applyFill="1" applyBorder="1"/>
    <xf numFmtId="0" fontId="8" fillId="0" borderId="180" xfId="0" applyFont="1" applyFill="1" applyBorder="1"/>
    <xf numFmtId="2" fontId="142" fillId="0" borderId="168" xfId="0" applyNumberFormat="1" applyFont="1" applyFill="1" applyBorder="1"/>
    <xf numFmtId="2" fontId="8" fillId="0" borderId="180" xfId="0" applyNumberFormat="1" applyFont="1" applyFill="1" applyBorder="1"/>
    <xf numFmtId="167" fontId="8" fillId="0" borderId="168" xfId="2363" applyFont="1" applyFill="1" applyBorder="1"/>
    <xf numFmtId="167" fontId="2" fillId="0" borderId="168" xfId="2363" applyFont="1" applyFill="1" applyBorder="1" applyAlignment="1">
      <alignment horizontal="center" vertical="center" wrapText="1"/>
    </xf>
    <xf numFmtId="0" fontId="145" fillId="0" borderId="168" xfId="2363" applyNumberFormat="1" applyFont="1" applyFill="1" applyBorder="1" applyAlignment="1">
      <alignment horizontal="center" vertical="center" wrapText="1"/>
    </xf>
    <xf numFmtId="2" fontId="8" fillId="0" borderId="167" xfId="2363" applyNumberFormat="1" applyFont="1" applyFill="1" applyBorder="1" applyAlignment="1">
      <alignment horizontal="right" vertical="center"/>
    </xf>
    <xf numFmtId="2" fontId="8" fillId="0" borderId="168" xfId="2363" applyNumberFormat="1" applyFont="1" applyFill="1" applyBorder="1" applyAlignment="1">
      <alignment horizontal="right" vertical="center"/>
    </xf>
    <xf numFmtId="2" fontId="8" fillId="0" borderId="169" xfId="2363" applyNumberFormat="1" applyFont="1" applyFill="1" applyBorder="1" applyAlignment="1">
      <alignment horizontal="right"/>
    </xf>
    <xf numFmtId="2" fontId="8" fillId="0" borderId="179" xfId="2363" applyNumberFormat="1" applyFont="1" applyFill="1" applyBorder="1" applyAlignment="1">
      <alignment horizontal="right"/>
    </xf>
    <xf numFmtId="2" fontId="8" fillId="0" borderId="168" xfId="2363" applyNumberFormat="1" applyFont="1" applyFill="1" applyBorder="1" applyAlignment="1">
      <alignment horizontal="right"/>
    </xf>
    <xf numFmtId="2" fontId="8" fillId="0" borderId="167" xfId="2363" applyNumberFormat="1" applyFont="1" applyFill="1" applyBorder="1"/>
    <xf numFmtId="2" fontId="8" fillId="0" borderId="168" xfId="2363" applyNumberFormat="1" applyFont="1" applyFill="1" applyBorder="1"/>
    <xf numFmtId="2" fontId="8" fillId="0" borderId="179" xfId="2363" applyNumberFormat="1" applyFont="1" applyFill="1" applyBorder="1"/>
    <xf numFmtId="2" fontId="8" fillId="0" borderId="168" xfId="0" applyNumberFormat="1" applyFont="1" applyFill="1" applyBorder="1"/>
    <xf numFmtId="2" fontId="8" fillId="0" borderId="169" xfId="0" applyNumberFormat="1" applyFont="1" applyFill="1" applyBorder="1"/>
    <xf numFmtId="171" fontId="8" fillId="0" borderId="179" xfId="2363" applyNumberFormat="1" applyFont="1" applyFill="1" applyBorder="1"/>
    <xf numFmtId="173" fontId="8" fillId="0" borderId="168" xfId="0" applyNumberFormat="1" applyFont="1" applyFill="1" applyBorder="1"/>
    <xf numFmtId="172" fontId="8" fillId="0" borderId="180" xfId="0" applyNumberFormat="1" applyFont="1" applyFill="1" applyBorder="1"/>
    <xf numFmtId="167" fontId="8" fillId="0" borderId="180" xfId="2363" applyFont="1" applyFill="1" applyBorder="1"/>
    <xf numFmtId="2" fontId="8" fillId="0" borderId="167" xfId="0" applyNumberFormat="1" applyFont="1" applyFill="1" applyBorder="1" applyAlignment="1">
      <alignment horizontal="right" vertical="center"/>
    </xf>
    <xf numFmtId="2" fontId="8" fillId="0" borderId="169" xfId="0" applyNumberFormat="1" applyFont="1" applyFill="1" applyBorder="1" applyAlignment="1">
      <alignment horizontal="center" vertical="center"/>
    </xf>
    <xf numFmtId="2" fontId="8" fillId="0" borderId="179" xfId="0" applyNumberFormat="1" applyFont="1" applyFill="1" applyBorder="1" applyAlignment="1">
      <alignment horizontal="center" vertical="center"/>
    </xf>
    <xf numFmtId="2" fontId="8" fillId="0" borderId="168" xfId="0" applyNumberFormat="1" applyFont="1" applyFill="1" applyBorder="1" applyAlignment="1">
      <alignment horizontal="center" vertical="center"/>
    </xf>
    <xf numFmtId="172" fontId="8" fillId="0" borderId="167" xfId="0" applyNumberFormat="1" applyFont="1" applyFill="1" applyBorder="1" applyAlignment="1">
      <alignment horizontal="center" vertical="center"/>
    </xf>
    <xf numFmtId="172" fontId="8" fillId="0" borderId="168" xfId="0" applyNumberFormat="1" applyFont="1" applyFill="1" applyBorder="1" applyAlignment="1">
      <alignment horizontal="center" vertical="center"/>
    </xf>
    <xf numFmtId="0" fontId="8" fillId="0" borderId="168" xfId="0" applyFont="1" applyFill="1" applyBorder="1" applyAlignment="1">
      <alignment horizontal="center" vertical="center"/>
    </xf>
    <xf numFmtId="173" fontId="8" fillId="0" borderId="169" xfId="0" applyNumberFormat="1" applyFont="1" applyFill="1" applyBorder="1" applyAlignment="1">
      <alignment horizontal="center" vertical="center"/>
    </xf>
    <xf numFmtId="172" fontId="8" fillId="0" borderId="179" xfId="0" applyNumberFormat="1" applyFont="1" applyFill="1" applyBorder="1" applyAlignment="1">
      <alignment horizontal="center" vertical="center"/>
    </xf>
    <xf numFmtId="2" fontId="8" fillId="0" borderId="162" xfId="0" applyNumberFormat="1" applyFont="1" applyFill="1" applyBorder="1" applyAlignment="1">
      <alignment horizontal="center" vertical="center"/>
    </xf>
    <xf numFmtId="2" fontId="8" fillId="0" borderId="167" xfId="0" applyNumberFormat="1" applyFont="1" applyFill="1" applyBorder="1" applyAlignment="1">
      <alignment horizontal="center" vertical="center"/>
    </xf>
    <xf numFmtId="173" fontId="8" fillId="0" borderId="180" xfId="0" applyNumberFormat="1" applyFont="1" applyFill="1" applyBorder="1" applyAlignment="1">
      <alignment horizontal="center" vertical="center"/>
    </xf>
    <xf numFmtId="0" fontId="8" fillId="0" borderId="167" xfId="0" applyFont="1" applyFill="1" applyBorder="1" applyAlignment="1">
      <alignment horizontal="center" vertical="center"/>
    </xf>
    <xf numFmtId="0" fontId="8" fillId="0" borderId="169" xfId="0" applyFont="1" applyFill="1" applyBorder="1" applyAlignment="1">
      <alignment horizontal="center" vertical="center"/>
    </xf>
    <xf numFmtId="0" fontId="8" fillId="0" borderId="179" xfId="0" applyFont="1" applyFill="1" applyBorder="1" applyAlignment="1">
      <alignment horizontal="center" vertical="center"/>
    </xf>
    <xf numFmtId="4" fontId="8" fillId="0" borderId="168" xfId="0" applyNumberFormat="1" applyFont="1" applyFill="1" applyBorder="1" applyAlignment="1">
      <alignment horizontal="center" vertical="center"/>
    </xf>
    <xf numFmtId="0" fontId="8" fillId="0" borderId="180" xfId="0" applyFont="1" applyFill="1" applyBorder="1" applyAlignment="1">
      <alignment horizontal="center" vertical="center"/>
    </xf>
    <xf numFmtId="2" fontId="8" fillId="0" borderId="180" xfId="0" applyNumberFormat="1" applyFont="1" applyFill="1" applyBorder="1" applyAlignment="1">
      <alignment horizontal="center" vertical="center"/>
    </xf>
    <xf numFmtId="172" fontId="8" fillId="0" borderId="180" xfId="0" applyNumberFormat="1" applyFont="1" applyFill="1" applyBorder="1" applyAlignment="1">
      <alignment horizontal="center" vertical="center"/>
    </xf>
    <xf numFmtId="173" fontId="8" fillId="0" borderId="168" xfId="0" applyNumberFormat="1" applyFont="1" applyFill="1" applyBorder="1" applyAlignment="1">
      <alignment horizontal="center" vertical="center"/>
    </xf>
    <xf numFmtId="0" fontId="8" fillId="0" borderId="180" xfId="0" applyFont="1" applyFill="1" applyBorder="1" applyAlignment="1">
      <alignment vertical="center"/>
    </xf>
    <xf numFmtId="2" fontId="8" fillId="0" borderId="169" xfId="0" applyNumberFormat="1" applyFont="1" applyFill="1" applyBorder="1" applyAlignment="1">
      <alignment horizontal="right" vertical="center"/>
    </xf>
    <xf numFmtId="173" fontId="8" fillId="0" borderId="167" xfId="0" applyNumberFormat="1" applyFont="1" applyFill="1" applyBorder="1" applyAlignment="1">
      <alignment vertical="center"/>
    </xf>
    <xf numFmtId="173" fontId="8" fillId="0" borderId="168" xfId="0" applyNumberFormat="1" applyFont="1" applyFill="1" applyBorder="1" applyAlignment="1">
      <alignment vertical="center"/>
    </xf>
    <xf numFmtId="173" fontId="8" fillId="0" borderId="169" xfId="0" applyNumberFormat="1" applyFont="1" applyFill="1" applyBorder="1" applyAlignment="1">
      <alignment vertical="center"/>
    </xf>
    <xf numFmtId="173" fontId="8" fillId="0" borderId="179" xfId="0" applyNumberFormat="1" applyFont="1" applyFill="1" applyBorder="1" applyAlignment="1">
      <alignment vertical="center"/>
    </xf>
    <xf numFmtId="173" fontId="8" fillId="0" borderId="162" xfId="0" applyNumberFormat="1" applyFont="1" applyFill="1" applyBorder="1" applyAlignment="1">
      <alignment vertical="center"/>
    </xf>
    <xf numFmtId="0" fontId="8" fillId="0" borderId="169" xfId="0" applyFont="1" applyFill="1" applyBorder="1" applyAlignment="1">
      <alignment vertical="center"/>
    </xf>
    <xf numFmtId="173" fontId="8" fillId="0" borderId="179" xfId="0" applyNumberFormat="1" applyFont="1" applyFill="1" applyBorder="1" applyAlignment="1">
      <alignment horizontal="right" vertical="center"/>
    </xf>
    <xf numFmtId="173" fontId="8" fillId="0" borderId="168" xfId="2363" applyNumberFormat="1" applyFont="1" applyFill="1" applyBorder="1" applyAlignment="1">
      <alignment horizontal="right" vertical="center"/>
    </xf>
    <xf numFmtId="173" fontId="8" fillId="0" borderId="168" xfId="0" applyNumberFormat="1" applyFont="1" applyFill="1" applyBorder="1" applyAlignment="1">
      <alignment horizontal="right" vertical="center"/>
    </xf>
    <xf numFmtId="0" fontId="2" fillId="0" borderId="168" xfId="2028" applyFont="1" applyFill="1" applyBorder="1" applyAlignment="1">
      <alignment vertical="center" wrapText="1"/>
    </xf>
    <xf numFmtId="2" fontId="2" fillId="0" borderId="168" xfId="2028" applyNumberFormat="1" applyFont="1" applyFill="1" applyBorder="1" applyAlignment="1">
      <alignment horizontal="center" vertical="center" wrapText="1"/>
    </xf>
    <xf numFmtId="1" fontId="2" fillId="0" borderId="168" xfId="2028" applyNumberFormat="1" applyFont="1" applyFill="1" applyBorder="1" applyAlignment="1">
      <alignment horizontal="center" vertical="center" wrapText="1"/>
    </xf>
    <xf numFmtId="2" fontId="8" fillId="0" borderId="179" xfId="0" applyNumberFormat="1" applyFont="1" applyFill="1" applyBorder="1" applyAlignment="1">
      <alignment horizontal="right" vertical="center"/>
    </xf>
    <xf numFmtId="2" fontId="8" fillId="0" borderId="167" xfId="0" applyNumberFormat="1" applyFont="1" applyFill="1" applyBorder="1"/>
    <xf numFmtId="2" fontId="8" fillId="0" borderId="179" xfId="0" applyNumberFormat="1" applyFont="1" applyFill="1" applyBorder="1"/>
    <xf numFmtId="167" fontId="8" fillId="0" borderId="168" xfId="2363" applyFont="1" applyFill="1" applyBorder="1" applyAlignment="1">
      <alignment horizontal="right" vertical="center"/>
    </xf>
    <xf numFmtId="2" fontId="2" fillId="0" borderId="168" xfId="2363" applyNumberFormat="1" applyFont="1" applyFill="1" applyBorder="1" applyAlignment="1">
      <alignment horizontal="center" vertical="center" wrapText="1"/>
    </xf>
    <xf numFmtId="2" fontId="8" fillId="0" borderId="180" xfId="2363" applyNumberFormat="1" applyFont="1" applyFill="1" applyBorder="1"/>
    <xf numFmtId="167" fontId="8" fillId="0" borderId="169" xfId="2363" applyFont="1" applyFill="1" applyBorder="1"/>
    <xf numFmtId="171" fontId="8" fillId="0" borderId="168" xfId="2363" applyNumberFormat="1" applyFont="1" applyFill="1" applyBorder="1" applyAlignment="1">
      <alignment vertical="center"/>
    </xf>
    <xf numFmtId="2" fontId="8" fillId="0" borderId="167" xfId="0" applyNumberFormat="1" applyFont="1" applyFill="1" applyBorder="1" applyAlignment="1">
      <alignment horizontal="right" vertical="center" wrapText="1"/>
    </xf>
    <xf numFmtId="2" fontId="8" fillId="0" borderId="168" xfId="0" applyNumberFormat="1" applyFont="1" applyFill="1" applyBorder="1" applyAlignment="1">
      <alignment horizontal="right" vertical="center" wrapText="1"/>
    </xf>
    <xf numFmtId="2" fontId="8" fillId="0" borderId="169" xfId="0" applyNumberFormat="1" applyFont="1" applyFill="1" applyBorder="1" applyAlignment="1">
      <alignment horizontal="right" vertical="center" wrapText="1"/>
    </xf>
    <xf numFmtId="2" fontId="8" fillId="0" borderId="179" xfId="0" applyNumberFormat="1" applyFont="1" applyFill="1" applyBorder="1" applyAlignment="1">
      <alignment horizontal="right" vertical="center" wrapText="1"/>
    </xf>
    <xf numFmtId="172" fontId="8" fillId="0" borderId="168" xfId="0" applyNumberFormat="1" applyFont="1" applyFill="1" applyBorder="1" applyAlignment="1">
      <alignment vertical="center"/>
    </xf>
    <xf numFmtId="2" fontId="8" fillId="0" borderId="169" xfId="0" applyNumberFormat="1" applyFont="1" applyFill="1" applyBorder="1" applyAlignment="1">
      <alignment vertical="center"/>
    </xf>
    <xf numFmtId="173" fontId="8" fillId="0" borderId="180" xfId="0" applyNumberFormat="1" applyFont="1" applyFill="1" applyBorder="1" applyAlignment="1">
      <alignment vertical="center"/>
    </xf>
    <xf numFmtId="0" fontId="8" fillId="0" borderId="179" xfId="0" applyFont="1" applyFill="1" applyBorder="1" applyAlignment="1">
      <alignment vertical="center"/>
    </xf>
    <xf numFmtId="167" fontId="8" fillId="0" borderId="168" xfId="2363" applyFont="1" applyFill="1" applyBorder="1" applyAlignment="1">
      <alignment vertical="center"/>
    </xf>
    <xf numFmtId="2" fontId="8" fillId="0" borderId="180" xfId="0" applyNumberFormat="1" applyFont="1" applyFill="1" applyBorder="1" applyAlignment="1">
      <alignment vertical="center"/>
    </xf>
    <xf numFmtId="172" fontId="8" fillId="0" borderId="180" xfId="0" applyNumberFormat="1" applyFont="1" applyFill="1" applyBorder="1" applyAlignment="1">
      <alignment vertical="center"/>
    </xf>
    <xf numFmtId="2" fontId="142" fillId="0" borderId="168" xfId="0" applyNumberFormat="1" applyFont="1" applyFill="1" applyBorder="1" applyAlignment="1">
      <alignment vertical="center"/>
    </xf>
    <xf numFmtId="0" fontId="158" fillId="0" borderId="180" xfId="0" applyFont="1" applyFill="1" applyBorder="1"/>
    <xf numFmtId="0" fontId="8" fillId="0" borderId="167" xfId="0" applyFont="1" applyFill="1" applyBorder="1" applyAlignment="1">
      <alignment horizontal="center"/>
    </xf>
    <xf numFmtId="0" fontId="8" fillId="0" borderId="168" xfId="0" applyFont="1" applyFill="1" applyBorder="1" applyAlignment="1">
      <alignment horizontal="center"/>
    </xf>
    <xf numFmtId="0" fontId="8" fillId="0" borderId="179" xfId="0" applyFont="1" applyFill="1" applyBorder="1" applyAlignment="1">
      <alignment horizontal="center"/>
    </xf>
    <xf numFmtId="0" fontId="2" fillId="0" borderId="180" xfId="0" applyFont="1" applyFill="1" applyBorder="1" applyAlignment="1">
      <alignment horizontal="center" wrapText="1"/>
    </xf>
    <xf numFmtId="2" fontId="8" fillId="0" borderId="179" xfId="0" applyNumberFormat="1" applyFont="1" applyFill="1" applyBorder="1" applyAlignment="1">
      <alignment horizontal="right"/>
    </xf>
    <xf numFmtId="172" fontId="8" fillId="0" borderId="168" xfId="0" applyNumberFormat="1" applyFont="1" applyFill="1" applyBorder="1" applyAlignment="1">
      <alignment horizontal="center"/>
    </xf>
    <xf numFmtId="0" fontId="8" fillId="0" borderId="169" xfId="0" applyFont="1" applyFill="1" applyBorder="1" applyAlignment="1"/>
    <xf numFmtId="4" fontId="8" fillId="0" borderId="168" xfId="0" applyNumberFormat="1" applyFont="1" applyFill="1" applyBorder="1"/>
    <xf numFmtId="4" fontId="8" fillId="0" borderId="167" xfId="0" applyNumberFormat="1" applyFont="1" applyFill="1" applyBorder="1"/>
    <xf numFmtId="4" fontId="8" fillId="0" borderId="179" xfId="0" applyNumberFormat="1" applyFont="1" applyFill="1" applyBorder="1"/>
    <xf numFmtId="171" fontId="8" fillId="0" borderId="168" xfId="2363" applyNumberFormat="1" applyFont="1" applyFill="1" applyBorder="1"/>
    <xf numFmtId="2" fontId="8" fillId="0" borderId="169" xfId="2363" applyNumberFormat="1" applyFont="1" applyFill="1" applyBorder="1" applyAlignment="1">
      <alignment horizontal="right" vertical="center"/>
    </xf>
    <xf numFmtId="2" fontId="8" fillId="0" borderId="168" xfId="2363" applyNumberFormat="1" applyFont="1" applyFill="1" applyBorder="1" applyAlignment="1">
      <alignment vertical="center"/>
    </xf>
    <xf numFmtId="173" fontId="8" fillId="0" borderId="167" xfId="2363" applyNumberFormat="1" applyFont="1" applyFill="1" applyBorder="1" applyAlignment="1">
      <alignment horizontal="right" vertical="center"/>
    </xf>
    <xf numFmtId="2" fontId="8" fillId="0" borderId="169" xfId="2363" applyNumberFormat="1" applyFont="1" applyFill="1" applyBorder="1" applyAlignment="1">
      <alignment horizontal="center" vertical="center"/>
    </xf>
    <xf numFmtId="167" fontId="8" fillId="0" borderId="168" xfId="2363" applyFont="1" applyFill="1" applyBorder="1" applyAlignment="1">
      <alignment horizontal="center" vertical="center"/>
    </xf>
    <xf numFmtId="173" fontId="8" fillId="0" borderId="162" xfId="0" applyNumberFormat="1" applyFont="1" applyFill="1" applyBorder="1" applyAlignment="1">
      <alignment horizontal="center" vertical="center"/>
    </xf>
    <xf numFmtId="173" fontId="8" fillId="0" borderId="167" xfId="0" applyNumberFormat="1" applyFont="1" applyFill="1" applyBorder="1" applyAlignment="1">
      <alignment horizontal="center" vertical="center"/>
    </xf>
    <xf numFmtId="4" fontId="8" fillId="0" borderId="169" xfId="0" applyNumberFormat="1" applyFont="1" applyFill="1" applyBorder="1"/>
    <xf numFmtId="173" fontId="8" fillId="0" borderId="167" xfId="2363" applyNumberFormat="1" applyFont="1" applyFill="1" applyBorder="1"/>
    <xf numFmtId="173" fontId="8" fillId="0" borderId="179" xfId="2363" applyNumberFormat="1" applyFont="1" applyFill="1" applyBorder="1"/>
    <xf numFmtId="1" fontId="2" fillId="0" borderId="168" xfId="2363" applyNumberFormat="1" applyFont="1" applyFill="1" applyBorder="1" applyAlignment="1">
      <alignment horizontal="center" vertical="center" wrapText="1"/>
    </xf>
    <xf numFmtId="2" fontId="2" fillId="0" borderId="162" xfId="2363" applyNumberFormat="1" applyFont="1" applyFill="1" applyBorder="1" applyAlignment="1">
      <alignment horizontal="center" vertical="center" wrapText="1"/>
    </xf>
    <xf numFmtId="172" fontId="8" fillId="0" borderId="168" xfId="0" applyNumberFormat="1" applyFont="1" applyFill="1" applyBorder="1"/>
    <xf numFmtId="2" fontId="8" fillId="0" borderId="167" xfId="0" applyNumberFormat="1" applyFont="1" applyFill="1" applyBorder="1" applyAlignment="1">
      <alignment vertical="center"/>
    </xf>
    <xf numFmtId="167" fontId="2" fillId="0" borderId="168" xfId="2363" applyFont="1" applyFill="1" applyBorder="1" applyAlignment="1">
      <alignment vertical="center" wrapText="1"/>
    </xf>
    <xf numFmtId="205" fontId="8" fillId="0" borderId="168" xfId="0" applyNumberFormat="1" applyFont="1" applyFill="1" applyBorder="1"/>
    <xf numFmtId="173" fontId="8" fillId="0" borderId="168" xfId="2363" applyNumberFormat="1" applyFont="1" applyFill="1" applyBorder="1" applyAlignment="1">
      <alignment vertical="center"/>
    </xf>
    <xf numFmtId="211" fontId="8" fillId="0" borderId="168" xfId="0" applyNumberFormat="1" applyFont="1" applyFill="1" applyBorder="1" applyAlignment="1">
      <alignment vertical="center"/>
    </xf>
    <xf numFmtId="0" fontId="158" fillId="0" borderId="180" xfId="0" applyFont="1" applyFill="1" applyBorder="1" applyAlignment="1">
      <alignment vertical="center"/>
    </xf>
    <xf numFmtId="2" fontId="8" fillId="0" borderId="180" xfId="0" applyNumberFormat="1" applyFont="1" applyFill="1" applyBorder="1" applyAlignment="1">
      <alignment horizontal="right" vertical="center"/>
    </xf>
    <xf numFmtId="172" fontId="8" fillId="0" borderId="169" xfId="0" applyNumberFormat="1" applyFont="1" applyFill="1" applyBorder="1"/>
    <xf numFmtId="172" fontId="8" fillId="0" borderId="167" xfId="0" applyNumberFormat="1" applyFont="1" applyFill="1" applyBorder="1"/>
    <xf numFmtId="172" fontId="8" fillId="0" borderId="179" xfId="0" applyNumberFormat="1" applyFont="1" applyFill="1" applyBorder="1"/>
    <xf numFmtId="2" fontId="8" fillId="0" borderId="162" xfId="0" applyNumberFormat="1" applyFont="1" applyFill="1" applyBorder="1"/>
    <xf numFmtId="211" fontId="8" fillId="0" borderId="167" xfId="0" applyNumberFormat="1" applyFont="1" applyFill="1" applyBorder="1" applyAlignment="1">
      <alignment vertical="center"/>
    </xf>
    <xf numFmtId="173" fontId="8" fillId="0" borderId="180" xfId="0" applyNumberFormat="1" applyFont="1" applyFill="1" applyBorder="1" applyAlignment="1">
      <alignment horizontal="right" vertical="center"/>
    </xf>
    <xf numFmtId="173" fontId="137" fillId="0" borderId="168" xfId="0" applyNumberFormat="1" applyFont="1" applyFill="1" applyBorder="1" applyAlignment="1">
      <alignment vertical="center"/>
    </xf>
    <xf numFmtId="166" fontId="2" fillId="0" borderId="168" xfId="1751" applyFont="1" applyFill="1" applyBorder="1" applyAlignment="1">
      <alignment vertical="center" wrapText="1"/>
    </xf>
    <xf numFmtId="216" fontId="2" fillId="0" borderId="168" xfId="2363" applyNumberFormat="1" applyFont="1" applyFill="1" applyBorder="1" applyAlignment="1">
      <alignment vertical="center" wrapText="1"/>
    </xf>
    <xf numFmtId="0" fontId="2" fillId="0" borderId="179" xfId="2028" applyFont="1" applyFill="1" applyBorder="1" applyAlignment="1">
      <alignment horizontal="center" vertical="center" wrapText="1"/>
    </xf>
    <xf numFmtId="2" fontId="145" fillId="0" borderId="169" xfId="0" applyNumberFormat="1" applyFont="1" applyFill="1" applyBorder="1" applyAlignment="1">
      <alignment horizontal="right"/>
    </xf>
    <xf numFmtId="1" fontId="8" fillId="0" borderId="168" xfId="0" applyNumberFormat="1" applyFont="1" applyFill="1" applyBorder="1"/>
    <xf numFmtId="0" fontId="8" fillId="0" borderId="168" xfId="0" applyFont="1" applyFill="1" applyBorder="1" applyAlignment="1">
      <alignment horizontal="right" vertical="center"/>
    </xf>
    <xf numFmtId="0" fontId="8" fillId="0" borderId="167" xfId="0" applyFont="1" applyFill="1" applyBorder="1" applyAlignment="1">
      <alignment horizontal="right" vertical="center"/>
    </xf>
    <xf numFmtId="0" fontId="8" fillId="0" borderId="169" xfId="0" applyFont="1" applyFill="1" applyBorder="1" applyAlignment="1">
      <alignment horizontal="right" vertical="center"/>
    </xf>
    <xf numFmtId="0" fontId="8" fillId="0" borderId="179" xfId="0" applyFont="1" applyFill="1" applyBorder="1" applyAlignment="1">
      <alignment horizontal="right" vertical="center"/>
    </xf>
    <xf numFmtId="0" fontId="8" fillId="0" borderId="180" xfId="0" applyFont="1" applyFill="1" applyBorder="1" applyAlignment="1">
      <alignment horizontal="right" vertical="center"/>
    </xf>
    <xf numFmtId="172" fontId="8" fillId="0" borderId="180" xfId="0" applyNumberFormat="1" applyFont="1" applyFill="1" applyBorder="1" applyAlignment="1">
      <alignment horizontal="right" vertical="center"/>
    </xf>
    <xf numFmtId="171" fontId="8" fillId="0" borderId="168" xfId="2363" applyNumberFormat="1" applyFont="1" applyFill="1" applyBorder="1" applyAlignment="1">
      <alignment horizontal="right" vertical="center"/>
    </xf>
    <xf numFmtId="2" fontId="142" fillId="0" borderId="168" xfId="0" applyNumberFormat="1" applyFont="1" applyFill="1" applyBorder="1" applyAlignment="1">
      <alignment horizontal="right" vertical="center"/>
    </xf>
    <xf numFmtId="0" fontId="2" fillId="0" borderId="168" xfId="2028" applyNumberFormat="1" applyFont="1" applyFill="1" applyBorder="1" applyAlignment="1">
      <alignment horizontal="center" vertical="center" wrapText="1"/>
    </xf>
    <xf numFmtId="2" fontId="2" fillId="0" borderId="162" xfId="2028" applyNumberFormat="1" applyFont="1" applyFill="1" applyBorder="1" applyAlignment="1">
      <alignment horizontal="center" vertical="center" wrapText="1"/>
    </xf>
    <xf numFmtId="2" fontId="8" fillId="0" borderId="179" xfId="0" applyNumberFormat="1" applyFont="1" applyFill="1" applyBorder="1" applyAlignment="1">
      <alignment horizontal="center" vertical="center" wrapText="1"/>
    </xf>
    <xf numFmtId="2" fontId="8" fillId="0" borderId="168" xfId="0" applyNumberFormat="1" applyFont="1" applyFill="1" applyBorder="1" applyAlignment="1">
      <alignment horizontal="center" vertical="center" wrapText="1"/>
    </xf>
    <xf numFmtId="167" fontId="8" fillId="0" borderId="169" xfId="2363" applyFont="1" applyFill="1" applyBorder="1" applyAlignment="1">
      <alignment vertical="center"/>
    </xf>
    <xf numFmtId="172" fontId="8" fillId="0" borderId="169" xfId="0" applyNumberFormat="1" applyFont="1" applyFill="1" applyBorder="1" applyAlignment="1">
      <alignment vertical="center"/>
    </xf>
    <xf numFmtId="0" fontId="8" fillId="62" borderId="180" xfId="0" applyFont="1" applyFill="1" applyBorder="1"/>
    <xf numFmtId="0" fontId="8" fillId="92" borderId="168" xfId="0" applyFont="1" applyFill="1" applyBorder="1"/>
    <xf numFmtId="215" fontId="8" fillId="92" borderId="168" xfId="0" applyNumberFormat="1" applyFont="1" applyFill="1" applyBorder="1"/>
    <xf numFmtId="0" fontId="8" fillId="55" borderId="168" xfId="0" applyFont="1" applyFill="1" applyBorder="1"/>
    <xf numFmtId="0" fontId="8" fillId="62" borderId="168" xfId="0" applyFont="1" applyFill="1" applyBorder="1"/>
    <xf numFmtId="2" fontId="8" fillId="62" borderId="180" xfId="0" applyNumberFormat="1" applyFont="1" applyFill="1" applyBorder="1"/>
    <xf numFmtId="0" fontId="8" fillId="88" borderId="168" xfId="0" applyFont="1" applyFill="1" applyBorder="1"/>
    <xf numFmtId="167" fontId="8" fillId="63" borderId="168" xfId="2363" applyFont="1" applyFill="1" applyBorder="1"/>
    <xf numFmtId="167" fontId="8" fillId="55" borderId="168" xfId="2363" applyFont="1" applyFill="1" applyBorder="1"/>
    <xf numFmtId="1" fontId="8" fillId="0" borderId="168" xfId="0" applyNumberFormat="1" applyFont="1" applyFill="1" applyBorder="1" applyAlignment="1">
      <alignment vertical="center"/>
    </xf>
    <xf numFmtId="0" fontId="8" fillId="62" borderId="180" xfId="0" applyFont="1" applyFill="1" applyBorder="1" applyAlignment="1">
      <alignment vertical="center"/>
    </xf>
    <xf numFmtId="0" fontId="8" fillId="92" borderId="168" xfId="0" applyFont="1" applyFill="1" applyBorder="1" applyAlignment="1">
      <alignment vertical="center"/>
    </xf>
    <xf numFmtId="0" fontId="8" fillId="62" borderId="168" xfId="0" applyFont="1" applyFill="1" applyBorder="1" applyAlignment="1">
      <alignment vertical="center"/>
    </xf>
    <xf numFmtId="0" fontId="8" fillId="88" borderId="168" xfId="0" applyFont="1" applyFill="1" applyBorder="1" applyAlignment="1">
      <alignment vertical="center"/>
    </xf>
    <xf numFmtId="167" fontId="8" fillId="0" borderId="167" xfId="2363" applyFont="1" applyFill="1" applyBorder="1" applyAlignment="1">
      <alignment vertical="center"/>
    </xf>
    <xf numFmtId="4" fontId="8" fillId="0" borderId="168" xfId="0" applyNumberFormat="1" applyFont="1" applyFill="1" applyBorder="1" applyAlignment="1">
      <alignment vertical="center"/>
    </xf>
    <xf numFmtId="167" fontId="8" fillId="0" borderId="169" xfId="2363" applyFont="1" applyFill="1" applyBorder="1" applyAlignment="1">
      <alignment horizontal="right" vertical="center"/>
    </xf>
    <xf numFmtId="167" fontId="8" fillId="0" borderId="179" xfId="2363" applyFont="1" applyFill="1" applyBorder="1" applyAlignment="1">
      <alignment vertical="center"/>
    </xf>
    <xf numFmtId="167" fontId="8" fillId="0" borderId="162" xfId="2363" applyFont="1" applyFill="1" applyBorder="1" applyAlignment="1">
      <alignment vertical="center"/>
    </xf>
    <xf numFmtId="167" fontId="8" fillId="92" borderId="168" xfId="2363" applyFont="1" applyFill="1" applyBorder="1" applyAlignment="1">
      <alignment vertical="center"/>
    </xf>
    <xf numFmtId="0" fontId="8" fillId="55" borderId="168" xfId="0" applyFont="1" applyFill="1" applyBorder="1" applyAlignment="1">
      <alignment vertical="center"/>
    </xf>
    <xf numFmtId="167" fontId="8" fillId="63" borderId="168" xfId="2363" applyFont="1" applyFill="1" applyBorder="1" applyAlignment="1">
      <alignment vertical="center"/>
    </xf>
    <xf numFmtId="167" fontId="8" fillId="90" borderId="168" xfId="2363" applyFont="1" applyFill="1" applyBorder="1"/>
    <xf numFmtId="215" fontId="8" fillId="0" borderId="168" xfId="0" applyNumberFormat="1" applyFont="1" applyFill="1" applyBorder="1"/>
    <xf numFmtId="211" fontId="8" fillId="0" borderId="168" xfId="0" applyNumberFormat="1" applyFont="1" applyFill="1" applyBorder="1"/>
    <xf numFmtId="0" fontId="2" fillId="0" borderId="180" xfId="2028" applyFont="1" applyFill="1" applyBorder="1" applyAlignment="1">
      <alignment horizontal="center" vertical="center" wrapText="1"/>
    </xf>
    <xf numFmtId="0" fontId="2" fillId="0" borderId="180" xfId="2028" applyFont="1" applyFill="1" applyBorder="1" applyAlignment="1">
      <alignment wrapText="1"/>
    </xf>
    <xf numFmtId="167" fontId="2" fillId="0" borderId="180" xfId="2363" applyFont="1" applyFill="1" applyBorder="1"/>
    <xf numFmtId="0" fontId="8" fillId="58" borderId="180" xfId="0" applyFont="1" applyFill="1" applyBorder="1"/>
    <xf numFmtId="0" fontId="2" fillId="0" borderId="180" xfId="0" applyFont="1" applyFill="1" applyBorder="1"/>
    <xf numFmtId="167" fontId="8" fillId="58" borderId="180" xfId="0" applyNumberFormat="1" applyFont="1" applyFill="1" applyBorder="1"/>
    <xf numFmtId="173" fontId="8" fillId="92" borderId="180" xfId="0" applyNumberFormat="1" applyFont="1" applyFill="1" applyBorder="1"/>
    <xf numFmtId="167" fontId="8" fillId="92" borderId="180" xfId="2363" applyFont="1" applyFill="1" applyBorder="1"/>
    <xf numFmtId="167" fontId="8" fillId="55" borderId="180" xfId="2363" applyFont="1" applyFill="1" applyBorder="1"/>
    <xf numFmtId="173" fontId="8" fillId="58" borderId="180" xfId="0" applyNumberFormat="1" applyFont="1" applyFill="1" applyBorder="1"/>
    <xf numFmtId="173" fontId="8" fillId="62" borderId="180" xfId="0" applyNumberFormat="1" applyFont="1" applyFill="1" applyBorder="1"/>
    <xf numFmtId="173" fontId="142" fillId="0" borderId="180" xfId="0" applyNumberFormat="1" applyFont="1" applyFill="1" applyBorder="1"/>
    <xf numFmtId="167" fontId="8" fillId="58" borderId="180" xfId="2363" applyFont="1" applyFill="1" applyBorder="1"/>
    <xf numFmtId="173" fontId="8" fillId="55" borderId="180" xfId="0" applyNumberFormat="1" applyFont="1" applyFill="1" applyBorder="1"/>
    <xf numFmtId="167" fontId="8" fillId="67" borderId="168" xfId="2363" applyFont="1" applyFill="1" applyBorder="1" applyAlignment="1">
      <alignment horizontal="right"/>
    </xf>
    <xf numFmtId="167" fontId="8" fillId="67" borderId="168" xfId="2363" applyFont="1" applyFill="1" applyBorder="1" applyAlignment="1"/>
    <xf numFmtId="214" fontId="8" fillId="62" borderId="180" xfId="0" applyNumberFormat="1" applyFont="1" applyFill="1" applyBorder="1"/>
    <xf numFmtId="0" fontId="8" fillId="55" borderId="180" xfId="0" applyFont="1" applyFill="1" applyBorder="1"/>
    <xf numFmtId="172" fontId="8" fillId="62" borderId="180" xfId="0" applyNumberFormat="1" applyFont="1" applyFill="1" applyBorder="1"/>
    <xf numFmtId="43" fontId="8" fillId="92" borderId="168" xfId="0" applyNumberFormat="1" applyFont="1" applyFill="1" applyBorder="1"/>
    <xf numFmtId="2" fontId="142" fillId="62" borderId="168" xfId="0" applyNumberFormat="1" applyFont="1" applyFill="1" applyBorder="1"/>
    <xf numFmtId="43" fontId="8" fillId="88" borderId="168" xfId="0" applyNumberFormat="1" applyFont="1" applyFill="1" applyBorder="1"/>
    <xf numFmtId="43" fontId="8" fillId="62" borderId="168" xfId="0" applyNumberFormat="1" applyFont="1" applyFill="1" applyBorder="1"/>
    <xf numFmtId="167" fontId="6" fillId="0" borderId="180" xfId="2363" applyFont="1" applyFill="1" applyBorder="1" applyAlignment="1">
      <alignment vertical="center"/>
    </xf>
    <xf numFmtId="167" fontId="8" fillId="0" borderId="180" xfId="2363" applyNumberFormat="1" applyFont="1" applyFill="1" applyBorder="1"/>
    <xf numFmtId="4" fontId="2" fillId="0" borderId="180" xfId="0" applyNumberFormat="1" applyFont="1" applyFill="1" applyBorder="1"/>
    <xf numFmtId="173" fontId="8" fillId="0" borderId="180" xfId="2363" applyNumberFormat="1" applyFont="1" applyFill="1" applyBorder="1"/>
    <xf numFmtId="213" fontId="4" fillId="0" borderId="180" xfId="2363" applyNumberFormat="1" applyFont="1" applyFill="1" applyBorder="1"/>
    <xf numFmtId="167" fontId="2" fillId="62" borderId="180" xfId="2363" applyFont="1" applyFill="1" applyBorder="1"/>
    <xf numFmtId="167" fontId="8" fillId="62" borderId="180" xfId="2363" applyFont="1" applyFill="1" applyBorder="1"/>
    <xf numFmtId="167" fontId="8" fillId="92" borderId="168" xfId="2363" applyFont="1" applyFill="1" applyBorder="1"/>
    <xf numFmtId="167" fontId="8" fillId="62" borderId="168" xfId="2363" applyFont="1" applyFill="1" applyBorder="1"/>
    <xf numFmtId="167" fontId="142" fillId="62" borderId="168" xfId="2363" applyFont="1" applyFill="1" applyBorder="1"/>
    <xf numFmtId="0" fontId="2" fillId="0" borderId="180" xfId="2028" applyFont="1" applyFill="1" applyBorder="1"/>
    <xf numFmtId="4" fontId="2" fillId="0" borderId="180" xfId="0" applyNumberFormat="1" applyFont="1" applyFill="1" applyBorder="1" applyAlignment="1">
      <alignment vertical="center"/>
    </xf>
    <xf numFmtId="167" fontId="8" fillId="0" borderId="180" xfId="0" applyNumberFormat="1" applyFont="1" applyFill="1" applyBorder="1"/>
    <xf numFmtId="167" fontId="8" fillId="62" borderId="180" xfId="0" applyNumberFormat="1" applyFont="1" applyFill="1" applyBorder="1"/>
    <xf numFmtId="0" fontId="142" fillId="62" borderId="168" xfId="0" applyFont="1" applyFill="1" applyBorder="1"/>
    <xf numFmtId="0" fontId="8" fillId="0" borderId="180" xfId="0" applyFont="1" applyFill="1" applyBorder="1" applyAlignment="1">
      <alignment horizontal="right"/>
    </xf>
    <xf numFmtId="2" fontId="137" fillId="62" borderId="168" xfId="0" applyNumberFormat="1" applyFont="1" applyFill="1" applyBorder="1"/>
    <xf numFmtId="2" fontId="5" fillId="62" borderId="168" xfId="0" applyNumberFormat="1" applyFont="1" applyFill="1" applyBorder="1"/>
    <xf numFmtId="2" fontId="137" fillId="92" borderId="168" xfId="0" applyNumberFormat="1" applyFont="1" applyFill="1" applyBorder="1"/>
    <xf numFmtId="2" fontId="143" fillId="62" borderId="168" xfId="0" applyNumberFormat="1" applyFont="1" applyFill="1" applyBorder="1"/>
    <xf numFmtId="2" fontId="8" fillId="62" borderId="168" xfId="0" applyNumberFormat="1" applyFont="1" applyFill="1" applyBorder="1"/>
    <xf numFmtId="167" fontId="8" fillId="62" borderId="168" xfId="0" applyNumberFormat="1" applyFont="1" applyFill="1" applyBorder="1"/>
    <xf numFmtId="167" fontId="144" fillId="62" borderId="168" xfId="0" applyNumberFormat="1" applyFont="1" applyFill="1" applyBorder="1"/>
    <xf numFmtId="2" fontId="144" fillId="62" borderId="168" xfId="0" applyNumberFormat="1" applyFont="1" applyFill="1" applyBorder="1"/>
    <xf numFmtId="0" fontId="2" fillId="0" borderId="148" xfId="2028" applyFont="1" applyFill="1" applyBorder="1"/>
    <xf numFmtId="0" fontId="0" fillId="0" borderId="148" xfId="0" applyBorder="1"/>
    <xf numFmtId="167" fontId="8" fillId="0" borderId="148" xfId="2363" applyNumberFormat="1" applyFont="1" applyFill="1" applyBorder="1"/>
    <xf numFmtId="43" fontId="8" fillId="0" borderId="148" xfId="0" applyNumberFormat="1" applyFont="1" applyFill="1" applyBorder="1"/>
    <xf numFmtId="0" fontId="8" fillId="62" borderId="148" xfId="0" applyFont="1" applyFill="1" applyBorder="1"/>
    <xf numFmtId="2" fontId="137" fillId="62" borderId="148" xfId="0" applyNumberFormat="1" applyFont="1" applyFill="1" applyBorder="1"/>
    <xf numFmtId="2" fontId="137" fillId="62" borderId="181" xfId="0" applyNumberFormat="1" applyFont="1" applyFill="1" applyBorder="1" applyAlignment="1">
      <alignment horizontal="center"/>
    </xf>
    <xf numFmtId="167" fontId="137" fillId="62" borderId="148" xfId="0" applyNumberFormat="1" applyFont="1" applyFill="1" applyBorder="1"/>
    <xf numFmtId="167" fontId="8" fillId="62" borderId="148" xfId="0" applyNumberFormat="1" applyFont="1" applyFill="1" applyBorder="1"/>
    <xf numFmtId="0" fontId="8" fillId="92" borderId="181" xfId="0" applyFont="1" applyFill="1" applyBorder="1"/>
    <xf numFmtId="2" fontId="8" fillId="92" borderId="181" xfId="0" applyNumberFormat="1" applyFont="1" applyFill="1" applyBorder="1"/>
    <xf numFmtId="0" fontId="8" fillId="55" borderId="181" xfId="0" applyFont="1" applyFill="1" applyBorder="1"/>
    <xf numFmtId="0" fontId="8" fillId="62" borderId="181" xfId="0" applyFont="1" applyFill="1" applyBorder="1"/>
    <xf numFmtId="2" fontId="8" fillId="62" borderId="181" xfId="0" applyNumberFormat="1" applyFont="1" applyFill="1" applyBorder="1"/>
    <xf numFmtId="215" fontId="8" fillId="62" borderId="181" xfId="0" applyNumberFormat="1" applyFont="1" applyFill="1" applyBorder="1"/>
    <xf numFmtId="0" fontId="142" fillId="62" borderId="181" xfId="0" applyFont="1" applyFill="1" applyBorder="1"/>
    <xf numFmtId="0" fontId="144" fillId="62" borderId="181" xfId="0" applyFont="1" applyFill="1" applyBorder="1"/>
    <xf numFmtId="215" fontId="144" fillId="62" borderId="181" xfId="0" applyNumberFormat="1" applyFont="1" applyFill="1" applyBorder="1"/>
    <xf numFmtId="167" fontId="8" fillId="62" borderId="181" xfId="0" applyNumberFormat="1" applyFont="1" applyFill="1" applyBorder="1"/>
    <xf numFmtId="172" fontId="144" fillId="62" borderId="181" xfId="0" applyNumberFormat="1" applyFont="1" applyFill="1" applyBorder="1"/>
    <xf numFmtId="0" fontId="154" fillId="0" borderId="0" xfId="0" applyFont="1" applyFill="1" applyBorder="1"/>
    <xf numFmtId="2" fontId="8" fillId="0" borderId="0" xfId="2363" applyNumberFormat="1" applyFont="1" applyFill="1" applyBorder="1"/>
    <xf numFmtId="0" fontId="158" fillId="0" borderId="0" xfId="0" applyFont="1" applyFill="1" applyBorder="1"/>
    <xf numFmtId="0" fontId="158" fillId="0" borderId="0" xfId="0" applyFont="1" applyFill="1" applyBorder="1" applyAlignment="1">
      <alignment vertical="center"/>
    </xf>
    <xf numFmtId="0" fontId="0" fillId="0" borderId="0" xfId="0" applyBorder="1"/>
    <xf numFmtId="217" fontId="8" fillId="88" borderId="168" xfId="2363" applyNumberFormat="1" applyFont="1" applyFill="1" applyBorder="1" applyAlignment="1">
      <alignment horizontal="center" vertical="center"/>
    </xf>
    <xf numFmtId="2" fontId="8" fillId="88" borderId="168" xfId="0" applyNumberFormat="1" applyFont="1" applyFill="1" applyBorder="1"/>
    <xf numFmtId="173" fontId="8" fillId="88" borderId="168" xfId="0" applyNumberFormat="1" applyFont="1" applyFill="1" applyBorder="1" applyAlignment="1">
      <alignment vertical="center"/>
    </xf>
    <xf numFmtId="167" fontId="8" fillId="88" borderId="168" xfId="2363" applyFont="1" applyFill="1" applyBorder="1" applyAlignment="1">
      <alignment vertical="center"/>
    </xf>
    <xf numFmtId="0" fontId="8" fillId="88" borderId="168" xfId="0" applyFont="1" applyFill="1" applyBorder="1" applyAlignment="1">
      <alignment horizontal="right" vertical="center"/>
    </xf>
    <xf numFmtId="173" fontId="8" fillId="88" borderId="180" xfId="0" applyNumberFormat="1" applyFont="1" applyFill="1" applyBorder="1"/>
    <xf numFmtId="167" fontId="8" fillId="88" borderId="168" xfId="2363" applyFont="1" applyFill="1" applyBorder="1"/>
    <xf numFmtId="2" fontId="137" fillId="88" borderId="168" xfId="0" applyNumberFormat="1" applyFont="1" applyFill="1" applyBorder="1"/>
    <xf numFmtId="0" fontId="8" fillId="88" borderId="181" xfId="0" applyFont="1" applyFill="1" applyBorder="1"/>
    <xf numFmtId="2" fontId="8" fillId="88" borderId="181" xfId="0" applyNumberFormat="1" applyFont="1" applyFill="1" applyBorder="1"/>
    <xf numFmtId="0" fontId="2" fillId="0" borderId="124" xfId="2028" applyFont="1" applyFill="1" applyBorder="1" applyAlignment="1">
      <alignment horizontal="center" vertical="center" wrapText="1"/>
    </xf>
    <xf numFmtId="173" fontId="8" fillId="0" borderId="124" xfId="0" applyNumberFormat="1" applyFont="1" applyFill="1" applyBorder="1"/>
    <xf numFmtId="167" fontId="8" fillId="0" borderId="182" xfId="2363" applyFont="1" applyFill="1" applyBorder="1"/>
    <xf numFmtId="167" fontId="2" fillId="0" borderId="124" xfId="2363" applyFont="1" applyFill="1" applyBorder="1"/>
    <xf numFmtId="167" fontId="8" fillId="0" borderId="124" xfId="2363" applyFont="1" applyFill="1" applyBorder="1"/>
    <xf numFmtId="172" fontId="8" fillId="0" borderId="124" xfId="0" applyNumberFormat="1" applyFont="1" applyFill="1" applyBorder="1"/>
    <xf numFmtId="43" fontId="8" fillId="0" borderId="124" xfId="0" applyNumberFormat="1" applyFont="1" applyFill="1" applyBorder="1"/>
    <xf numFmtId="0" fontId="8" fillId="62" borderId="124" xfId="0" applyFont="1" applyFill="1" applyBorder="1"/>
    <xf numFmtId="0" fontId="8" fillId="92" borderId="48" xfId="0" applyFont="1" applyFill="1" applyBorder="1"/>
    <xf numFmtId="0" fontId="8" fillId="55" borderId="48" xfId="0" applyFont="1" applyFill="1" applyBorder="1"/>
    <xf numFmtId="0" fontId="8" fillId="62" borderId="48" xfId="0" applyFont="1" applyFill="1" applyBorder="1"/>
    <xf numFmtId="0" fontId="2" fillId="0" borderId="70" xfId="2028" applyFont="1" applyFill="1" applyBorder="1" applyAlignment="1">
      <alignment horizontal="center" vertical="center" wrapText="1"/>
    </xf>
    <xf numFmtId="2" fontId="8" fillId="0" borderId="67" xfId="0" applyNumberFormat="1" applyFont="1" applyFill="1" applyBorder="1" applyAlignment="1">
      <alignment vertical="center"/>
    </xf>
    <xf numFmtId="0" fontId="8" fillId="0" borderId="70" xfId="0" applyFont="1" applyFill="1" applyBorder="1" applyAlignment="1">
      <alignment vertical="center"/>
    </xf>
    <xf numFmtId="2" fontId="8" fillId="0" borderId="70" xfId="0" applyNumberFormat="1" applyFont="1" applyFill="1" applyBorder="1" applyAlignment="1">
      <alignment vertical="center"/>
    </xf>
    <xf numFmtId="0" fontId="8" fillId="0" borderId="170" xfId="0" applyFont="1" applyFill="1" applyBorder="1" applyAlignment="1">
      <alignment vertical="center"/>
    </xf>
    <xf numFmtId="173" fontId="8" fillId="0" borderId="66" xfId="0" applyNumberFormat="1" applyFont="1" applyFill="1" applyBorder="1"/>
    <xf numFmtId="0" fontId="8" fillId="0" borderId="70" xfId="0" applyFont="1" applyFill="1" applyBorder="1"/>
    <xf numFmtId="0" fontId="2" fillId="0" borderId="70" xfId="0" applyFont="1" applyFill="1" applyBorder="1"/>
    <xf numFmtId="173" fontId="8" fillId="0" borderId="170" xfId="0" applyNumberFormat="1" applyFont="1" applyFill="1" applyBorder="1"/>
    <xf numFmtId="173" fontId="8" fillId="0" borderId="67" xfId="0" applyNumberFormat="1" applyFont="1" applyFill="1" applyBorder="1"/>
    <xf numFmtId="173" fontId="8" fillId="0" borderId="183" xfId="0" applyNumberFormat="1" applyFont="1" applyFill="1" applyBorder="1"/>
    <xf numFmtId="172" fontId="8" fillId="0" borderId="70" xfId="0" applyNumberFormat="1" applyFont="1" applyFill="1" applyBorder="1"/>
    <xf numFmtId="0" fontId="8" fillId="0" borderId="170" xfId="0" applyFont="1" applyFill="1" applyBorder="1"/>
    <xf numFmtId="173" fontId="8" fillId="0" borderId="150" xfId="0" applyNumberFormat="1" applyFont="1" applyFill="1" applyBorder="1"/>
    <xf numFmtId="0" fontId="8" fillId="0" borderId="66" xfId="0" applyFont="1" applyFill="1" applyBorder="1"/>
    <xf numFmtId="0" fontId="8" fillId="0" borderId="67" xfId="0" applyFont="1" applyFill="1" applyBorder="1"/>
    <xf numFmtId="2" fontId="8" fillId="0" borderId="70" xfId="0" applyNumberFormat="1" applyFont="1" applyFill="1" applyBorder="1"/>
    <xf numFmtId="0" fontId="8" fillId="0" borderId="150" xfId="0" applyFont="1" applyFill="1" applyBorder="1"/>
    <xf numFmtId="2" fontId="8" fillId="0" borderId="150" xfId="0" applyNumberFormat="1" applyFont="1" applyFill="1" applyBorder="1"/>
    <xf numFmtId="172" fontId="8" fillId="0" borderId="150" xfId="0" applyNumberFormat="1" applyFont="1" applyFill="1" applyBorder="1"/>
    <xf numFmtId="0" fontId="8" fillId="92" borderId="70" xfId="0" applyFont="1" applyFill="1" applyBorder="1"/>
    <xf numFmtId="0" fontId="8" fillId="55" borderId="70" xfId="0" applyFont="1" applyFill="1" applyBorder="1"/>
    <xf numFmtId="0" fontId="8" fillId="90" borderId="70" xfId="0" applyFont="1" applyFill="1" applyBorder="1"/>
    <xf numFmtId="0" fontId="2" fillId="0" borderId="124" xfId="2028" applyFont="1" applyFill="1" applyBorder="1" applyAlignment="1">
      <alignment wrapText="1"/>
    </xf>
    <xf numFmtId="0" fontId="158" fillId="0" borderId="180" xfId="0" applyFont="1" applyBorder="1"/>
    <xf numFmtId="0" fontId="158" fillId="0" borderId="0" xfId="0" applyFont="1" applyBorder="1"/>
    <xf numFmtId="2" fontId="142" fillId="62" borderId="168" xfId="0" applyNumberFormat="1" applyFont="1" applyFill="1" applyBorder="1" applyAlignment="1">
      <alignment vertical="center"/>
    </xf>
    <xf numFmtId="0" fontId="2" fillId="0" borderId="168" xfId="0" applyFont="1" applyFill="1" applyBorder="1" applyAlignment="1">
      <alignment horizontal="center" vertical="center" wrapText="1"/>
    </xf>
    <xf numFmtId="167" fontId="8" fillId="0" borderId="180" xfId="2363" applyFont="1" applyFill="1" applyBorder="1" applyAlignment="1">
      <alignment vertical="center"/>
    </xf>
    <xf numFmtId="2" fontId="8" fillId="0" borderId="66" xfId="0" applyNumberFormat="1" applyFont="1" applyFill="1" applyBorder="1" applyAlignment="1">
      <alignment horizontal="right" vertical="center"/>
    </xf>
    <xf numFmtId="0" fontId="8" fillId="0" borderId="70" xfId="0" applyFont="1" applyFill="1" applyBorder="1" applyAlignment="1">
      <alignment horizontal="right" vertical="center"/>
    </xf>
    <xf numFmtId="2" fontId="8" fillId="0" borderId="70" xfId="0" applyNumberFormat="1" applyFont="1" applyFill="1" applyBorder="1" applyAlignment="1">
      <alignment horizontal="right" vertical="center"/>
    </xf>
    <xf numFmtId="0" fontId="158" fillId="0" borderId="150" xfId="0" applyFont="1" applyBorder="1"/>
    <xf numFmtId="2" fontId="142" fillId="90" borderId="70" xfId="0" applyNumberFormat="1" applyFont="1" applyFill="1" applyBorder="1"/>
    <xf numFmtId="0" fontId="158" fillId="0" borderId="124" xfId="0" applyFont="1" applyFill="1" applyBorder="1"/>
    <xf numFmtId="2" fontId="142" fillId="62" borderId="48" xfId="0" applyNumberFormat="1" applyFont="1" applyFill="1" applyBorder="1"/>
    <xf numFmtId="0" fontId="8" fillId="67" borderId="6" xfId="0" applyFont="1" applyFill="1" applyBorder="1" applyAlignment="1">
      <alignment horizontal="center" vertical="center"/>
    </xf>
    <xf numFmtId="0" fontId="8" fillId="67" borderId="32" xfId="0" applyFont="1" applyFill="1" applyBorder="1" applyAlignment="1">
      <alignment vertical="center"/>
    </xf>
    <xf numFmtId="0" fontId="8" fillId="67" borderId="28" xfId="0" applyFont="1" applyFill="1" applyBorder="1" applyAlignment="1">
      <alignment vertical="center"/>
    </xf>
    <xf numFmtId="0" fontId="8" fillId="67" borderId="168" xfId="0" applyFont="1" applyFill="1" applyBorder="1"/>
    <xf numFmtId="173" fontId="8" fillId="67" borderId="168" xfId="0" applyNumberFormat="1" applyFont="1" applyFill="1" applyBorder="1"/>
    <xf numFmtId="4" fontId="8" fillId="67" borderId="168" xfId="0" applyNumberFormat="1" applyFont="1" applyFill="1" applyBorder="1" applyAlignment="1">
      <alignment horizontal="center" vertical="center"/>
    </xf>
    <xf numFmtId="173" fontId="8" fillId="67" borderId="168" xfId="0" applyNumberFormat="1" applyFont="1" applyFill="1" applyBorder="1" applyAlignment="1">
      <alignment horizontal="right" vertical="center"/>
    </xf>
    <xf numFmtId="167" fontId="8" fillId="67" borderId="168" xfId="2363" applyFont="1" applyFill="1" applyBorder="1" applyAlignment="1">
      <alignment vertical="center"/>
    </xf>
    <xf numFmtId="0" fontId="8" fillId="67" borderId="168" xfId="0" applyFont="1" applyFill="1" applyBorder="1" applyAlignment="1">
      <alignment vertical="center"/>
    </xf>
    <xf numFmtId="2" fontId="8" fillId="67" borderId="168" xfId="0" applyNumberFormat="1" applyFont="1" applyFill="1" applyBorder="1" applyAlignment="1">
      <alignment vertical="center"/>
    </xf>
    <xf numFmtId="0" fontId="8" fillId="67" borderId="168" xfId="0" applyFont="1" applyFill="1" applyBorder="1" applyAlignment="1">
      <alignment horizontal="center"/>
    </xf>
    <xf numFmtId="173" fontId="8" fillId="67" borderId="168" xfId="0" applyNumberFormat="1" applyFont="1" applyFill="1" applyBorder="1" applyAlignment="1">
      <alignment vertical="center"/>
    </xf>
    <xf numFmtId="2" fontId="8" fillId="67" borderId="168" xfId="0" applyNumberFormat="1" applyFont="1" applyFill="1" applyBorder="1"/>
    <xf numFmtId="167" fontId="8" fillId="67" borderId="168" xfId="2363" applyFont="1" applyFill="1" applyBorder="1" applyAlignment="1">
      <alignment horizontal="right" vertical="center"/>
    </xf>
    <xf numFmtId="0" fontId="8" fillId="67" borderId="70" xfId="0" applyFont="1" applyFill="1" applyBorder="1"/>
    <xf numFmtId="0" fontId="195" fillId="0" borderId="168" xfId="2028" applyFont="1" applyFill="1" applyBorder="1" applyAlignment="1">
      <alignment horizontal="center" vertical="center" wrapText="1"/>
    </xf>
    <xf numFmtId="0" fontId="8" fillId="0" borderId="168" xfId="2028" applyFont="1" applyFill="1" applyBorder="1" applyAlignment="1">
      <alignment horizontal="center" vertical="center" wrapText="1"/>
    </xf>
    <xf numFmtId="0" fontId="8" fillId="86" borderId="168" xfId="0" applyFont="1" applyFill="1" applyBorder="1"/>
    <xf numFmtId="171" fontId="8" fillId="86" borderId="179" xfId="2363" applyNumberFormat="1" applyFont="1" applyFill="1" applyBorder="1"/>
    <xf numFmtId="171" fontId="8" fillId="86" borderId="168" xfId="2363" applyNumberFormat="1" applyFont="1" applyFill="1" applyBorder="1"/>
    <xf numFmtId="214" fontId="8" fillId="86" borderId="168" xfId="0" applyNumberFormat="1" applyFont="1" applyFill="1" applyBorder="1"/>
    <xf numFmtId="0" fontId="136" fillId="0" borderId="0" xfId="0" applyFont="1" applyAlignment="1">
      <alignment horizontal="center" vertical="center"/>
    </xf>
    <xf numFmtId="2" fontId="8" fillId="0" borderId="179" xfId="2363" applyNumberFormat="1" applyFont="1" applyFill="1" applyBorder="1" applyAlignment="1">
      <alignment horizontal="center" vertical="center"/>
    </xf>
    <xf numFmtId="2" fontId="8" fillId="0" borderId="168" xfId="2363" applyNumberFormat="1" applyFont="1" applyFill="1" applyBorder="1" applyAlignment="1">
      <alignment horizontal="center" vertical="center"/>
    </xf>
    <xf numFmtId="173" fontId="8" fillId="0" borderId="168" xfId="0" applyNumberFormat="1" applyFont="1" applyFill="1" applyBorder="1" applyAlignment="1">
      <alignment horizontal="center"/>
    </xf>
    <xf numFmtId="173" fontId="8" fillId="67" borderId="168" xfId="0" applyNumberFormat="1" applyFont="1" applyFill="1" applyBorder="1" applyAlignment="1">
      <alignment horizontal="center"/>
    </xf>
    <xf numFmtId="1" fontId="8" fillId="0" borderId="168" xfId="0" applyNumberFormat="1" applyFont="1" applyFill="1" applyBorder="1" applyAlignment="1">
      <alignment horizontal="center" vertical="center"/>
    </xf>
    <xf numFmtId="224" fontId="8" fillId="0" borderId="169" xfId="0" applyNumberFormat="1" applyFont="1" applyFill="1" applyBorder="1" applyAlignment="1">
      <alignment vertical="center"/>
    </xf>
    <xf numFmtId="0" fontId="2" fillId="55" borderId="168" xfId="2028" applyFont="1" applyFill="1" applyBorder="1" applyAlignment="1">
      <alignment horizontal="center" vertical="center" wrapText="1"/>
    </xf>
    <xf numFmtId="2" fontId="8" fillId="88" borderId="168" xfId="0" applyNumberFormat="1" applyFont="1" applyFill="1" applyBorder="1" applyAlignment="1">
      <alignment vertical="center"/>
    </xf>
    <xf numFmtId="0" fontId="145" fillId="55" borderId="168" xfId="2028" applyFont="1" applyFill="1" applyBorder="1" applyAlignment="1">
      <alignment horizontal="center" vertical="center" wrapText="1"/>
    </xf>
    <xf numFmtId="0" fontId="2" fillId="55" borderId="162" xfId="2028" applyFont="1" applyFill="1" applyBorder="1" applyAlignment="1">
      <alignment horizontal="center" vertical="center" wrapText="1"/>
    </xf>
    <xf numFmtId="2" fontId="8" fillId="0" borderId="179" xfId="0" applyNumberFormat="1" applyFont="1" applyFill="1" applyBorder="1" applyAlignment="1">
      <alignment horizontal="center"/>
    </xf>
    <xf numFmtId="167" fontId="202" fillId="55" borderId="168" xfId="2363" applyFont="1" applyFill="1" applyBorder="1" applyAlignment="1">
      <alignment horizontal="center" vertical="center" wrapText="1"/>
    </xf>
    <xf numFmtId="0" fontId="202" fillId="55" borderId="168" xfId="2028" applyFont="1" applyFill="1" applyBorder="1" applyAlignment="1">
      <alignment horizontal="center" vertical="center" wrapText="1"/>
    </xf>
    <xf numFmtId="4" fontId="8" fillId="88" borderId="168" xfId="0" applyNumberFormat="1" applyFont="1" applyFill="1" applyBorder="1"/>
    <xf numFmtId="4" fontId="8" fillId="67" borderId="168" xfId="0" applyNumberFormat="1" applyFont="1" applyFill="1" applyBorder="1"/>
    <xf numFmtId="173" fontId="8" fillId="88" borderId="168" xfId="0" applyNumberFormat="1" applyFont="1" applyFill="1" applyBorder="1"/>
    <xf numFmtId="0" fontId="2" fillId="55" borderId="70" xfId="2028" applyFont="1" applyFill="1" applyBorder="1" applyAlignment="1">
      <alignment horizontal="center" vertical="center" wrapText="1"/>
    </xf>
    <xf numFmtId="0" fontId="2" fillId="55" borderId="183" xfId="2028" applyFont="1" applyFill="1" applyBorder="1" applyAlignment="1">
      <alignment horizontal="center" vertical="center" wrapText="1"/>
    </xf>
    <xf numFmtId="0" fontId="189" fillId="55" borderId="168" xfId="0" applyFont="1" applyFill="1" applyBorder="1" applyAlignment="1">
      <alignment horizontal="center" vertical="center"/>
    </xf>
    <xf numFmtId="4" fontId="0" fillId="0" borderId="6" xfId="0" applyNumberFormat="1" applyBorder="1" applyAlignment="1">
      <alignment vertical="center"/>
    </xf>
    <xf numFmtId="167" fontId="8" fillId="0" borderId="168" xfId="2363" applyNumberFormat="1" applyFont="1" applyFill="1" applyBorder="1" applyAlignment="1">
      <alignment vertical="center"/>
    </xf>
    <xf numFmtId="171" fontId="8" fillId="0" borderId="179" xfId="2363" applyNumberFormat="1" applyFont="1" applyFill="1" applyBorder="1" applyAlignment="1">
      <alignment vertical="center"/>
    </xf>
    <xf numFmtId="167" fontId="8" fillId="88" borderId="168" xfId="0" applyNumberFormat="1" applyFont="1" applyFill="1" applyBorder="1" applyAlignment="1">
      <alignment vertical="center"/>
    </xf>
    <xf numFmtId="43" fontId="8" fillId="88" borderId="168" xfId="0" applyNumberFormat="1" applyFont="1" applyFill="1" applyBorder="1" applyAlignment="1">
      <alignment vertical="center"/>
    </xf>
    <xf numFmtId="0" fontId="189" fillId="55" borderId="168" xfId="0" applyFont="1" applyFill="1" applyBorder="1" applyAlignment="1">
      <alignment horizontal="center"/>
    </xf>
    <xf numFmtId="0" fontId="2" fillId="58" borderId="160" xfId="2028" applyFont="1" applyFill="1" applyBorder="1" applyAlignment="1">
      <alignment horizontal="center" vertical="center" wrapText="1"/>
    </xf>
    <xf numFmtId="224" fontId="8" fillId="0" borderId="0" xfId="0" applyNumberFormat="1" applyFont="1" applyFill="1"/>
    <xf numFmtId="0" fontId="195" fillId="0" borderId="0" xfId="2028" applyFont="1" applyFill="1"/>
    <xf numFmtId="2" fontId="8" fillId="0" borderId="175" xfId="0" applyNumberFormat="1" applyFont="1" applyFill="1" applyBorder="1" applyAlignment="1">
      <alignment horizontal="right" vertical="center"/>
    </xf>
    <xf numFmtId="2" fontId="8" fillId="0" borderId="176" xfId="0" applyNumberFormat="1" applyFont="1" applyFill="1" applyBorder="1" applyAlignment="1">
      <alignment horizontal="right" vertical="center"/>
    </xf>
    <xf numFmtId="2" fontId="8" fillId="0" borderId="175" xfId="0" applyNumberFormat="1" applyFont="1" applyFill="1" applyBorder="1" applyAlignment="1">
      <alignment vertical="center"/>
    </xf>
    <xf numFmtId="2" fontId="8" fillId="0" borderId="176" xfId="0" applyNumberFormat="1" applyFont="1" applyFill="1" applyBorder="1" applyAlignment="1">
      <alignment vertical="center"/>
    </xf>
    <xf numFmtId="2" fontId="8" fillId="0" borderId="175" xfId="0" applyNumberFormat="1" applyFont="1" applyFill="1" applyBorder="1" applyAlignment="1">
      <alignment horizontal="right" vertical="center" wrapText="1"/>
    </xf>
    <xf numFmtId="2" fontId="8" fillId="0" borderId="176" xfId="0" applyNumberFormat="1" applyFont="1" applyFill="1" applyBorder="1" applyAlignment="1">
      <alignment horizontal="right" vertical="center" wrapText="1"/>
    </xf>
    <xf numFmtId="2" fontId="8" fillId="0" borderId="62" xfId="2363" applyNumberFormat="1" applyFont="1" applyFill="1" applyBorder="1" applyAlignment="1">
      <alignment horizontal="right" vertical="center"/>
    </xf>
    <xf numFmtId="2" fontId="8" fillId="0" borderId="48" xfId="2363" applyNumberFormat="1" applyFont="1" applyFill="1" applyBorder="1" applyAlignment="1">
      <alignment horizontal="right" vertical="center"/>
    </xf>
    <xf numFmtId="2" fontId="8" fillId="0" borderId="62" xfId="0" applyNumberFormat="1" applyFont="1" applyFill="1" applyBorder="1" applyAlignment="1">
      <alignment horizontal="right" vertical="center"/>
    </xf>
    <xf numFmtId="2" fontId="8" fillId="0" borderId="48" xfId="0" applyNumberFormat="1" applyFont="1" applyFill="1" applyBorder="1" applyAlignment="1">
      <alignment horizontal="right" vertical="center"/>
    </xf>
    <xf numFmtId="2" fontId="8" fillId="0" borderId="76" xfId="0" applyNumberFormat="1" applyFont="1" applyFill="1" applyBorder="1" applyAlignment="1">
      <alignment horizontal="right" vertical="center"/>
    </xf>
    <xf numFmtId="2" fontId="8" fillId="0" borderId="1" xfId="0" applyNumberFormat="1" applyFont="1" applyFill="1" applyBorder="1" applyAlignment="1">
      <alignment horizontal="right" vertical="center"/>
    </xf>
    <xf numFmtId="2" fontId="8" fillId="0" borderId="76" xfId="2363" applyNumberFormat="1" applyFont="1" applyFill="1" applyBorder="1" applyAlignment="1">
      <alignment horizontal="right" vertical="center"/>
    </xf>
    <xf numFmtId="2" fontId="8" fillId="0" borderId="62" xfId="0" applyNumberFormat="1" applyFont="1" applyFill="1" applyBorder="1" applyAlignment="1">
      <alignment vertical="center"/>
    </xf>
    <xf numFmtId="2" fontId="8" fillId="0" borderId="48" xfId="0" applyNumberFormat="1" applyFont="1" applyFill="1" applyBorder="1" applyAlignment="1">
      <alignment vertical="center"/>
    </xf>
    <xf numFmtId="0" fontId="195" fillId="0" borderId="6" xfId="2028" applyFont="1" applyFill="1" applyBorder="1" applyAlignment="1">
      <alignment vertical="center"/>
    </xf>
    <xf numFmtId="0" fontId="195" fillId="0" borderId="6" xfId="0" applyFont="1" applyFill="1" applyBorder="1" applyAlignment="1">
      <alignment vertical="center"/>
    </xf>
    <xf numFmtId="211" fontId="2" fillId="0" borderId="0" xfId="0" applyNumberFormat="1" applyFont="1" applyFill="1"/>
    <xf numFmtId="2" fontId="139" fillId="0" borderId="161" xfId="0" applyNumberFormat="1" applyFont="1" applyFill="1" applyBorder="1" applyAlignment="1">
      <alignment vertical="center"/>
    </xf>
    <xf numFmtId="2" fontId="139" fillId="0" borderId="165" xfId="0" applyNumberFormat="1" applyFont="1" applyFill="1" applyBorder="1" applyAlignment="1">
      <alignment vertical="center"/>
    </xf>
    <xf numFmtId="0" fontId="2" fillId="58" borderId="165" xfId="2028" applyFont="1" applyFill="1" applyBorder="1" applyAlignment="1">
      <alignment horizontal="center" vertical="center" wrapText="1"/>
    </xf>
    <xf numFmtId="0" fontId="2" fillId="58" borderId="168" xfId="2028" applyFont="1" applyFill="1" applyBorder="1" applyAlignment="1">
      <alignment horizontal="center" vertical="center" wrapText="1"/>
    </xf>
    <xf numFmtId="2" fontId="200" fillId="0" borderId="168" xfId="0" applyNumberFormat="1" applyFont="1" applyFill="1" applyBorder="1" applyAlignment="1">
      <alignment horizontal="right" vertical="center"/>
    </xf>
    <xf numFmtId="2" fontId="139" fillId="0" borderId="168" xfId="0" applyNumberFormat="1" applyFont="1" applyFill="1" applyBorder="1" applyAlignment="1">
      <alignment horizontal="right" vertical="center"/>
    </xf>
    <xf numFmtId="2" fontId="192" fillId="0" borderId="180" xfId="0" applyNumberFormat="1" applyFont="1" applyFill="1" applyBorder="1" applyAlignment="1">
      <alignment vertical="center"/>
    </xf>
    <xf numFmtId="2" fontId="192" fillId="0" borderId="168" xfId="0" applyNumberFormat="1" applyFont="1" applyFill="1" applyBorder="1" applyAlignment="1">
      <alignment horizontal="right" vertical="center"/>
    </xf>
    <xf numFmtId="2" fontId="189" fillId="0" borderId="169" xfId="0" applyNumberFormat="1" applyFont="1" applyFill="1" applyBorder="1" applyAlignment="1">
      <alignment horizontal="right" vertical="center"/>
    </xf>
    <xf numFmtId="2" fontId="203" fillId="0" borderId="175" xfId="0" applyNumberFormat="1" applyFont="1" applyFill="1" applyBorder="1" applyAlignment="1">
      <alignment horizontal="right" vertical="center"/>
    </xf>
    <xf numFmtId="2" fontId="203" fillId="0" borderId="176" xfId="0" applyNumberFormat="1" applyFont="1" applyFill="1" applyBorder="1" applyAlignment="1">
      <alignment horizontal="right" vertical="center"/>
    </xf>
    <xf numFmtId="2" fontId="203" fillId="0" borderId="168" xfId="0" applyNumberFormat="1" applyFont="1" applyFill="1" applyBorder="1" applyAlignment="1">
      <alignment horizontal="right" vertical="center"/>
    </xf>
    <xf numFmtId="2" fontId="203" fillId="0" borderId="169" xfId="0" applyNumberFormat="1" applyFont="1" applyFill="1" applyBorder="1" applyAlignment="1">
      <alignment horizontal="right" vertical="center"/>
    </xf>
    <xf numFmtId="2" fontId="189" fillId="0" borderId="168" xfId="0" applyNumberFormat="1" applyFont="1" applyFill="1" applyBorder="1" applyAlignment="1">
      <alignment vertical="center"/>
    </xf>
    <xf numFmtId="2" fontId="192" fillId="0" borderId="168" xfId="0" applyNumberFormat="1" applyFont="1" applyFill="1" applyBorder="1" applyAlignment="1">
      <alignment vertical="center"/>
    </xf>
    <xf numFmtId="223" fontId="8" fillId="0" borderId="168" xfId="0" applyNumberFormat="1" applyFont="1" applyFill="1" applyBorder="1" applyAlignment="1">
      <alignment vertical="center"/>
    </xf>
    <xf numFmtId="0" fontId="139" fillId="0" borderId="168" xfId="0" applyFont="1" applyFill="1" applyBorder="1" applyAlignment="1">
      <alignment vertical="center"/>
    </xf>
    <xf numFmtId="173" fontId="139" fillId="0" borderId="169" xfId="0" applyNumberFormat="1" applyFont="1" applyFill="1" applyBorder="1" applyAlignment="1">
      <alignment vertical="center"/>
    </xf>
    <xf numFmtId="2" fontId="8" fillId="0" borderId="166" xfId="0" applyNumberFormat="1" applyFont="1" applyFill="1" applyBorder="1" applyAlignment="1">
      <alignment horizontal="right" vertical="center"/>
    </xf>
    <xf numFmtId="0" fontId="8" fillId="0" borderId="165" xfId="0" applyFont="1" applyFill="1" applyBorder="1" applyAlignment="1">
      <alignment vertical="center"/>
    </xf>
    <xf numFmtId="173" fontId="8" fillId="0" borderId="166" xfId="0" applyNumberFormat="1" applyFont="1" applyFill="1" applyBorder="1" applyAlignment="1">
      <alignment vertical="center"/>
    </xf>
    <xf numFmtId="173" fontId="8" fillId="0" borderId="160" xfId="0" applyNumberFormat="1" applyFont="1" applyFill="1" applyBorder="1" applyAlignment="1">
      <alignment vertical="center"/>
    </xf>
    <xf numFmtId="0" fontId="8" fillId="0" borderId="166" xfId="0" applyFont="1" applyFill="1" applyBorder="1" applyAlignment="1">
      <alignment vertical="center"/>
    </xf>
    <xf numFmtId="173" fontId="8" fillId="0" borderId="178" xfId="0" applyNumberFormat="1" applyFont="1" applyFill="1" applyBorder="1" applyAlignment="1">
      <alignment vertical="center"/>
    </xf>
    <xf numFmtId="0" fontId="8" fillId="0" borderId="164" xfId="0" applyFont="1" applyFill="1" applyBorder="1" applyAlignment="1">
      <alignment vertical="center"/>
    </xf>
    <xf numFmtId="0" fontId="8" fillId="67" borderId="165" xfId="0" applyFont="1" applyFill="1" applyBorder="1" applyAlignment="1">
      <alignment vertical="center"/>
    </xf>
    <xf numFmtId="0" fontId="8" fillId="0" borderId="124" xfId="0" applyFont="1" applyFill="1" applyBorder="1" applyAlignment="1">
      <alignment vertical="center"/>
    </xf>
    <xf numFmtId="2" fontId="142" fillId="0" borderId="165" xfId="0" applyNumberFormat="1" applyFont="1" applyFill="1" applyBorder="1" applyAlignment="1">
      <alignment vertical="center"/>
    </xf>
    <xf numFmtId="0" fontId="8" fillId="88" borderId="165" xfId="0" applyFont="1" applyFill="1" applyBorder="1" applyAlignment="1">
      <alignment vertical="center"/>
    </xf>
    <xf numFmtId="167" fontId="8" fillId="0" borderId="165" xfId="2363" applyFont="1" applyFill="1" applyBorder="1" applyAlignment="1">
      <alignment vertical="center"/>
    </xf>
    <xf numFmtId="2" fontId="8" fillId="0" borderId="180" xfId="2363" applyNumberFormat="1" applyFont="1" applyFill="1" applyBorder="1" applyAlignment="1">
      <alignment vertical="center"/>
    </xf>
    <xf numFmtId="2" fontId="8" fillId="0" borderId="0" xfId="2363" applyNumberFormat="1" applyFont="1" applyFill="1" applyBorder="1" applyAlignment="1">
      <alignment vertical="center"/>
    </xf>
    <xf numFmtId="2" fontId="8" fillId="0" borderId="0" xfId="2363" applyNumberFormat="1" applyFont="1" applyFill="1" applyAlignment="1">
      <alignment vertical="center"/>
    </xf>
    <xf numFmtId="173" fontId="139" fillId="63" borderId="168" xfId="0" applyNumberFormat="1" applyFont="1" applyFill="1" applyBorder="1" applyAlignment="1">
      <alignment vertical="center"/>
    </xf>
    <xf numFmtId="173" fontId="139" fillId="0" borderId="179" xfId="0" applyNumberFormat="1" applyFont="1" applyFill="1" applyBorder="1" applyAlignment="1">
      <alignment horizontal="right" vertical="center"/>
    </xf>
    <xf numFmtId="173" fontId="139" fillId="0" borderId="168" xfId="2363" applyNumberFormat="1" applyFont="1" applyFill="1" applyBorder="1" applyAlignment="1">
      <alignment horizontal="right" vertical="center"/>
    </xf>
    <xf numFmtId="173" fontId="139" fillId="0" borderId="167" xfId="0" applyNumberFormat="1" applyFont="1" applyFill="1" applyBorder="1" applyAlignment="1">
      <alignment horizontal="right" vertical="center"/>
    </xf>
    <xf numFmtId="173" fontId="139" fillId="0" borderId="168" xfId="0" applyNumberFormat="1" applyFont="1" applyFill="1" applyBorder="1" applyAlignment="1">
      <alignment horizontal="right" vertical="center"/>
    </xf>
    <xf numFmtId="173" fontId="139" fillId="63" borderId="168" xfId="0" applyNumberFormat="1" applyFont="1" applyFill="1" applyBorder="1" applyAlignment="1">
      <alignment horizontal="right" vertical="center"/>
    </xf>
    <xf numFmtId="173" fontId="8" fillId="63" borderId="169" xfId="0" applyNumberFormat="1" applyFont="1" applyFill="1" applyBorder="1" applyAlignment="1">
      <alignment vertical="center"/>
    </xf>
    <xf numFmtId="173" fontId="139" fillId="63" borderId="179" xfId="0" applyNumberFormat="1" applyFont="1" applyFill="1" applyBorder="1" applyAlignment="1">
      <alignment horizontal="right" vertical="center"/>
    </xf>
    <xf numFmtId="173" fontId="139" fillId="63" borderId="168" xfId="2363" applyNumberFormat="1" applyFont="1" applyFill="1" applyBorder="1" applyAlignment="1">
      <alignment horizontal="right" vertical="center"/>
    </xf>
    <xf numFmtId="171" fontId="139" fillId="63" borderId="167" xfId="2363" applyNumberFormat="1" applyFont="1" applyFill="1" applyBorder="1" applyAlignment="1">
      <alignment horizontal="right" vertical="center"/>
    </xf>
    <xf numFmtId="171" fontId="139" fillId="63" borderId="168" xfId="2363" applyNumberFormat="1" applyFont="1" applyFill="1" applyBorder="1" applyAlignment="1">
      <alignment horizontal="right" vertical="center"/>
    </xf>
    <xf numFmtId="171" fontId="139" fillId="63" borderId="168" xfId="2363" applyNumberFormat="1" applyFont="1" applyFill="1" applyBorder="1" applyAlignment="1">
      <alignment horizontal="center" vertical="center"/>
    </xf>
    <xf numFmtId="173" fontId="139" fillId="92" borderId="179" xfId="0" applyNumberFormat="1" applyFont="1" applyFill="1" applyBorder="1" applyAlignment="1">
      <alignment horizontal="right" vertical="center"/>
    </xf>
    <xf numFmtId="173" fontId="139" fillId="92" borderId="168" xfId="2363" applyNumberFormat="1" applyFont="1" applyFill="1" applyBorder="1" applyAlignment="1">
      <alignment horizontal="right" vertical="center"/>
    </xf>
    <xf numFmtId="173" fontId="139" fillId="92" borderId="168" xfId="0" applyNumberFormat="1" applyFont="1" applyFill="1" applyBorder="1" applyAlignment="1">
      <alignment horizontal="right" vertical="center"/>
    </xf>
    <xf numFmtId="173" fontId="139" fillId="63" borderId="167" xfId="0" applyNumberFormat="1" applyFont="1" applyFill="1" applyBorder="1" applyAlignment="1">
      <alignment vertical="center"/>
    </xf>
    <xf numFmtId="173" fontId="139" fillId="63" borderId="179" xfId="0" applyNumberFormat="1" applyFont="1" applyFill="1" applyBorder="1" applyAlignment="1">
      <alignment vertical="center"/>
    </xf>
    <xf numFmtId="0" fontId="2" fillId="63" borderId="168" xfId="2028" applyFont="1" applyFill="1" applyBorder="1" applyAlignment="1">
      <alignment horizontal="center" vertical="center" wrapText="1"/>
    </xf>
    <xf numFmtId="173" fontId="139" fillId="63" borderId="164" xfId="0" applyNumberFormat="1" applyFont="1" applyFill="1" applyBorder="1" applyAlignment="1">
      <alignment vertical="center"/>
    </xf>
    <xf numFmtId="173" fontId="139" fillId="0" borderId="162" xfId="0" applyNumberFormat="1" applyFont="1" applyFill="1" applyBorder="1" applyAlignment="1">
      <alignment vertical="center"/>
    </xf>
    <xf numFmtId="0" fontId="139" fillId="0" borderId="165" xfId="0" applyFont="1" applyFill="1" applyBorder="1" applyAlignment="1">
      <alignment vertical="center"/>
    </xf>
    <xf numFmtId="2" fontId="139" fillId="0" borderId="62" xfId="0" applyNumberFormat="1" applyFont="1" applyFill="1" applyBorder="1" applyAlignment="1">
      <alignment horizontal="right" vertical="center"/>
    </xf>
    <xf numFmtId="2" fontId="139" fillId="0" borderId="167" xfId="2363" applyNumberFormat="1" applyFont="1" applyFill="1" applyBorder="1" applyAlignment="1">
      <alignment horizontal="right" vertical="center"/>
    </xf>
    <xf numFmtId="2" fontId="139" fillId="0" borderId="175" xfId="2363" applyNumberFormat="1" applyFont="1" applyFill="1" applyBorder="1" applyAlignment="1">
      <alignment horizontal="right" vertical="center"/>
    </xf>
    <xf numFmtId="2" fontId="139" fillId="0" borderId="48" xfId="0" applyNumberFormat="1" applyFont="1" applyFill="1" applyBorder="1" applyAlignment="1">
      <alignment horizontal="right" vertical="center"/>
    </xf>
    <xf numFmtId="2" fontId="139" fillId="0" borderId="176" xfId="0" applyNumberFormat="1" applyFont="1" applyFill="1" applyBorder="1" applyAlignment="1">
      <alignment horizontal="right" vertical="center"/>
    </xf>
    <xf numFmtId="2" fontId="139" fillId="0" borderId="168" xfId="2363" applyNumberFormat="1" applyFont="1" applyFill="1" applyBorder="1" applyAlignment="1">
      <alignment horizontal="right" vertical="center"/>
    </xf>
    <xf numFmtId="2" fontId="139" fillId="0" borderId="179" xfId="0" applyNumberFormat="1" applyFont="1" applyFill="1" applyBorder="1" applyAlignment="1">
      <alignment horizontal="right" vertical="center"/>
    </xf>
    <xf numFmtId="2" fontId="139" fillId="0" borderId="168" xfId="0" applyNumberFormat="1" applyFont="1" applyFill="1" applyBorder="1"/>
    <xf numFmtId="2" fontId="139" fillId="0" borderId="167" xfId="0" applyNumberFormat="1" applyFont="1" applyFill="1" applyBorder="1"/>
    <xf numFmtId="173" fontId="139" fillId="0" borderId="169" xfId="0" applyNumberFormat="1" applyFont="1" applyFill="1" applyBorder="1"/>
    <xf numFmtId="2" fontId="139" fillId="0" borderId="179" xfId="0" applyNumberFormat="1" applyFont="1" applyFill="1" applyBorder="1"/>
    <xf numFmtId="173" fontId="139" fillId="0" borderId="162" xfId="0" applyNumberFormat="1" applyFont="1" applyFill="1" applyBorder="1"/>
    <xf numFmtId="2" fontId="139" fillId="0" borderId="168" xfId="2363" applyNumberFormat="1" applyFont="1" applyFill="1" applyBorder="1"/>
    <xf numFmtId="2" fontId="139" fillId="0" borderId="167" xfId="2363" applyNumberFormat="1" applyFont="1" applyFill="1" applyBorder="1"/>
    <xf numFmtId="2" fontId="139" fillId="0" borderId="179" xfId="2363" applyNumberFormat="1" applyFont="1" applyFill="1" applyBorder="1"/>
    <xf numFmtId="2" fontId="139" fillId="0" borderId="169" xfId="2363" applyNumberFormat="1" applyFont="1" applyFill="1" applyBorder="1" applyAlignment="1">
      <alignment horizontal="right"/>
    </xf>
    <xf numFmtId="2" fontId="139" fillId="0" borderId="168" xfId="2363" applyNumberFormat="1" applyFont="1" applyFill="1" applyBorder="1" applyAlignment="1">
      <alignment horizontal="right"/>
    </xf>
    <xf numFmtId="173" fontId="139" fillId="0" borderId="167" xfId="0" applyNumberFormat="1" applyFont="1" applyFill="1" applyBorder="1"/>
    <xf numFmtId="0" fontId="139" fillId="0" borderId="168" xfId="0" applyFont="1" applyFill="1" applyBorder="1"/>
    <xf numFmtId="0" fontId="139" fillId="0" borderId="169" xfId="0" applyFont="1" applyFill="1" applyBorder="1"/>
    <xf numFmtId="173" fontId="139" fillId="0" borderId="180" xfId="0" applyNumberFormat="1" applyFont="1" applyFill="1" applyBorder="1"/>
    <xf numFmtId="0" fontId="139" fillId="0" borderId="167" xfId="0" applyFont="1" applyFill="1" applyBorder="1"/>
    <xf numFmtId="167" fontId="139" fillId="0" borderId="168" xfId="2363" applyFont="1" applyFill="1" applyBorder="1"/>
    <xf numFmtId="2" fontId="2" fillId="92" borderId="168" xfId="2028" applyNumberFormat="1" applyFont="1" applyFill="1" applyBorder="1" applyAlignment="1">
      <alignment horizontal="center" vertical="center" wrapText="1"/>
    </xf>
    <xf numFmtId="2" fontId="2" fillId="92" borderId="168" xfId="2363" applyNumberFormat="1" applyFont="1" applyFill="1" applyBorder="1" applyAlignment="1">
      <alignment horizontal="center" vertical="center" wrapText="1"/>
    </xf>
    <xf numFmtId="0" fontId="2" fillId="92" borderId="168" xfId="2028" applyFont="1" applyFill="1" applyBorder="1" applyAlignment="1">
      <alignment horizontal="center" vertical="center" wrapText="1"/>
    </xf>
    <xf numFmtId="2" fontId="139" fillId="0" borderId="167" xfId="0" applyNumberFormat="1" applyFont="1" applyFill="1" applyBorder="1" applyAlignment="1">
      <alignment horizontal="right" vertical="center"/>
    </xf>
    <xf numFmtId="2" fontId="139" fillId="0" borderId="169" xfId="0" applyNumberFormat="1" applyFont="1" applyFill="1" applyBorder="1" applyAlignment="1">
      <alignment horizontal="right" vertical="center"/>
    </xf>
    <xf numFmtId="167" fontId="139" fillId="0" borderId="168" xfId="2363" applyFont="1" applyFill="1" applyBorder="1" applyAlignment="1">
      <alignment vertical="center"/>
    </xf>
    <xf numFmtId="167" fontId="139" fillId="0" borderId="167" xfId="2363" applyFont="1" applyFill="1" applyBorder="1" applyAlignment="1">
      <alignment vertical="center"/>
    </xf>
    <xf numFmtId="167" fontId="139" fillId="0" borderId="169" xfId="2363" applyFont="1" applyFill="1" applyBorder="1" applyAlignment="1">
      <alignment vertical="center"/>
    </xf>
    <xf numFmtId="0" fontId="139" fillId="0" borderId="168" xfId="0" applyFont="1" applyFill="1" applyBorder="1" applyAlignment="1">
      <alignment horizontal="right" vertical="center"/>
    </xf>
    <xf numFmtId="173" fontId="139" fillId="0" borderId="169" xfId="0" applyNumberFormat="1" applyFont="1" applyFill="1" applyBorder="1" applyAlignment="1">
      <alignment horizontal="right" vertical="center"/>
    </xf>
    <xf numFmtId="173" fontId="139" fillId="0" borderId="162" xfId="0" applyNumberFormat="1" applyFont="1" applyFill="1" applyBorder="1" applyAlignment="1">
      <alignment horizontal="right" vertical="center"/>
    </xf>
    <xf numFmtId="0" fontId="2" fillId="92" borderId="162" xfId="2028" applyFont="1" applyFill="1" applyBorder="1" applyAlignment="1">
      <alignment horizontal="center" vertical="center" wrapText="1"/>
    </xf>
    <xf numFmtId="0" fontId="146" fillId="92" borderId="162" xfId="2028" applyFont="1" applyFill="1" applyBorder="1" applyAlignment="1">
      <alignment horizontal="center" vertical="center" wrapText="1"/>
    </xf>
    <xf numFmtId="2" fontId="139" fillId="0" borderId="168" xfId="0" applyNumberFormat="1" applyFont="1" applyFill="1" applyBorder="1" applyAlignment="1">
      <alignment horizontal="right"/>
    </xf>
    <xf numFmtId="2" fontId="139" fillId="0" borderId="169" xfId="0" applyNumberFormat="1" applyFont="1" applyFill="1" applyBorder="1" applyAlignment="1">
      <alignment horizontal="right"/>
    </xf>
    <xf numFmtId="2" fontId="139" fillId="0" borderId="169" xfId="0" applyNumberFormat="1" applyFont="1" applyFill="1" applyBorder="1"/>
    <xf numFmtId="2" fontId="139" fillId="0" borderId="62" xfId="0" applyNumberFormat="1" applyFont="1" applyFill="1" applyBorder="1" applyAlignment="1">
      <alignment horizontal="right" vertical="center" wrapText="1"/>
    </xf>
    <xf numFmtId="2" fontId="139" fillId="0" borderId="48" xfId="0" applyNumberFormat="1" applyFont="1" applyFill="1" applyBorder="1" applyAlignment="1">
      <alignment horizontal="right" vertical="center" wrapText="1"/>
    </xf>
    <xf numFmtId="2" fontId="139" fillId="0" borderId="168" xfId="0" applyNumberFormat="1" applyFont="1" applyFill="1" applyBorder="1" applyAlignment="1">
      <alignment horizontal="right" vertical="center" wrapText="1"/>
    </xf>
    <xf numFmtId="2" fontId="139" fillId="0" borderId="169" xfId="0" applyNumberFormat="1" applyFont="1" applyFill="1" applyBorder="1" applyAlignment="1">
      <alignment horizontal="right" vertical="center" wrapText="1"/>
    </xf>
    <xf numFmtId="2" fontId="139" fillId="0" borderId="179" xfId="0" applyNumberFormat="1" applyFont="1" applyFill="1" applyBorder="1" applyAlignment="1">
      <alignment horizontal="right" vertical="center" wrapText="1"/>
    </xf>
    <xf numFmtId="2" fontId="139" fillId="0" borderId="175" xfId="0" applyNumberFormat="1" applyFont="1" applyFill="1" applyBorder="1" applyAlignment="1">
      <alignment horizontal="right" vertical="center"/>
    </xf>
    <xf numFmtId="2" fontId="139" fillId="0" borderId="167" xfId="0" applyNumberFormat="1" applyFont="1" applyFill="1" applyBorder="1" applyAlignment="1">
      <alignment vertical="center"/>
    </xf>
    <xf numFmtId="2" fontId="139" fillId="0" borderId="168" xfId="0" applyNumberFormat="1" applyFont="1" applyFill="1" applyBorder="1" applyAlignment="1">
      <alignment vertical="center"/>
    </xf>
    <xf numFmtId="2" fontId="139" fillId="0" borderId="179" xfId="0" applyNumberFormat="1" applyFont="1" applyFill="1" applyBorder="1" applyAlignment="1">
      <alignment vertical="center"/>
    </xf>
    <xf numFmtId="0" fontId="3" fillId="62" borderId="33" xfId="2028" applyFont="1" applyFill="1" applyBorder="1" applyAlignment="1">
      <alignment horizontal="center" vertical="center"/>
    </xf>
    <xf numFmtId="0" fontId="8" fillId="62" borderId="6" xfId="0" applyFont="1" applyFill="1" applyBorder="1" applyAlignment="1">
      <alignment horizontal="center" vertical="center"/>
    </xf>
    <xf numFmtId="0" fontId="2" fillId="0" borderId="6" xfId="2028" applyFont="1" applyFill="1" applyBorder="1" applyAlignment="1">
      <alignment horizontal="center" vertical="center" wrapText="1"/>
    </xf>
    <xf numFmtId="167" fontId="2" fillId="0" borderId="6" xfId="2363" applyFont="1" applyFill="1" applyBorder="1" applyAlignment="1">
      <alignment horizontal="center" vertical="center" wrapText="1"/>
    </xf>
    <xf numFmtId="2" fontId="137" fillId="62" borderId="36" xfId="0" applyNumberFormat="1" applyFont="1" applyFill="1" applyBorder="1" applyAlignment="1">
      <alignment horizontal="center"/>
    </xf>
    <xf numFmtId="0" fontId="139" fillId="63" borderId="168" xfId="0" applyFont="1" applyFill="1" applyBorder="1" applyAlignment="1">
      <alignment vertical="center"/>
    </xf>
    <xf numFmtId="173" fontId="139" fillId="63" borderId="167" xfId="2363" applyNumberFormat="1" applyFont="1" applyFill="1" applyBorder="1" applyAlignment="1">
      <alignment vertical="center"/>
    </xf>
    <xf numFmtId="2" fontId="139" fillId="63" borderId="168" xfId="2363" applyNumberFormat="1" applyFont="1" applyFill="1" applyBorder="1" applyAlignment="1">
      <alignment vertical="center"/>
    </xf>
    <xf numFmtId="173" fontId="139" fillId="63" borderId="179" xfId="2363" applyNumberFormat="1" applyFont="1" applyFill="1" applyBorder="1" applyAlignment="1">
      <alignment vertical="center"/>
    </xf>
    <xf numFmtId="0" fontId="139" fillId="63" borderId="167" xfId="0" applyFont="1" applyFill="1" applyBorder="1" applyAlignment="1">
      <alignment vertical="center"/>
    </xf>
    <xf numFmtId="0" fontId="139" fillId="63" borderId="179" xfId="0" applyFont="1" applyFill="1" applyBorder="1" applyAlignment="1">
      <alignment vertical="center"/>
    </xf>
    <xf numFmtId="173" fontId="139" fillId="63" borderId="167" xfId="2363" applyNumberFormat="1" applyFont="1" applyFill="1" applyBorder="1" applyAlignment="1">
      <alignment horizontal="right" vertical="center"/>
    </xf>
    <xf numFmtId="167" fontId="139" fillId="63" borderId="168" xfId="2363" applyFont="1" applyFill="1" applyBorder="1" applyAlignment="1">
      <alignment horizontal="right" vertical="center"/>
    </xf>
    <xf numFmtId="167" fontId="139" fillId="63" borderId="168" xfId="2363" applyFont="1" applyFill="1" applyBorder="1" applyAlignment="1">
      <alignment vertical="center"/>
    </xf>
    <xf numFmtId="173" fontId="139" fillId="63" borderId="167" xfId="2363" applyNumberFormat="1" applyFont="1" applyFill="1" applyBorder="1" applyAlignment="1">
      <alignment horizontal="center" vertical="center"/>
    </xf>
    <xf numFmtId="167" fontId="139" fillId="63" borderId="168" xfId="2363" applyFont="1" applyFill="1" applyBorder="1" applyAlignment="1">
      <alignment horizontal="center" vertical="center"/>
    </xf>
    <xf numFmtId="173" fontId="139" fillId="63" borderId="179" xfId="2363" applyNumberFormat="1" applyFont="1" applyFill="1" applyBorder="1" applyAlignment="1">
      <alignment horizontal="center" vertical="center"/>
    </xf>
    <xf numFmtId="173" fontId="139" fillId="63" borderId="167" xfId="0" applyNumberFormat="1" applyFont="1" applyFill="1" applyBorder="1" applyAlignment="1">
      <alignment horizontal="right" vertical="center"/>
    </xf>
    <xf numFmtId="211" fontId="139" fillId="63" borderId="168" xfId="0" applyNumberFormat="1" applyFont="1" applyFill="1" applyBorder="1" applyAlignment="1">
      <alignment horizontal="right" vertical="center"/>
    </xf>
    <xf numFmtId="0" fontId="139" fillId="63" borderId="168" xfId="0" applyFont="1" applyFill="1" applyBorder="1" applyAlignment="1">
      <alignment horizontal="center" vertical="center"/>
    </xf>
    <xf numFmtId="173" fontId="139" fillId="63" borderId="179" xfId="0" applyNumberFormat="1" applyFont="1" applyFill="1" applyBorder="1" applyAlignment="1">
      <alignment horizontal="center" vertical="center"/>
    </xf>
    <xf numFmtId="173" fontId="139" fillId="63" borderId="168" xfId="0" applyNumberFormat="1" applyFont="1" applyFill="1" applyBorder="1" applyAlignment="1">
      <alignment horizontal="center" vertical="center"/>
    </xf>
    <xf numFmtId="2" fontId="139" fillId="63" borderId="168" xfId="2028" applyNumberFormat="1" applyFont="1" applyFill="1" applyBorder="1" applyAlignment="1">
      <alignment horizontal="center" vertical="center"/>
    </xf>
    <xf numFmtId="2" fontId="139" fillId="63" borderId="168" xfId="0" applyNumberFormat="1" applyFont="1" applyFill="1" applyBorder="1" applyAlignment="1">
      <alignment vertical="center"/>
    </xf>
    <xf numFmtId="2" fontId="139" fillId="63" borderId="167" xfId="0" applyNumberFormat="1" applyFont="1" applyFill="1" applyBorder="1" applyAlignment="1">
      <alignment vertical="center"/>
    </xf>
    <xf numFmtId="2" fontId="139" fillId="63" borderId="179" xfId="0" applyNumberFormat="1" applyFont="1" applyFill="1" applyBorder="1" applyAlignment="1">
      <alignment vertical="center"/>
    </xf>
    <xf numFmtId="0" fontId="8" fillId="63" borderId="168" xfId="0" applyFont="1" applyFill="1" applyBorder="1" applyAlignment="1">
      <alignment vertical="center"/>
    </xf>
    <xf numFmtId="173" fontId="8" fillId="63" borderId="179" xfId="0" applyNumberFormat="1" applyFont="1" applyFill="1" applyBorder="1" applyAlignment="1">
      <alignment vertical="center"/>
    </xf>
    <xf numFmtId="211" fontId="139" fillId="63" borderId="168" xfId="0" applyNumberFormat="1" applyFont="1" applyFill="1" applyBorder="1" applyAlignment="1">
      <alignment vertical="center"/>
    </xf>
    <xf numFmtId="173" fontId="139" fillId="63" borderId="167" xfId="0" applyNumberFormat="1" applyFont="1" applyFill="1" applyBorder="1" applyAlignment="1">
      <alignment horizontal="center" vertical="center"/>
    </xf>
    <xf numFmtId="2" fontId="139" fillId="63" borderId="168" xfId="0" applyNumberFormat="1" applyFont="1" applyFill="1" applyBorder="1" applyAlignment="1">
      <alignment horizontal="center" vertical="center"/>
    </xf>
    <xf numFmtId="171" fontId="139" fillId="63" borderId="167" xfId="2363" applyNumberFormat="1" applyFont="1" applyFill="1" applyBorder="1" applyAlignment="1">
      <alignment horizontal="center" vertical="center"/>
    </xf>
    <xf numFmtId="0" fontId="146" fillId="94" borderId="165" xfId="2028" applyFont="1" applyFill="1" applyBorder="1" applyAlignment="1">
      <alignment horizontal="center" vertical="center" wrapText="1"/>
    </xf>
    <xf numFmtId="0" fontId="146" fillId="94" borderId="168" xfId="2028" applyFont="1" applyFill="1" applyBorder="1" applyAlignment="1">
      <alignment horizontal="center" vertical="center" wrapText="1"/>
    </xf>
    <xf numFmtId="0" fontId="2" fillId="94" borderId="168" xfId="2028" applyFont="1" applyFill="1" applyBorder="1" applyAlignment="1">
      <alignment horizontal="center" vertical="center" wrapText="1"/>
    </xf>
    <xf numFmtId="0" fontId="2" fillId="94" borderId="168" xfId="2028" applyFont="1" applyFill="1" applyBorder="1" applyAlignment="1">
      <alignment vertical="center" wrapText="1"/>
    </xf>
    <xf numFmtId="173" fontId="8" fillId="94" borderId="169" xfId="0" applyNumberFormat="1" applyFont="1" applyFill="1" applyBorder="1" applyAlignment="1">
      <alignment vertical="center"/>
    </xf>
    <xf numFmtId="173" fontId="139" fillId="94" borderId="169" xfId="0" applyNumberFormat="1" applyFont="1" applyFill="1" applyBorder="1" applyAlignment="1">
      <alignment vertical="center"/>
    </xf>
    <xf numFmtId="166" fontId="2" fillId="94" borderId="168" xfId="1751" applyFont="1" applyFill="1" applyBorder="1" applyAlignment="1">
      <alignment horizontal="center" vertical="center" wrapText="1"/>
    </xf>
    <xf numFmtId="173" fontId="8" fillId="94" borderId="169" xfId="0" applyNumberFormat="1" applyFont="1" applyFill="1" applyBorder="1" applyAlignment="1">
      <alignment horizontal="center" vertical="center"/>
    </xf>
    <xf numFmtId="2" fontId="8" fillId="94" borderId="0" xfId="0" applyNumberFormat="1" applyFont="1" applyFill="1"/>
    <xf numFmtId="0" fontId="8" fillId="94" borderId="0" xfId="0" applyFont="1" applyFill="1"/>
    <xf numFmtId="0" fontId="2" fillId="95" borderId="6" xfId="2028" applyFont="1" applyFill="1" applyBorder="1" applyAlignment="1">
      <alignment horizontal="center" vertical="center" wrapText="1"/>
    </xf>
    <xf numFmtId="0" fontId="2" fillId="96" borderId="6" xfId="2028" applyFont="1" applyFill="1" applyBorder="1" applyAlignment="1">
      <alignment horizontal="center" vertical="center" wrapText="1"/>
    </xf>
    <xf numFmtId="171" fontId="139" fillId="0" borderId="165" xfId="2363" applyNumberFormat="1" applyFont="1" applyFill="1" applyBorder="1" applyAlignment="1">
      <alignment vertical="center"/>
    </xf>
    <xf numFmtId="2" fontId="8" fillId="0" borderId="179" xfId="2363" applyNumberFormat="1" applyFont="1" applyFill="1" applyBorder="1" applyAlignment="1">
      <alignment horizontal="right" vertical="center"/>
    </xf>
    <xf numFmtId="2" fontId="8" fillId="0" borderId="167" xfId="2363" applyNumberFormat="1" applyFont="1" applyFill="1" applyBorder="1" applyAlignment="1">
      <alignment vertical="center"/>
    </xf>
    <xf numFmtId="2" fontId="8" fillId="0" borderId="179" xfId="2363" applyNumberFormat="1" applyFont="1" applyFill="1" applyBorder="1" applyAlignment="1">
      <alignment vertical="center"/>
    </xf>
    <xf numFmtId="171" fontId="8" fillId="86" borderId="179" xfId="2363" applyNumberFormat="1" applyFont="1" applyFill="1" applyBorder="1" applyAlignment="1">
      <alignment vertical="center"/>
    </xf>
    <xf numFmtId="171" fontId="8" fillId="86" borderId="168" xfId="2363" applyNumberFormat="1" applyFont="1" applyFill="1" applyBorder="1" applyAlignment="1">
      <alignment vertical="center"/>
    </xf>
    <xf numFmtId="214" fontId="8" fillId="86" borderId="168" xfId="0" applyNumberFormat="1" applyFont="1" applyFill="1" applyBorder="1" applyAlignment="1">
      <alignment vertical="center"/>
    </xf>
    <xf numFmtId="167" fontId="8" fillId="0" borderId="0" xfId="2363" applyFont="1" applyFill="1" applyBorder="1" applyAlignment="1">
      <alignment vertical="center"/>
    </xf>
    <xf numFmtId="167" fontId="8" fillId="0" borderId="0" xfId="2363" applyFont="1" applyFill="1" applyAlignment="1">
      <alignment vertical="center"/>
    </xf>
    <xf numFmtId="0" fontId="146" fillId="92" borderId="168" xfId="2028" applyFont="1" applyFill="1" applyBorder="1" applyAlignment="1">
      <alignment horizontal="center" vertical="center" wrapText="1"/>
    </xf>
    <xf numFmtId="0" fontId="207" fillId="0" borderId="0" xfId="0" applyFont="1" applyFill="1" applyBorder="1" applyAlignment="1">
      <alignment horizontal="center" vertical="center"/>
    </xf>
    <xf numFmtId="0" fontId="207" fillId="0" borderId="124" xfId="2028" applyFont="1" applyFill="1" applyBorder="1" applyAlignment="1">
      <alignment horizontal="center" vertical="center" wrapText="1"/>
    </xf>
    <xf numFmtId="2" fontId="207" fillId="0" borderId="124" xfId="0" applyNumberFormat="1" applyFont="1" applyFill="1" applyBorder="1" applyAlignment="1">
      <alignment horizontal="center" vertical="center"/>
    </xf>
    <xf numFmtId="0" fontId="208" fillId="0" borderId="124" xfId="0" applyFont="1" applyFill="1" applyBorder="1" applyAlignment="1">
      <alignment horizontal="center" vertical="center"/>
    </xf>
    <xf numFmtId="167" fontId="207" fillId="0" borderId="182" xfId="2363" applyFont="1" applyFill="1" applyBorder="1" applyAlignment="1">
      <alignment horizontal="center" vertical="center"/>
    </xf>
    <xf numFmtId="167" fontId="207" fillId="63" borderId="168" xfId="2363" applyFont="1" applyFill="1" applyBorder="1" applyAlignment="1">
      <alignment horizontal="center" vertical="center"/>
    </xf>
    <xf numFmtId="0" fontId="207" fillId="62" borderId="0" xfId="0" applyFont="1" applyFill="1" applyBorder="1" applyAlignment="1">
      <alignment horizontal="center" vertical="center"/>
    </xf>
    <xf numFmtId="0" fontId="208" fillId="0" borderId="0" xfId="0" applyFont="1" applyAlignment="1">
      <alignment horizontal="center" vertical="center"/>
    </xf>
    <xf numFmtId="167" fontId="139" fillId="67" borderId="168" xfId="2363" applyFont="1" applyFill="1" applyBorder="1" applyAlignment="1">
      <alignment horizontal="right" vertical="center"/>
    </xf>
    <xf numFmtId="167" fontId="139" fillId="0" borderId="168" xfId="2363" applyFont="1" applyFill="1" applyBorder="1" applyAlignment="1">
      <alignment horizontal="right" vertical="center"/>
    </xf>
    <xf numFmtId="167" fontId="139" fillId="0" borderId="180" xfId="2363" applyFont="1" applyFill="1" applyBorder="1" applyAlignment="1">
      <alignment vertical="center"/>
    </xf>
    <xf numFmtId="167" fontId="139" fillId="67" borderId="168" xfId="2363" applyFont="1" applyFill="1" applyBorder="1" applyAlignment="1">
      <alignment vertical="center"/>
    </xf>
    <xf numFmtId="171" fontId="139" fillId="0" borderId="168" xfId="2363" applyNumberFormat="1" applyFont="1" applyFill="1" applyBorder="1" applyAlignment="1">
      <alignment vertical="center"/>
    </xf>
    <xf numFmtId="171" fontId="139" fillId="67" borderId="168" xfId="2363" applyNumberFormat="1" applyFont="1" applyFill="1" applyBorder="1" applyAlignment="1">
      <alignment vertical="center"/>
    </xf>
    <xf numFmtId="173" fontId="139" fillId="67" borderId="168" xfId="0" applyNumberFormat="1" applyFont="1" applyFill="1" applyBorder="1" applyAlignment="1">
      <alignment horizontal="right" vertical="center"/>
    </xf>
    <xf numFmtId="0" fontId="8" fillId="68" borderId="0" xfId="0" applyFont="1" applyFill="1"/>
    <xf numFmtId="0" fontId="2" fillId="68" borderId="168" xfId="2028" applyFont="1" applyFill="1" applyBorder="1" applyAlignment="1">
      <alignment horizontal="center" vertical="center" wrapText="1"/>
    </xf>
    <xf numFmtId="2" fontId="139" fillId="68" borderId="175" xfId="0" applyNumberFormat="1" applyFont="1" applyFill="1" applyBorder="1" applyAlignment="1">
      <alignment horizontal="right" vertical="center"/>
    </xf>
    <xf numFmtId="2" fontId="139" fillId="68" borderId="168" xfId="0" applyNumberFormat="1" applyFont="1" applyFill="1" applyBorder="1" applyAlignment="1">
      <alignment horizontal="right" vertical="center"/>
    </xf>
    <xf numFmtId="2" fontId="139" fillId="68" borderId="169" xfId="0" applyNumberFormat="1" applyFont="1" applyFill="1" applyBorder="1" applyAlignment="1">
      <alignment horizontal="right"/>
    </xf>
    <xf numFmtId="2" fontId="139" fillId="68" borderId="179" xfId="0" applyNumberFormat="1" applyFont="1" applyFill="1" applyBorder="1" applyAlignment="1">
      <alignment horizontal="right" vertical="center"/>
    </xf>
    <xf numFmtId="2" fontId="139" fillId="68" borderId="167" xfId="0" applyNumberFormat="1" applyFont="1" applyFill="1" applyBorder="1" applyAlignment="1">
      <alignment vertical="center"/>
    </xf>
    <xf numFmtId="2" fontId="8" fillId="68" borderId="168" xfId="0" applyNumberFormat="1" applyFont="1" applyFill="1" applyBorder="1" applyAlignment="1">
      <alignment vertical="center"/>
    </xf>
    <xf numFmtId="2" fontId="139" fillId="68" borderId="179" xfId="0" applyNumberFormat="1" applyFont="1" applyFill="1" applyBorder="1" applyAlignment="1">
      <alignment vertical="center"/>
    </xf>
    <xf numFmtId="0" fontId="8" fillId="68" borderId="168" xfId="0" applyFont="1" applyFill="1" applyBorder="1"/>
    <xf numFmtId="173" fontId="8" fillId="68" borderId="162" xfId="0" applyNumberFormat="1" applyFont="1" applyFill="1" applyBorder="1"/>
    <xf numFmtId="173" fontId="8" fillId="68" borderId="167" xfId="0" applyNumberFormat="1" applyFont="1" applyFill="1" applyBorder="1"/>
    <xf numFmtId="0" fontId="8" fillId="68" borderId="167" xfId="0" applyFont="1" applyFill="1" applyBorder="1"/>
    <xf numFmtId="0" fontId="8" fillId="68" borderId="169" xfId="0" applyFont="1" applyFill="1" applyBorder="1"/>
    <xf numFmtId="173" fontId="139" fillId="68" borderId="179" xfId="0" applyNumberFormat="1" applyFont="1" applyFill="1" applyBorder="1" applyAlignment="1">
      <alignment horizontal="right" vertical="center"/>
    </xf>
    <xf numFmtId="173" fontId="139" fillId="68" borderId="168" xfId="2363" applyNumberFormat="1" applyFont="1" applyFill="1" applyBorder="1" applyAlignment="1">
      <alignment horizontal="right" vertical="center"/>
    </xf>
    <xf numFmtId="173" fontId="139" fillId="68" borderId="168" xfId="0" applyNumberFormat="1" applyFont="1" applyFill="1" applyBorder="1" applyAlignment="1">
      <alignment horizontal="right" vertical="center"/>
    </xf>
    <xf numFmtId="171" fontId="139" fillId="68" borderId="168" xfId="2363" applyNumberFormat="1" applyFont="1" applyFill="1" applyBorder="1" applyAlignment="1">
      <alignment vertical="center"/>
    </xf>
    <xf numFmtId="0" fontId="8" fillId="68" borderId="180" xfId="0" applyFont="1" applyFill="1" applyBorder="1"/>
    <xf numFmtId="2" fontId="8" fillId="68" borderId="180" xfId="0" applyNumberFormat="1" applyFont="1" applyFill="1" applyBorder="1"/>
    <xf numFmtId="172" fontId="8" fillId="68" borderId="180" xfId="0" applyNumberFormat="1" applyFont="1" applyFill="1" applyBorder="1"/>
    <xf numFmtId="171" fontId="139" fillId="68" borderId="165" xfId="2363" applyNumberFormat="1" applyFont="1" applyFill="1" applyBorder="1" applyAlignment="1">
      <alignment vertical="center"/>
    </xf>
    <xf numFmtId="2" fontId="142" fillId="68" borderId="168" xfId="0" applyNumberFormat="1" applyFont="1" applyFill="1" applyBorder="1"/>
    <xf numFmtId="0" fontId="8" fillId="68" borderId="0" xfId="0" applyFont="1" applyFill="1" applyBorder="1"/>
    <xf numFmtId="2" fontId="8" fillId="68" borderId="0" xfId="0" applyNumberFormat="1" applyFont="1" applyFill="1" applyBorder="1"/>
    <xf numFmtId="167" fontId="8" fillId="68" borderId="168" xfId="2363" applyFont="1" applyFill="1" applyBorder="1"/>
    <xf numFmtId="0" fontId="158" fillId="68" borderId="0" xfId="0" applyFont="1" applyFill="1"/>
    <xf numFmtId="173" fontId="8" fillId="68" borderId="168" xfId="0" applyNumberFormat="1" applyFont="1" applyFill="1" applyBorder="1" applyAlignment="1">
      <alignment vertical="center"/>
    </xf>
    <xf numFmtId="173" fontId="8" fillId="68" borderId="169" xfId="0" applyNumberFormat="1" applyFont="1" applyFill="1" applyBorder="1"/>
    <xf numFmtId="173" fontId="139" fillId="68" borderId="168" xfId="0" applyNumberFormat="1" applyFont="1" applyFill="1" applyBorder="1" applyAlignment="1">
      <alignment vertical="center"/>
    </xf>
    <xf numFmtId="173" fontId="8" fillId="68" borderId="168" xfId="0" applyNumberFormat="1" applyFont="1" applyFill="1" applyBorder="1"/>
    <xf numFmtId="173" fontId="8" fillId="68" borderId="169" xfId="2363" applyNumberFormat="1" applyFont="1" applyFill="1" applyBorder="1"/>
    <xf numFmtId="0" fontId="0" fillId="63" borderId="0" xfId="0" applyFill="1"/>
    <xf numFmtId="0" fontId="158" fillId="63" borderId="27" xfId="0" applyFont="1" applyFill="1" applyBorder="1"/>
    <xf numFmtId="0" fontId="158" fillId="63" borderId="29" xfId="0" applyFont="1" applyFill="1" applyBorder="1"/>
    <xf numFmtId="0" fontId="159" fillId="63" borderId="50" xfId="0" applyFont="1" applyFill="1" applyBorder="1"/>
    <xf numFmtId="2" fontId="156" fillId="63" borderId="44" xfId="0" applyNumberFormat="1" applyFont="1" applyFill="1" applyBorder="1"/>
    <xf numFmtId="2" fontId="157" fillId="63" borderId="44" xfId="0" applyNumberFormat="1" applyFont="1" applyFill="1" applyBorder="1"/>
    <xf numFmtId="2" fontId="158" fillId="63" borderId="25" xfId="0" applyNumberFormat="1" applyFont="1" applyFill="1" applyBorder="1"/>
    <xf numFmtId="2" fontId="158" fillId="63" borderId="34" xfId="0" applyNumberFormat="1" applyFont="1" applyFill="1" applyBorder="1"/>
    <xf numFmtId="2" fontId="157" fillId="63" borderId="45" xfId="0" applyNumberFormat="1" applyFont="1" applyFill="1" applyBorder="1"/>
    <xf numFmtId="2" fontId="157" fillId="63" borderId="34" xfId="0" applyNumberFormat="1" applyFont="1" applyFill="1" applyBorder="1"/>
    <xf numFmtId="2" fontId="158" fillId="63" borderId="45" xfId="0" applyNumberFormat="1" applyFont="1" applyFill="1" applyBorder="1"/>
    <xf numFmtId="2" fontId="158" fillId="63" borderId="44" xfId="0" applyNumberFormat="1" applyFont="1" applyFill="1" applyBorder="1"/>
    <xf numFmtId="2" fontId="159" fillId="63" borderId="34" xfId="0" applyNumberFormat="1" applyFont="1" applyFill="1" applyBorder="1"/>
    <xf numFmtId="2" fontId="159" fillId="63" borderId="28" xfId="0" applyNumberFormat="1" applyFont="1" applyFill="1" applyBorder="1"/>
    <xf numFmtId="2" fontId="149" fillId="63" borderId="28" xfId="0" applyNumberFormat="1" applyFont="1" applyFill="1" applyBorder="1"/>
    <xf numFmtId="0" fontId="8" fillId="62" borderId="6" xfId="0" applyFont="1" applyFill="1" applyBorder="1" applyAlignment="1">
      <alignment horizontal="center" vertical="center"/>
    </xf>
    <xf numFmtId="0" fontId="2" fillId="0" borderId="6" xfId="2028" applyFont="1" applyFill="1" applyBorder="1" applyAlignment="1">
      <alignment horizontal="center" vertical="center" wrapText="1"/>
    </xf>
    <xf numFmtId="0" fontId="3" fillId="62" borderId="33" xfId="2028" applyFont="1" applyFill="1" applyBorder="1" applyAlignment="1">
      <alignment horizontal="center" vertical="center"/>
    </xf>
    <xf numFmtId="167" fontId="2" fillId="0" borderId="6" xfId="2363" applyFont="1" applyFill="1" applyBorder="1" applyAlignment="1">
      <alignment horizontal="center" vertical="center" wrapText="1"/>
    </xf>
    <xf numFmtId="0" fontId="154" fillId="0" borderId="16" xfId="0" applyFont="1" applyFill="1" applyBorder="1"/>
    <xf numFmtId="43" fontId="2" fillId="0" borderId="6" xfId="0" applyNumberFormat="1" applyFont="1" applyFill="1" applyBorder="1" applyAlignment="1">
      <alignment horizontal="center" vertical="center"/>
    </xf>
    <xf numFmtId="43" fontId="2" fillId="0" borderId="6" xfId="2363" applyNumberFormat="1" applyFont="1" applyFill="1" applyBorder="1" applyAlignment="1">
      <alignment horizontal="center" vertical="center"/>
    </xf>
    <xf numFmtId="43" fontId="2" fillId="0" borderId="6" xfId="0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wrapText="1"/>
    </xf>
    <xf numFmtId="166" fontId="2" fillId="0" borderId="6" xfId="1751" applyFont="1" applyFill="1" applyBorder="1" applyAlignment="1">
      <alignment vertical="center" wrapText="1"/>
    </xf>
    <xf numFmtId="0" fontId="8" fillId="0" borderId="6" xfId="2028" applyFont="1" applyFill="1" applyBorder="1" applyAlignment="1">
      <alignment horizontal="center" vertical="center" wrapText="1"/>
    </xf>
    <xf numFmtId="166" fontId="2" fillId="0" borderId="6" xfId="1751" applyFont="1" applyFill="1" applyBorder="1" applyAlignment="1">
      <alignment horizontal="center" vertical="center" wrapText="1"/>
    </xf>
    <xf numFmtId="167" fontId="2" fillId="0" borderId="6" xfId="2363" applyFont="1" applyFill="1" applyBorder="1" applyAlignment="1">
      <alignment vertical="center" wrapText="1"/>
    </xf>
    <xf numFmtId="167" fontId="2" fillId="0" borderId="6" xfId="2363" applyFont="1" applyFill="1" applyBorder="1" applyAlignment="1">
      <alignment horizontal="center" vertical="center" wrapText="1"/>
    </xf>
    <xf numFmtId="0" fontId="2" fillId="0" borderId="6" xfId="2028" applyFont="1" applyFill="1" applyBorder="1" applyAlignment="1">
      <alignment horizontal="center" vertical="center" wrapText="1"/>
    </xf>
    <xf numFmtId="170" fontId="8" fillId="0" borderId="0" xfId="0" applyNumberFormat="1" applyFont="1" applyFill="1"/>
    <xf numFmtId="0" fontId="166" fillId="0" borderId="0" xfId="0" applyFont="1" applyFill="1" applyAlignment="1">
      <alignment vertical="center"/>
    </xf>
    <xf numFmtId="0" fontId="166" fillId="0" borderId="0" xfId="0" applyFont="1" applyFill="1"/>
    <xf numFmtId="0" fontId="169" fillId="55" borderId="49" xfId="0" applyFont="1" applyFill="1" applyBorder="1" applyAlignment="1">
      <alignment horizontal="center" vertical="center"/>
    </xf>
    <xf numFmtId="0" fontId="169" fillId="55" borderId="52" xfId="0" applyFont="1" applyFill="1" applyBorder="1" applyAlignment="1">
      <alignment horizontal="center" vertical="center"/>
    </xf>
    <xf numFmtId="0" fontId="169" fillId="55" borderId="53" xfId="0" applyFont="1" applyFill="1" applyBorder="1" applyAlignment="1">
      <alignment horizontal="center" vertical="center"/>
    </xf>
    <xf numFmtId="0" fontId="206" fillId="55" borderId="49" xfId="0" applyFont="1" applyFill="1" applyBorder="1" applyAlignment="1">
      <alignment horizontal="center" vertical="center"/>
    </xf>
    <xf numFmtId="0" fontId="206" fillId="55" borderId="52" xfId="0" applyFont="1" applyFill="1" applyBorder="1" applyAlignment="1">
      <alignment horizontal="center" vertical="center"/>
    </xf>
    <xf numFmtId="0" fontId="206" fillId="55" borderId="53" xfId="0" applyFont="1" applyFill="1" applyBorder="1" applyAlignment="1">
      <alignment horizontal="center" vertical="center"/>
    </xf>
    <xf numFmtId="0" fontId="148" fillId="55" borderId="17" xfId="0" applyFont="1" applyFill="1" applyBorder="1" applyAlignment="1">
      <alignment horizontal="center" vertical="center" textRotation="90"/>
    </xf>
    <xf numFmtId="0" fontId="2" fillId="0" borderId="32" xfId="2028" applyFont="1" applyFill="1" applyBorder="1" applyAlignment="1">
      <alignment horizontal="center" vertical="center" wrapText="1"/>
    </xf>
    <xf numFmtId="0" fontId="2" fillId="0" borderId="1" xfId="2028" applyFont="1" applyFill="1" applyBorder="1" applyAlignment="1">
      <alignment horizontal="center" vertical="center" wrapText="1"/>
    </xf>
    <xf numFmtId="0" fontId="2" fillId="0" borderId="28" xfId="2028" applyFont="1" applyFill="1" applyBorder="1" applyAlignment="1">
      <alignment horizontal="center" vertical="center" wrapText="1"/>
    </xf>
    <xf numFmtId="0" fontId="2" fillId="0" borderId="32" xfId="2028" applyFont="1" applyFill="1" applyBorder="1" applyAlignment="1">
      <alignment horizontal="center" vertical="center" textRotation="90" wrapText="1"/>
    </xf>
    <xf numFmtId="0" fontId="2" fillId="0" borderId="1" xfId="2028" applyFont="1" applyFill="1" applyBorder="1" applyAlignment="1">
      <alignment horizontal="center" vertical="center" textRotation="90" wrapText="1"/>
    </xf>
    <xf numFmtId="0" fontId="2" fillId="0" borderId="28" xfId="2028" applyFont="1" applyFill="1" applyBorder="1" applyAlignment="1">
      <alignment horizontal="center" vertical="center" textRotation="90" wrapText="1"/>
    </xf>
    <xf numFmtId="0" fontId="5" fillId="0" borderId="6" xfId="2028" applyFont="1" applyFill="1" applyBorder="1" applyAlignment="1">
      <alignment horizontal="center" vertical="center" wrapText="1"/>
    </xf>
    <xf numFmtId="173" fontId="137" fillId="0" borderId="6" xfId="0" applyNumberFormat="1" applyFont="1" applyFill="1" applyBorder="1" applyAlignment="1">
      <alignment horizontal="center" vertical="center"/>
    </xf>
    <xf numFmtId="0" fontId="197" fillId="0" borderId="29" xfId="2028" applyFont="1" applyFill="1" applyBorder="1" applyAlignment="1">
      <alignment horizontal="center" vertical="center"/>
    </xf>
    <xf numFmtId="0" fontId="197" fillId="0" borderId="33" xfId="2028" applyFont="1" applyFill="1" applyBorder="1" applyAlignment="1">
      <alignment horizontal="center" vertical="center"/>
    </xf>
    <xf numFmtId="0" fontId="197" fillId="0" borderId="27" xfId="2028" applyFont="1" applyFill="1" applyBorder="1" applyAlignment="1">
      <alignment horizontal="center" vertical="center"/>
    </xf>
    <xf numFmtId="0" fontId="137" fillId="0" borderId="29" xfId="0" applyFont="1" applyFill="1" applyBorder="1" applyAlignment="1">
      <alignment horizontal="center" vertical="center"/>
    </xf>
    <xf numFmtId="0" fontId="137" fillId="0" borderId="33" xfId="0" applyFont="1" applyFill="1" applyBorder="1" applyAlignment="1">
      <alignment horizontal="center" vertical="center"/>
    </xf>
    <xf numFmtId="0" fontId="137" fillId="0" borderId="27" xfId="0" applyFont="1" applyFill="1" applyBorder="1" applyAlignment="1">
      <alignment horizontal="center" vertical="center"/>
    </xf>
    <xf numFmtId="0" fontId="8" fillId="62" borderId="6" xfId="0" applyFont="1" applyFill="1" applyBorder="1" applyAlignment="1">
      <alignment horizontal="center"/>
    </xf>
    <xf numFmtId="0" fontId="137" fillId="59" borderId="29" xfId="0" applyFont="1" applyFill="1" applyBorder="1" applyAlignment="1">
      <alignment horizontal="center" wrapText="1"/>
    </xf>
    <xf numFmtId="0" fontId="137" fillId="59" borderId="33" xfId="0" applyFont="1" applyFill="1" applyBorder="1" applyAlignment="1">
      <alignment horizontal="center" wrapText="1"/>
    </xf>
    <xf numFmtId="0" fontId="137" fillId="59" borderId="27" xfId="0" applyFont="1" applyFill="1" applyBorder="1" applyAlignment="1">
      <alignment horizontal="center" wrapText="1"/>
    </xf>
    <xf numFmtId="0" fontId="2" fillId="0" borderId="29" xfId="2028" applyFont="1" applyFill="1" applyBorder="1" applyAlignment="1">
      <alignment horizontal="center" vertical="center"/>
    </xf>
    <xf numFmtId="0" fontId="2" fillId="0" borderId="27" xfId="2028" applyFont="1" applyFill="1" applyBorder="1" applyAlignment="1">
      <alignment horizontal="center" vertical="center"/>
    </xf>
    <xf numFmtId="173" fontId="2" fillId="0" borderId="32" xfId="2028" applyNumberFormat="1" applyFont="1" applyFill="1" applyBorder="1" applyAlignment="1">
      <alignment horizontal="center" vertical="center" wrapText="1"/>
    </xf>
    <xf numFmtId="173" fontId="2" fillId="0" borderId="28" xfId="2028" applyNumberFormat="1" applyFont="1" applyFill="1" applyBorder="1" applyAlignment="1">
      <alignment horizontal="center" vertical="center" wrapText="1"/>
    </xf>
    <xf numFmtId="0" fontId="8" fillId="62" borderId="29" xfId="0" applyFont="1" applyFill="1" applyBorder="1" applyAlignment="1">
      <alignment horizontal="center"/>
    </xf>
    <xf numFmtId="0" fontId="8" fillId="62" borderId="33" xfId="0" applyFont="1" applyFill="1" applyBorder="1" applyAlignment="1">
      <alignment horizontal="center"/>
    </xf>
    <xf numFmtId="0" fontId="8" fillId="62" borderId="27" xfId="0" applyFont="1" applyFill="1" applyBorder="1" applyAlignment="1">
      <alignment horizontal="center"/>
    </xf>
    <xf numFmtId="173" fontId="3" fillId="0" borderId="29" xfId="2028" applyNumberFormat="1" applyFont="1" applyFill="1" applyBorder="1" applyAlignment="1">
      <alignment horizontal="center" vertical="center"/>
    </xf>
    <xf numFmtId="173" fontId="3" fillId="0" borderId="33" xfId="2028" applyNumberFormat="1" applyFont="1" applyFill="1" applyBorder="1" applyAlignment="1">
      <alignment horizontal="center" vertical="center"/>
    </xf>
    <xf numFmtId="173" fontId="3" fillId="0" borderId="27" xfId="2028" applyNumberFormat="1" applyFont="1" applyFill="1" applyBorder="1" applyAlignment="1">
      <alignment horizontal="center" vertical="center"/>
    </xf>
    <xf numFmtId="0" fontId="3" fillId="0" borderId="29" xfId="2028" applyFont="1" applyFill="1" applyBorder="1" applyAlignment="1">
      <alignment horizontal="center" vertical="center"/>
    </xf>
    <xf numFmtId="0" fontId="3" fillId="0" borderId="33" xfId="2028" applyFont="1" applyFill="1" applyBorder="1" applyAlignment="1">
      <alignment horizontal="center" vertical="center"/>
    </xf>
    <xf numFmtId="0" fontId="3" fillId="0" borderId="27" xfId="2028" applyFont="1" applyFill="1" applyBorder="1" applyAlignment="1">
      <alignment horizontal="center" vertical="center"/>
    </xf>
    <xf numFmtId="0" fontId="3" fillId="62" borderId="29" xfId="2028" applyFont="1" applyFill="1" applyBorder="1" applyAlignment="1">
      <alignment horizontal="center" vertical="center"/>
    </xf>
    <xf numFmtId="0" fontId="3" fillId="62" borderId="33" xfId="2028" applyFont="1" applyFill="1" applyBorder="1" applyAlignment="1">
      <alignment horizontal="center" vertical="center"/>
    </xf>
    <xf numFmtId="0" fontId="3" fillId="62" borderId="27" xfId="2028" applyFont="1" applyFill="1" applyBorder="1" applyAlignment="1">
      <alignment horizontal="center" vertical="center"/>
    </xf>
    <xf numFmtId="0" fontId="138" fillId="62" borderId="6" xfId="0" applyFont="1" applyFill="1" applyBorder="1" applyAlignment="1">
      <alignment horizontal="center" vertical="center"/>
    </xf>
    <xf numFmtId="0" fontId="143" fillId="62" borderId="6" xfId="0" applyFont="1" applyFill="1" applyBorder="1" applyAlignment="1">
      <alignment horizontal="center"/>
    </xf>
    <xf numFmtId="0" fontId="143" fillId="62" borderId="6" xfId="0" applyFont="1" applyFill="1" applyBorder="1" applyAlignment="1">
      <alignment horizontal="center" wrapText="1"/>
    </xf>
    <xf numFmtId="0" fontId="143" fillId="62" borderId="32" xfId="0" applyFont="1" applyFill="1" applyBorder="1" applyAlignment="1">
      <alignment horizontal="center" wrapText="1"/>
    </xf>
    <xf numFmtId="0" fontId="143" fillId="62" borderId="1" xfId="0" applyFont="1" applyFill="1" applyBorder="1" applyAlignment="1">
      <alignment horizontal="center" wrapText="1"/>
    </xf>
    <xf numFmtId="0" fontId="143" fillId="62" borderId="28" xfId="0" applyFont="1" applyFill="1" applyBorder="1" applyAlignment="1">
      <alignment horizontal="center" wrapText="1"/>
    </xf>
    <xf numFmtId="0" fontId="5" fillId="58" borderId="29" xfId="0" applyFont="1" applyFill="1" applyBorder="1" applyAlignment="1">
      <alignment horizontal="center" wrapText="1"/>
    </xf>
    <xf numFmtId="0" fontId="5" fillId="58" borderId="33" xfId="0" applyFont="1" applyFill="1" applyBorder="1" applyAlignment="1">
      <alignment horizontal="center" wrapText="1"/>
    </xf>
    <xf numFmtId="0" fontId="5" fillId="58" borderId="27" xfId="0" applyFont="1" applyFill="1" applyBorder="1" applyAlignment="1">
      <alignment horizontal="center" wrapText="1"/>
    </xf>
    <xf numFmtId="0" fontId="143" fillId="58" borderId="32" xfId="0" applyFont="1" applyFill="1" applyBorder="1" applyAlignment="1">
      <alignment horizontal="center" vertical="center"/>
    </xf>
    <xf numFmtId="0" fontId="143" fillId="58" borderId="1" xfId="0" applyFont="1" applyFill="1" applyBorder="1" applyAlignment="1">
      <alignment horizontal="center" vertical="center"/>
    </xf>
    <xf numFmtId="0" fontId="143" fillId="58" borderId="28" xfId="0" applyFont="1" applyFill="1" applyBorder="1" applyAlignment="1">
      <alignment horizontal="center" vertical="center"/>
    </xf>
    <xf numFmtId="0" fontId="8" fillId="62" borderId="32" xfId="0" applyFont="1" applyFill="1" applyBorder="1" applyAlignment="1">
      <alignment horizontal="center"/>
    </xf>
    <xf numFmtId="0" fontId="8" fillId="62" borderId="1" xfId="0" applyFont="1" applyFill="1" applyBorder="1" applyAlignment="1">
      <alignment horizontal="center"/>
    </xf>
    <xf numFmtId="0" fontId="8" fillId="62" borderId="28" xfId="0" applyFont="1" applyFill="1" applyBorder="1" applyAlignment="1">
      <alignment horizontal="center"/>
    </xf>
    <xf numFmtId="0" fontId="2" fillId="62" borderId="32" xfId="2028" applyFont="1" applyFill="1" applyBorder="1" applyAlignment="1">
      <alignment horizontal="center" vertical="center" wrapText="1"/>
    </xf>
    <xf numFmtId="0" fontId="2" fillId="62" borderId="28" xfId="2028" applyFont="1" applyFill="1" applyBorder="1" applyAlignment="1">
      <alignment horizontal="center" vertical="center" wrapText="1"/>
    </xf>
    <xf numFmtId="0" fontId="2" fillId="62" borderId="29" xfId="2028" applyFont="1" applyFill="1" applyBorder="1" applyAlignment="1">
      <alignment horizontal="center" vertical="center"/>
    </xf>
    <xf numFmtId="0" fontId="2" fillId="62" borderId="27" xfId="2028" applyFont="1" applyFill="1" applyBorder="1" applyAlignment="1">
      <alignment horizontal="center" vertical="center"/>
    </xf>
    <xf numFmtId="167" fontId="2" fillId="0" borderId="6" xfId="2363" applyFont="1" applyFill="1" applyBorder="1" applyAlignment="1">
      <alignment horizontal="center" vertical="center" wrapText="1"/>
    </xf>
    <xf numFmtId="167" fontId="2" fillId="0" borderId="1" xfId="2363" applyFont="1" applyFill="1" applyBorder="1" applyAlignment="1">
      <alignment horizontal="center" vertical="center" wrapText="1"/>
    </xf>
    <xf numFmtId="167" fontId="2" fillId="0" borderId="28" xfId="2363" applyFont="1" applyFill="1" applyBorder="1" applyAlignment="1">
      <alignment horizontal="center" vertical="center" wrapText="1"/>
    </xf>
    <xf numFmtId="0" fontId="146" fillId="0" borderId="28" xfId="2028" applyFont="1" applyFill="1" applyBorder="1" applyAlignment="1">
      <alignment horizontal="center" vertical="center" wrapText="1"/>
    </xf>
    <xf numFmtId="0" fontId="2" fillId="62" borderId="35" xfId="2028" applyFont="1" applyFill="1" applyBorder="1" applyAlignment="1">
      <alignment horizontal="center" vertical="center" wrapText="1"/>
    </xf>
    <xf numFmtId="0" fontId="2" fillId="62" borderId="30" xfId="2028" applyFont="1" applyFill="1" applyBorder="1" applyAlignment="1">
      <alignment horizontal="center" vertical="center" wrapText="1"/>
    </xf>
    <xf numFmtId="0" fontId="172" fillId="0" borderId="1" xfId="2028" applyFont="1" applyFill="1" applyBorder="1" applyAlignment="1">
      <alignment horizontal="center" vertical="center" wrapText="1"/>
    </xf>
    <xf numFmtId="167" fontId="2" fillId="0" borderId="32" xfId="2363" applyFont="1" applyFill="1" applyBorder="1" applyAlignment="1">
      <alignment horizontal="center" vertical="center" wrapText="1"/>
    </xf>
    <xf numFmtId="2" fontId="2" fillId="0" borderId="32" xfId="2363" applyNumberFormat="1" applyFont="1" applyFill="1" applyBorder="1" applyAlignment="1">
      <alignment horizontal="center" vertical="center" wrapText="1"/>
    </xf>
    <xf numFmtId="2" fontId="2" fillId="0" borderId="1" xfId="2363" applyNumberFormat="1" applyFont="1" applyFill="1" applyBorder="1" applyAlignment="1">
      <alignment horizontal="center" vertical="center" wrapText="1"/>
    </xf>
    <xf numFmtId="2" fontId="2" fillId="0" borderId="28" xfId="2363" applyNumberFormat="1" applyFont="1" applyFill="1" applyBorder="1" applyAlignment="1">
      <alignment horizontal="center" vertical="center" wrapText="1"/>
    </xf>
    <xf numFmtId="0" fontId="146" fillId="0" borderId="1" xfId="2028" applyFont="1" applyFill="1" applyBorder="1" applyAlignment="1">
      <alignment horizontal="center" vertical="center" wrapText="1"/>
    </xf>
    <xf numFmtId="0" fontId="146" fillId="0" borderId="32" xfId="2028" applyFont="1" applyFill="1" applyBorder="1" applyAlignment="1">
      <alignment horizontal="center" vertical="center" wrapText="1"/>
    </xf>
    <xf numFmtId="166" fontId="2" fillId="0" borderId="32" xfId="1751" applyFont="1" applyFill="1" applyBorder="1" applyAlignment="1">
      <alignment horizontal="center" vertical="center" wrapText="1"/>
    </xf>
    <xf numFmtId="166" fontId="2" fillId="0" borderId="1" xfId="1751" applyFont="1" applyFill="1" applyBorder="1" applyAlignment="1">
      <alignment horizontal="center" vertical="center" wrapText="1"/>
    </xf>
    <xf numFmtId="166" fontId="2" fillId="0" borderId="28" xfId="1751" applyFont="1" applyFill="1" applyBorder="1" applyAlignment="1">
      <alignment horizontal="center" vertical="center" wrapText="1"/>
    </xf>
    <xf numFmtId="0" fontId="172" fillId="0" borderId="1" xfId="2028" applyFont="1" applyFill="1" applyBorder="1" applyAlignment="1">
      <alignment vertical="center" wrapText="1"/>
    </xf>
    <xf numFmtId="0" fontId="2" fillId="0" borderId="28" xfId="2028" applyFont="1" applyFill="1" applyBorder="1" applyAlignment="1">
      <alignment vertical="center" wrapText="1"/>
    </xf>
    <xf numFmtId="0" fontId="2" fillId="0" borderId="6" xfId="2028" applyFont="1" applyFill="1" applyBorder="1" applyAlignment="1">
      <alignment horizontal="center" vertical="center" wrapText="1"/>
    </xf>
    <xf numFmtId="0" fontId="2" fillId="86" borderId="6" xfId="2028" applyFont="1" applyFill="1" applyBorder="1" applyAlignment="1">
      <alignment horizontal="center" vertical="center" wrapText="1"/>
    </xf>
    <xf numFmtId="2" fontId="137" fillId="62" borderId="6" xfId="0" applyNumberFormat="1" applyFont="1" applyFill="1" applyBorder="1" applyAlignment="1">
      <alignment horizontal="center"/>
    </xf>
    <xf numFmtId="2" fontId="137" fillId="62" borderId="36" xfId="0" applyNumberFormat="1" applyFont="1" applyFill="1" applyBorder="1" applyAlignment="1">
      <alignment horizontal="center"/>
    </xf>
    <xf numFmtId="0" fontId="172" fillId="0" borderId="32" xfId="2028" applyFont="1" applyFill="1" applyBorder="1" applyAlignment="1">
      <alignment horizontal="center" vertical="center" wrapText="1"/>
    </xf>
    <xf numFmtId="0" fontId="2" fillId="55" borderId="32" xfId="2028" applyFont="1" applyFill="1" applyBorder="1" applyAlignment="1">
      <alignment horizontal="center" vertical="center" wrapText="1"/>
    </xf>
    <xf numFmtId="0" fontId="2" fillId="55" borderId="1" xfId="2028" applyFont="1" applyFill="1" applyBorder="1" applyAlignment="1">
      <alignment horizontal="center" vertical="center" wrapText="1"/>
    </xf>
    <xf numFmtId="0" fontId="2" fillId="62" borderId="173" xfId="2028" applyFont="1" applyFill="1" applyBorder="1" applyAlignment="1">
      <alignment horizontal="center" vertical="center" wrapText="1"/>
    </xf>
    <xf numFmtId="0" fontId="2" fillId="62" borderId="174" xfId="2028" applyFont="1" applyFill="1" applyBorder="1" applyAlignment="1">
      <alignment horizontal="center" vertical="center" wrapText="1"/>
    </xf>
    <xf numFmtId="0" fontId="196" fillId="62" borderId="29" xfId="0" applyFont="1" applyFill="1" applyBorder="1" applyAlignment="1">
      <alignment horizontal="center" vertical="center"/>
    </xf>
    <xf numFmtId="0" fontId="196" fillId="62" borderId="33" xfId="0" applyFont="1" applyFill="1" applyBorder="1" applyAlignment="1">
      <alignment horizontal="center" vertical="center"/>
    </xf>
    <xf numFmtId="0" fontId="196" fillId="62" borderId="27" xfId="0" applyFont="1" applyFill="1" applyBorder="1" applyAlignment="1">
      <alignment horizontal="center" vertical="center"/>
    </xf>
    <xf numFmtId="0" fontId="143" fillId="62" borderId="32" xfId="0" applyFont="1" applyFill="1" applyBorder="1" applyAlignment="1">
      <alignment horizontal="center" vertical="center" wrapText="1"/>
    </xf>
    <xf numFmtId="0" fontId="143" fillId="62" borderId="1" xfId="0" applyFont="1" applyFill="1" applyBorder="1" applyAlignment="1">
      <alignment horizontal="center" vertical="center" wrapText="1"/>
    </xf>
    <xf numFmtId="0" fontId="143" fillId="62" borderId="28" xfId="0" applyFont="1" applyFill="1" applyBorder="1" applyAlignment="1">
      <alignment horizontal="center" vertical="center" wrapText="1"/>
    </xf>
    <xf numFmtId="0" fontId="5" fillId="92" borderId="29" xfId="0" applyFont="1" applyFill="1" applyBorder="1" applyAlignment="1">
      <alignment horizontal="center" vertical="center" wrapText="1"/>
    </xf>
    <xf numFmtId="0" fontId="5" fillId="92" borderId="33" xfId="0" applyFont="1" applyFill="1" applyBorder="1" applyAlignment="1">
      <alignment horizontal="center" vertical="center" wrapText="1"/>
    </xf>
    <xf numFmtId="0" fontId="5" fillId="92" borderId="27" xfId="0" applyFont="1" applyFill="1" applyBorder="1" applyAlignment="1">
      <alignment horizontal="center" vertical="center" wrapText="1"/>
    </xf>
    <xf numFmtId="0" fontId="143" fillId="92" borderId="32" xfId="0" applyFont="1" applyFill="1" applyBorder="1" applyAlignment="1">
      <alignment horizontal="center" vertical="center"/>
    </xf>
    <xf numFmtId="0" fontId="143" fillId="92" borderId="1" xfId="0" applyFont="1" applyFill="1" applyBorder="1" applyAlignment="1">
      <alignment horizontal="center" vertical="center"/>
    </xf>
    <xf numFmtId="0" fontId="143" fillId="92" borderId="28" xfId="0" applyFont="1" applyFill="1" applyBorder="1" applyAlignment="1">
      <alignment horizontal="center" vertical="center"/>
    </xf>
    <xf numFmtId="0" fontId="2" fillId="62" borderId="61" xfId="2028" applyFont="1" applyFill="1" applyBorder="1" applyAlignment="1">
      <alignment horizontal="center" vertical="center" wrapText="1"/>
    </xf>
    <xf numFmtId="0" fontId="2" fillId="62" borderId="45" xfId="2028" applyFont="1" applyFill="1" applyBorder="1" applyAlignment="1">
      <alignment horizontal="center" vertical="center" wrapText="1"/>
    </xf>
    <xf numFmtId="0" fontId="2" fillId="0" borderId="35" xfId="2028" applyFont="1" applyFill="1" applyBorder="1" applyAlignment="1">
      <alignment horizontal="center" vertical="center" wrapText="1"/>
    </xf>
    <xf numFmtId="0" fontId="2" fillId="0" borderId="30" xfId="2028" applyFont="1" applyFill="1" applyBorder="1" applyAlignment="1">
      <alignment horizontal="center" vertical="center" wrapText="1"/>
    </xf>
    <xf numFmtId="0" fontId="2" fillId="88" borderId="29" xfId="2028" applyFont="1" applyFill="1" applyBorder="1" applyAlignment="1">
      <alignment horizontal="center" vertical="center"/>
    </xf>
    <xf numFmtId="0" fontId="2" fillId="88" borderId="27" xfId="2028" applyFont="1" applyFill="1" applyBorder="1" applyAlignment="1">
      <alignment horizontal="center" vertical="center"/>
    </xf>
    <xf numFmtId="0" fontId="2" fillId="0" borderId="173" xfId="2028" applyFont="1" applyFill="1" applyBorder="1" applyAlignment="1">
      <alignment horizontal="center" vertical="center" wrapText="1"/>
    </xf>
    <xf numFmtId="0" fontId="2" fillId="0" borderId="174" xfId="2028" applyFont="1" applyFill="1" applyBorder="1" applyAlignment="1">
      <alignment horizontal="center" vertical="center" wrapText="1"/>
    </xf>
    <xf numFmtId="173" fontId="2" fillId="0" borderId="31" xfId="2028" applyNumberFormat="1" applyFont="1" applyFill="1" applyBorder="1" applyAlignment="1">
      <alignment horizontal="center" vertical="center" wrapText="1"/>
    </xf>
    <xf numFmtId="173" fontId="2" fillId="0" borderId="34" xfId="2028" applyNumberFormat="1" applyFont="1" applyFill="1" applyBorder="1" applyAlignment="1">
      <alignment horizontal="center" vertical="center" wrapText="1"/>
    </xf>
    <xf numFmtId="0" fontId="8" fillId="62" borderId="32" xfId="0" applyFont="1" applyFill="1" applyBorder="1" applyAlignment="1">
      <alignment horizontal="center" vertical="center"/>
    </xf>
    <xf numFmtId="0" fontId="8" fillId="62" borderId="1" xfId="0" applyFont="1" applyFill="1" applyBorder="1" applyAlignment="1">
      <alignment horizontal="center" vertical="center"/>
    </xf>
    <xf numFmtId="0" fontId="8" fillId="62" borderId="28" xfId="0" applyFont="1" applyFill="1" applyBorder="1" applyAlignment="1">
      <alignment horizontal="center" vertical="center"/>
    </xf>
    <xf numFmtId="0" fontId="143" fillId="88" borderId="32" xfId="0" applyFont="1" applyFill="1" applyBorder="1" applyAlignment="1">
      <alignment horizontal="center" vertical="center"/>
    </xf>
    <xf numFmtId="0" fontId="143" fillId="88" borderId="1" xfId="0" applyFont="1" applyFill="1" applyBorder="1" applyAlignment="1">
      <alignment horizontal="center" vertical="center"/>
    </xf>
    <xf numFmtId="0" fontId="143" fillId="88" borderId="28" xfId="0" applyFont="1" applyFill="1" applyBorder="1" applyAlignment="1">
      <alignment horizontal="center" vertical="center"/>
    </xf>
    <xf numFmtId="0" fontId="2" fillId="0" borderId="31" xfId="2028" applyFont="1" applyFill="1" applyBorder="1" applyAlignment="1">
      <alignment horizontal="center" vertical="center" wrapText="1"/>
    </xf>
    <xf numFmtId="0" fontId="2" fillId="0" borderId="34" xfId="2028" applyFont="1" applyFill="1" applyBorder="1" applyAlignment="1">
      <alignment horizontal="center" vertical="center" wrapText="1"/>
    </xf>
    <xf numFmtId="0" fontId="143" fillId="88" borderId="32" xfId="0" applyFont="1" applyFill="1" applyBorder="1" applyAlignment="1">
      <alignment horizontal="center" vertical="center" wrapText="1"/>
    </xf>
    <xf numFmtId="0" fontId="143" fillId="88" borderId="1" xfId="0" applyFont="1" applyFill="1" applyBorder="1" applyAlignment="1">
      <alignment horizontal="center" vertical="center" wrapText="1"/>
    </xf>
    <xf numFmtId="0" fontId="143" fillId="88" borderId="28" xfId="0" applyFont="1" applyFill="1" applyBorder="1" applyAlignment="1">
      <alignment horizontal="center" vertical="center" wrapText="1"/>
    </xf>
    <xf numFmtId="0" fontId="8" fillId="62" borderId="29" xfId="0" applyFont="1" applyFill="1" applyBorder="1" applyAlignment="1">
      <alignment horizontal="center" vertical="center"/>
    </xf>
    <xf numFmtId="0" fontId="8" fillId="62" borderId="33" xfId="0" applyFont="1" applyFill="1" applyBorder="1" applyAlignment="1">
      <alignment horizontal="center" vertical="center"/>
    </xf>
    <xf numFmtId="0" fontId="8" fillId="62" borderId="27" xfId="0" applyFont="1" applyFill="1" applyBorder="1" applyAlignment="1">
      <alignment horizontal="center" vertical="center"/>
    </xf>
    <xf numFmtId="0" fontId="8" fillId="62" borderId="6" xfId="0" applyFont="1" applyFill="1" applyBorder="1" applyAlignment="1">
      <alignment horizontal="center" vertical="center"/>
    </xf>
    <xf numFmtId="0" fontId="5" fillId="88" borderId="29" xfId="0" applyFont="1" applyFill="1" applyBorder="1" applyAlignment="1">
      <alignment horizontal="center" vertical="center" wrapText="1"/>
    </xf>
    <xf numFmtId="0" fontId="5" fillId="88" borderId="33" xfId="0" applyFont="1" applyFill="1" applyBorder="1" applyAlignment="1">
      <alignment horizontal="center" vertical="center" wrapText="1"/>
    </xf>
    <xf numFmtId="0" fontId="5" fillId="88" borderId="27" xfId="0" applyFont="1" applyFill="1" applyBorder="1" applyAlignment="1">
      <alignment horizontal="center" vertical="center" wrapText="1"/>
    </xf>
    <xf numFmtId="0" fontId="137" fillId="59" borderId="33" xfId="0" applyFont="1" applyFill="1" applyBorder="1" applyAlignment="1">
      <alignment horizontal="center" vertical="center" wrapText="1"/>
    </xf>
    <xf numFmtId="0" fontId="137" fillId="59" borderId="27" xfId="0" applyFont="1" applyFill="1" applyBorder="1" applyAlignment="1">
      <alignment horizontal="center" vertical="center" wrapText="1"/>
    </xf>
    <xf numFmtId="0" fontId="5" fillId="92" borderId="171" xfId="2028" applyFont="1" applyFill="1" applyBorder="1" applyAlignment="1">
      <alignment horizontal="center" vertical="center"/>
    </xf>
    <xf numFmtId="0" fontId="5" fillId="92" borderId="172" xfId="2028" applyFont="1" applyFill="1" applyBorder="1" applyAlignment="1">
      <alignment horizontal="center" vertical="center"/>
    </xf>
    <xf numFmtId="0" fontId="5" fillId="92" borderId="59" xfId="2028" applyFont="1" applyFill="1" applyBorder="1" applyAlignment="1">
      <alignment horizontal="center" vertical="center"/>
    </xf>
    <xf numFmtId="173" fontId="3" fillId="93" borderId="171" xfId="2028" applyNumberFormat="1" applyFont="1" applyFill="1" applyBorder="1" applyAlignment="1">
      <alignment horizontal="center" vertical="center"/>
    </xf>
    <xf numFmtId="173" fontId="3" fillId="93" borderId="172" xfId="2028" applyNumberFormat="1" applyFont="1" applyFill="1" applyBorder="1" applyAlignment="1">
      <alignment horizontal="center" vertical="center"/>
    </xf>
    <xf numFmtId="173" fontId="3" fillId="93" borderId="59" xfId="2028" applyNumberFormat="1" applyFont="1" applyFill="1" applyBorder="1" applyAlignment="1">
      <alignment horizontal="center" vertical="center"/>
    </xf>
    <xf numFmtId="0" fontId="3" fillId="88" borderId="29" xfId="2028" applyFont="1" applyFill="1" applyBorder="1" applyAlignment="1">
      <alignment horizontal="center" vertical="center"/>
    </xf>
    <xf numFmtId="0" fontId="3" fillId="88" borderId="33" xfId="2028" applyFont="1" applyFill="1" applyBorder="1" applyAlignment="1">
      <alignment horizontal="center" vertical="center"/>
    </xf>
    <xf numFmtId="0" fontId="3" fillId="88" borderId="177" xfId="2028" applyFont="1" applyFill="1" applyBorder="1" applyAlignment="1">
      <alignment horizontal="center" vertical="center"/>
    </xf>
    <xf numFmtId="0" fontId="143" fillId="65" borderId="6" xfId="0" applyFont="1" applyFill="1" applyBorder="1" applyAlignment="1">
      <alignment horizontal="center" vertical="center"/>
    </xf>
    <xf numFmtId="0" fontId="143" fillId="62" borderId="6" xfId="0" applyFont="1" applyFill="1" applyBorder="1" applyAlignment="1">
      <alignment horizontal="center" vertical="center" wrapText="1"/>
    </xf>
    <xf numFmtId="0" fontId="138" fillId="65" borderId="6" xfId="0" applyFont="1" applyFill="1" applyBorder="1" applyAlignment="1">
      <alignment horizontal="center" vertical="center"/>
    </xf>
    <xf numFmtId="0" fontId="2" fillId="0" borderId="21" xfId="2028" applyFont="1" applyFill="1" applyBorder="1" applyAlignment="1">
      <alignment horizontal="center" vertical="center" wrapText="1"/>
    </xf>
    <xf numFmtId="0" fontId="5" fillId="92" borderId="32" xfId="2028" applyFont="1" applyFill="1" applyBorder="1" applyAlignment="1">
      <alignment horizontal="center" vertical="center" wrapText="1"/>
    </xf>
    <xf numFmtId="173" fontId="137" fillId="93" borderId="32" xfId="0" applyNumberFormat="1" applyFont="1" applyFill="1" applyBorder="1" applyAlignment="1">
      <alignment horizontal="center" vertical="center"/>
    </xf>
    <xf numFmtId="173" fontId="137" fillId="93" borderId="35" xfId="0" applyNumberFormat="1" applyFont="1" applyFill="1" applyBorder="1" applyAlignment="1">
      <alignment horizontal="center" vertical="center"/>
    </xf>
    <xf numFmtId="0" fontId="137" fillId="88" borderId="171" xfId="0" applyFont="1" applyFill="1" applyBorder="1" applyAlignment="1">
      <alignment horizontal="center" vertical="center"/>
    </xf>
    <xf numFmtId="0" fontId="137" fillId="88" borderId="172" xfId="0" applyFont="1" applyFill="1" applyBorder="1" applyAlignment="1">
      <alignment horizontal="center" vertical="center"/>
    </xf>
    <xf numFmtId="0" fontId="137" fillId="88" borderId="59" xfId="0" applyFont="1" applyFill="1" applyBorder="1" applyAlignment="1">
      <alignment horizontal="center" vertical="center"/>
    </xf>
    <xf numFmtId="0" fontId="5" fillId="56" borderId="26" xfId="0" applyFont="1" applyFill="1" applyBorder="1" applyAlignment="1">
      <alignment horizontal="center" vertical="center"/>
    </xf>
    <xf numFmtId="0" fontId="5" fillId="56" borderId="63" xfId="0" applyFont="1" applyFill="1" applyBorder="1" applyAlignment="1">
      <alignment horizontal="center" vertical="center"/>
    </xf>
    <xf numFmtId="0" fontId="5" fillId="56" borderId="163" xfId="0" applyFont="1" applyFill="1" applyBorder="1" applyAlignment="1">
      <alignment horizontal="center" vertical="center"/>
    </xf>
    <xf numFmtId="173" fontId="2" fillId="0" borderId="61" xfId="2028" applyNumberFormat="1" applyFont="1" applyFill="1" applyBorder="1" applyAlignment="1">
      <alignment horizontal="center" vertical="center" wrapText="1"/>
    </xf>
    <xf numFmtId="173" fontId="2" fillId="0" borderId="45" xfId="2028" applyNumberFormat="1" applyFont="1" applyFill="1" applyBorder="1" applyAlignment="1">
      <alignment horizontal="center" vertical="center" wrapText="1"/>
    </xf>
    <xf numFmtId="0" fontId="3" fillId="62" borderId="79" xfId="2028" applyFont="1" applyFill="1" applyBorder="1" applyAlignment="1">
      <alignment horizontal="center" vertical="center"/>
    </xf>
    <xf numFmtId="0" fontId="3" fillId="62" borderId="177" xfId="2028" applyFont="1" applyFill="1" applyBorder="1" applyAlignment="1">
      <alignment horizontal="center" vertical="center"/>
    </xf>
    <xf numFmtId="0" fontId="2" fillId="0" borderId="25" xfId="2028" applyFont="1" applyFill="1" applyBorder="1" applyAlignment="1">
      <alignment horizontal="center" vertical="center" wrapText="1"/>
    </xf>
    <xf numFmtId="0" fontId="2" fillId="0" borderId="61" xfId="2028" applyFont="1" applyFill="1" applyBorder="1" applyAlignment="1">
      <alignment horizontal="center" vertical="center" wrapText="1"/>
    </xf>
    <xf numFmtId="0" fontId="2" fillId="96" borderId="173" xfId="2028" applyFont="1" applyFill="1" applyBorder="1" applyAlignment="1">
      <alignment horizontal="center" vertical="center" wrapText="1"/>
    </xf>
    <xf numFmtId="0" fontId="2" fillId="96" borderId="174" xfId="2028" applyFont="1" applyFill="1" applyBorder="1" applyAlignment="1">
      <alignment horizontal="center" vertical="center" wrapText="1"/>
    </xf>
    <xf numFmtId="0" fontId="2" fillId="96" borderId="32" xfId="2028" applyFont="1" applyFill="1" applyBorder="1" applyAlignment="1">
      <alignment horizontal="center" vertical="center" wrapText="1"/>
    </xf>
    <xf numFmtId="0" fontId="2" fillId="96" borderId="28" xfId="2028" applyFont="1" applyFill="1" applyBorder="1" applyAlignment="1">
      <alignment horizontal="center" vertical="center" wrapText="1"/>
    </xf>
    <xf numFmtId="0" fontId="2" fillId="96" borderId="29" xfId="2028" applyFont="1" applyFill="1" applyBorder="1" applyAlignment="1">
      <alignment horizontal="center" vertical="center"/>
    </xf>
    <xf numFmtId="0" fontId="2" fillId="96" borderId="27" xfId="2028" applyFont="1" applyFill="1" applyBorder="1" applyAlignment="1">
      <alignment horizontal="center" vertical="center"/>
    </xf>
    <xf numFmtId="0" fontId="2" fillId="96" borderId="35" xfId="2028" applyFont="1" applyFill="1" applyBorder="1" applyAlignment="1">
      <alignment horizontal="center" vertical="center" wrapText="1"/>
    </xf>
    <xf numFmtId="0" fontId="2" fillId="96" borderId="30" xfId="2028" applyFont="1" applyFill="1" applyBorder="1" applyAlignment="1">
      <alignment horizontal="center" vertical="center" wrapText="1"/>
    </xf>
    <xf numFmtId="0" fontId="2" fillId="95" borderId="29" xfId="2028" applyFont="1" applyFill="1" applyBorder="1" applyAlignment="1">
      <alignment horizontal="center" vertical="center"/>
    </xf>
    <xf numFmtId="0" fontId="2" fillId="95" borderId="27" xfId="2028" applyFont="1" applyFill="1" applyBorder="1" applyAlignment="1">
      <alignment horizontal="center" vertical="center"/>
    </xf>
    <xf numFmtId="0" fontId="2" fillId="95" borderId="32" xfId="2028" applyFont="1" applyFill="1" applyBorder="1" applyAlignment="1">
      <alignment horizontal="center" vertical="center" wrapText="1"/>
    </xf>
    <xf numFmtId="0" fontId="2" fillId="95" borderId="28" xfId="2028" applyFont="1" applyFill="1" applyBorder="1" applyAlignment="1">
      <alignment horizontal="center" vertical="center" wrapText="1"/>
    </xf>
    <xf numFmtId="0" fontId="2" fillId="95" borderId="61" xfId="2028" applyFont="1" applyFill="1" applyBorder="1" applyAlignment="1">
      <alignment horizontal="center" vertical="center" wrapText="1"/>
    </xf>
    <xf numFmtId="0" fontId="2" fillId="95" borderId="45" xfId="2028" applyFont="1" applyFill="1" applyBorder="1" applyAlignment="1">
      <alignment horizontal="center" vertical="center" wrapText="1"/>
    </xf>
    <xf numFmtId="0" fontId="3" fillId="95" borderId="79" xfId="2028" applyFont="1" applyFill="1" applyBorder="1" applyAlignment="1">
      <alignment horizontal="center" vertical="center"/>
    </xf>
    <xf numFmtId="0" fontId="3" fillId="95" borderId="33" xfId="2028" applyFont="1" applyFill="1" applyBorder="1" applyAlignment="1">
      <alignment horizontal="center" vertical="center"/>
    </xf>
    <xf numFmtId="0" fontId="3" fillId="95" borderId="27" xfId="2028" applyFont="1" applyFill="1" applyBorder="1" applyAlignment="1">
      <alignment horizontal="center" vertical="center"/>
    </xf>
    <xf numFmtId="0" fontId="3" fillId="96" borderId="29" xfId="2028" applyFont="1" applyFill="1" applyBorder="1" applyAlignment="1">
      <alignment horizontal="center" vertical="center"/>
    </xf>
    <xf numFmtId="0" fontId="3" fillId="96" borderId="33" xfId="2028" applyFont="1" applyFill="1" applyBorder="1" applyAlignment="1">
      <alignment horizontal="center" vertical="center"/>
    </xf>
    <xf numFmtId="0" fontId="3" fillId="96" borderId="177" xfId="2028" applyFont="1" applyFill="1" applyBorder="1" applyAlignment="1">
      <alignment horizontal="center" vertical="center"/>
    </xf>
    <xf numFmtId="0" fontId="2" fillId="0" borderId="6" xfId="2028" applyFont="1" applyFill="1" applyBorder="1" applyAlignment="1">
      <alignment horizontal="center" vertical="center" textRotation="90" wrapText="1"/>
    </xf>
    <xf numFmtId="0" fontId="5" fillId="0" borderId="17" xfId="0" applyFont="1" applyFill="1" applyBorder="1" applyAlignment="1">
      <alignment horizontal="center" vertical="center" textRotation="90"/>
    </xf>
    <xf numFmtId="0" fontId="2" fillId="0" borderId="6" xfId="2028" applyFont="1" applyFill="1" applyBorder="1" applyAlignment="1">
      <alignment horizontal="center" vertical="center"/>
    </xf>
    <xf numFmtId="0" fontId="3" fillId="0" borderId="6" xfId="2028" applyFont="1" applyFill="1" applyBorder="1" applyAlignment="1">
      <alignment horizontal="center" vertical="center" wrapText="1"/>
    </xf>
    <xf numFmtId="0" fontId="5" fillId="0" borderId="6" xfId="2028" applyFont="1" applyFill="1" applyBorder="1" applyAlignment="1">
      <alignment horizontal="center" vertical="center"/>
    </xf>
    <xf numFmtId="0" fontId="3" fillId="81" borderId="24" xfId="0" applyFont="1" applyFill="1" applyBorder="1" applyAlignment="1" applyProtection="1">
      <alignment horizontal="center" vertical="center" wrapText="1"/>
    </xf>
    <xf numFmtId="0" fontId="3" fillId="81" borderId="89" xfId="0" applyFont="1" applyFill="1" applyBorder="1" applyAlignment="1" applyProtection="1">
      <alignment horizontal="center" vertical="center" wrapText="1"/>
    </xf>
    <xf numFmtId="0" fontId="3" fillId="81" borderId="55" xfId="0" applyFont="1" applyFill="1" applyBorder="1" applyAlignment="1" applyProtection="1">
      <alignment horizontal="center" vertical="center" wrapText="1"/>
    </xf>
    <xf numFmtId="0" fontId="3" fillId="81" borderId="81" xfId="0" applyFont="1" applyFill="1" applyBorder="1" applyAlignment="1" applyProtection="1">
      <alignment horizontal="center" vertical="center" wrapText="1"/>
    </xf>
    <xf numFmtId="0" fontId="193" fillId="55" borderId="49" xfId="0" applyFont="1" applyFill="1" applyBorder="1" applyAlignment="1" applyProtection="1">
      <alignment horizontal="center" vertical="center" wrapText="1"/>
    </xf>
    <xf numFmtId="0" fontId="193" fillId="55" borderId="52" xfId="0" applyFont="1" applyFill="1" applyBorder="1" applyAlignment="1" applyProtection="1">
      <alignment horizontal="center" vertical="center" wrapText="1"/>
    </xf>
    <xf numFmtId="0" fontId="175" fillId="55" borderId="49" xfId="0" applyFont="1" applyFill="1" applyBorder="1" applyAlignment="1" applyProtection="1">
      <alignment horizontal="center" vertical="center" wrapText="1"/>
    </xf>
    <xf numFmtId="0" fontId="175" fillId="55" borderId="52" xfId="0" applyFont="1" applyFill="1" applyBorder="1" applyAlignment="1" applyProtection="1">
      <alignment horizontal="center" vertical="center" wrapText="1"/>
    </xf>
    <xf numFmtId="2" fontId="176" fillId="55" borderId="49" xfId="0" applyNumberFormat="1" applyFont="1" applyFill="1" applyBorder="1" applyAlignment="1" applyProtection="1">
      <alignment horizontal="center" vertical="center" wrapText="1"/>
    </xf>
    <xf numFmtId="2" fontId="176" fillId="55" borderId="52" xfId="0" applyNumberFormat="1" applyFont="1" applyFill="1" applyBorder="1" applyAlignment="1" applyProtection="1">
      <alignment horizontal="center" vertical="center" wrapText="1"/>
    </xf>
    <xf numFmtId="0" fontId="153" fillId="55" borderId="37" xfId="0" applyFont="1" applyFill="1" applyBorder="1" applyAlignment="1">
      <alignment horizontal="center"/>
    </xf>
    <xf numFmtId="0" fontId="153" fillId="55" borderId="41" xfId="0" applyFont="1" applyFill="1" applyBorder="1" applyAlignment="1">
      <alignment horizontal="center"/>
    </xf>
    <xf numFmtId="0" fontId="153" fillId="55" borderId="38" xfId="0" applyFont="1" applyFill="1" applyBorder="1" applyAlignment="1">
      <alignment horizontal="center"/>
    </xf>
    <xf numFmtId="2" fontId="176" fillId="55" borderId="54" xfId="0" applyNumberFormat="1" applyFont="1" applyFill="1" applyBorder="1" applyAlignment="1" applyProtection="1">
      <alignment horizontal="center" vertical="center" wrapText="1"/>
    </xf>
    <xf numFmtId="2" fontId="176" fillId="55" borderId="39" xfId="0" applyNumberFormat="1" applyFont="1" applyFill="1" applyBorder="1" applyAlignment="1" applyProtection="1">
      <alignment horizontal="center" vertical="center" wrapText="1"/>
    </xf>
    <xf numFmtId="2" fontId="176" fillId="55" borderId="55" xfId="0" applyNumberFormat="1" applyFont="1" applyFill="1" applyBorder="1" applyAlignment="1" applyProtection="1">
      <alignment horizontal="center" vertical="center" wrapText="1"/>
    </xf>
    <xf numFmtId="2" fontId="176" fillId="55" borderId="74" xfId="0" applyNumberFormat="1" applyFont="1" applyFill="1" applyBorder="1" applyAlignment="1" applyProtection="1">
      <alignment horizontal="center" vertical="center" wrapText="1"/>
    </xf>
    <xf numFmtId="2" fontId="176" fillId="55" borderId="12" xfId="0" applyNumberFormat="1" applyFont="1" applyFill="1" applyBorder="1" applyAlignment="1" applyProtection="1">
      <alignment horizontal="center" vertical="center" wrapText="1"/>
    </xf>
    <xf numFmtId="2" fontId="176" fillId="55" borderId="60" xfId="0" applyNumberFormat="1" applyFont="1" applyFill="1" applyBorder="1" applyAlignment="1" applyProtection="1">
      <alignment horizontal="center" vertical="center" wrapText="1"/>
    </xf>
    <xf numFmtId="2" fontId="3" fillId="55" borderId="54" xfId="0" applyNumberFormat="1" applyFont="1" applyFill="1" applyBorder="1" applyAlignment="1" applyProtection="1">
      <alignment horizontal="center" vertical="center"/>
    </xf>
    <xf numFmtId="2" fontId="3" fillId="55" borderId="39" xfId="0" applyNumberFormat="1" applyFont="1" applyFill="1" applyBorder="1" applyAlignment="1" applyProtection="1">
      <alignment horizontal="center" vertical="center"/>
    </xf>
    <xf numFmtId="2" fontId="3" fillId="55" borderId="55" xfId="0" applyNumberFormat="1" applyFont="1" applyFill="1" applyBorder="1" applyAlignment="1" applyProtection="1">
      <alignment horizontal="center" vertical="center"/>
    </xf>
    <xf numFmtId="2" fontId="3" fillId="55" borderId="74" xfId="0" applyNumberFormat="1" applyFont="1" applyFill="1" applyBorder="1" applyAlignment="1" applyProtection="1">
      <alignment horizontal="center" vertical="center"/>
    </xf>
    <xf numFmtId="2" fontId="3" fillId="55" borderId="12" xfId="0" applyNumberFormat="1" applyFont="1" applyFill="1" applyBorder="1" applyAlignment="1" applyProtection="1">
      <alignment horizontal="center" vertical="center"/>
    </xf>
    <xf numFmtId="2" fontId="3" fillId="55" borderId="60" xfId="0" applyNumberFormat="1" applyFont="1" applyFill="1" applyBorder="1" applyAlignment="1" applyProtection="1">
      <alignment horizontal="center" vertical="center"/>
    </xf>
    <xf numFmtId="2" fontId="176" fillId="75" borderId="54" xfId="0" applyNumberFormat="1" applyFont="1" applyFill="1" applyBorder="1" applyAlignment="1" applyProtection="1">
      <alignment horizontal="center" vertical="center" wrapText="1"/>
    </xf>
    <xf numFmtId="2" fontId="176" fillId="75" borderId="39" xfId="0" applyNumberFormat="1" applyFont="1" applyFill="1" applyBorder="1" applyAlignment="1" applyProtection="1">
      <alignment horizontal="center" vertical="center" wrapText="1"/>
    </xf>
    <xf numFmtId="2" fontId="176" fillId="75" borderId="55" xfId="0" applyNumberFormat="1" applyFont="1" applyFill="1" applyBorder="1" applyAlignment="1" applyProtection="1">
      <alignment horizontal="center" vertical="center" wrapText="1"/>
    </xf>
    <xf numFmtId="2" fontId="176" fillId="75" borderId="74" xfId="0" applyNumberFormat="1" applyFont="1" applyFill="1" applyBorder="1" applyAlignment="1" applyProtection="1">
      <alignment horizontal="center" vertical="center" wrapText="1"/>
    </xf>
    <xf numFmtId="2" fontId="176" fillId="75" borderId="12" xfId="0" applyNumberFormat="1" applyFont="1" applyFill="1" applyBorder="1" applyAlignment="1" applyProtection="1">
      <alignment horizontal="center" vertical="center" wrapText="1"/>
    </xf>
    <xf numFmtId="2" fontId="176" fillId="75" borderId="60" xfId="0" applyNumberFormat="1" applyFont="1" applyFill="1" applyBorder="1" applyAlignment="1" applyProtection="1">
      <alignment horizontal="center" vertical="center" wrapText="1"/>
    </xf>
    <xf numFmtId="2" fontId="3" fillId="75" borderId="54" xfId="0" applyNumberFormat="1" applyFont="1" applyFill="1" applyBorder="1" applyAlignment="1" applyProtection="1">
      <alignment horizontal="center" vertical="center"/>
    </xf>
    <xf numFmtId="2" fontId="3" fillId="75" borderId="39" xfId="0" applyNumberFormat="1" applyFont="1" applyFill="1" applyBorder="1" applyAlignment="1" applyProtection="1">
      <alignment horizontal="center" vertical="center"/>
    </xf>
    <xf numFmtId="2" fontId="3" fillId="75" borderId="74" xfId="0" applyNumberFormat="1" applyFont="1" applyFill="1" applyBorder="1" applyAlignment="1" applyProtection="1">
      <alignment horizontal="center" vertical="center"/>
    </xf>
    <xf numFmtId="2" fontId="3" fillId="75" borderId="12" xfId="0" applyNumberFormat="1" applyFont="1" applyFill="1" applyBorder="1" applyAlignment="1" applyProtection="1">
      <alignment horizontal="center" vertical="center"/>
    </xf>
    <xf numFmtId="2" fontId="3" fillId="73" borderId="49" xfId="0" applyNumberFormat="1" applyFont="1" applyFill="1" applyBorder="1" applyAlignment="1" applyProtection="1">
      <alignment horizontal="center" vertical="center"/>
    </xf>
    <xf numFmtId="2" fontId="3" fillId="73" borderId="53" xfId="0" applyNumberFormat="1" applyFont="1" applyFill="1" applyBorder="1" applyAlignment="1" applyProtection="1">
      <alignment horizontal="center" vertical="center"/>
    </xf>
    <xf numFmtId="2" fontId="3" fillId="75" borderId="55" xfId="0" applyNumberFormat="1" applyFont="1" applyFill="1" applyBorder="1" applyAlignment="1" applyProtection="1">
      <alignment horizontal="center" vertical="center"/>
    </xf>
    <xf numFmtId="2" fontId="3" fillId="75" borderId="60" xfId="0" applyNumberFormat="1" applyFont="1" applyFill="1" applyBorder="1" applyAlignment="1" applyProtection="1">
      <alignment horizontal="center" vertical="center"/>
    </xf>
    <xf numFmtId="0" fontId="176" fillId="77" borderId="54" xfId="0" applyFont="1" applyFill="1" applyBorder="1" applyAlignment="1" applyProtection="1">
      <alignment horizontal="center" vertical="center" wrapText="1"/>
    </xf>
    <xf numFmtId="0" fontId="176" fillId="77" borderId="39" xfId="0" applyFont="1" applyFill="1" applyBorder="1" applyAlignment="1" applyProtection="1">
      <alignment horizontal="center" vertical="center" wrapText="1"/>
    </xf>
    <xf numFmtId="0" fontId="176" fillId="56" borderId="49" xfId="0" applyFont="1" applyFill="1" applyBorder="1" applyAlignment="1" applyProtection="1">
      <alignment horizontal="center" vertical="center" wrapText="1"/>
    </xf>
    <xf numFmtId="0" fontId="176" fillId="56" borderId="80" xfId="0" applyFont="1" applyFill="1" applyBorder="1" applyAlignment="1" applyProtection="1">
      <alignment horizontal="center" vertical="center" wrapText="1"/>
    </xf>
    <xf numFmtId="0" fontId="176" fillId="72" borderId="55" xfId="0" applyFont="1" applyFill="1" applyBorder="1" applyAlignment="1" applyProtection="1">
      <alignment horizontal="center" vertical="center" wrapText="1"/>
    </xf>
    <xf numFmtId="0" fontId="176" fillId="72" borderId="81" xfId="0" applyFont="1" applyFill="1" applyBorder="1" applyAlignment="1" applyProtection="1">
      <alignment horizontal="center" vertical="center" wrapText="1"/>
    </xf>
    <xf numFmtId="0" fontId="3" fillId="74" borderId="39" xfId="0" applyFont="1" applyFill="1" applyBorder="1" applyAlignment="1" applyProtection="1">
      <alignment horizontal="center" vertical="center" wrapText="1"/>
    </xf>
    <xf numFmtId="0" fontId="3" fillId="69" borderId="24" xfId="0" applyFont="1" applyFill="1" applyBorder="1" applyAlignment="1" applyProtection="1">
      <alignment horizontal="center" vertical="center" wrapText="1"/>
    </xf>
    <xf numFmtId="0" fontId="3" fillId="69" borderId="89" xfId="0" applyFont="1" applyFill="1" applyBorder="1" applyAlignment="1" applyProtection="1">
      <alignment horizontal="center" vertical="center" wrapText="1"/>
    </xf>
    <xf numFmtId="0" fontId="3" fillId="69" borderId="55" xfId="0" applyFont="1" applyFill="1" applyBorder="1" applyAlignment="1" applyProtection="1">
      <alignment horizontal="center" vertical="center" wrapText="1"/>
    </xf>
    <xf numFmtId="0" fontId="3" fillId="69" borderId="81" xfId="0" applyFont="1" applyFill="1" applyBorder="1" applyAlignment="1" applyProtection="1">
      <alignment horizontal="center" vertical="center" wrapText="1"/>
    </xf>
    <xf numFmtId="2" fontId="3" fillId="73" borderId="54" xfId="0" applyNumberFormat="1" applyFont="1" applyFill="1" applyBorder="1" applyAlignment="1" applyProtection="1">
      <alignment horizontal="center" vertical="center"/>
    </xf>
    <xf numFmtId="2" fontId="3" fillId="73" borderId="74" xfId="0" applyNumberFormat="1" applyFont="1" applyFill="1" applyBorder="1" applyAlignment="1" applyProtection="1">
      <alignment horizontal="center" vertical="center"/>
    </xf>
    <xf numFmtId="2" fontId="3" fillId="55" borderId="49" xfId="0" applyNumberFormat="1" applyFont="1" applyFill="1" applyBorder="1" applyAlignment="1" applyProtection="1">
      <alignment horizontal="center" vertical="center"/>
    </xf>
    <xf numFmtId="2" fontId="3" fillId="55" borderId="53" xfId="0" applyNumberFormat="1" applyFont="1" applyFill="1" applyBorder="1" applyAlignment="1" applyProtection="1">
      <alignment horizontal="center" vertical="center"/>
    </xf>
    <xf numFmtId="0" fontId="175" fillId="56" borderId="49" xfId="0" applyFont="1" applyFill="1" applyBorder="1" applyAlignment="1" applyProtection="1">
      <alignment horizontal="center" vertical="center" wrapText="1"/>
    </xf>
    <xf numFmtId="0" fontId="175" fillId="56" borderId="52" xfId="0" applyFont="1" applyFill="1" applyBorder="1" applyAlignment="1" applyProtection="1">
      <alignment horizontal="center" vertical="center" wrapText="1"/>
    </xf>
    <xf numFmtId="0" fontId="176" fillId="74" borderId="49" xfId="0" applyFont="1" applyFill="1" applyBorder="1" applyAlignment="1" applyProtection="1">
      <alignment horizontal="center" vertical="center" wrapText="1"/>
    </xf>
    <xf numFmtId="0" fontId="176" fillId="74" borderId="52" xfId="0" applyFont="1" applyFill="1" applyBorder="1" applyAlignment="1" applyProtection="1">
      <alignment horizontal="center" vertical="center" wrapText="1"/>
    </xf>
    <xf numFmtId="0" fontId="176" fillId="75" borderId="24" xfId="0" applyFont="1" applyFill="1" applyBorder="1" applyAlignment="1" applyProtection="1">
      <alignment horizontal="center" vertical="center" wrapText="1"/>
    </xf>
    <xf numFmtId="0" fontId="176" fillId="75" borderId="76" xfId="0" applyFont="1" applyFill="1" applyBorder="1" applyAlignment="1" applyProtection="1">
      <alignment horizontal="center" vertical="center" wrapText="1"/>
    </xf>
    <xf numFmtId="0" fontId="153" fillId="75" borderId="41" xfId="0" applyFont="1" applyFill="1" applyBorder="1" applyAlignment="1">
      <alignment horizontal="center"/>
    </xf>
    <xf numFmtId="0" fontId="153" fillId="75" borderId="38" xfId="0" applyFont="1" applyFill="1" applyBorder="1" applyAlignment="1">
      <alignment horizontal="center"/>
    </xf>
  </cellXfs>
  <cellStyles count="2448">
    <cellStyle name=" 1" xfId="1"/>
    <cellStyle name=" 1 2" xfId="2"/>
    <cellStyle name=" 1_Stage1" xfId="3"/>
    <cellStyle name="_x000a_bidires=100_x000d_" xfId="4"/>
    <cellStyle name="%" xfId="5"/>
    <cellStyle name="%_Inputs" xfId="6"/>
    <cellStyle name="%_Inputs (const)" xfId="7"/>
    <cellStyle name="%_Inputs Co" xfId="8"/>
    <cellStyle name="?…?ж?Ш?и [0.00]" xfId="9"/>
    <cellStyle name="?W??_‘O’с?р??" xfId="10"/>
    <cellStyle name="_CashFlow_2007_проект_02_02_final" xfId="11"/>
    <cellStyle name="_Model_RAB Мой" xfId="12"/>
    <cellStyle name="_Model_RAB Мой 2" xfId="13"/>
    <cellStyle name="_Model_RAB Мой 2_OREP.KU.2011.MONTHLY.02(v0.1)" xfId="14"/>
    <cellStyle name="_Model_RAB Мой 2_OREP.KU.2011.MONTHLY.02(v0.4)" xfId="15"/>
    <cellStyle name="_Model_RAB Мой 2_OREP.KU.2011.MONTHLY.11(v1.4)" xfId="16"/>
    <cellStyle name="_Model_RAB Мой 2_OREP.KU.2011.MONTHLY.11(v1.4)_UPDATE.BALANCE.WARM.2012YEAR.TO.1.1" xfId="17"/>
    <cellStyle name="_Model_RAB Мой 2_OREP.KU.2011.MONTHLY.11(v1.4)_UPDATE.CALC.WARM.2012YEAR.TO.1.1" xfId="18"/>
    <cellStyle name="_Model_RAB Мой 2_UPDATE.BALANCE.WARM.2012YEAR.TO.1.1" xfId="19"/>
    <cellStyle name="_Model_RAB Мой 2_UPDATE.CALC.WARM.2012YEAR.TO.1.1" xfId="20"/>
    <cellStyle name="_Model_RAB Мой 2_UPDATE.MONITORING.OS.EE.2.02.TO.1.3.64" xfId="21"/>
    <cellStyle name="_Model_RAB Мой 2_UPDATE.OREP.KU.2011.MONTHLY.02.TO.1.2" xfId="22"/>
    <cellStyle name="_Model_RAB Мой_46EE.2011(v1.0)" xfId="23"/>
    <cellStyle name="_Model_RAB Мой_46EE.2011(v1.0)_46TE.2011(v1.0)" xfId="24"/>
    <cellStyle name="_Model_RAB Мой_46EE.2011(v1.0)_INDEX.STATION.2012(v1.0)_" xfId="25"/>
    <cellStyle name="_Model_RAB Мой_46EE.2011(v1.0)_INDEX.STATION.2012(v2.0)" xfId="26"/>
    <cellStyle name="_Model_RAB Мой_46EE.2011(v1.0)_INDEX.STATION.2012(v2.1)" xfId="27"/>
    <cellStyle name="_Model_RAB Мой_46EE.2011(v1.0)_TEPLO.PREDEL.2012.M(v1.1)_test" xfId="28"/>
    <cellStyle name="_Model_RAB Мой_46EE.2011(v1.2)" xfId="29"/>
    <cellStyle name="_Model_RAB Мой_46EP.2011(v2.0)" xfId="30"/>
    <cellStyle name="_Model_RAB Мой_46EP.2012(v0.1)" xfId="31"/>
    <cellStyle name="_Model_RAB Мой_46TE.2011(v1.0)" xfId="32"/>
    <cellStyle name="_Model_RAB Мой_4DNS.UPDATE.EXAMPLE" xfId="33"/>
    <cellStyle name="_Model_RAB Мой_ARMRAZR" xfId="34"/>
    <cellStyle name="_Model_RAB Мой_BALANCE.WARM.2010.FACT(v1.0)" xfId="35"/>
    <cellStyle name="_Model_RAB Мой_BALANCE.WARM.2010.PLAN" xfId="36"/>
    <cellStyle name="_Model_RAB Мой_BALANCE.WARM.2011YEAR(v0.7)" xfId="37"/>
    <cellStyle name="_Model_RAB Мой_BALANCE.WARM.2011YEAR.NEW.UPDATE.SCHEME" xfId="38"/>
    <cellStyle name="_Model_RAB Мой_CALC.NORMATIV.KU(v0.2)" xfId="39"/>
    <cellStyle name="_Model_RAB Мой_EE.2REK.P2011.4.78(v0.3)" xfId="40"/>
    <cellStyle name="_Model_RAB Мой_FORM3.1.2013(v0.2)" xfId="41"/>
    <cellStyle name="_Model_RAB Мой_FORM3.2013(v1.0)" xfId="42"/>
    <cellStyle name="_Model_RAB Мой_FORM3.REG(v1.0)" xfId="43"/>
    <cellStyle name="_Model_RAB Мой_FORM910.2012(v1.1)" xfId="44"/>
    <cellStyle name="_Model_RAB Мой_INDEX.STATION.2012(v2.1)" xfId="45"/>
    <cellStyle name="_Model_RAB Мой_INDEX.STATION.2013(v1.0)_патч до 1.1" xfId="46"/>
    <cellStyle name="_Model_RAB Мой_INVEST.EE.PLAN.4.78(v0.1)" xfId="47"/>
    <cellStyle name="_Model_RAB Мой_INVEST.EE.PLAN.4.78(v0.3)" xfId="48"/>
    <cellStyle name="_Model_RAB Мой_INVEST.EE.PLAN.4.78(v1.0)" xfId="49"/>
    <cellStyle name="_Model_RAB Мой_INVEST.EE.PLAN.4.78(v1.0)_PASSPORT.TEPLO.PROIZV(v2.0)" xfId="50"/>
    <cellStyle name="_Model_RAB Мой_INVEST.EE.PLAN.4.78(v1.0)_PASSPORT.TEPLO.PROIZV(v2.0)_INDEX.STATION.2013(v1.0)_патч до 1.1" xfId="51"/>
    <cellStyle name="_Model_RAB Мой_INVEST.EE.PLAN.4.78(v1.0)_PASSPORT.TEPLO.PROIZV(v2.0)_TEPLO.PREDEL.2013(v2.0)" xfId="52"/>
    <cellStyle name="_Model_RAB Мой_INVEST.PLAN.4.78(v0.1)" xfId="53"/>
    <cellStyle name="_Model_RAB Мой_INVEST.WARM.PLAN.4.78(v0.1)" xfId="54"/>
    <cellStyle name="_Model_RAB Мой_INVEST_WARM_PLAN" xfId="55"/>
    <cellStyle name="_Model_RAB Мой_NADB.JNVLP.APTEKA.2012(v1.0)_21_02_12" xfId="56"/>
    <cellStyle name="_Model_RAB Мой_NADB.JNVLS.APTEKA.2011(v1.3.3)" xfId="57"/>
    <cellStyle name="_Model_RAB Мой_NADB.JNVLS.APTEKA.2011(v1.3.3)_46TE.2011(v1.0)" xfId="58"/>
    <cellStyle name="_Model_RAB Мой_NADB.JNVLS.APTEKA.2011(v1.3.3)_INDEX.STATION.2012(v1.0)_" xfId="59"/>
    <cellStyle name="_Model_RAB Мой_NADB.JNVLS.APTEKA.2011(v1.3.3)_INDEX.STATION.2012(v2.0)" xfId="60"/>
    <cellStyle name="_Model_RAB Мой_NADB.JNVLS.APTEKA.2011(v1.3.3)_INDEX.STATION.2012(v2.1)" xfId="61"/>
    <cellStyle name="_Model_RAB Мой_NADB.JNVLS.APTEKA.2011(v1.3.3)_TEPLO.PREDEL.2012.M(v1.1)_test" xfId="62"/>
    <cellStyle name="_Model_RAB Мой_NADB.JNVLS.APTEKA.2011(v1.3.4)" xfId="63"/>
    <cellStyle name="_Model_RAB Мой_NADB.JNVLS.APTEKA.2011(v1.3.4)_46TE.2011(v1.0)" xfId="64"/>
    <cellStyle name="_Model_RAB Мой_NADB.JNVLS.APTEKA.2011(v1.3.4)_INDEX.STATION.2012(v1.0)_" xfId="65"/>
    <cellStyle name="_Model_RAB Мой_NADB.JNVLS.APTEKA.2011(v1.3.4)_INDEX.STATION.2012(v2.0)" xfId="66"/>
    <cellStyle name="_Model_RAB Мой_NADB.JNVLS.APTEKA.2011(v1.3.4)_INDEX.STATION.2012(v2.1)" xfId="67"/>
    <cellStyle name="_Model_RAB Мой_NADB.JNVLS.APTEKA.2011(v1.3.4)_TEPLO.PREDEL.2012.M(v1.1)_test" xfId="68"/>
    <cellStyle name="_Model_RAB Мой_PASSPORT.TEPLO.PROIZV(v2.0)" xfId="69"/>
    <cellStyle name="_Model_RAB Мой_PASSPORT.TEPLO.PROIZV(v2.1)" xfId="70"/>
    <cellStyle name="_Model_RAB Мой_PASSPORT.TEPLO.SETI(v0.7)" xfId="71"/>
    <cellStyle name="_Model_RAB Мой_PASSPORT.TEPLO.SETI(v1.0)" xfId="72"/>
    <cellStyle name="_Model_RAB Мой_PR.PROG.WARM.NOTCOMBI.2012.2.16_v1.4(04.04.11) " xfId="73"/>
    <cellStyle name="_Model_RAB Мой_PREDEL.JKH.UTV.2011(v1.0.1)" xfId="74"/>
    <cellStyle name="_Model_RAB Мой_PREDEL.JKH.UTV.2011(v1.0.1)_46TE.2011(v1.0)" xfId="75"/>
    <cellStyle name="_Model_RAB Мой_PREDEL.JKH.UTV.2011(v1.0.1)_INDEX.STATION.2012(v1.0)_" xfId="76"/>
    <cellStyle name="_Model_RAB Мой_PREDEL.JKH.UTV.2011(v1.0.1)_INDEX.STATION.2012(v2.0)" xfId="77"/>
    <cellStyle name="_Model_RAB Мой_PREDEL.JKH.UTV.2011(v1.0.1)_INDEX.STATION.2012(v2.1)" xfId="78"/>
    <cellStyle name="_Model_RAB Мой_PREDEL.JKH.UTV.2011(v1.0.1)_TEPLO.PREDEL.2012.M(v1.1)_test" xfId="79"/>
    <cellStyle name="_Model_RAB Мой_PREDEL.JKH.UTV.2011(v1.1)" xfId="80"/>
    <cellStyle name="_Model_RAB Мой_REP.BLR.2012(v1.0)" xfId="81"/>
    <cellStyle name="_Model_RAB Мой_TEHSHEET" xfId="82"/>
    <cellStyle name="_Model_RAB Мой_TEPLO.PREDEL.2012.M(v1.1)" xfId="83"/>
    <cellStyle name="_Model_RAB Мой_TEPLO.PREDEL.2013(v2.0)" xfId="84"/>
    <cellStyle name="_Model_RAB Мой_TEST.TEMPLATE" xfId="85"/>
    <cellStyle name="_Model_RAB Мой_UPDATE.46EE.2011.TO.1.1" xfId="86"/>
    <cellStyle name="_Model_RAB Мой_UPDATE.46TE.2011.TO.1.1" xfId="87"/>
    <cellStyle name="_Model_RAB Мой_UPDATE.46TE.2011.TO.1.2" xfId="88"/>
    <cellStyle name="_Model_RAB Мой_UPDATE.BALANCE.WARM.2011YEAR.TO.1.1" xfId="89"/>
    <cellStyle name="_Model_RAB Мой_UPDATE.BALANCE.WARM.2011YEAR.TO.1.1_46TE.2011(v1.0)" xfId="90"/>
    <cellStyle name="_Model_RAB Мой_UPDATE.BALANCE.WARM.2011YEAR.TO.1.1_INDEX.STATION.2012(v1.0)_" xfId="91"/>
    <cellStyle name="_Model_RAB Мой_UPDATE.BALANCE.WARM.2011YEAR.TO.1.1_INDEX.STATION.2012(v2.0)" xfId="92"/>
    <cellStyle name="_Model_RAB Мой_UPDATE.BALANCE.WARM.2011YEAR.TO.1.1_INDEX.STATION.2012(v2.1)" xfId="93"/>
    <cellStyle name="_Model_RAB Мой_UPDATE.BALANCE.WARM.2011YEAR.TO.1.1_OREP.KU.2011.MONTHLY.02(v1.1)" xfId="94"/>
    <cellStyle name="_Model_RAB Мой_UPDATE.BALANCE.WARM.2011YEAR.TO.1.1_TEPLO.PREDEL.2012.M(v1.1)_test" xfId="95"/>
    <cellStyle name="_Model_RAB Мой_UPDATE.BALANCE.WARM.2011YEAR.TO.1.2" xfId="96"/>
    <cellStyle name="_Model_RAB Мой_UPDATE.BALANCE.WARM.2011YEAR.TO.1.4.64" xfId="97"/>
    <cellStyle name="_Model_RAB Мой_UPDATE.BALANCE.WARM.2011YEAR.TO.1.5.64" xfId="98"/>
    <cellStyle name="_Model_RAB Мой_UPDATE.MONITORING.OS.EE.2.02.TO.1.3.64" xfId="99"/>
    <cellStyle name="_Model_RAB Мой_UPDATE.NADB.JNVLS.APTEKA.2011.TO.1.3.4" xfId="100"/>
    <cellStyle name="_Model_RAB Мой_Книга2_PR.PROG.WARM.NOTCOMBI.2012.2.16_v1.4(04.04.11) " xfId="101"/>
    <cellStyle name="_Model_RAB_MRSK_svod" xfId="102"/>
    <cellStyle name="_Model_RAB_MRSK_svod 2" xfId="103"/>
    <cellStyle name="_Model_RAB_MRSK_svod 2_OREP.KU.2011.MONTHLY.02(v0.1)" xfId="104"/>
    <cellStyle name="_Model_RAB_MRSK_svod 2_OREP.KU.2011.MONTHLY.02(v0.4)" xfId="105"/>
    <cellStyle name="_Model_RAB_MRSK_svod 2_OREP.KU.2011.MONTHLY.11(v1.4)" xfId="106"/>
    <cellStyle name="_Model_RAB_MRSK_svod 2_OREP.KU.2011.MONTHLY.11(v1.4)_UPDATE.BALANCE.WARM.2012YEAR.TO.1.1" xfId="107"/>
    <cellStyle name="_Model_RAB_MRSK_svod 2_OREP.KU.2011.MONTHLY.11(v1.4)_UPDATE.CALC.WARM.2012YEAR.TO.1.1" xfId="108"/>
    <cellStyle name="_Model_RAB_MRSK_svod 2_UPDATE.BALANCE.WARM.2012YEAR.TO.1.1" xfId="109"/>
    <cellStyle name="_Model_RAB_MRSK_svod 2_UPDATE.CALC.WARM.2012YEAR.TO.1.1" xfId="110"/>
    <cellStyle name="_Model_RAB_MRSK_svod 2_UPDATE.MONITORING.OS.EE.2.02.TO.1.3.64" xfId="111"/>
    <cellStyle name="_Model_RAB_MRSK_svod 2_UPDATE.OREP.KU.2011.MONTHLY.02.TO.1.2" xfId="112"/>
    <cellStyle name="_Model_RAB_MRSK_svod_46EE.2011(v1.0)" xfId="113"/>
    <cellStyle name="_Model_RAB_MRSK_svod_46EE.2011(v1.0)_46TE.2011(v1.0)" xfId="114"/>
    <cellStyle name="_Model_RAB_MRSK_svod_46EE.2011(v1.0)_INDEX.STATION.2012(v1.0)_" xfId="115"/>
    <cellStyle name="_Model_RAB_MRSK_svod_46EE.2011(v1.0)_INDEX.STATION.2012(v2.0)" xfId="116"/>
    <cellStyle name="_Model_RAB_MRSK_svod_46EE.2011(v1.0)_INDEX.STATION.2012(v2.1)" xfId="117"/>
    <cellStyle name="_Model_RAB_MRSK_svod_46EE.2011(v1.0)_TEPLO.PREDEL.2012.M(v1.1)_test" xfId="118"/>
    <cellStyle name="_Model_RAB_MRSK_svod_46EE.2011(v1.2)" xfId="119"/>
    <cellStyle name="_Model_RAB_MRSK_svod_46EP.2011(v2.0)" xfId="120"/>
    <cellStyle name="_Model_RAB_MRSK_svod_46EP.2012(v0.1)" xfId="121"/>
    <cellStyle name="_Model_RAB_MRSK_svod_46TE.2011(v1.0)" xfId="122"/>
    <cellStyle name="_Model_RAB_MRSK_svod_4DNS.UPDATE.EXAMPLE" xfId="123"/>
    <cellStyle name="_Model_RAB_MRSK_svod_ARMRAZR" xfId="124"/>
    <cellStyle name="_Model_RAB_MRSK_svod_BALANCE.WARM.2010.FACT(v1.0)" xfId="125"/>
    <cellStyle name="_Model_RAB_MRSK_svod_BALANCE.WARM.2010.PLAN" xfId="126"/>
    <cellStyle name="_Model_RAB_MRSK_svod_BALANCE.WARM.2011YEAR(v0.7)" xfId="127"/>
    <cellStyle name="_Model_RAB_MRSK_svod_BALANCE.WARM.2011YEAR.NEW.UPDATE.SCHEME" xfId="128"/>
    <cellStyle name="_Model_RAB_MRSK_svod_CALC.NORMATIV.KU(v0.2)" xfId="129"/>
    <cellStyle name="_Model_RAB_MRSK_svod_EE.2REK.P2011.4.78(v0.3)" xfId="130"/>
    <cellStyle name="_Model_RAB_MRSK_svod_FORM3.1.2013(v0.2)" xfId="131"/>
    <cellStyle name="_Model_RAB_MRSK_svod_FORM3.2013(v1.0)" xfId="132"/>
    <cellStyle name="_Model_RAB_MRSK_svod_FORM3.REG(v1.0)" xfId="133"/>
    <cellStyle name="_Model_RAB_MRSK_svod_FORM910.2012(v1.1)" xfId="134"/>
    <cellStyle name="_Model_RAB_MRSK_svod_INDEX.STATION.2012(v2.1)" xfId="135"/>
    <cellStyle name="_Model_RAB_MRSK_svod_INDEX.STATION.2013(v1.0)_патч до 1.1" xfId="136"/>
    <cellStyle name="_Model_RAB_MRSK_svod_INVEST.EE.PLAN.4.78(v0.1)" xfId="137"/>
    <cellStyle name="_Model_RAB_MRSK_svod_INVEST.EE.PLAN.4.78(v0.3)" xfId="138"/>
    <cellStyle name="_Model_RAB_MRSK_svod_INVEST.EE.PLAN.4.78(v1.0)" xfId="139"/>
    <cellStyle name="_Model_RAB_MRSK_svod_INVEST.EE.PLAN.4.78(v1.0)_PASSPORT.TEPLO.PROIZV(v2.0)" xfId="140"/>
    <cellStyle name="_Model_RAB_MRSK_svod_INVEST.EE.PLAN.4.78(v1.0)_PASSPORT.TEPLO.PROIZV(v2.0)_INDEX.STATION.2013(v1.0)_патч до 1.1" xfId="141"/>
    <cellStyle name="_Model_RAB_MRSK_svod_INVEST.EE.PLAN.4.78(v1.0)_PASSPORT.TEPLO.PROIZV(v2.0)_TEPLO.PREDEL.2013(v2.0)" xfId="142"/>
    <cellStyle name="_Model_RAB_MRSK_svod_INVEST.PLAN.4.78(v0.1)" xfId="143"/>
    <cellStyle name="_Model_RAB_MRSK_svod_INVEST.WARM.PLAN.4.78(v0.1)" xfId="144"/>
    <cellStyle name="_Model_RAB_MRSK_svod_INVEST_WARM_PLAN" xfId="145"/>
    <cellStyle name="_Model_RAB_MRSK_svod_NADB.JNVLP.APTEKA.2012(v1.0)_21_02_12" xfId="146"/>
    <cellStyle name="_Model_RAB_MRSK_svod_NADB.JNVLS.APTEKA.2011(v1.3.3)" xfId="147"/>
    <cellStyle name="_Model_RAB_MRSK_svod_NADB.JNVLS.APTEKA.2011(v1.3.3)_46TE.2011(v1.0)" xfId="148"/>
    <cellStyle name="_Model_RAB_MRSK_svod_NADB.JNVLS.APTEKA.2011(v1.3.3)_INDEX.STATION.2012(v1.0)_" xfId="149"/>
    <cellStyle name="_Model_RAB_MRSK_svod_NADB.JNVLS.APTEKA.2011(v1.3.3)_INDEX.STATION.2012(v2.0)" xfId="150"/>
    <cellStyle name="_Model_RAB_MRSK_svod_NADB.JNVLS.APTEKA.2011(v1.3.3)_INDEX.STATION.2012(v2.1)" xfId="151"/>
    <cellStyle name="_Model_RAB_MRSK_svod_NADB.JNVLS.APTEKA.2011(v1.3.3)_TEPLO.PREDEL.2012.M(v1.1)_test" xfId="152"/>
    <cellStyle name="_Model_RAB_MRSK_svod_NADB.JNVLS.APTEKA.2011(v1.3.4)" xfId="153"/>
    <cellStyle name="_Model_RAB_MRSK_svod_NADB.JNVLS.APTEKA.2011(v1.3.4)_46TE.2011(v1.0)" xfId="154"/>
    <cellStyle name="_Model_RAB_MRSK_svod_NADB.JNVLS.APTEKA.2011(v1.3.4)_INDEX.STATION.2012(v1.0)_" xfId="155"/>
    <cellStyle name="_Model_RAB_MRSK_svod_NADB.JNVLS.APTEKA.2011(v1.3.4)_INDEX.STATION.2012(v2.0)" xfId="156"/>
    <cellStyle name="_Model_RAB_MRSK_svod_NADB.JNVLS.APTEKA.2011(v1.3.4)_INDEX.STATION.2012(v2.1)" xfId="157"/>
    <cellStyle name="_Model_RAB_MRSK_svod_NADB.JNVLS.APTEKA.2011(v1.3.4)_TEPLO.PREDEL.2012.M(v1.1)_test" xfId="158"/>
    <cellStyle name="_Model_RAB_MRSK_svod_PASSPORT.TEPLO.PROIZV(v2.0)" xfId="159"/>
    <cellStyle name="_Model_RAB_MRSK_svod_PASSPORT.TEPLO.PROIZV(v2.1)" xfId="160"/>
    <cellStyle name="_Model_RAB_MRSK_svod_PASSPORT.TEPLO.SETI(v0.7)" xfId="161"/>
    <cellStyle name="_Model_RAB_MRSK_svod_PASSPORT.TEPLO.SETI(v1.0)" xfId="162"/>
    <cellStyle name="_Model_RAB_MRSK_svod_PR.PROG.WARM.NOTCOMBI.2012.2.16_v1.4(04.04.11) " xfId="163"/>
    <cellStyle name="_Model_RAB_MRSK_svod_PREDEL.JKH.UTV.2011(v1.0.1)" xfId="164"/>
    <cellStyle name="_Model_RAB_MRSK_svod_PREDEL.JKH.UTV.2011(v1.0.1)_46TE.2011(v1.0)" xfId="165"/>
    <cellStyle name="_Model_RAB_MRSK_svod_PREDEL.JKH.UTV.2011(v1.0.1)_INDEX.STATION.2012(v1.0)_" xfId="166"/>
    <cellStyle name="_Model_RAB_MRSK_svod_PREDEL.JKH.UTV.2011(v1.0.1)_INDEX.STATION.2012(v2.0)" xfId="167"/>
    <cellStyle name="_Model_RAB_MRSK_svod_PREDEL.JKH.UTV.2011(v1.0.1)_INDEX.STATION.2012(v2.1)" xfId="168"/>
    <cellStyle name="_Model_RAB_MRSK_svod_PREDEL.JKH.UTV.2011(v1.0.1)_TEPLO.PREDEL.2012.M(v1.1)_test" xfId="169"/>
    <cellStyle name="_Model_RAB_MRSK_svod_PREDEL.JKH.UTV.2011(v1.1)" xfId="170"/>
    <cellStyle name="_Model_RAB_MRSK_svod_REP.BLR.2012(v1.0)" xfId="171"/>
    <cellStyle name="_Model_RAB_MRSK_svod_TEHSHEET" xfId="172"/>
    <cellStyle name="_Model_RAB_MRSK_svod_TEPLO.PREDEL.2012.M(v1.1)" xfId="173"/>
    <cellStyle name="_Model_RAB_MRSK_svod_TEPLO.PREDEL.2013(v2.0)" xfId="174"/>
    <cellStyle name="_Model_RAB_MRSK_svod_TEST.TEMPLATE" xfId="175"/>
    <cellStyle name="_Model_RAB_MRSK_svod_UPDATE.46EE.2011.TO.1.1" xfId="176"/>
    <cellStyle name="_Model_RAB_MRSK_svod_UPDATE.46TE.2011.TO.1.1" xfId="177"/>
    <cellStyle name="_Model_RAB_MRSK_svod_UPDATE.46TE.2011.TO.1.2" xfId="178"/>
    <cellStyle name="_Model_RAB_MRSK_svod_UPDATE.BALANCE.WARM.2011YEAR.TO.1.1" xfId="179"/>
    <cellStyle name="_Model_RAB_MRSK_svod_UPDATE.BALANCE.WARM.2011YEAR.TO.1.1_46TE.2011(v1.0)" xfId="180"/>
    <cellStyle name="_Model_RAB_MRSK_svod_UPDATE.BALANCE.WARM.2011YEAR.TO.1.1_INDEX.STATION.2012(v1.0)_" xfId="181"/>
    <cellStyle name="_Model_RAB_MRSK_svod_UPDATE.BALANCE.WARM.2011YEAR.TO.1.1_INDEX.STATION.2012(v2.0)" xfId="182"/>
    <cellStyle name="_Model_RAB_MRSK_svod_UPDATE.BALANCE.WARM.2011YEAR.TO.1.1_INDEX.STATION.2012(v2.1)" xfId="183"/>
    <cellStyle name="_Model_RAB_MRSK_svod_UPDATE.BALANCE.WARM.2011YEAR.TO.1.1_OREP.KU.2011.MONTHLY.02(v1.1)" xfId="184"/>
    <cellStyle name="_Model_RAB_MRSK_svod_UPDATE.BALANCE.WARM.2011YEAR.TO.1.1_TEPLO.PREDEL.2012.M(v1.1)_test" xfId="185"/>
    <cellStyle name="_Model_RAB_MRSK_svod_UPDATE.BALANCE.WARM.2011YEAR.TO.1.2" xfId="186"/>
    <cellStyle name="_Model_RAB_MRSK_svod_UPDATE.BALANCE.WARM.2011YEAR.TO.1.4.64" xfId="187"/>
    <cellStyle name="_Model_RAB_MRSK_svod_UPDATE.BALANCE.WARM.2011YEAR.TO.1.5.64" xfId="188"/>
    <cellStyle name="_Model_RAB_MRSK_svod_UPDATE.MONITORING.OS.EE.2.02.TO.1.3.64" xfId="189"/>
    <cellStyle name="_Model_RAB_MRSK_svod_UPDATE.NADB.JNVLS.APTEKA.2011.TO.1.3.4" xfId="190"/>
    <cellStyle name="_Model_RAB_MRSK_svod_Книга2_PR.PROG.WARM.NOTCOMBI.2012.2.16_v1.4(04.04.11) " xfId="191"/>
    <cellStyle name="_Plug" xfId="192"/>
    <cellStyle name="_Plug_4DNS.UPDATE.EXAMPLE" xfId="193"/>
    <cellStyle name="_Plug_4DNS.UPDATE.EXAMPLE_INDEX.STATION.2013(v1.0)_патч до 1.1" xfId="194"/>
    <cellStyle name="_Бюджет2006_ПОКАЗАТЕЛИ СВОДНЫЕ" xfId="195"/>
    <cellStyle name="_ВО ОП ТЭС-ОТ- 2007" xfId="196"/>
    <cellStyle name="_ВО ОП ТЭС-ОТ- 2007_Новая инструкция1_фст" xfId="197"/>
    <cellStyle name="_ВФ ОАО ТЭС-ОТ- 2009" xfId="198"/>
    <cellStyle name="_ВФ ОАО ТЭС-ОТ- 2009_Новая инструкция1_фст" xfId="199"/>
    <cellStyle name="_выручка по присоединениям2" xfId="200"/>
    <cellStyle name="_выручка по присоединениям2_Новая инструкция1_фст" xfId="201"/>
    <cellStyle name="_Договор аренды ЯЭ с разбивкой" xfId="202"/>
    <cellStyle name="_Договор аренды ЯЭ с разбивкой_Новая инструкция1_фст" xfId="203"/>
    <cellStyle name="_Защита ФЗП" xfId="204"/>
    <cellStyle name="_Исходные данные для модели" xfId="205"/>
    <cellStyle name="_Исходные данные для модели_Новая инструкция1_фст" xfId="206"/>
    <cellStyle name="_Консолидация-2008-проект-new" xfId="207"/>
    <cellStyle name="_МОДЕЛЬ_1 (2)" xfId="208"/>
    <cellStyle name="_МОДЕЛЬ_1 (2) 2" xfId="209"/>
    <cellStyle name="_МОДЕЛЬ_1 (2) 2_OREP.KU.2011.MONTHLY.02(v0.1)" xfId="210"/>
    <cellStyle name="_МОДЕЛЬ_1 (2) 2_OREP.KU.2011.MONTHLY.02(v0.4)" xfId="211"/>
    <cellStyle name="_МОДЕЛЬ_1 (2) 2_OREP.KU.2011.MONTHLY.11(v1.4)" xfId="212"/>
    <cellStyle name="_МОДЕЛЬ_1 (2) 2_OREP.KU.2011.MONTHLY.11(v1.4)_UPDATE.BALANCE.WARM.2012YEAR.TO.1.1" xfId="213"/>
    <cellStyle name="_МОДЕЛЬ_1 (2) 2_OREP.KU.2011.MONTHLY.11(v1.4)_UPDATE.CALC.WARM.2012YEAR.TO.1.1" xfId="214"/>
    <cellStyle name="_МОДЕЛЬ_1 (2) 2_UPDATE.BALANCE.WARM.2012YEAR.TO.1.1" xfId="215"/>
    <cellStyle name="_МОДЕЛЬ_1 (2) 2_UPDATE.CALC.WARM.2012YEAR.TO.1.1" xfId="216"/>
    <cellStyle name="_МОДЕЛЬ_1 (2) 2_UPDATE.MONITORING.OS.EE.2.02.TO.1.3.64" xfId="217"/>
    <cellStyle name="_МОДЕЛЬ_1 (2) 2_UPDATE.OREP.KU.2011.MONTHLY.02.TO.1.2" xfId="218"/>
    <cellStyle name="_МОДЕЛЬ_1 (2)_46EE.2011(v1.0)" xfId="219"/>
    <cellStyle name="_МОДЕЛЬ_1 (2)_46EE.2011(v1.0)_46TE.2011(v1.0)" xfId="220"/>
    <cellStyle name="_МОДЕЛЬ_1 (2)_46EE.2011(v1.0)_INDEX.STATION.2012(v1.0)_" xfId="221"/>
    <cellStyle name="_МОДЕЛЬ_1 (2)_46EE.2011(v1.0)_INDEX.STATION.2012(v2.0)" xfId="222"/>
    <cellStyle name="_МОДЕЛЬ_1 (2)_46EE.2011(v1.0)_INDEX.STATION.2012(v2.1)" xfId="223"/>
    <cellStyle name="_МОДЕЛЬ_1 (2)_46EE.2011(v1.0)_TEPLO.PREDEL.2012.M(v1.1)_test" xfId="224"/>
    <cellStyle name="_МОДЕЛЬ_1 (2)_46EE.2011(v1.2)" xfId="225"/>
    <cellStyle name="_МОДЕЛЬ_1 (2)_46EP.2011(v2.0)" xfId="226"/>
    <cellStyle name="_МОДЕЛЬ_1 (2)_46EP.2012(v0.1)" xfId="227"/>
    <cellStyle name="_МОДЕЛЬ_1 (2)_46TE.2011(v1.0)" xfId="228"/>
    <cellStyle name="_МОДЕЛЬ_1 (2)_4DNS.UPDATE.EXAMPLE" xfId="229"/>
    <cellStyle name="_МОДЕЛЬ_1 (2)_ARMRAZR" xfId="230"/>
    <cellStyle name="_МОДЕЛЬ_1 (2)_BALANCE.WARM.2010.FACT(v1.0)" xfId="231"/>
    <cellStyle name="_МОДЕЛЬ_1 (2)_BALANCE.WARM.2010.PLAN" xfId="232"/>
    <cellStyle name="_МОДЕЛЬ_1 (2)_BALANCE.WARM.2011YEAR(v0.7)" xfId="233"/>
    <cellStyle name="_МОДЕЛЬ_1 (2)_BALANCE.WARM.2011YEAR.NEW.UPDATE.SCHEME" xfId="234"/>
    <cellStyle name="_МОДЕЛЬ_1 (2)_CALC.NORMATIV.KU(v0.2)" xfId="235"/>
    <cellStyle name="_МОДЕЛЬ_1 (2)_EE.2REK.P2011.4.78(v0.3)" xfId="236"/>
    <cellStyle name="_МОДЕЛЬ_1 (2)_FORM3.1.2013(v0.2)" xfId="237"/>
    <cellStyle name="_МОДЕЛЬ_1 (2)_FORM3.2013(v1.0)" xfId="238"/>
    <cellStyle name="_МОДЕЛЬ_1 (2)_FORM3.REG(v1.0)" xfId="239"/>
    <cellStyle name="_МОДЕЛЬ_1 (2)_FORM910.2012(v1.1)" xfId="240"/>
    <cellStyle name="_МОДЕЛЬ_1 (2)_INDEX.STATION.2012(v2.1)" xfId="241"/>
    <cellStyle name="_МОДЕЛЬ_1 (2)_INDEX.STATION.2013(v1.0)_патч до 1.1" xfId="242"/>
    <cellStyle name="_МОДЕЛЬ_1 (2)_INVEST.EE.PLAN.4.78(v0.1)" xfId="243"/>
    <cellStyle name="_МОДЕЛЬ_1 (2)_INVEST.EE.PLAN.4.78(v0.3)" xfId="244"/>
    <cellStyle name="_МОДЕЛЬ_1 (2)_INVEST.EE.PLAN.4.78(v1.0)" xfId="245"/>
    <cellStyle name="_МОДЕЛЬ_1 (2)_INVEST.EE.PLAN.4.78(v1.0)_PASSPORT.TEPLO.PROIZV(v2.0)" xfId="246"/>
    <cellStyle name="_МОДЕЛЬ_1 (2)_INVEST.EE.PLAN.4.78(v1.0)_PASSPORT.TEPLO.PROIZV(v2.0)_INDEX.STATION.2013(v1.0)_патч до 1.1" xfId="247"/>
    <cellStyle name="_МОДЕЛЬ_1 (2)_INVEST.EE.PLAN.4.78(v1.0)_PASSPORT.TEPLO.PROIZV(v2.0)_TEPLO.PREDEL.2013(v2.0)" xfId="248"/>
    <cellStyle name="_МОДЕЛЬ_1 (2)_INVEST.PLAN.4.78(v0.1)" xfId="249"/>
    <cellStyle name="_МОДЕЛЬ_1 (2)_INVEST.WARM.PLAN.4.78(v0.1)" xfId="250"/>
    <cellStyle name="_МОДЕЛЬ_1 (2)_INVEST_WARM_PLAN" xfId="251"/>
    <cellStyle name="_МОДЕЛЬ_1 (2)_NADB.JNVLP.APTEKA.2012(v1.0)_21_02_12" xfId="252"/>
    <cellStyle name="_МОДЕЛЬ_1 (2)_NADB.JNVLS.APTEKA.2011(v1.3.3)" xfId="253"/>
    <cellStyle name="_МОДЕЛЬ_1 (2)_NADB.JNVLS.APTEKA.2011(v1.3.3)_46TE.2011(v1.0)" xfId="254"/>
    <cellStyle name="_МОДЕЛЬ_1 (2)_NADB.JNVLS.APTEKA.2011(v1.3.3)_INDEX.STATION.2012(v1.0)_" xfId="255"/>
    <cellStyle name="_МОДЕЛЬ_1 (2)_NADB.JNVLS.APTEKA.2011(v1.3.3)_INDEX.STATION.2012(v2.0)" xfId="256"/>
    <cellStyle name="_МОДЕЛЬ_1 (2)_NADB.JNVLS.APTEKA.2011(v1.3.3)_INDEX.STATION.2012(v2.1)" xfId="257"/>
    <cellStyle name="_МОДЕЛЬ_1 (2)_NADB.JNVLS.APTEKA.2011(v1.3.3)_TEPLO.PREDEL.2012.M(v1.1)_test" xfId="258"/>
    <cellStyle name="_МОДЕЛЬ_1 (2)_NADB.JNVLS.APTEKA.2011(v1.3.4)" xfId="259"/>
    <cellStyle name="_МОДЕЛЬ_1 (2)_NADB.JNVLS.APTEKA.2011(v1.3.4)_46TE.2011(v1.0)" xfId="260"/>
    <cellStyle name="_МОДЕЛЬ_1 (2)_NADB.JNVLS.APTEKA.2011(v1.3.4)_INDEX.STATION.2012(v1.0)_" xfId="261"/>
    <cellStyle name="_МОДЕЛЬ_1 (2)_NADB.JNVLS.APTEKA.2011(v1.3.4)_INDEX.STATION.2012(v2.0)" xfId="262"/>
    <cellStyle name="_МОДЕЛЬ_1 (2)_NADB.JNVLS.APTEKA.2011(v1.3.4)_INDEX.STATION.2012(v2.1)" xfId="263"/>
    <cellStyle name="_МОДЕЛЬ_1 (2)_NADB.JNVLS.APTEKA.2011(v1.3.4)_TEPLO.PREDEL.2012.M(v1.1)_test" xfId="264"/>
    <cellStyle name="_МОДЕЛЬ_1 (2)_PASSPORT.TEPLO.PROIZV(v2.0)" xfId="265"/>
    <cellStyle name="_МОДЕЛЬ_1 (2)_PASSPORT.TEPLO.PROIZV(v2.1)" xfId="266"/>
    <cellStyle name="_МОДЕЛЬ_1 (2)_PASSPORT.TEPLO.SETI(v0.7)" xfId="267"/>
    <cellStyle name="_МОДЕЛЬ_1 (2)_PASSPORT.TEPLO.SETI(v1.0)" xfId="268"/>
    <cellStyle name="_МОДЕЛЬ_1 (2)_PR.PROG.WARM.NOTCOMBI.2012.2.16_v1.4(04.04.11) " xfId="269"/>
    <cellStyle name="_МОДЕЛЬ_1 (2)_PREDEL.JKH.UTV.2011(v1.0.1)" xfId="270"/>
    <cellStyle name="_МОДЕЛЬ_1 (2)_PREDEL.JKH.UTV.2011(v1.0.1)_46TE.2011(v1.0)" xfId="271"/>
    <cellStyle name="_МОДЕЛЬ_1 (2)_PREDEL.JKH.UTV.2011(v1.0.1)_INDEX.STATION.2012(v1.0)_" xfId="272"/>
    <cellStyle name="_МОДЕЛЬ_1 (2)_PREDEL.JKH.UTV.2011(v1.0.1)_INDEX.STATION.2012(v2.0)" xfId="273"/>
    <cellStyle name="_МОДЕЛЬ_1 (2)_PREDEL.JKH.UTV.2011(v1.0.1)_INDEX.STATION.2012(v2.1)" xfId="274"/>
    <cellStyle name="_МОДЕЛЬ_1 (2)_PREDEL.JKH.UTV.2011(v1.0.1)_TEPLO.PREDEL.2012.M(v1.1)_test" xfId="275"/>
    <cellStyle name="_МОДЕЛЬ_1 (2)_PREDEL.JKH.UTV.2011(v1.1)" xfId="276"/>
    <cellStyle name="_МОДЕЛЬ_1 (2)_REP.BLR.2012(v1.0)" xfId="277"/>
    <cellStyle name="_МОДЕЛЬ_1 (2)_TEHSHEET" xfId="278"/>
    <cellStyle name="_МОДЕЛЬ_1 (2)_TEPLO.PREDEL.2012.M(v1.1)" xfId="279"/>
    <cellStyle name="_МОДЕЛЬ_1 (2)_TEPLO.PREDEL.2013(v2.0)" xfId="280"/>
    <cellStyle name="_МОДЕЛЬ_1 (2)_TEST.TEMPLATE" xfId="281"/>
    <cellStyle name="_МОДЕЛЬ_1 (2)_UPDATE.46EE.2011.TO.1.1" xfId="282"/>
    <cellStyle name="_МОДЕЛЬ_1 (2)_UPDATE.46TE.2011.TO.1.1" xfId="283"/>
    <cellStyle name="_МОДЕЛЬ_1 (2)_UPDATE.46TE.2011.TO.1.2" xfId="284"/>
    <cellStyle name="_МОДЕЛЬ_1 (2)_UPDATE.BALANCE.WARM.2011YEAR.TO.1.1" xfId="285"/>
    <cellStyle name="_МОДЕЛЬ_1 (2)_UPDATE.BALANCE.WARM.2011YEAR.TO.1.1_46TE.2011(v1.0)" xfId="286"/>
    <cellStyle name="_МОДЕЛЬ_1 (2)_UPDATE.BALANCE.WARM.2011YEAR.TO.1.1_INDEX.STATION.2012(v1.0)_" xfId="287"/>
    <cellStyle name="_МОДЕЛЬ_1 (2)_UPDATE.BALANCE.WARM.2011YEAR.TO.1.1_INDEX.STATION.2012(v2.0)" xfId="288"/>
    <cellStyle name="_МОДЕЛЬ_1 (2)_UPDATE.BALANCE.WARM.2011YEAR.TO.1.1_INDEX.STATION.2012(v2.1)" xfId="289"/>
    <cellStyle name="_МОДЕЛЬ_1 (2)_UPDATE.BALANCE.WARM.2011YEAR.TO.1.1_OREP.KU.2011.MONTHLY.02(v1.1)" xfId="290"/>
    <cellStyle name="_МОДЕЛЬ_1 (2)_UPDATE.BALANCE.WARM.2011YEAR.TO.1.1_TEPLO.PREDEL.2012.M(v1.1)_test" xfId="291"/>
    <cellStyle name="_МОДЕЛЬ_1 (2)_UPDATE.BALANCE.WARM.2011YEAR.TO.1.2" xfId="292"/>
    <cellStyle name="_МОДЕЛЬ_1 (2)_UPDATE.BALANCE.WARM.2011YEAR.TO.1.4.64" xfId="293"/>
    <cellStyle name="_МОДЕЛЬ_1 (2)_UPDATE.BALANCE.WARM.2011YEAR.TO.1.5.64" xfId="294"/>
    <cellStyle name="_МОДЕЛЬ_1 (2)_UPDATE.MONITORING.OS.EE.2.02.TO.1.3.64" xfId="295"/>
    <cellStyle name="_МОДЕЛЬ_1 (2)_UPDATE.NADB.JNVLS.APTEKA.2011.TO.1.3.4" xfId="296"/>
    <cellStyle name="_МОДЕЛЬ_1 (2)_Книга2_PR.PROG.WARM.NOTCOMBI.2012.2.16_v1.4(04.04.11) " xfId="297"/>
    <cellStyle name="_НВВ 2009 постатейно свод по филиалам_09_02_09" xfId="298"/>
    <cellStyle name="_НВВ 2009 постатейно свод по филиалам_09_02_09_Новая инструкция1_фст" xfId="299"/>
    <cellStyle name="_НВВ 2009 постатейно свод по филиалам_для Валентина" xfId="300"/>
    <cellStyle name="_НВВ 2009 постатейно свод по филиалам_для Валентина_Новая инструкция1_фст" xfId="301"/>
    <cellStyle name="_Омск" xfId="302"/>
    <cellStyle name="_Омск_Новая инструкция1_фст" xfId="303"/>
    <cellStyle name="_ОТ ИД 2009" xfId="304"/>
    <cellStyle name="_ОТ ИД 2009_Новая инструкция1_фст" xfId="305"/>
    <cellStyle name="_пр 5 тариф RAB" xfId="306"/>
    <cellStyle name="_пр 5 тариф RAB 2" xfId="307"/>
    <cellStyle name="_пр 5 тариф RAB 2_OREP.KU.2011.MONTHLY.02(v0.1)" xfId="308"/>
    <cellStyle name="_пр 5 тариф RAB 2_OREP.KU.2011.MONTHLY.02(v0.4)" xfId="309"/>
    <cellStyle name="_пр 5 тариф RAB 2_OREP.KU.2011.MONTHLY.11(v1.4)" xfId="310"/>
    <cellStyle name="_пр 5 тариф RAB 2_OREP.KU.2011.MONTHLY.11(v1.4)_UPDATE.BALANCE.WARM.2012YEAR.TO.1.1" xfId="311"/>
    <cellStyle name="_пр 5 тариф RAB 2_OREP.KU.2011.MONTHLY.11(v1.4)_UPDATE.CALC.WARM.2012YEAR.TO.1.1" xfId="312"/>
    <cellStyle name="_пр 5 тариф RAB 2_UPDATE.BALANCE.WARM.2012YEAR.TO.1.1" xfId="313"/>
    <cellStyle name="_пр 5 тариф RAB 2_UPDATE.CALC.WARM.2012YEAR.TO.1.1" xfId="314"/>
    <cellStyle name="_пр 5 тариф RAB 2_UPDATE.MONITORING.OS.EE.2.02.TO.1.3.64" xfId="315"/>
    <cellStyle name="_пр 5 тариф RAB 2_UPDATE.OREP.KU.2011.MONTHLY.02.TO.1.2" xfId="316"/>
    <cellStyle name="_пр 5 тариф RAB_46EE.2011(v1.0)" xfId="317"/>
    <cellStyle name="_пр 5 тариф RAB_46EE.2011(v1.0)_46TE.2011(v1.0)" xfId="318"/>
    <cellStyle name="_пр 5 тариф RAB_46EE.2011(v1.0)_INDEX.STATION.2012(v1.0)_" xfId="319"/>
    <cellStyle name="_пр 5 тариф RAB_46EE.2011(v1.0)_INDEX.STATION.2012(v2.0)" xfId="320"/>
    <cellStyle name="_пр 5 тариф RAB_46EE.2011(v1.0)_INDEX.STATION.2012(v2.1)" xfId="321"/>
    <cellStyle name="_пр 5 тариф RAB_46EE.2011(v1.0)_TEPLO.PREDEL.2012.M(v1.1)_test" xfId="322"/>
    <cellStyle name="_пр 5 тариф RAB_46EE.2011(v1.2)" xfId="323"/>
    <cellStyle name="_пр 5 тариф RAB_46EP.2011(v2.0)" xfId="324"/>
    <cellStyle name="_пр 5 тариф RAB_46EP.2012(v0.1)" xfId="325"/>
    <cellStyle name="_пр 5 тариф RAB_46TE.2011(v1.0)" xfId="326"/>
    <cellStyle name="_пр 5 тариф RAB_4DNS.UPDATE.EXAMPLE" xfId="327"/>
    <cellStyle name="_пр 5 тариф RAB_ARMRAZR" xfId="328"/>
    <cellStyle name="_пр 5 тариф RAB_BALANCE.WARM.2010.FACT(v1.0)" xfId="329"/>
    <cellStyle name="_пр 5 тариф RAB_BALANCE.WARM.2010.PLAN" xfId="330"/>
    <cellStyle name="_пр 5 тариф RAB_BALANCE.WARM.2011YEAR(v0.7)" xfId="331"/>
    <cellStyle name="_пр 5 тариф RAB_BALANCE.WARM.2011YEAR.NEW.UPDATE.SCHEME" xfId="332"/>
    <cellStyle name="_пр 5 тариф RAB_CALC.NORMATIV.KU(v0.2)" xfId="333"/>
    <cellStyle name="_пр 5 тариф RAB_EE.2REK.P2011.4.78(v0.3)" xfId="334"/>
    <cellStyle name="_пр 5 тариф RAB_FORM3.1.2013(v0.2)" xfId="335"/>
    <cellStyle name="_пр 5 тариф RAB_FORM3.2013(v1.0)" xfId="336"/>
    <cellStyle name="_пр 5 тариф RAB_FORM3.REG(v1.0)" xfId="337"/>
    <cellStyle name="_пр 5 тариф RAB_FORM910.2012(v1.1)" xfId="338"/>
    <cellStyle name="_пр 5 тариф RAB_INDEX.STATION.2012(v2.1)" xfId="339"/>
    <cellStyle name="_пр 5 тариф RAB_INDEX.STATION.2013(v1.0)_патч до 1.1" xfId="340"/>
    <cellStyle name="_пр 5 тариф RAB_INVEST.EE.PLAN.4.78(v0.1)" xfId="341"/>
    <cellStyle name="_пр 5 тариф RAB_INVEST.EE.PLAN.4.78(v0.3)" xfId="342"/>
    <cellStyle name="_пр 5 тариф RAB_INVEST.EE.PLAN.4.78(v1.0)" xfId="343"/>
    <cellStyle name="_пр 5 тариф RAB_INVEST.EE.PLAN.4.78(v1.0)_PASSPORT.TEPLO.PROIZV(v2.0)" xfId="344"/>
    <cellStyle name="_пр 5 тариф RAB_INVEST.EE.PLAN.4.78(v1.0)_PASSPORT.TEPLO.PROIZV(v2.0)_INDEX.STATION.2013(v1.0)_патч до 1.1" xfId="345"/>
    <cellStyle name="_пр 5 тариф RAB_INVEST.EE.PLAN.4.78(v1.0)_PASSPORT.TEPLO.PROIZV(v2.0)_TEPLO.PREDEL.2013(v2.0)" xfId="346"/>
    <cellStyle name="_пр 5 тариф RAB_INVEST.PLAN.4.78(v0.1)" xfId="347"/>
    <cellStyle name="_пр 5 тариф RAB_INVEST.WARM.PLAN.4.78(v0.1)" xfId="348"/>
    <cellStyle name="_пр 5 тариф RAB_INVEST_WARM_PLAN" xfId="349"/>
    <cellStyle name="_пр 5 тариф RAB_NADB.JNVLP.APTEKA.2012(v1.0)_21_02_12" xfId="350"/>
    <cellStyle name="_пр 5 тариф RAB_NADB.JNVLS.APTEKA.2011(v1.3.3)" xfId="351"/>
    <cellStyle name="_пр 5 тариф RAB_NADB.JNVLS.APTEKA.2011(v1.3.3)_46TE.2011(v1.0)" xfId="352"/>
    <cellStyle name="_пр 5 тариф RAB_NADB.JNVLS.APTEKA.2011(v1.3.3)_INDEX.STATION.2012(v1.0)_" xfId="353"/>
    <cellStyle name="_пр 5 тариф RAB_NADB.JNVLS.APTEKA.2011(v1.3.3)_INDEX.STATION.2012(v2.0)" xfId="354"/>
    <cellStyle name="_пр 5 тариф RAB_NADB.JNVLS.APTEKA.2011(v1.3.3)_INDEX.STATION.2012(v2.1)" xfId="355"/>
    <cellStyle name="_пр 5 тариф RAB_NADB.JNVLS.APTEKA.2011(v1.3.3)_TEPLO.PREDEL.2012.M(v1.1)_test" xfId="356"/>
    <cellStyle name="_пр 5 тариф RAB_NADB.JNVLS.APTEKA.2011(v1.3.4)" xfId="357"/>
    <cellStyle name="_пр 5 тариф RAB_NADB.JNVLS.APTEKA.2011(v1.3.4)_46TE.2011(v1.0)" xfId="358"/>
    <cellStyle name="_пр 5 тариф RAB_NADB.JNVLS.APTEKA.2011(v1.3.4)_INDEX.STATION.2012(v1.0)_" xfId="359"/>
    <cellStyle name="_пр 5 тариф RAB_NADB.JNVLS.APTEKA.2011(v1.3.4)_INDEX.STATION.2012(v2.0)" xfId="360"/>
    <cellStyle name="_пр 5 тариф RAB_NADB.JNVLS.APTEKA.2011(v1.3.4)_INDEX.STATION.2012(v2.1)" xfId="361"/>
    <cellStyle name="_пр 5 тариф RAB_NADB.JNVLS.APTEKA.2011(v1.3.4)_TEPLO.PREDEL.2012.M(v1.1)_test" xfId="362"/>
    <cellStyle name="_пр 5 тариф RAB_PASSPORT.TEPLO.PROIZV(v2.0)" xfId="363"/>
    <cellStyle name="_пр 5 тариф RAB_PASSPORT.TEPLO.PROIZV(v2.1)" xfId="364"/>
    <cellStyle name="_пр 5 тариф RAB_PASSPORT.TEPLO.SETI(v0.7)" xfId="365"/>
    <cellStyle name="_пр 5 тариф RAB_PASSPORT.TEPLO.SETI(v1.0)" xfId="366"/>
    <cellStyle name="_пр 5 тариф RAB_PR.PROG.WARM.NOTCOMBI.2012.2.16_v1.4(04.04.11) " xfId="367"/>
    <cellStyle name="_пр 5 тариф RAB_PREDEL.JKH.UTV.2011(v1.0.1)" xfId="368"/>
    <cellStyle name="_пр 5 тариф RAB_PREDEL.JKH.UTV.2011(v1.0.1)_46TE.2011(v1.0)" xfId="369"/>
    <cellStyle name="_пр 5 тариф RAB_PREDEL.JKH.UTV.2011(v1.0.1)_INDEX.STATION.2012(v1.0)_" xfId="370"/>
    <cellStyle name="_пр 5 тариф RAB_PREDEL.JKH.UTV.2011(v1.0.1)_INDEX.STATION.2012(v2.0)" xfId="371"/>
    <cellStyle name="_пр 5 тариф RAB_PREDEL.JKH.UTV.2011(v1.0.1)_INDEX.STATION.2012(v2.1)" xfId="372"/>
    <cellStyle name="_пр 5 тариф RAB_PREDEL.JKH.UTV.2011(v1.0.1)_TEPLO.PREDEL.2012.M(v1.1)_test" xfId="373"/>
    <cellStyle name="_пр 5 тариф RAB_PREDEL.JKH.UTV.2011(v1.1)" xfId="374"/>
    <cellStyle name="_пр 5 тариф RAB_REP.BLR.2012(v1.0)" xfId="375"/>
    <cellStyle name="_пр 5 тариф RAB_TEHSHEET" xfId="376"/>
    <cellStyle name="_пр 5 тариф RAB_TEPLO.PREDEL.2012.M(v1.1)" xfId="377"/>
    <cellStyle name="_пр 5 тариф RAB_TEPLO.PREDEL.2013(v2.0)" xfId="378"/>
    <cellStyle name="_пр 5 тариф RAB_TEST.TEMPLATE" xfId="379"/>
    <cellStyle name="_пр 5 тариф RAB_UPDATE.46EE.2011.TO.1.1" xfId="380"/>
    <cellStyle name="_пр 5 тариф RAB_UPDATE.46TE.2011.TO.1.1" xfId="381"/>
    <cellStyle name="_пр 5 тариф RAB_UPDATE.46TE.2011.TO.1.2" xfId="382"/>
    <cellStyle name="_пр 5 тариф RAB_UPDATE.BALANCE.WARM.2011YEAR.TO.1.1" xfId="383"/>
    <cellStyle name="_пр 5 тариф RAB_UPDATE.BALANCE.WARM.2011YEAR.TO.1.1_46TE.2011(v1.0)" xfId="384"/>
    <cellStyle name="_пр 5 тариф RAB_UPDATE.BALANCE.WARM.2011YEAR.TO.1.1_INDEX.STATION.2012(v1.0)_" xfId="385"/>
    <cellStyle name="_пр 5 тариф RAB_UPDATE.BALANCE.WARM.2011YEAR.TO.1.1_INDEX.STATION.2012(v2.0)" xfId="386"/>
    <cellStyle name="_пр 5 тариф RAB_UPDATE.BALANCE.WARM.2011YEAR.TO.1.1_INDEX.STATION.2012(v2.1)" xfId="387"/>
    <cellStyle name="_пр 5 тариф RAB_UPDATE.BALANCE.WARM.2011YEAR.TO.1.1_OREP.KU.2011.MONTHLY.02(v1.1)" xfId="388"/>
    <cellStyle name="_пр 5 тариф RAB_UPDATE.BALANCE.WARM.2011YEAR.TO.1.1_TEPLO.PREDEL.2012.M(v1.1)_test" xfId="389"/>
    <cellStyle name="_пр 5 тариф RAB_UPDATE.BALANCE.WARM.2011YEAR.TO.1.2" xfId="390"/>
    <cellStyle name="_пр 5 тариф RAB_UPDATE.BALANCE.WARM.2011YEAR.TO.1.4.64" xfId="391"/>
    <cellStyle name="_пр 5 тариф RAB_UPDATE.BALANCE.WARM.2011YEAR.TO.1.5.64" xfId="392"/>
    <cellStyle name="_пр 5 тариф RAB_UPDATE.MONITORING.OS.EE.2.02.TO.1.3.64" xfId="393"/>
    <cellStyle name="_пр 5 тариф RAB_UPDATE.NADB.JNVLS.APTEKA.2011.TO.1.3.4" xfId="394"/>
    <cellStyle name="_пр 5 тариф RAB_Книга2_PR.PROG.WARM.NOTCOMBI.2012.2.16_v1.4(04.04.11) " xfId="395"/>
    <cellStyle name="_Предожение _ДБП_2009 г ( согласованные БП)  (2)" xfId="396"/>
    <cellStyle name="_Предожение _ДБП_2009 г ( согласованные БП)  (2)_Новая инструкция1_фст" xfId="397"/>
    <cellStyle name="_Приложение 2 0806 факт" xfId="398"/>
    <cellStyle name="_Приложение МТС-3-КС" xfId="399"/>
    <cellStyle name="_Приложение МТС-3-КС_Новая инструкция1_фст" xfId="400"/>
    <cellStyle name="_Приложение-МТС--2-1" xfId="401"/>
    <cellStyle name="_Приложение-МТС--2-1_Новая инструкция1_фст" xfId="402"/>
    <cellStyle name="_Расчет RAB_22072008" xfId="403"/>
    <cellStyle name="_Расчет RAB_22072008 2" xfId="404"/>
    <cellStyle name="_Расчет RAB_22072008 2_OREP.KU.2011.MONTHLY.02(v0.1)" xfId="405"/>
    <cellStyle name="_Расчет RAB_22072008 2_OREP.KU.2011.MONTHLY.02(v0.4)" xfId="406"/>
    <cellStyle name="_Расчет RAB_22072008 2_OREP.KU.2011.MONTHLY.11(v1.4)" xfId="407"/>
    <cellStyle name="_Расчет RAB_22072008 2_OREP.KU.2011.MONTHLY.11(v1.4)_UPDATE.BALANCE.WARM.2012YEAR.TO.1.1" xfId="408"/>
    <cellStyle name="_Расчет RAB_22072008 2_OREP.KU.2011.MONTHLY.11(v1.4)_UPDATE.CALC.WARM.2012YEAR.TO.1.1" xfId="409"/>
    <cellStyle name="_Расчет RAB_22072008 2_UPDATE.BALANCE.WARM.2012YEAR.TO.1.1" xfId="410"/>
    <cellStyle name="_Расчет RAB_22072008 2_UPDATE.CALC.WARM.2012YEAR.TO.1.1" xfId="411"/>
    <cellStyle name="_Расчет RAB_22072008 2_UPDATE.MONITORING.OS.EE.2.02.TO.1.3.64" xfId="412"/>
    <cellStyle name="_Расчет RAB_22072008 2_UPDATE.OREP.KU.2011.MONTHLY.02.TO.1.2" xfId="413"/>
    <cellStyle name="_Расчет RAB_22072008_46EE.2011(v1.0)" xfId="414"/>
    <cellStyle name="_Расчет RAB_22072008_46EE.2011(v1.0)_46TE.2011(v1.0)" xfId="415"/>
    <cellStyle name="_Расчет RAB_22072008_46EE.2011(v1.0)_INDEX.STATION.2012(v1.0)_" xfId="416"/>
    <cellStyle name="_Расчет RAB_22072008_46EE.2011(v1.0)_INDEX.STATION.2012(v2.0)" xfId="417"/>
    <cellStyle name="_Расчет RAB_22072008_46EE.2011(v1.0)_INDEX.STATION.2012(v2.1)" xfId="418"/>
    <cellStyle name="_Расчет RAB_22072008_46EE.2011(v1.0)_TEPLO.PREDEL.2012.M(v1.1)_test" xfId="419"/>
    <cellStyle name="_Расчет RAB_22072008_46EE.2011(v1.2)" xfId="420"/>
    <cellStyle name="_Расчет RAB_22072008_46EP.2011(v2.0)" xfId="421"/>
    <cellStyle name="_Расчет RAB_22072008_46EP.2012(v0.1)" xfId="422"/>
    <cellStyle name="_Расчет RAB_22072008_46TE.2011(v1.0)" xfId="423"/>
    <cellStyle name="_Расчет RAB_22072008_4DNS.UPDATE.EXAMPLE" xfId="424"/>
    <cellStyle name="_Расчет RAB_22072008_ARMRAZR" xfId="425"/>
    <cellStyle name="_Расчет RAB_22072008_BALANCE.WARM.2010.FACT(v1.0)" xfId="426"/>
    <cellStyle name="_Расчет RAB_22072008_BALANCE.WARM.2010.PLAN" xfId="427"/>
    <cellStyle name="_Расчет RAB_22072008_BALANCE.WARM.2011YEAR(v0.7)" xfId="428"/>
    <cellStyle name="_Расчет RAB_22072008_BALANCE.WARM.2011YEAR.NEW.UPDATE.SCHEME" xfId="429"/>
    <cellStyle name="_Расчет RAB_22072008_CALC.NORMATIV.KU(v0.2)" xfId="430"/>
    <cellStyle name="_Расчет RAB_22072008_EE.2REK.P2011.4.78(v0.3)" xfId="431"/>
    <cellStyle name="_Расчет RAB_22072008_FORM3.1.2013(v0.2)" xfId="432"/>
    <cellStyle name="_Расчет RAB_22072008_FORM3.2013(v1.0)" xfId="433"/>
    <cellStyle name="_Расчет RAB_22072008_FORM3.REG(v1.0)" xfId="434"/>
    <cellStyle name="_Расчет RAB_22072008_FORM910.2012(v1.1)" xfId="435"/>
    <cellStyle name="_Расчет RAB_22072008_INDEX.STATION.2012(v2.1)" xfId="436"/>
    <cellStyle name="_Расчет RAB_22072008_INDEX.STATION.2013(v1.0)_патч до 1.1" xfId="437"/>
    <cellStyle name="_Расчет RAB_22072008_INVEST.EE.PLAN.4.78(v0.1)" xfId="438"/>
    <cellStyle name="_Расчет RAB_22072008_INVEST.EE.PLAN.4.78(v0.3)" xfId="439"/>
    <cellStyle name="_Расчет RAB_22072008_INVEST.EE.PLAN.4.78(v1.0)" xfId="440"/>
    <cellStyle name="_Расчет RAB_22072008_INVEST.EE.PLAN.4.78(v1.0)_PASSPORT.TEPLO.PROIZV(v2.0)" xfId="441"/>
    <cellStyle name="_Расчет RAB_22072008_INVEST.EE.PLAN.4.78(v1.0)_PASSPORT.TEPLO.PROIZV(v2.0)_INDEX.STATION.2013(v1.0)_патч до 1.1" xfId="442"/>
    <cellStyle name="_Расчет RAB_22072008_INVEST.EE.PLAN.4.78(v1.0)_PASSPORT.TEPLO.PROIZV(v2.0)_TEPLO.PREDEL.2013(v2.0)" xfId="443"/>
    <cellStyle name="_Расчет RAB_22072008_INVEST.PLAN.4.78(v0.1)" xfId="444"/>
    <cellStyle name="_Расчет RAB_22072008_INVEST.WARM.PLAN.4.78(v0.1)" xfId="445"/>
    <cellStyle name="_Расчет RAB_22072008_INVEST_WARM_PLAN" xfId="446"/>
    <cellStyle name="_Расчет RAB_22072008_NADB.JNVLP.APTEKA.2012(v1.0)_21_02_12" xfId="447"/>
    <cellStyle name="_Расчет RAB_22072008_NADB.JNVLS.APTEKA.2011(v1.3.3)" xfId="448"/>
    <cellStyle name="_Расчет RAB_22072008_NADB.JNVLS.APTEKA.2011(v1.3.3)_46TE.2011(v1.0)" xfId="449"/>
    <cellStyle name="_Расчет RAB_22072008_NADB.JNVLS.APTEKA.2011(v1.3.3)_INDEX.STATION.2012(v1.0)_" xfId="450"/>
    <cellStyle name="_Расчет RAB_22072008_NADB.JNVLS.APTEKA.2011(v1.3.3)_INDEX.STATION.2012(v2.0)" xfId="451"/>
    <cellStyle name="_Расчет RAB_22072008_NADB.JNVLS.APTEKA.2011(v1.3.3)_INDEX.STATION.2012(v2.1)" xfId="452"/>
    <cellStyle name="_Расчет RAB_22072008_NADB.JNVLS.APTEKA.2011(v1.3.3)_TEPLO.PREDEL.2012.M(v1.1)_test" xfId="453"/>
    <cellStyle name="_Расчет RAB_22072008_NADB.JNVLS.APTEKA.2011(v1.3.4)" xfId="454"/>
    <cellStyle name="_Расчет RAB_22072008_NADB.JNVLS.APTEKA.2011(v1.3.4)_46TE.2011(v1.0)" xfId="455"/>
    <cellStyle name="_Расчет RAB_22072008_NADB.JNVLS.APTEKA.2011(v1.3.4)_INDEX.STATION.2012(v1.0)_" xfId="456"/>
    <cellStyle name="_Расчет RAB_22072008_NADB.JNVLS.APTEKA.2011(v1.3.4)_INDEX.STATION.2012(v2.0)" xfId="457"/>
    <cellStyle name="_Расчет RAB_22072008_NADB.JNVLS.APTEKA.2011(v1.3.4)_INDEX.STATION.2012(v2.1)" xfId="458"/>
    <cellStyle name="_Расчет RAB_22072008_NADB.JNVLS.APTEKA.2011(v1.3.4)_TEPLO.PREDEL.2012.M(v1.1)_test" xfId="459"/>
    <cellStyle name="_Расчет RAB_22072008_PASSPORT.TEPLO.PROIZV(v2.0)" xfId="460"/>
    <cellStyle name="_Расчет RAB_22072008_PASSPORT.TEPLO.PROIZV(v2.1)" xfId="461"/>
    <cellStyle name="_Расчет RAB_22072008_PASSPORT.TEPLO.SETI(v0.7)" xfId="462"/>
    <cellStyle name="_Расчет RAB_22072008_PASSPORT.TEPLO.SETI(v1.0)" xfId="463"/>
    <cellStyle name="_Расчет RAB_22072008_PR.PROG.WARM.NOTCOMBI.2012.2.16_v1.4(04.04.11) " xfId="464"/>
    <cellStyle name="_Расчет RAB_22072008_PREDEL.JKH.UTV.2011(v1.0.1)" xfId="465"/>
    <cellStyle name="_Расчет RAB_22072008_PREDEL.JKH.UTV.2011(v1.0.1)_46TE.2011(v1.0)" xfId="466"/>
    <cellStyle name="_Расчет RAB_22072008_PREDEL.JKH.UTV.2011(v1.0.1)_INDEX.STATION.2012(v1.0)_" xfId="467"/>
    <cellStyle name="_Расчет RAB_22072008_PREDEL.JKH.UTV.2011(v1.0.1)_INDEX.STATION.2012(v2.0)" xfId="468"/>
    <cellStyle name="_Расчет RAB_22072008_PREDEL.JKH.UTV.2011(v1.0.1)_INDEX.STATION.2012(v2.1)" xfId="469"/>
    <cellStyle name="_Расчет RAB_22072008_PREDEL.JKH.UTV.2011(v1.0.1)_TEPLO.PREDEL.2012.M(v1.1)_test" xfId="470"/>
    <cellStyle name="_Расчет RAB_22072008_PREDEL.JKH.UTV.2011(v1.1)" xfId="471"/>
    <cellStyle name="_Расчет RAB_22072008_REP.BLR.2012(v1.0)" xfId="472"/>
    <cellStyle name="_Расчет RAB_22072008_TEHSHEET" xfId="473"/>
    <cellStyle name="_Расчет RAB_22072008_TEPLO.PREDEL.2012.M(v1.1)" xfId="474"/>
    <cellStyle name="_Расчет RAB_22072008_TEPLO.PREDEL.2013(v2.0)" xfId="475"/>
    <cellStyle name="_Расчет RAB_22072008_TEST.TEMPLATE" xfId="476"/>
    <cellStyle name="_Расчет RAB_22072008_UPDATE.46EE.2011.TO.1.1" xfId="477"/>
    <cellStyle name="_Расчет RAB_22072008_UPDATE.46TE.2011.TO.1.1" xfId="478"/>
    <cellStyle name="_Расчет RAB_22072008_UPDATE.46TE.2011.TO.1.2" xfId="479"/>
    <cellStyle name="_Расчет RAB_22072008_UPDATE.BALANCE.WARM.2011YEAR.TO.1.1" xfId="480"/>
    <cellStyle name="_Расчет RAB_22072008_UPDATE.BALANCE.WARM.2011YEAR.TO.1.1_46TE.2011(v1.0)" xfId="481"/>
    <cellStyle name="_Расчет RAB_22072008_UPDATE.BALANCE.WARM.2011YEAR.TO.1.1_INDEX.STATION.2012(v1.0)_" xfId="482"/>
    <cellStyle name="_Расчет RAB_22072008_UPDATE.BALANCE.WARM.2011YEAR.TO.1.1_INDEX.STATION.2012(v2.0)" xfId="483"/>
    <cellStyle name="_Расчет RAB_22072008_UPDATE.BALANCE.WARM.2011YEAR.TO.1.1_INDEX.STATION.2012(v2.1)" xfId="484"/>
    <cellStyle name="_Расчет RAB_22072008_UPDATE.BALANCE.WARM.2011YEAR.TO.1.1_OREP.KU.2011.MONTHLY.02(v1.1)" xfId="485"/>
    <cellStyle name="_Расчет RAB_22072008_UPDATE.BALANCE.WARM.2011YEAR.TO.1.1_TEPLO.PREDEL.2012.M(v1.1)_test" xfId="486"/>
    <cellStyle name="_Расчет RAB_22072008_UPDATE.BALANCE.WARM.2011YEAR.TO.1.2" xfId="487"/>
    <cellStyle name="_Расчет RAB_22072008_UPDATE.BALANCE.WARM.2011YEAR.TO.1.4.64" xfId="488"/>
    <cellStyle name="_Расчет RAB_22072008_UPDATE.BALANCE.WARM.2011YEAR.TO.1.5.64" xfId="489"/>
    <cellStyle name="_Расчет RAB_22072008_UPDATE.MONITORING.OS.EE.2.02.TO.1.3.64" xfId="490"/>
    <cellStyle name="_Расчет RAB_22072008_UPDATE.NADB.JNVLS.APTEKA.2011.TO.1.3.4" xfId="491"/>
    <cellStyle name="_Расчет RAB_22072008_Книга2_PR.PROG.WARM.NOTCOMBI.2012.2.16_v1.4(04.04.11) " xfId="492"/>
    <cellStyle name="_Расчет RAB_Лен и МОЭСК_с 2010 года_14.04.2009_со сглаж_version 3.0_без ФСК" xfId="493"/>
    <cellStyle name="_Расчет RAB_Лен и МОЭСК_с 2010 года_14.04.2009_со сглаж_version 3.0_без ФСК 2" xfId="494"/>
    <cellStyle name="_Расчет RAB_Лен и МОЭСК_с 2010 года_14.04.2009_со сглаж_version 3.0_без ФСК 2_OREP.KU.2011.MONTHLY.02(v0.1)" xfId="495"/>
    <cellStyle name="_Расчет RAB_Лен и МОЭСК_с 2010 года_14.04.2009_со сглаж_version 3.0_без ФСК 2_OREP.KU.2011.MONTHLY.02(v0.4)" xfId="496"/>
    <cellStyle name="_Расчет RAB_Лен и МОЭСК_с 2010 года_14.04.2009_со сглаж_version 3.0_без ФСК 2_OREP.KU.2011.MONTHLY.11(v1.4)" xfId="497"/>
    <cellStyle name="_Расчет RAB_Лен и МОЭСК_с 2010 года_14.04.2009_со сглаж_version 3.0_без ФСК 2_OREP.KU.2011.MONTHLY.11(v1.4)_UPDATE.BALANCE.WARM.2012YEAR.TO.1.1" xfId="498"/>
    <cellStyle name="_Расчет RAB_Лен и МОЭСК_с 2010 года_14.04.2009_со сглаж_version 3.0_без ФСК 2_OREP.KU.2011.MONTHLY.11(v1.4)_UPDATE.CALC.WARM.2012YEAR.TO.1.1" xfId="499"/>
    <cellStyle name="_Расчет RAB_Лен и МОЭСК_с 2010 года_14.04.2009_со сглаж_version 3.0_без ФСК 2_UPDATE.BALANCE.WARM.2012YEAR.TO.1.1" xfId="500"/>
    <cellStyle name="_Расчет RAB_Лен и МОЭСК_с 2010 года_14.04.2009_со сглаж_version 3.0_без ФСК 2_UPDATE.CALC.WARM.2012YEAR.TO.1.1" xfId="501"/>
    <cellStyle name="_Расчет RAB_Лен и МОЭСК_с 2010 года_14.04.2009_со сглаж_version 3.0_без ФСК 2_UPDATE.MONITORING.OS.EE.2.02.TO.1.3.64" xfId="502"/>
    <cellStyle name="_Расчет RAB_Лен и МОЭСК_с 2010 года_14.04.2009_со сглаж_version 3.0_без ФСК 2_UPDATE.OREP.KU.2011.MONTHLY.02.TO.1.2" xfId="503"/>
    <cellStyle name="_Расчет RAB_Лен и МОЭСК_с 2010 года_14.04.2009_со сглаж_version 3.0_без ФСК_46EE.2011(v1.0)" xfId="504"/>
    <cellStyle name="_Расчет RAB_Лен и МОЭСК_с 2010 года_14.04.2009_со сглаж_version 3.0_без ФСК_46EE.2011(v1.0)_46TE.2011(v1.0)" xfId="505"/>
    <cellStyle name="_Расчет RAB_Лен и МОЭСК_с 2010 года_14.04.2009_со сглаж_version 3.0_без ФСК_46EE.2011(v1.0)_INDEX.STATION.2012(v1.0)_" xfId="506"/>
    <cellStyle name="_Расчет RAB_Лен и МОЭСК_с 2010 года_14.04.2009_со сглаж_version 3.0_без ФСК_46EE.2011(v1.0)_INDEX.STATION.2012(v2.0)" xfId="507"/>
    <cellStyle name="_Расчет RAB_Лен и МОЭСК_с 2010 года_14.04.2009_со сглаж_version 3.0_без ФСК_46EE.2011(v1.0)_INDEX.STATION.2012(v2.1)" xfId="508"/>
    <cellStyle name="_Расчет RAB_Лен и МОЭСК_с 2010 года_14.04.2009_со сглаж_version 3.0_без ФСК_46EE.2011(v1.0)_TEPLO.PREDEL.2012.M(v1.1)_test" xfId="509"/>
    <cellStyle name="_Расчет RAB_Лен и МОЭСК_с 2010 года_14.04.2009_со сглаж_version 3.0_без ФСК_46EE.2011(v1.2)" xfId="510"/>
    <cellStyle name="_Расчет RAB_Лен и МОЭСК_с 2010 года_14.04.2009_со сглаж_version 3.0_без ФСК_46EP.2011(v2.0)" xfId="511"/>
    <cellStyle name="_Расчет RAB_Лен и МОЭСК_с 2010 года_14.04.2009_со сглаж_version 3.0_без ФСК_46EP.2012(v0.1)" xfId="512"/>
    <cellStyle name="_Расчет RAB_Лен и МОЭСК_с 2010 года_14.04.2009_со сглаж_version 3.0_без ФСК_46TE.2011(v1.0)" xfId="513"/>
    <cellStyle name="_Расчет RAB_Лен и МОЭСК_с 2010 года_14.04.2009_со сглаж_version 3.0_без ФСК_4DNS.UPDATE.EXAMPLE" xfId="514"/>
    <cellStyle name="_Расчет RAB_Лен и МОЭСК_с 2010 года_14.04.2009_со сглаж_version 3.0_без ФСК_ARMRAZR" xfId="515"/>
    <cellStyle name="_Расчет RAB_Лен и МОЭСК_с 2010 года_14.04.2009_со сглаж_version 3.0_без ФСК_BALANCE.WARM.2010.FACT(v1.0)" xfId="516"/>
    <cellStyle name="_Расчет RAB_Лен и МОЭСК_с 2010 года_14.04.2009_со сглаж_version 3.0_без ФСК_BALANCE.WARM.2010.PLAN" xfId="517"/>
    <cellStyle name="_Расчет RAB_Лен и МОЭСК_с 2010 года_14.04.2009_со сглаж_version 3.0_без ФСК_BALANCE.WARM.2011YEAR(v0.7)" xfId="518"/>
    <cellStyle name="_Расчет RAB_Лен и МОЭСК_с 2010 года_14.04.2009_со сглаж_version 3.0_без ФСК_BALANCE.WARM.2011YEAR.NEW.UPDATE.SCHEME" xfId="519"/>
    <cellStyle name="_Расчет RAB_Лен и МОЭСК_с 2010 года_14.04.2009_со сглаж_version 3.0_без ФСК_CALC.NORMATIV.KU(v0.2)" xfId="520"/>
    <cellStyle name="_Расчет RAB_Лен и МОЭСК_с 2010 года_14.04.2009_со сглаж_version 3.0_без ФСК_EE.2REK.P2011.4.78(v0.3)" xfId="521"/>
    <cellStyle name="_Расчет RAB_Лен и МОЭСК_с 2010 года_14.04.2009_со сглаж_version 3.0_без ФСК_FORM3.1.2013(v0.2)" xfId="522"/>
    <cellStyle name="_Расчет RAB_Лен и МОЭСК_с 2010 года_14.04.2009_со сглаж_version 3.0_без ФСК_FORM3.2013(v1.0)" xfId="523"/>
    <cellStyle name="_Расчет RAB_Лен и МОЭСК_с 2010 года_14.04.2009_со сглаж_version 3.0_без ФСК_FORM3.REG(v1.0)" xfId="524"/>
    <cellStyle name="_Расчет RAB_Лен и МОЭСК_с 2010 года_14.04.2009_со сглаж_version 3.0_без ФСК_FORM910.2012(v1.1)" xfId="525"/>
    <cellStyle name="_Расчет RAB_Лен и МОЭСК_с 2010 года_14.04.2009_со сглаж_version 3.0_без ФСК_INDEX.STATION.2012(v2.1)" xfId="526"/>
    <cellStyle name="_Расчет RAB_Лен и МОЭСК_с 2010 года_14.04.2009_со сглаж_version 3.0_без ФСК_INDEX.STATION.2013(v1.0)_патч до 1.1" xfId="527"/>
    <cellStyle name="_Расчет RAB_Лен и МОЭСК_с 2010 года_14.04.2009_со сглаж_version 3.0_без ФСК_INVEST.EE.PLAN.4.78(v0.1)" xfId="528"/>
    <cellStyle name="_Расчет RAB_Лен и МОЭСК_с 2010 года_14.04.2009_со сглаж_version 3.0_без ФСК_INVEST.EE.PLAN.4.78(v0.3)" xfId="529"/>
    <cellStyle name="_Расчет RAB_Лен и МОЭСК_с 2010 года_14.04.2009_со сглаж_version 3.0_без ФСК_INVEST.EE.PLAN.4.78(v1.0)" xfId="530"/>
    <cellStyle name="_Расчет RAB_Лен и МОЭСК_с 2010 года_14.04.2009_со сглаж_version 3.0_без ФСК_INVEST.EE.PLAN.4.78(v1.0)_PASSPORT.TEPLO.PROIZV(v2.0)" xfId="531"/>
    <cellStyle name="_Расчет RAB_Лен и МОЭСК_с 2010 года_14.04.2009_со сглаж_version 3.0_без ФСК_INVEST.EE.PLAN.4.78(v1.0)_PASSPORT.TEPLO.PROIZV(v2.0)_INDEX.STATION.2013(v1.0)_патч до 1.1" xfId="532"/>
    <cellStyle name="_Расчет RAB_Лен и МОЭСК_с 2010 года_14.04.2009_со сглаж_version 3.0_без ФСК_INVEST.EE.PLAN.4.78(v1.0)_PASSPORT.TEPLO.PROIZV(v2.0)_TEPLO.PREDEL.2013(v2.0)" xfId="533"/>
    <cellStyle name="_Расчет RAB_Лен и МОЭСК_с 2010 года_14.04.2009_со сглаж_version 3.0_без ФСК_INVEST.PLAN.4.78(v0.1)" xfId="534"/>
    <cellStyle name="_Расчет RAB_Лен и МОЭСК_с 2010 года_14.04.2009_со сглаж_version 3.0_без ФСК_INVEST.WARM.PLAN.4.78(v0.1)" xfId="535"/>
    <cellStyle name="_Расчет RAB_Лен и МОЭСК_с 2010 года_14.04.2009_со сглаж_version 3.0_без ФСК_INVEST_WARM_PLAN" xfId="536"/>
    <cellStyle name="_Расчет RAB_Лен и МОЭСК_с 2010 года_14.04.2009_со сглаж_version 3.0_без ФСК_NADB.JNVLP.APTEKA.2012(v1.0)_21_02_12" xfId="537"/>
    <cellStyle name="_Расчет RAB_Лен и МОЭСК_с 2010 года_14.04.2009_со сглаж_version 3.0_без ФСК_NADB.JNVLS.APTEKA.2011(v1.3.3)" xfId="538"/>
    <cellStyle name="_Расчет RAB_Лен и МОЭСК_с 2010 года_14.04.2009_со сглаж_version 3.0_без ФСК_NADB.JNVLS.APTEKA.2011(v1.3.3)_46TE.2011(v1.0)" xfId="539"/>
    <cellStyle name="_Расчет RAB_Лен и МОЭСК_с 2010 года_14.04.2009_со сглаж_version 3.0_без ФСК_NADB.JNVLS.APTEKA.2011(v1.3.3)_INDEX.STATION.2012(v1.0)_" xfId="540"/>
    <cellStyle name="_Расчет RAB_Лен и МОЭСК_с 2010 года_14.04.2009_со сглаж_version 3.0_без ФСК_NADB.JNVLS.APTEKA.2011(v1.3.3)_INDEX.STATION.2012(v2.0)" xfId="541"/>
    <cellStyle name="_Расчет RAB_Лен и МОЭСК_с 2010 года_14.04.2009_со сглаж_version 3.0_без ФСК_NADB.JNVLS.APTEKA.2011(v1.3.3)_INDEX.STATION.2012(v2.1)" xfId="542"/>
    <cellStyle name="_Расчет RAB_Лен и МОЭСК_с 2010 года_14.04.2009_со сглаж_version 3.0_без ФСК_NADB.JNVLS.APTEKA.2011(v1.3.3)_TEPLO.PREDEL.2012.M(v1.1)_test" xfId="543"/>
    <cellStyle name="_Расчет RAB_Лен и МОЭСК_с 2010 года_14.04.2009_со сглаж_version 3.0_без ФСК_NADB.JNVLS.APTEKA.2011(v1.3.4)" xfId="544"/>
    <cellStyle name="_Расчет RAB_Лен и МОЭСК_с 2010 года_14.04.2009_со сглаж_version 3.0_без ФСК_NADB.JNVLS.APTEKA.2011(v1.3.4)_46TE.2011(v1.0)" xfId="545"/>
    <cellStyle name="_Расчет RAB_Лен и МОЭСК_с 2010 года_14.04.2009_со сглаж_version 3.0_без ФСК_NADB.JNVLS.APTEKA.2011(v1.3.4)_INDEX.STATION.2012(v1.0)_" xfId="546"/>
    <cellStyle name="_Расчет RAB_Лен и МОЭСК_с 2010 года_14.04.2009_со сглаж_version 3.0_без ФСК_NADB.JNVLS.APTEKA.2011(v1.3.4)_INDEX.STATION.2012(v2.0)" xfId="547"/>
    <cellStyle name="_Расчет RAB_Лен и МОЭСК_с 2010 года_14.04.2009_со сглаж_version 3.0_без ФСК_NADB.JNVLS.APTEKA.2011(v1.3.4)_INDEX.STATION.2012(v2.1)" xfId="548"/>
    <cellStyle name="_Расчет RAB_Лен и МОЭСК_с 2010 года_14.04.2009_со сглаж_version 3.0_без ФСК_NADB.JNVLS.APTEKA.2011(v1.3.4)_TEPLO.PREDEL.2012.M(v1.1)_test" xfId="549"/>
    <cellStyle name="_Расчет RAB_Лен и МОЭСК_с 2010 года_14.04.2009_со сглаж_version 3.0_без ФСК_PASSPORT.TEPLO.PROIZV(v2.0)" xfId="550"/>
    <cellStyle name="_Расчет RAB_Лен и МОЭСК_с 2010 года_14.04.2009_со сглаж_version 3.0_без ФСК_PASSPORT.TEPLO.PROIZV(v2.1)" xfId="551"/>
    <cellStyle name="_Расчет RAB_Лен и МОЭСК_с 2010 года_14.04.2009_со сглаж_version 3.0_без ФСК_PASSPORT.TEPLO.SETI(v0.7)" xfId="552"/>
    <cellStyle name="_Расчет RAB_Лен и МОЭСК_с 2010 года_14.04.2009_со сглаж_version 3.0_без ФСК_PASSPORT.TEPLO.SETI(v1.0)" xfId="553"/>
    <cellStyle name="_Расчет RAB_Лен и МОЭСК_с 2010 года_14.04.2009_со сглаж_version 3.0_без ФСК_PR.PROG.WARM.NOTCOMBI.2012.2.16_v1.4(04.04.11) " xfId="554"/>
    <cellStyle name="_Расчет RAB_Лен и МОЭСК_с 2010 года_14.04.2009_со сглаж_version 3.0_без ФСК_PREDEL.JKH.UTV.2011(v1.0.1)" xfId="555"/>
    <cellStyle name="_Расчет RAB_Лен и МОЭСК_с 2010 года_14.04.2009_со сглаж_version 3.0_без ФСК_PREDEL.JKH.UTV.2011(v1.0.1)_46TE.2011(v1.0)" xfId="556"/>
    <cellStyle name="_Расчет RAB_Лен и МОЭСК_с 2010 года_14.04.2009_со сглаж_version 3.0_без ФСК_PREDEL.JKH.UTV.2011(v1.0.1)_INDEX.STATION.2012(v1.0)_" xfId="557"/>
    <cellStyle name="_Расчет RAB_Лен и МОЭСК_с 2010 года_14.04.2009_со сглаж_version 3.0_без ФСК_PREDEL.JKH.UTV.2011(v1.0.1)_INDEX.STATION.2012(v2.0)" xfId="558"/>
    <cellStyle name="_Расчет RAB_Лен и МОЭСК_с 2010 года_14.04.2009_со сглаж_version 3.0_без ФСК_PREDEL.JKH.UTV.2011(v1.0.1)_INDEX.STATION.2012(v2.1)" xfId="559"/>
    <cellStyle name="_Расчет RAB_Лен и МОЭСК_с 2010 года_14.04.2009_со сглаж_version 3.0_без ФСК_PREDEL.JKH.UTV.2011(v1.0.1)_TEPLO.PREDEL.2012.M(v1.1)_test" xfId="560"/>
    <cellStyle name="_Расчет RAB_Лен и МОЭСК_с 2010 года_14.04.2009_со сглаж_version 3.0_без ФСК_PREDEL.JKH.UTV.2011(v1.1)" xfId="561"/>
    <cellStyle name="_Расчет RAB_Лен и МОЭСК_с 2010 года_14.04.2009_со сглаж_version 3.0_без ФСК_REP.BLR.2012(v1.0)" xfId="562"/>
    <cellStyle name="_Расчет RAB_Лен и МОЭСК_с 2010 года_14.04.2009_со сглаж_version 3.0_без ФСК_TEHSHEET" xfId="563"/>
    <cellStyle name="_Расчет RAB_Лен и МОЭСК_с 2010 года_14.04.2009_со сглаж_version 3.0_без ФСК_TEPLO.PREDEL.2012.M(v1.1)" xfId="564"/>
    <cellStyle name="_Расчет RAB_Лен и МОЭСК_с 2010 года_14.04.2009_со сглаж_version 3.0_без ФСК_TEPLO.PREDEL.2013(v2.0)" xfId="565"/>
    <cellStyle name="_Расчет RAB_Лен и МОЭСК_с 2010 года_14.04.2009_со сглаж_version 3.0_без ФСК_TEST.TEMPLATE" xfId="566"/>
    <cellStyle name="_Расчет RAB_Лен и МОЭСК_с 2010 года_14.04.2009_со сглаж_version 3.0_без ФСК_UPDATE.46EE.2011.TO.1.1" xfId="567"/>
    <cellStyle name="_Расчет RAB_Лен и МОЭСК_с 2010 года_14.04.2009_со сглаж_version 3.0_без ФСК_UPDATE.46TE.2011.TO.1.1" xfId="568"/>
    <cellStyle name="_Расчет RAB_Лен и МОЭСК_с 2010 года_14.04.2009_со сглаж_version 3.0_без ФСК_UPDATE.46TE.2011.TO.1.2" xfId="569"/>
    <cellStyle name="_Расчет RAB_Лен и МОЭСК_с 2010 года_14.04.2009_со сглаж_version 3.0_без ФСК_UPDATE.BALANCE.WARM.2011YEAR.TO.1.1" xfId="570"/>
    <cellStyle name="_Расчет RAB_Лен и МОЭСК_с 2010 года_14.04.2009_со сглаж_version 3.0_без ФСК_UPDATE.BALANCE.WARM.2011YEAR.TO.1.1_46TE.2011(v1.0)" xfId="571"/>
    <cellStyle name="_Расчет RAB_Лен и МОЭСК_с 2010 года_14.04.2009_со сглаж_version 3.0_без ФСК_UPDATE.BALANCE.WARM.2011YEAR.TO.1.1_INDEX.STATION.2012(v1.0)_" xfId="572"/>
    <cellStyle name="_Расчет RAB_Лен и МОЭСК_с 2010 года_14.04.2009_со сглаж_version 3.0_без ФСК_UPDATE.BALANCE.WARM.2011YEAR.TO.1.1_INDEX.STATION.2012(v2.0)" xfId="573"/>
    <cellStyle name="_Расчет RAB_Лен и МОЭСК_с 2010 года_14.04.2009_со сглаж_version 3.0_без ФСК_UPDATE.BALANCE.WARM.2011YEAR.TO.1.1_INDEX.STATION.2012(v2.1)" xfId="574"/>
    <cellStyle name="_Расчет RAB_Лен и МОЭСК_с 2010 года_14.04.2009_со сглаж_version 3.0_без ФСК_UPDATE.BALANCE.WARM.2011YEAR.TO.1.1_OREP.KU.2011.MONTHLY.02(v1.1)" xfId="575"/>
    <cellStyle name="_Расчет RAB_Лен и МОЭСК_с 2010 года_14.04.2009_со сглаж_version 3.0_без ФСК_UPDATE.BALANCE.WARM.2011YEAR.TO.1.1_TEPLO.PREDEL.2012.M(v1.1)_test" xfId="576"/>
    <cellStyle name="_Расчет RAB_Лен и МОЭСК_с 2010 года_14.04.2009_со сглаж_version 3.0_без ФСК_UPDATE.BALANCE.WARM.2011YEAR.TO.1.2" xfId="577"/>
    <cellStyle name="_Расчет RAB_Лен и МОЭСК_с 2010 года_14.04.2009_со сглаж_version 3.0_без ФСК_UPDATE.BALANCE.WARM.2011YEAR.TO.1.4.64" xfId="578"/>
    <cellStyle name="_Расчет RAB_Лен и МОЭСК_с 2010 года_14.04.2009_со сглаж_version 3.0_без ФСК_UPDATE.BALANCE.WARM.2011YEAR.TO.1.5.64" xfId="579"/>
    <cellStyle name="_Расчет RAB_Лен и МОЭСК_с 2010 года_14.04.2009_со сглаж_version 3.0_без ФСК_UPDATE.MONITORING.OS.EE.2.02.TO.1.3.64" xfId="580"/>
    <cellStyle name="_Расчет RAB_Лен и МОЭСК_с 2010 года_14.04.2009_со сглаж_version 3.0_без ФСК_UPDATE.NADB.JNVLS.APTEKA.2011.TO.1.3.4" xfId="581"/>
    <cellStyle name="_Расчет RAB_Лен и МОЭСК_с 2010 года_14.04.2009_со сглаж_version 3.0_без ФСК_Книга2_PR.PROG.WARM.NOTCOMBI.2012.2.16_v1.4(04.04.11) " xfId="582"/>
    <cellStyle name="_Сб-macro 2020" xfId="2428"/>
    <cellStyle name="_Свод по ИПР (2)" xfId="583"/>
    <cellStyle name="_Свод по ИПР (2)_Новая инструкция1_фст" xfId="584"/>
    <cellStyle name="_Справочник затрат_ЛХ_20.10.05" xfId="585"/>
    <cellStyle name="_таблицы для расчетов28-04-08_2006-2009_прибыль корр_по ИА" xfId="586"/>
    <cellStyle name="_таблицы для расчетов28-04-08_2006-2009_прибыль корр_по ИА_Новая инструкция1_фст" xfId="587"/>
    <cellStyle name="_таблицы для расчетов28-04-08_2006-2009с ИА" xfId="588"/>
    <cellStyle name="_таблицы для расчетов28-04-08_2006-2009с ИА_Новая инструкция1_фст" xfId="589"/>
    <cellStyle name="_Форма 6  РТК.xls(отчет по Адр пр. ЛО)" xfId="590"/>
    <cellStyle name="_Форма 6  РТК.xls(отчет по Адр пр. ЛО)_Новая инструкция1_фст" xfId="591"/>
    <cellStyle name="_Формат разбивки по МРСК_РСК" xfId="592"/>
    <cellStyle name="_Формат разбивки по МРСК_РСК_Новая инструкция1_фст" xfId="593"/>
    <cellStyle name="_Формат_для Согласования" xfId="594"/>
    <cellStyle name="_Формат_для Согласования_Новая инструкция1_фст" xfId="595"/>
    <cellStyle name="_ХХХ Прил 2 Формы бюджетных документов 2007" xfId="596"/>
    <cellStyle name="_экон.форм-т ВО 1 с разбивкой" xfId="597"/>
    <cellStyle name="_экон.форм-т ВО 1 с разбивкой_Новая инструкция1_фст" xfId="598"/>
    <cellStyle name="’К‰Э [0.00]" xfId="599"/>
    <cellStyle name="”€ќђќ‘ћ‚›‰" xfId="600"/>
    <cellStyle name="”€љ‘€ђћ‚ђќќ›‰" xfId="601"/>
    <cellStyle name="”ќђќ‘ћ‚›‰" xfId="602"/>
    <cellStyle name="”ќђќ‘ћ‚›‰ 2" xfId="603"/>
    <cellStyle name="”љ‘ђћ‚ђќќ›‰" xfId="604"/>
    <cellStyle name="”љ‘ђћ‚ђќќ›‰ 2" xfId="605"/>
    <cellStyle name="„…ќ…†ќ›‰" xfId="606"/>
    <cellStyle name="„…ќ…†ќ›‰ 2" xfId="607"/>
    <cellStyle name="€’ћѓћ‚›‰" xfId="608"/>
    <cellStyle name="‡ђѓћ‹ћ‚ћљ1" xfId="609"/>
    <cellStyle name="‡ђѓћ‹ћ‚ћљ1 2" xfId="610"/>
    <cellStyle name="‡ђѓћ‹ћ‚ћљ2" xfId="611"/>
    <cellStyle name="‡ђѓћ‹ћ‚ћљ2 2" xfId="612"/>
    <cellStyle name="’ћѓћ‚›‰" xfId="613"/>
    <cellStyle name="’ћѓћ‚›‰ 2" xfId="614"/>
    <cellStyle name="1Normal" xfId="615"/>
    <cellStyle name="20% - Accent1" xfId="616"/>
    <cellStyle name="20% - Accent1 2" xfId="617"/>
    <cellStyle name="20% - Accent1 3" xfId="618"/>
    <cellStyle name="20% - Accent1_46EE.2011(v1.0)" xfId="619"/>
    <cellStyle name="20% - Accent2" xfId="620"/>
    <cellStyle name="20% - Accent2 2" xfId="621"/>
    <cellStyle name="20% - Accent2 3" xfId="622"/>
    <cellStyle name="20% - Accent2_46EE.2011(v1.0)" xfId="623"/>
    <cellStyle name="20% - Accent3" xfId="624"/>
    <cellStyle name="20% - Accent3 2" xfId="625"/>
    <cellStyle name="20% - Accent3 3" xfId="626"/>
    <cellStyle name="20% - Accent3_46EE.2011(v1.0)" xfId="627"/>
    <cellStyle name="20% - Accent4" xfId="628"/>
    <cellStyle name="20% - Accent4 2" xfId="629"/>
    <cellStyle name="20% - Accent4 3" xfId="630"/>
    <cellStyle name="20% - Accent4_46EE.2011(v1.0)" xfId="631"/>
    <cellStyle name="20% - Accent5" xfId="632"/>
    <cellStyle name="20% - Accent5 2" xfId="633"/>
    <cellStyle name="20% - Accent5 3" xfId="634"/>
    <cellStyle name="20% - Accent5_46EE.2011(v1.0)" xfId="635"/>
    <cellStyle name="20% - Accent6" xfId="636"/>
    <cellStyle name="20% - Accent6 2" xfId="637"/>
    <cellStyle name="20% - Accent6 3" xfId="638"/>
    <cellStyle name="20% - Accent6_46EE.2011(v1.0)" xfId="639"/>
    <cellStyle name="20% - Акцент1 10" xfId="640"/>
    <cellStyle name="20% - Акцент1 2" xfId="641"/>
    <cellStyle name="20% - Акцент1 2 2" xfId="642"/>
    <cellStyle name="20% - Акцент1 2 3" xfId="643"/>
    <cellStyle name="20% - Акцент1 2_46EE.2011(v1.0)" xfId="644"/>
    <cellStyle name="20% - Акцент1 3" xfId="645"/>
    <cellStyle name="20% - Акцент1 3 2" xfId="646"/>
    <cellStyle name="20% - Акцент1 3 3" xfId="647"/>
    <cellStyle name="20% - Акцент1 3_46EE.2011(v1.0)" xfId="648"/>
    <cellStyle name="20% - Акцент1 4" xfId="649"/>
    <cellStyle name="20% - Акцент1 4 2" xfId="650"/>
    <cellStyle name="20% - Акцент1 4 3" xfId="651"/>
    <cellStyle name="20% - Акцент1 4_46EE.2011(v1.0)" xfId="652"/>
    <cellStyle name="20% - Акцент1 5" xfId="653"/>
    <cellStyle name="20% - Акцент1 5 2" xfId="654"/>
    <cellStyle name="20% - Акцент1 5 3" xfId="655"/>
    <cellStyle name="20% - Акцент1 5_46EE.2011(v1.0)" xfId="656"/>
    <cellStyle name="20% - Акцент1 6" xfId="657"/>
    <cellStyle name="20% - Акцент1 6 2" xfId="658"/>
    <cellStyle name="20% - Акцент1 6 3" xfId="659"/>
    <cellStyle name="20% - Акцент1 6_46EE.2011(v1.0)" xfId="660"/>
    <cellStyle name="20% - Акцент1 7" xfId="661"/>
    <cellStyle name="20% - Акцент1 7 2" xfId="662"/>
    <cellStyle name="20% - Акцент1 7 3" xfId="663"/>
    <cellStyle name="20% - Акцент1 7_46EE.2011(v1.0)" xfId="664"/>
    <cellStyle name="20% - Акцент1 8" xfId="665"/>
    <cellStyle name="20% - Акцент1 8 2" xfId="666"/>
    <cellStyle name="20% - Акцент1 8 3" xfId="667"/>
    <cellStyle name="20% - Акцент1 8_46EE.2011(v1.0)" xfId="668"/>
    <cellStyle name="20% - Акцент1 9" xfId="669"/>
    <cellStyle name="20% - Акцент1 9 2" xfId="670"/>
    <cellStyle name="20% - Акцент1 9 3" xfId="671"/>
    <cellStyle name="20% - Акцент1 9_46EE.2011(v1.0)" xfId="672"/>
    <cellStyle name="20% - Акцент2 10" xfId="673"/>
    <cellStyle name="20% - Акцент2 2" xfId="674"/>
    <cellStyle name="20% - Акцент2 2 2" xfId="675"/>
    <cellStyle name="20% - Акцент2 2 3" xfId="676"/>
    <cellStyle name="20% - Акцент2 2_46EE.2011(v1.0)" xfId="677"/>
    <cellStyle name="20% - Акцент2 3" xfId="678"/>
    <cellStyle name="20% - Акцент2 3 2" xfId="679"/>
    <cellStyle name="20% - Акцент2 3 3" xfId="680"/>
    <cellStyle name="20% - Акцент2 3_46EE.2011(v1.0)" xfId="681"/>
    <cellStyle name="20% - Акцент2 4" xfId="682"/>
    <cellStyle name="20% - Акцент2 4 2" xfId="683"/>
    <cellStyle name="20% - Акцент2 4 3" xfId="684"/>
    <cellStyle name="20% - Акцент2 4_46EE.2011(v1.0)" xfId="685"/>
    <cellStyle name="20% - Акцент2 5" xfId="686"/>
    <cellStyle name="20% - Акцент2 5 2" xfId="687"/>
    <cellStyle name="20% - Акцент2 5 3" xfId="688"/>
    <cellStyle name="20% - Акцент2 5_46EE.2011(v1.0)" xfId="689"/>
    <cellStyle name="20% - Акцент2 6" xfId="690"/>
    <cellStyle name="20% - Акцент2 6 2" xfId="691"/>
    <cellStyle name="20% - Акцент2 6 3" xfId="692"/>
    <cellStyle name="20% - Акцент2 6_46EE.2011(v1.0)" xfId="693"/>
    <cellStyle name="20% - Акцент2 7" xfId="694"/>
    <cellStyle name="20% - Акцент2 7 2" xfId="695"/>
    <cellStyle name="20% - Акцент2 7 3" xfId="696"/>
    <cellStyle name="20% - Акцент2 7_46EE.2011(v1.0)" xfId="697"/>
    <cellStyle name="20% - Акцент2 8" xfId="698"/>
    <cellStyle name="20% - Акцент2 8 2" xfId="699"/>
    <cellStyle name="20% - Акцент2 8 3" xfId="700"/>
    <cellStyle name="20% - Акцент2 8_46EE.2011(v1.0)" xfId="701"/>
    <cellStyle name="20% - Акцент2 9" xfId="702"/>
    <cellStyle name="20% - Акцент2 9 2" xfId="703"/>
    <cellStyle name="20% - Акцент2 9 3" xfId="704"/>
    <cellStyle name="20% - Акцент2 9_46EE.2011(v1.0)" xfId="705"/>
    <cellStyle name="20% - Акцент3 10" xfId="706"/>
    <cellStyle name="20% - Акцент3 2" xfId="707"/>
    <cellStyle name="20% - Акцент3 2 2" xfId="708"/>
    <cellStyle name="20% - Акцент3 2 3" xfId="709"/>
    <cellStyle name="20% - Акцент3 2_46EE.2011(v1.0)" xfId="710"/>
    <cellStyle name="20% - Акцент3 3" xfId="711"/>
    <cellStyle name="20% - Акцент3 3 2" xfId="712"/>
    <cellStyle name="20% - Акцент3 3 3" xfId="713"/>
    <cellStyle name="20% - Акцент3 3_46EE.2011(v1.0)" xfId="714"/>
    <cellStyle name="20% - Акцент3 4" xfId="715"/>
    <cellStyle name="20% - Акцент3 4 2" xfId="716"/>
    <cellStyle name="20% - Акцент3 4 3" xfId="717"/>
    <cellStyle name="20% - Акцент3 4_46EE.2011(v1.0)" xfId="718"/>
    <cellStyle name="20% - Акцент3 5" xfId="719"/>
    <cellStyle name="20% - Акцент3 5 2" xfId="720"/>
    <cellStyle name="20% - Акцент3 5 3" xfId="721"/>
    <cellStyle name="20% - Акцент3 5_46EE.2011(v1.0)" xfId="722"/>
    <cellStyle name="20% - Акцент3 6" xfId="723"/>
    <cellStyle name="20% - Акцент3 6 2" xfId="724"/>
    <cellStyle name="20% - Акцент3 6 3" xfId="725"/>
    <cellStyle name="20% - Акцент3 6_46EE.2011(v1.0)" xfId="726"/>
    <cellStyle name="20% - Акцент3 7" xfId="727"/>
    <cellStyle name="20% - Акцент3 7 2" xfId="728"/>
    <cellStyle name="20% - Акцент3 7 3" xfId="729"/>
    <cellStyle name="20% - Акцент3 7_46EE.2011(v1.0)" xfId="730"/>
    <cellStyle name="20% - Акцент3 8" xfId="731"/>
    <cellStyle name="20% - Акцент3 8 2" xfId="732"/>
    <cellStyle name="20% - Акцент3 8 3" xfId="733"/>
    <cellStyle name="20% - Акцент3 8_46EE.2011(v1.0)" xfId="734"/>
    <cellStyle name="20% - Акцент3 9" xfId="735"/>
    <cellStyle name="20% - Акцент3 9 2" xfId="736"/>
    <cellStyle name="20% - Акцент3 9 3" xfId="737"/>
    <cellStyle name="20% - Акцент3 9_46EE.2011(v1.0)" xfId="738"/>
    <cellStyle name="20% - Акцент4 10" xfId="739"/>
    <cellStyle name="20% - Акцент4 2" xfId="740"/>
    <cellStyle name="20% - Акцент4 2 2" xfId="741"/>
    <cellStyle name="20% - Акцент4 2 3" xfId="742"/>
    <cellStyle name="20% - Акцент4 2_46EE.2011(v1.0)" xfId="743"/>
    <cellStyle name="20% - Акцент4 3" xfId="744"/>
    <cellStyle name="20% - Акцент4 3 2" xfId="745"/>
    <cellStyle name="20% - Акцент4 3 3" xfId="746"/>
    <cellStyle name="20% - Акцент4 3_46EE.2011(v1.0)" xfId="747"/>
    <cellStyle name="20% - Акцент4 4" xfId="748"/>
    <cellStyle name="20% - Акцент4 4 2" xfId="749"/>
    <cellStyle name="20% - Акцент4 4 3" xfId="750"/>
    <cellStyle name="20% - Акцент4 4_46EE.2011(v1.0)" xfId="751"/>
    <cellStyle name="20% - Акцент4 5" xfId="752"/>
    <cellStyle name="20% - Акцент4 5 2" xfId="753"/>
    <cellStyle name="20% - Акцент4 5 3" xfId="754"/>
    <cellStyle name="20% - Акцент4 5_46EE.2011(v1.0)" xfId="755"/>
    <cellStyle name="20% - Акцент4 6" xfId="756"/>
    <cellStyle name="20% - Акцент4 6 2" xfId="757"/>
    <cellStyle name="20% - Акцент4 6 3" xfId="758"/>
    <cellStyle name="20% - Акцент4 6_46EE.2011(v1.0)" xfId="759"/>
    <cellStyle name="20% - Акцент4 7" xfId="760"/>
    <cellStyle name="20% - Акцент4 7 2" xfId="761"/>
    <cellStyle name="20% - Акцент4 7 3" xfId="762"/>
    <cellStyle name="20% - Акцент4 7_46EE.2011(v1.0)" xfId="763"/>
    <cellStyle name="20% - Акцент4 8" xfId="764"/>
    <cellStyle name="20% - Акцент4 8 2" xfId="765"/>
    <cellStyle name="20% - Акцент4 8 3" xfId="766"/>
    <cellStyle name="20% - Акцент4 8_46EE.2011(v1.0)" xfId="767"/>
    <cellStyle name="20% - Акцент4 9" xfId="768"/>
    <cellStyle name="20% - Акцент4 9 2" xfId="769"/>
    <cellStyle name="20% - Акцент4 9 3" xfId="770"/>
    <cellStyle name="20% - Акцент4 9_46EE.2011(v1.0)" xfId="771"/>
    <cellStyle name="20% - Акцент5 10" xfId="772"/>
    <cellStyle name="20% - Акцент5 2" xfId="773"/>
    <cellStyle name="20% - Акцент5 2 2" xfId="774"/>
    <cellStyle name="20% - Акцент5 2 3" xfId="775"/>
    <cellStyle name="20% - Акцент5 2_46EE.2011(v1.0)" xfId="776"/>
    <cellStyle name="20% - Акцент5 3" xfId="777"/>
    <cellStyle name="20% - Акцент5 3 2" xfId="778"/>
    <cellStyle name="20% - Акцент5 3 3" xfId="779"/>
    <cellStyle name="20% - Акцент5 3_46EE.2011(v1.0)" xfId="780"/>
    <cellStyle name="20% - Акцент5 4" xfId="781"/>
    <cellStyle name="20% - Акцент5 4 2" xfId="782"/>
    <cellStyle name="20% - Акцент5 4 3" xfId="783"/>
    <cellStyle name="20% - Акцент5 4_46EE.2011(v1.0)" xfId="784"/>
    <cellStyle name="20% - Акцент5 5" xfId="785"/>
    <cellStyle name="20% - Акцент5 5 2" xfId="786"/>
    <cellStyle name="20% - Акцент5 5 3" xfId="787"/>
    <cellStyle name="20% - Акцент5 5_46EE.2011(v1.0)" xfId="788"/>
    <cellStyle name="20% - Акцент5 6" xfId="789"/>
    <cellStyle name="20% - Акцент5 6 2" xfId="790"/>
    <cellStyle name="20% - Акцент5 6 3" xfId="791"/>
    <cellStyle name="20% - Акцент5 6_46EE.2011(v1.0)" xfId="792"/>
    <cellStyle name="20% - Акцент5 7" xfId="793"/>
    <cellStyle name="20% - Акцент5 7 2" xfId="794"/>
    <cellStyle name="20% - Акцент5 7 3" xfId="795"/>
    <cellStyle name="20% - Акцент5 7_46EE.2011(v1.0)" xfId="796"/>
    <cellStyle name="20% - Акцент5 8" xfId="797"/>
    <cellStyle name="20% - Акцент5 8 2" xfId="798"/>
    <cellStyle name="20% - Акцент5 8 3" xfId="799"/>
    <cellStyle name="20% - Акцент5 8_46EE.2011(v1.0)" xfId="800"/>
    <cellStyle name="20% - Акцент5 9" xfId="801"/>
    <cellStyle name="20% - Акцент5 9 2" xfId="802"/>
    <cellStyle name="20% - Акцент5 9 3" xfId="803"/>
    <cellStyle name="20% - Акцент5 9_46EE.2011(v1.0)" xfId="804"/>
    <cellStyle name="20% - Акцент6 10" xfId="805"/>
    <cellStyle name="20% - Акцент6 2" xfId="806"/>
    <cellStyle name="20% - Акцент6 2 2" xfId="807"/>
    <cellStyle name="20% - Акцент6 2 3" xfId="808"/>
    <cellStyle name="20% - Акцент6 2_46EE.2011(v1.0)" xfId="809"/>
    <cellStyle name="20% - Акцент6 3" xfId="810"/>
    <cellStyle name="20% - Акцент6 3 2" xfId="811"/>
    <cellStyle name="20% - Акцент6 3 3" xfId="812"/>
    <cellStyle name="20% - Акцент6 3_46EE.2011(v1.0)" xfId="813"/>
    <cellStyle name="20% - Акцент6 4" xfId="814"/>
    <cellStyle name="20% - Акцент6 4 2" xfId="815"/>
    <cellStyle name="20% - Акцент6 4 3" xfId="816"/>
    <cellStyle name="20% - Акцент6 4_46EE.2011(v1.0)" xfId="817"/>
    <cellStyle name="20% - Акцент6 5" xfId="818"/>
    <cellStyle name="20% - Акцент6 5 2" xfId="819"/>
    <cellStyle name="20% - Акцент6 5 3" xfId="820"/>
    <cellStyle name="20% - Акцент6 5_46EE.2011(v1.0)" xfId="821"/>
    <cellStyle name="20% - Акцент6 6" xfId="822"/>
    <cellStyle name="20% - Акцент6 6 2" xfId="823"/>
    <cellStyle name="20% - Акцент6 6 3" xfId="824"/>
    <cellStyle name="20% - Акцент6 6_46EE.2011(v1.0)" xfId="825"/>
    <cellStyle name="20% - Акцент6 7" xfId="826"/>
    <cellStyle name="20% - Акцент6 7 2" xfId="827"/>
    <cellStyle name="20% - Акцент6 7 3" xfId="828"/>
    <cellStyle name="20% - Акцент6 7_46EE.2011(v1.0)" xfId="829"/>
    <cellStyle name="20% - Акцент6 8" xfId="830"/>
    <cellStyle name="20% - Акцент6 8 2" xfId="831"/>
    <cellStyle name="20% - Акцент6 8 3" xfId="832"/>
    <cellStyle name="20% - Акцент6 8_46EE.2011(v1.0)" xfId="833"/>
    <cellStyle name="20% - Акцент6 9" xfId="834"/>
    <cellStyle name="20% - Акцент6 9 2" xfId="835"/>
    <cellStyle name="20% - Акцент6 9 3" xfId="836"/>
    <cellStyle name="20% - Акцент6 9_46EE.2011(v1.0)" xfId="837"/>
    <cellStyle name="40% - Accent1" xfId="838"/>
    <cellStyle name="40% - Accent1 2" xfId="839"/>
    <cellStyle name="40% - Accent1 3" xfId="840"/>
    <cellStyle name="40% - Accent1_46EE.2011(v1.0)" xfId="841"/>
    <cellStyle name="40% - Accent2" xfId="842"/>
    <cellStyle name="40% - Accent2 2" xfId="843"/>
    <cellStyle name="40% - Accent2 3" xfId="844"/>
    <cellStyle name="40% - Accent2_46EE.2011(v1.0)" xfId="845"/>
    <cellStyle name="40% - Accent3" xfId="846"/>
    <cellStyle name="40% - Accent3 2" xfId="847"/>
    <cellStyle name="40% - Accent3 3" xfId="848"/>
    <cellStyle name="40% - Accent3_46EE.2011(v1.0)" xfId="849"/>
    <cellStyle name="40% - Accent4" xfId="850"/>
    <cellStyle name="40% - Accent4 2" xfId="851"/>
    <cellStyle name="40% - Accent4 3" xfId="852"/>
    <cellStyle name="40% - Accent4_46EE.2011(v1.0)" xfId="853"/>
    <cellStyle name="40% - Accent5" xfId="854"/>
    <cellStyle name="40% - Accent5 2" xfId="855"/>
    <cellStyle name="40% - Accent5 3" xfId="856"/>
    <cellStyle name="40% - Accent5_46EE.2011(v1.0)" xfId="857"/>
    <cellStyle name="40% - Accent6" xfId="858"/>
    <cellStyle name="40% - Accent6 2" xfId="859"/>
    <cellStyle name="40% - Accent6 3" xfId="860"/>
    <cellStyle name="40% - Accent6_46EE.2011(v1.0)" xfId="861"/>
    <cellStyle name="40% - Акцент1 10" xfId="862"/>
    <cellStyle name="40% - Акцент1 2" xfId="863"/>
    <cellStyle name="40% - Акцент1 2 2" xfId="864"/>
    <cellStyle name="40% - Акцент1 2 3" xfId="865"/>
    <cellStyle name="40% - Акцент1 2_46EE.2011(v1.0)" xfId="866"/>
    <cellStyle name="40% - Акцент1 3" xfId="867"/>
    <cellStyle name="40% - Акцент1 3 2" xfId="868"/>
    <cellStyle name="40% - Акцент1 3 3" xfId="869"/>
    <cellStyle name="40% - Акцент1 3_46EE.2011(v1.0)" xfId="870"/>
    <cellStyle name="40% - Акцент1 4" xfId="871"/>
    <cellStyle name="40% - Акцент1 4 2" xfId="872"/>
    <cellStyle name="40% - Акцент1 4 3" xfId="873"/>
    <cellStyle name="40% - Акцент1 4_46EE.2011(v1.0)" xfId="874"/>
    <cellStyle name="40% - Акцент1 5" xfId="875"/>
    <cellStyle name="40% - Акцент1 5 2" xfId="876"/>
    <cellStyle name="40% - Акцент1 5 3" xfId="877"/>
    <cellStyle name="40% - Акцент1 5_46EE.2011(v1.0)" xfId="878"/>
    <cellStyle name="40% - Акцент1 6" xfId="879"/>
    <cellStyle name="40% - Акцент1 6 2" xfId="880"/>
    <cellStyle name="40% - Акцент1 6 3" xfId="881"/>
    <cellStyle name="40% - Акцент1 6_46EE.2011(v1.0)" xfId="882"/>
    <cellStyle name="40% - Акцент1 7" xfId="883"/>
    <cellStyle name="40% - Акцент1 7 2" xfId="884"/>
    <cellStyle name="40% - Акцент1 7 3" xfId="885"/>
    <cellStyle name="40% - Акцент1 7_46EE.2011(v1.0)" xfId="886"/>
    <cellStyle name="40% - Акцент1 8" xfId="887"/>
    <cellStyle name="40% - Акцент1 8 2" xfId="888"/>
    <cellStyle name="40% - Акцент1 8 3" xfId="889"/>
    <cellStyle name="40% - Акцент1 8_46EE.2011(v1.0)" xfId="890"/>
    <cellStyle name="40% - Акцент1 9" xfId="891"/>
    <cellStyle name="40% - Акцент1 9 2" xfId="892"/>
    <cellStyle name="40% - Акцент1 9 3" xfId="893"/>
    <cellStyle name="40% - Акцент1 9_46EE.2011(v1.0)" xfId="894"/>
    <cellStyle name="40% - Акцент2 10" xfId="895"/>
    <cellStyle name="40% - Акцент2 2" xfId="896"/>
    <cellStyle name="40% - Акцент2 2 2" xfId="897"/>
    <cellStyle name="40% - Акцент2 2 3" xfId="898"/>
    <cellStyle name="40% - Акцент2 2_46EE.2011(v1.0)" xfId="899"/>
    <cellStyle name="40% - Акцент2 3" xfId="900"/>
    <cellStyle name="40% - Акцент2 3 2" xfId="901"/>
    <cellStyle name="40% - Акцент2 3 3" xfId="902"/>
    <cellStyle name="40% - Акцент2 3_46EE.2011(v1.0)" xfId="903"/>
    <cellStyle name="40% - Акцент2 4" xfId="904"/>
    <cellStyle name="40% - Акцент2 4 2" xfId="905"/>
    <cellStyle name="40% - Акцент2 4 3" xfId="906"/>
    <cellStyle name="40% - Акцент2 4_46EE.2011(v1.0)" xfId="907"/>
    <cellStyle name="40% - Акцент2 5" xfId="908"/>
    <cellStyle name="40% - Акцент2 5 2" xfId="909"/>
    <cellStyle name="40% - Акцент2 5 3" xfId="910"/>
    <cellStyle name="40% - Акцент2 5_46EE.2011(v1.0)" xfId="911"/>
    <cellStyle name="40% - Акцент2 6" xfId="912"/>
    <cellStyle name="40% - Акцент2 6 2" xfId="913"/>
    <cellStyle name="40% - Акцент2 6 3" xfId="914"/>
    <cellStyle name="40% - Акцент2 6_46EE.2011(v1.0)" xfId="915"/>
    <cellStyle name="40% - Акцент2 7" xfId="916"/>
    <cellStyle name="40% - Акцент2 7 2" xfId="917"/>
    <cellStyle name="40% - Акцент2 7 3" xfId="918"/>
    <cellStyle name="40% - Акцент2 7_46EE.2011(v1.0)" xfId="919"/>
    <cellStyle name="40% - Акцент2 8" xfId="920"/>
    <cellStyle name="40% - Акцент2 8 2" xfId="921"/>
    <cellStyle name="40% - Акцент2 8 3" xfId="922"/>
    <cellStyle name="40% - Акцент2 8_46EE.2011(v1.0)" xfId="923"/>
    <cellStyle name="40% - Акцент2 9" xfId="924"/>
    <cellStyle name="40% - Акцент2 9 2" xfId="925"/>
    <cellStyle name="40% - Акцент2 9 3" xfId="926"/>
    <cellStyle name="40% - Акцент2 9_46EE.2011(v1.0)" xfId="927"/>
    <cellStyle name="40% - Акцент3 10" xfId="928"/>
    <cellStyle name="40% - Акцент3 2" xfId="929"/>
    <cellStyle name="40% - Акцент3 2 2" xfId="930"/>
    <cellStyle name="40% - Акцент3 2 3" xfId="931"/>
    <cellStyle name="40% - Акцент3 2_46EE.2011(v1.0)" xfId="932"/>
    <cellStyle name="40% - Акцент3 3" xfId="933"/>
    <cellStyle name="40% - Акцент3 3 2" xfId="934"/>
    <cellStyle name="40% - Акцент3 3 3" xfId="935"/>
    <cellStyle name="40% - Акцент3 3_46EE.2011(v1.0)" xfId="936"/>
    <cellStyle name="40% - Акцент3 4" xfId="937"/>
    <cellStyle name="40% - Акцент3 4 2" xfId="938"/>
    <cellStyle name="40% - Акцент3 4 3" xfId="939"/>
    <cellStyle name="40% - Акцент3 4_46EE.2011(v1.0)" xfId="940"/>
    <cellStyle name="40% - Акцент3 5" xfId="941"/>
    <cellStyle name="40% - Акцент3 5 2" xfId="942"/>
    <cellStyle name="40% - Акцент3 5 3" xfId="943"/>
    <cellStyle name="40% - Акцент3 5_46EE.2011(v1.0)" xfId="944"/>
    <cellStyle name="40% - Акцент3 6" xfId="945"/>
    <cellStyle name="40% - Акцент3 6 2" xfId="946"/>
    <cellStyle name="40% - Акцент3 6 3" xfId="947"/>
    <cellStyle name="40% - Акцент3 6_46EE.2011(v1.0)" xfId="948"/>
    <cellStyle name="40% - Акцент3 7" xfId="949"/>
    <cellStyle name="40% - Акцент3 7 2" xfId="950"/>
    <cellStyle name="40% - Акцент3 7 3" xfId="951"/>
    <cellStyle name="40% - Акцент3 7_46EE.2011(v1.0)" xfId="952"/>
    <cellStyle name="40% - Акцент3 8" xfId="953"/>
    <cellStyle name="40% - Акцент3 8 2" xfId="954"/>
    <cellStyle name="40% - Акцент3 8 3" xfId="955"/>
    <cellStyle name="40% - Акцент3 8_46EE.2011(v1.0)" xfId="956"/>
    <cellStyle name="40% - Акцент3 9" xfId="957"/>
    <cellStyle name="40% - Акцент3 9 2" xfId="958"/>
    <cellStyle name="40% - Акцент3 9 3" xfId="959"/>
    <cellStyle name="40% - Акцент3 9_46EE.2011(v1.0)" xfId="960"/>
    <cellStyle name="40% - Акцент4 10" xfId="961"/>
    <cellStyle name="40% - Акцент4 2" xfId="962"/>
    <cellStyle name="40% - Акцент4 2 2" xfId="963"/>
    <cellStyle name="40% - Акцент4 2 3" xfId="964"/>
    <cellStyle name="40% - Акцент4 2_46EE.2011(v1.0)" xfId="965"/>
    <cellStyle name="40% - Акцент4 3" xfId="966"/>
    <cellStyle name="40% - Акцент4 3 2" xfId="967"/>
    <cellStyle name="40% - Акцент4 3 3" xfId="968"/>
    <cellStyle name="40% - Акцент4 3_46EE.2011(v1.0)" xfId="969"/>
    <cellStyle name="40% - Акцент4 4" xfId="970"/>
    <cellStyle name="40% - Акцент4 4 2" xfId="971"/>
    <cellStyle name="40% - Акцент4 4 3" xfId="972"/>
    <cellStyle name="40% - Акцент4 4_46EE.2011(v1.0)" xfId="973"/>
    <cellStyle name="40% - Акцент4 5" xfId="974"/>
    <cellStyle name="40% - Акцент4 5 2" xfId="975"/>
    <cellStyle name="40% - Акцент4 5 3" xfId="976"/>
    <cellStyle name="40% - Акцент4 5_46EE.2011(v1.0)" xfId="977"/>
    <cellStyle name="40% - Акцент4 6" xfId="978"/>
    <cellStyle name="40% - Акцент4 6 2" xfId="979"/>
    <cellStyle name="40% - Акцент4 6 3" xfId="980"/>
    <cellStyle name="40% - Акцент4 6_46EE.2011(v1.0)" xfId="981"/>
    <cellStyle name="40% - Акцент4 7" xfId="982"/>
    <cellStyle name="40% - Акцент4 7 2" xfId="983"/>
    <cellStyle name="40% - Акцент4 7 3" xfId="984"/>
    <cellStyle name="40% - Акцент4 7_46EE.2011(v1.0)" xfId="985"/>
    <cellStyle name="40% - Акцент4 8" xfId="986"/>
    <cellStyle name="40% - Акцент4 8 2" xfId="987"/>
    <cellStyle name="40% - Акцент4 8 3" xfId="988"/>
    <cellStyle name="40% - Акцент4 8_46EE.2011(v1.0)" xfId="989"/>
    <cellStyle name="40% - Акцент4 9" xfId="990"/>
    <cellStyle name="40% - Акцент4 9 2" xfId="991"/>
    <cellStyle name="40% - Акцент4 9 3" xfId="992"/>
    <cellStyle name="40% - Акцент4 9_46EE.2011(v1.0)" xfId="993"/>
    <cellStyle name="40% - Акцент5 10" xfId="994"/>
    <cellStyle name="40% - Акцент5 2" xfId="995"/>
    <cellStyle name="40% - Акцент5 2 2" xfId="996"/>
    <cellStyle name="40% - Акцент5 2 3" xfId="997"/>
    <cellStyle name="40% - Акцент5 2_46EE.2011(v1.0)" xfId="998"/>
    <cellStyle name="40% - Акцент5 3" xfId="999"/>
    <cellStyle name="40% - Акцент5 3 2" xfId="1000"/>
    <cellStyle name="40% - Акцент5 3 3" xfId="1001"/>
    <cellStyle name="40% - Акцент5 3_46EE.2011(v1.0)" xfId="1002"/>
    <cellStyle name="40% - Акцент5 4" xfId="1003"/>
    <cellStyle name="40% - Акцент5 4 2" xfId="1004"/>
    <cellStyle name="40% - Акцент5 4 3" xfId="1005"/>
    <cellStyle name="40% - Акцент5 4_46EE.2011(v1.0)" xfId="1006"/>
    <cellStyle name="40% - Акцент5 5" xfId="1007"/>
    <cellStyle name="40% - Акцент5 5 2" xfId="1008"/>
    <cellStyle name="40% - Акцент5 5 3" xfId="1009"/>
    <cellStyle name="40% - Акцент5 5_46EE.2011(v1.0)" xfId="1010"/>
    <cellStyle name="40% - Акцент5 6" xfId="1011"/>
    <cellStyle name="40% - Акцент5 6 2" xfId="1012"/>
    <cellStyle name="40% - Акцент5 6 3" xfId="1013"/>
    <cellStyle name="40% - Акцент5 6_46EE.2011(v1.0)" xfId="1014"/>
    <cellStyle name="40% - Акцент5 7" xfId="1015"/>
    <cellStyle name="40% - Акцент5 7 2" xfId="1016"/>
    <cellStyle name="40% - Акцент5 7 3" xfId="1017"/>
    <cellStyle name="40% - Акцент5 7_46EE.2011(v1.0)" xfId="1018"/>
    <cellStyle name="40% - Акцент5 8" xfId="1019"/>
    <cellStyle name="40% - Акцент5 8 2" xfId="1020"/>
    <cellStyle name="40% - Акцент5 8 3" xfId="1021"/>
    <cellStyle name="40% - Акцент5 8_46EE.2011(v1.0)" xfId="1022"/>
    <cellStyle name="40% - Акцент5 9" xfId="1023"/>
    <cellStyle name="40% - Акцент5 9 2" xfId="1024"/>
    <cellStyle name="40% - Акцент5 9 3" xfId="1025"/>
    <cellStyle name="40% - Акцент5 9_46EE.2011(v1.0)" xfId="1026"/>
    <cellStyle name="40% - Акцент6 10" xfId="1027"/>
    <cellStyle name="40% - Акцент6 2" xfId="1028"/>
    <cellStyle name="40% - Акцент6 2 2" xfId="1029"/>
    <cellStyle name="40% - Акцент6 2 3" xfId="1030"/>
    <cellStyle name="40% - Акцент6 2_46EE.2011(v1.0)" xfId="1031"/>
    <cellStyle name="40% - Акцент6 3" xfId="1032"/>
    <cellStyle name="40% - Акцент6 3 2" xfId="1033"/>
    <cellStyle name="40% - Акцент6 3 3" xfId="1034"/>
    <cellStyle name="40% - Акцент6 3_46EE.2011(v1.0)" xfId="1035"/>
    <cellStyle name="40% - Акцент6 4" xfId="1036"/>
    <cellStyle name="40% - Акцент6 4 2" xfId="1037"/>
    <cellStyle name="40% - Акцент6 4 3" xfId="1038"/>
    <cellStyle name="40% - Акцент6 4_46EE.2011(v1.0)" xfId="1039"/>
    <cellStyle name="40% - Акцент6 5" xfId="1040"/>
    <cellStyle name="40% - Акцент6 5 2" xfId="1041"/>
    <cellStyle name="40% - Акцент6 5 3" xfId="1042"/>
    <cellStyle name="40% - Акцент6 5_46EE.2011(v1.0)" xfId="1043"/>
    <cellStyle name="40% - Акцент6 6" xfId="1044"/>
    <cellStyle name="40% - Акцент6 6 2" xfId="1045"/>
    <cellStyle name="40% - Акцент6 6 3" xfId="1046"/>
    <cellStyle name="40% - Акцент6 6_46EE.2011(v1.0)" xfId="1047"/>
    <cellStyle name="40% - Акцент6 7" xfId="1048"/>
    <cellStyle name="40% - Акцент6 7 2" xfId="1049"/>
    <cellStyle name="40% - Акцент6 7 3" xfId="1050"/>
    <cellStyle name="40% - Акцент6 7_46EE.2011(v1.0)" xfId="1051"/>
    <cellStyle name="40% - Акцент6 8" xfId="1052"/>
    <cellStyle name="40% - Акцент6 8 2" xfId="1053"/>
    <cellStyle name="40% - Акцент6 8 3" xfId="1054"/>
    <cellStyle name="40% - Акцент6 8_46EE.2011(v1.0)" xfId="1055"/>
    <cellStyle name="40% - Акцент6 9" xfId="1056"/>
    <cellStyle name="40% - Акцент6 9 2" xfId="1057"/>
    <cellStyle name="40% - Акцент6 9 3" xfId="1058"/>
    <cellStyle name="40% - Акцент6 9_46EE.2011(v1.0)" xfId="1059"/>
    <cellStyle name="60% - Accent1" xfId="1060"/>
    <cellStyle name="60% - Accent2" xfId="1061"/>
    <cellStyle name="60% - Accent3" xfId="1062"/>
    <cellStyle name="60% - Accent4" xfId="1063"/>
    <cellStyle name="60% - Accent5" xfId="1064"/>
    <cellStyle name="60% - Accent6" xfId="1065"/>
    <cellStyle name="60% - Акцент1 10" xfId="1066"/>
    <cellStyle name="60% - Акцент1 2" xfId="1067"/>
    <cellStyle name="60% - Акцент1 2 2" xfId="1068"/>
    <cellStyle name="60% - Акцент1 3" xfId="1069"/>
    <cellStyle name="60% - Акцент1 3 2" xfId="1070"/>
    <cellStyle name="60% - Акцент1 4" xfId="1071"/>
    <cellStyle name="60% - Акцент1 4 2" xfId="1072"/>
    <cellStyle name="60% - Акцент1 5" xfId="1073"/>
    <cellStyle name="60% - Акцент1 5 2" xfId="1074"/>
    <cellStyle name="60% - Акцент1 6" xfId="1075"/>
    <cellStyle name="60% - Акцент1 6 2" xfId="1076"/>
    <cellStyle name="60% - Акцент1 7" xfId="1077"/>
    <cellStyle name="60% - Акцент1 7 2" xfId="1078"/>
    <cellStyle name="60% - Акцент1 8" xfId="1079"/>
    <cellStyle name="60% - Акцент1 8 2" xfId="1080"/>
    <cellStyle name="60% - Акцент1 9" xfId="1081"/>
    <cellStyle name="60% - Акцент1 9 2" xfId="1082"/>
    <cellStyle name="60% - Акцент2 10" xfId="1083"/>
    <cellStyle name="60% - Акцент2 2" xfId="1084"/>
    <cellStyle name="60% - Акцент2 2 2" xfId="1085"/>
    <cellStyle name="60% - Акцент2 3" xfId="1086"/>
    <cellStyle name="60% - Акцент2 3 2" xfId="1087"/>
    <cellStyle name="60% - Акцент2 4" xfId="1088"/>
    <cellStyle name="60% - Акцент2 4 2" xfId="1089"/>
    <cellStyle name="60% - Акцент2 5" xfId="1090"/>
    <cellStyle name="60% - Акцент2 5 2" xfId="1091"/>
    <cellStyle name="60% - Акцент2 6" xfId="1092"/>
    <cellStyle name="60% - Акцент2 6 2" xfId="1093"/>
    <cellStyle name="60% - Акцент2 7" xfId="1094"/>
    <cellStyle name="60% - Акцент2 7 2" xfId="1095"/>
    <cellStyle name="60% - Акцент2 8" xfId="1096"/>
    <cellStyle name="60% - Акцент2 8 2" xfId="1097"/>
    <cellStyle name="60% - Акцент2 9" xfId="1098"/>
    <cellStyle name="60% - Акцент2 9 2" xfId="1099"/>
    <cellStyle name="60% - Акцент3 10" xfId="1100"/>
    <cellStyle name="60% - Акцент3 2" xfId="1101"/>
    <cellStyle name="60% - Акцент3 2 2" xfId="1102"/>
    <cellStyle name="60% - Акцент3 3" xfId="1103"/>
    <cellStyle name="60% - Акцент3 3 2" xfId="1104"/>
    <cellStyle name="60% - Акцент3 4" xfId="1105"/>
    <cellStyle name="60% - Акцент3 4 2" xfId="1106"/>
    <cellStyle name="60% - Акцент3 5" xfId="1107"/>
    <cellStyle name="60% - Акцент3 5 2" xfId="1108"/>
    <cellStyle name="60% - Акцент3 6" xfId="1109"/>
    <cellStyle name="60% - Акцент3 6 2" xfId="1110"/>
    <cellStyle name="60% - Акцент3 7" xfId="1111"/>
    <cellStyle name="60% - Акцент3 7 2" xfId="1112"/>
    <cellStyle name="60% - Акцент3 8" xfId="1113"/>
    <cellStyle name="60% - Акцент3 8 2" xfId="1114"/>
    <cellStyle name="60% - Акцент3 9" xfId="1115"/>
    <cellStyle name="60% - Акцент3 9 2" xfId="1116"/>
    <cellStyle name="60% - Акцент4 10" xfId="1117"/>
    <cellStyle name="60% - Акцент4 2" xfId="1118"/>
    <cellStyle name="60% - Акцент4 2 2" xfId="1119"/>
    <cellStyle name="60% - Акцент4 3" xfId="1120"/>
    <cellStyle name="60% - Акцент4 3 2" xfId="1121"/>
    <cellStyle name="60% - Акцент4 4" xfId="1122"/>
    <cellStyle name="60% - Акцент4 4 2" xfId="1123"/>
    <cellStyle name="60% - Акцент4 5" xfId="1124"/>
    <cellStyle name="60% - Акцент4 5 2" xfId="1125"/>
    <cellStyle name="60% - Акцент4 6" xfId="1126"/>
    <cellStyle name="60% - Акцент4 6 2" xfId="1127"/>
    <cellStyle name="60% - Акцент4 7" xfId="1128"/>
    <cellStyle name="60% - Акцент4 7 2" xfId="1129"/>
    <cellStyle name="60% - Акцент4 8" xfId="1130"/>
    <cellStyle name="60% - Акцент4 8 2" xfId="1131"/>
    <cellStyle name="60% - Акцент4 9" xfId="1132"/>
    <cellStyle name="60% - Акцент4 9 2" xfId="1133"/>
    <cellStyle name="60% - Акцент5 10" xfId="1134"/>
    <cellStyle name="60% - Акцент5 2" xfId="1135"/>
    <cellStyle name="60% - Акцент5 2 2" xfId="1136"/>
    <cellStyle name="60% - Акцент5 3" xfId="1137"/>
    <cellStyle name="60% - Акцент5 3 2" xfId="1138"/>
    <cellStyle name="60% - Акцент5 4" xfId="1139"/>
    <cellStyle name="60% - Акцент5 4 2" xfId="1140"/>
    <cellStyle name="60% - Акцент5 5" xfId="1141"/>
    <cellStyle name="60% - Акцент5 5 2" xfId="1142"/>
    <cellStyle name="60% - Акцент5 6" xfId="1143"/>
    <cellStyle name="60% - Акцент5 6 2" xfId="1144"/>
    <cellStyle name="60% - Акцент5 7" xfId="1145"/>
    <cellStyle name="60% - Акцент5 7 2" xfId="1146"/>
    <cellStyle name="60% - Акцент5 8" xfId="1147"/>
    <cellStyle name="60% - Акцент5 8 2" xfId="1148"/>
    <cellStyle name="60% - Акцент5 9" xfId="1149"/>
    <cellStyle name="60% - Акцент5 9 2" xfId="1150"/>
    <cellStyle name="60% - Акцент6 10" xfId="1151"/>
    <cellStyle name="60% - Акцент6 2" xfId="1152"/>
    <cellStyle name="60% - Акцент6 2 2" xfId="1153"/>
    <cellStyle name="60% - Акцент6 3" xfId="1154"/>
    <cellStyle name="60% - Акцент6 3 2" xfId="1155"/>
    <cellStyle name="60% - Акцент6 4" xfId="1156"/>
    <cellStyle name="60% - Акцент6 4 2" xfId="1157"/>
    <cellStyle name="60% - Акцент6 5" xfId="1158"/>
    <cellStyle name="60% - Акцент6 5 2" xfId="1159"/>
    <cellStyle name="60% - Акцент6 6" xfId="1160"/>
    <cellStyle name="60% - Акцент6 6 2" xfId="1161"/>
    <cellStyle name="60% - Акцент6 7" xfId="1162"/>
    <cellStyle name="60% - Акцент6 7 2" xfId="1163"/>
    <cellStyle name="60% - Акцент6 8" xfId="1164"/>
    <cellStyle name="60% - Акцент6 8 2" xfId="1165"/>
    <cellStyle name="60% - Акцент6 9" xfId="1166"/>
    <cellStyle name="60% - Акцент6 9 2" xfId="1167"/>
    <cellStyle name="Accent1" xfId="1168"/>
    <cellStyle name="Accent2" xfId="1169"/>
    <cellStyle name="Accent3" xfId="1170"/>
    <cellStyle name="Accent4" xfId="1171"/>
    <cellStyle name="Accent5" xfId="1172"/>
    <cellStyle name="Accent6" xfId="1173"/>
    <cellStyle name="Ăčďĺđńńűëęŕ" xfId="1174"/>
    <cellStyle name="AFE" xfId="1175"/>
    <cellStyle name="Áĺççŕůčňíűé" xfId="1176"/>
    <cellStyle name="Äĺíĺćíűé [0]_(ňŕá 3č)" xfId="1177"/>
    <cellStyle name="Äĺíĺćíűé_(ňŕá 3č)" xfId="1178"/>
    <cellStyle name="Bad" xfId="1179"/>
    <cellStyle name="Blue" xfId="1180"/>
    <cellStyle name="Body_$Dollars" xfId="1181"/>
    <cellStyle name="Calculation" xfId="1182"/>
    <cellStyle name="Cells 2" xfId="1183"/>
    <cellStyle name="Check Cell" xfId="1184"/>
    <cellStyle name="Chek" xfId="1185"/>
    <cellStyle name="Comma [0]_Adjusted FS 1299" xfId="1186"/>
    <cellStyle name="Comma 0" xfId="1187"/>
    <cellStyle name="Comma 0*" xfId="1188"/>
    <cellStyle name="Comma 2" xfId="1189"/>
    <cellStyle name="Comma 3*" xfId="1190"/>
    <cellStyle name="Comma_Adjusted FS 1299" xfId="1191"/>
    <cellStyle name="Comma0" xfId="1192"/>
    <cellStyle name="Çŕůčňíűé" xfId="1193"/>
    <cellStyle name="Currency [0]" xfId="1194"/>
    <cellStyle name="Currency [0] 2" xfId="1195"/>
    <cellStyle name="Currency [0] 2 10" xfId="1196"/>
    <cellStyle name="Currency [0] 2 11" xfId="1197"/>
    <cellStyle name="Currency [0] 2 2" xfId="1198"/>
    <cellStyle name="Currency [0] 2 2 2" xfId="1199"/>
    <cellStyle name="Currency [0] 2 2 3" xfId="1200"/>
    <cellStyle name="Currency [0] 2 2 4" xfId="1201"/>
    <cellStyle name="Currency [0] 2 3" xfId="1202"/>
    <cellStyle name="Currency [0] 2 3 2" xfId="1203"/>
    <cellStyle name="Currency [0] 2 3 3" xfId="1204"/>
    <cellStyle name="Currency [0] 2 3 4" xfId="1205"/>
    <cellStyle name="Currency [0] 2 4" xfId="1206"/>
    <cellStyle name="Currency [0] 2 4 2" xfId="1207"/>
    <cellStyle name="Currency [0] 2 4 3" xfId="1208"/>
    <cellStyle name="Currency [0] 2 4 4" xfId="1209"/>
    <cellStyle name="Currency [0] 2 5" xfId="1210"/>
    <cellStyle name="Currency [0] 2 5 2" xfId="1211"/>
    <cellStyle name="Currency [0] 2 5 3" xfId="1212"/>
    <cellStyle name="Currency [0] 2 5 4" xfId="1213"/>
    <cellStyle name="Currency [0] 2 6" xfId="1214"/>
    <cellStyle name="Currency [0] 2 6 2" xfId="1215"/>
    <cellStyle name="Currency [0] 2 6 3" xfId="1216"/>
    <cellStyle name="Currency [0] 2 6 4" xfId="1217"/>
    <cellStyle name="Currency [0] 2 7" xfId="1218"/>
    <cellStyle name="Currency [0] 2 7 2" xfId="1219"/>
    <cellStyle name="Currency [0] 2 7 3" xfId="1220"/>
    <cellStyle name="Currency [0] 2 7 4" xfId="1221"/>
    <cellStyle name="Currency [0] 2 8" xfId="1222"/>
    <cellStyle name="Currency [0] 2 8 2" xfId="1223"/>
    <cellStyle name="Currency [0] 2 8 3" xfId="1224"/>
    <cellStyle name="Currency [0] 2 8 4" xfId="1225"/>
    <cellStyle name="Currency [0] 2 9" xfId="1226"/>
    <cellStyle name="Currency [0] 3" xfId="1227"/>
    <cellStyle name="Currency [0] 3 10" xfId="1228"/>
    <cellStyle name="Currency [0] 3 11" xfId="1229"/>
    <cellStyle name="Currency [0] 3 2" xfId="1230"/>
    <cellStyle name="Currency [0] 3 2 2" xfId="1231"/>
    <cellStyle name="Currency [0] 3 2 3" xfId="1232"/>
    <cellStyle name="Currency [0] 3 2 4" xfId="1233"/>
    <cellStyle name="Currency [0] 3 3" xfId="1234"/>
    <cellStyle name="Currency [0] 3 3 2" xfId="1235"/>
    <cellStyle name="Currency [0] 3 3 3" xfId="1236"/>
    <cellStyle name="Currency [0] 3 3 4" xfId="1237"/>
    <cellStyle name="Currency [0] 3 4" xfId="1238"/>
    <cellStyle name="Currency [0] 3 4 2" xfId="1239"/>
    <cellStyle name="Currency [0] 3 4 3" xfId="1240"/>
    <cellStyle name="Currency [0] 3 4 4" xfId="1241"/>
    <cellStyle name="Currency [0] 3 5" xfId="1242"/>
    <cellStyle name="Currency [0] 3 5 2" xfId="1243"/>
    <cellStyle name="Currency [0] 3 5 3" xfId="1244"/>
    <cellStyle name="Currency [0] 3 5 4" xfId="1245"/>
    <cellStyle name="Currency [0] 3 6" xfId="1246"/>
    <cellStyle name="Currency [0] 3 6 2" xfId="1247"/>
    <cellStyle name="Currency [0] 3 6 3" xfId="1248"/>
    <cellStyle name="Currency [0] 3 6 4" xfId="1249"/>
    <cellStyle name="Currency [0] 3 7" xfId="1250"/>
    <cellStyle name="Currency [0] 3 7 2" xfId="1251"/>
    <cellStyle name="Currency [0] 3 7 3" xfId="1252"/>
    <cellStyle name="Currency [0] 3 7 4" xfId="1253"/>
    <cellStyle name="Currency [0] 3 8" xfId="1254"/>
    <cellStyle name="Currency [0] 3 8 2" xfId="1255"/>
    <cellStyle name="Currency [0] 3 8 3" xfId="1256"/>
    <cellStyle name="Currency [0] 3 8 4" xfId="1257"/>
    <cellStyle name="Currency [0] 3 9" xfId="1258"/>
    <cellStyle name="Currency [0] 4" xfId="1259"/>
    <cellStyle name="Currency [0] 4 10" xfId="1260"/>
    <cellStyle name="Currency [0] 4 11" xfId="1261"/>
    <cellStyle name="Currency [0] 4 2" xfId="1262"/>
    <cellStyle name="Currency [0] 4 2 2" xfId="1263"/>
    <cellStyle name="Currency [0] 4 2 3" xfId="1264"/>
    <cellStyle name="Currency [0] 4 2 4" xfId="1265"/>
    <cellStyle name="Currency [0] 4 3" xfId="1266"/>
    <cellStyle name="Currency [0] 4 3 2" xfId="1267"/>
    <cellStyle name="Currency [0] 4 3 3" xfId="1268"/>
    <cellStyle name="Currency [0] 4 3 4" xfId="1269"/>
    <cellStyle name="Currency [0] 4 4" xfId="1270"/>
    <cellStyle name="Currency [0] 4 4 2" xfId="1271"/>
    <cellStyle name="Currency [0] 4 4 3" xfId="1272"/>
    <cellStyle name="Currency [0] 4 4 4" xfId="1273"/>
    <cellStyle name="Currency [0] 4 5" xfId="1274"/>
    <cellStyle name="Currency [0] 4 5 2" xfId="1275"/>
    <cellStyle name="Currency [0] 4 5 3" xfId="1276"/>
    <cellStyle name="Currency [0] 4 5 4" xfId="1277"/>
    <cellStyle name="Currency [0] 4 6" xfId="1278"/>
    <cellStyle name="Currency [0] 4 6 2" xfId="1279"/>
    <cellStyle name="Currency [0] 4 6 3" xfId="1280"/>
    <cellStyle name="Currency [0] 4 6 4" xfId="1281"/>
    <cellStyle name="Currency [0] 4 7" xfId="1282"/>
    <cellStyle name="Currency [0] 4 7 2" xfId="1283"/>
    <cellStyle name="Currency [0] 4 7 3" xfId="1284"/>
    <cellStyle name="Currency [0] 4 7 4" xfId="1285"/>
    <cellStyle name="Currency [0] 4 8" xfId="1286"/>
    <cellStyle name="Currency [0] 4 8 2" xfId="1287"/>
    <cellStyle name="Currency [0] 4 8 3" xfId="1288"/>
    <cellStyle name="Currency [0] 4 8 4" xfId="1289"/>
    <cellStyle name="Currency [0] 4 9" xfId="1290"/>
    <cellStyle name="Currency [0] 5" xfId="1291"/>
    <cellStyle name="Currency [0] 5 10" xfId="1292"/>
    <cellStyle name="Currency [0] 5 11" xfId="1293"/>
    <cellStyle name="Currency [0] 5 2" xfId="1294"/>
    <cellStyle name="Currency [0] 5 2 2" xfId="1295"/>
    <cellStyle name="Currency [0] 5 2 3" xfId="1296"/>
    <cellStyle name="Currency [0] 5 2 4" xfId="1297"/>
    <cellStyle name="Currency [0] 5 3" xfId="1298"/>
    <cellStyle name="Currency [0] 5 3 2" xfId="1299"/>
    <cellStyle name="Currency [0] 5 3 3" xfId="1300"/>
    <cellStyle name="Currency [0] 5 3 4" xfId="1301"/>
    <cellStyle name="Currency [0] 5 4" xfId="1302"/>
    <cellStyle name="Currency [0] 5 4 2" xfId="1303"/>
    <cellStyle name="Currency [0] 5 4 3" xfId="1304"/>
    <cellStyle name="Currency [0] 5 4 4" xfId="1305"/>
    <cellStyle name="Currency [0] 5 5" xfId="1306"/>
    <cellStyle name="Currency [0] 5 5 2" xfId="1307"/>
    <cellStyle name="Currency [0] 5 5 3" xfId="1308"/>
    <cellStyle name="Currency [0] 5 5 4" xfId="1309"/>
    <cellStyle name="Currency [0] 5 6" xfId="1310"/>
    <cellStyle name="Currency [0] 5 6 2" xfId="1311"/>
    <cellStyle name="Currency [0] 5 6 3" xfId="1312"/>
    <cellStyle name="Currency [0] 5 6 4" xfId="1313"/>
    <cellStyle name="Currency [0] 5 7" xfId="1314"/>
    <cellStyle name="Currency [0] 5 7 2" xfId="1315"/>
    <cellStyle name="Currency [0] 5 7 3" xfId="1316"/>
    <cellStyle name="Currency [0] 5 7 4" xfId="1317"/>
    <cellStyle name="Currency [0] 5 8" xfId="1318"/>
    <cellStyle name="Currency [0] 5 8 2" xfId="1319"/>
    <cellStyle name="Currency [0] 5 8 3" xfId="1320"/>
    <cellStyle name="Currency [0] 5 8 4" xfId="1321"/>
    <cellStyle name="Currency [0] 5 9" xfId="1322"/>
    <cellStyle name="Currency [0] 6" xfId="1323"/>
    <cellStyle name="Currency [0] 6 2" xfId="1324"/>
    <cellStyle name="Currency [0] 6 3" xfId="1325"/>
    <cellStyle name="Currency [0] 6 4" xfId="1326"/>
    <cellStyle name="Currency [0] 7" xfId="1327"/>
    <cellStyle name="Currency [0] 7 2" xfId="1328"/>
    <cellStyle name="Currency [0] 7 3" xfId="1329"/>
    <cellStyle name="Currency [0] 7 4" xfId="1330"/>
    <cellStyle name="Currency [0] 8" xfId="1331"/>
    <cellStyle name="Currency [0] 8 2" xfId="1332"/>
    <cellStyle name="Currency [0] 8 3" xfId="1333"/>
    <cellStyle name="Currency [0] 8 4" xfId="1334"/>
    <cellStyle name="Currency 0" xfId="1335"/>
    <cellStyle name="Currency 2" xfId="1336"/>
    <cellStyle name="Currency_06_9m" xfId="1337"/>
    <cellStyle name="Currency0" xfId="1338"/>
    <cellStyle name="Currency2" xfId="1339"/>
    <cellStyle name="Date" xfId="1340"/>
    <cellStyle name="Date Aligned" xfId="1341"/>
    <cellStyle name="Dates" xfId="1342"/>
    <cellStyle name="Dezimal [0]_NEGS" xfId="1343"/>
    <cellStyle name="Dezimal_NEGS" xfId="1344"/>
    <cellStyle name="Dotted Line" xfId="1345"/>
    <cellStyle name="E&amp;Y House" xfId="1346"/>
    <cellStyle name="E-mail" xfId="1347"/>
    <cellStyle name="E-mail 2" xfId="1348"/>
    <cellStyle name="E-mail_46EP.2011(v2.0)" xfId="1349"/>
    <cellStyle name="Euro" xfId="1350"/>
    <cellStyle name="Euro 2" xfId="1351"/>
    <cellStyle name="ew" xfId="1352"/>
    <cellStyle name="Excel Built-in Normal" xfId="1353"/>
    <cellStyle name="Explanatory Text" xfId="1354"/>
    <cellStyle name="F2" xfId="1355"/>
    <cellStyle name="F3" xfId="1356"/>
    <cellStyle name="F4" xfId="1357"/>
    <cellStyle name="F5" xfId="1358"/>
    <cellStyle name="F6" xfId="1359"/>
    <cellStyle name="F7" xfId="1360"/>
    <cellStyle name="F8" xfId="1361"/>
    <cellStyle name="Fixed" xfId="1362"/>
    <cellStyle name="fo]_x000d__x000a_UserName=Murat Zelef_x000d__x000a_UserCompany=Bumerang_x000d__x000a__x000d__x000a_[File Paths]_x000d__x000a_WorkingDirectory=C:\EQUIS\DLWIN_x000d__x000a_DownLoader=C" xfId="1363"/>
    <cellStyle name="Followed Hyperlink" xfId="1364"/>
    <cellStyle name="Footnote" xfId="1365"/>
    <cellStyle name="Good" xfId="1366"/>
    <cellStyle name="hard no" xfId="1367"/>
    <cellStyle name="Hard Percent" xfId="1368"/>
    <cellStyle name="hardno" xfId="1369"/>
    <cellStyle name="Header" xfId="1370"/>
    <cellStyle name="Header 3" xfId="1371"/>
    <cellStyle name="Heading" xfId="1372"/>
    <cellStyle name="Heading 1" xfId="1373"/>
    <cellStyle name="Heading 1 2" xfId="1374"/>
    <cellStyle name="Heading 2" xfId="1375"/>
    <cellStyle name="Heading 2 2" xfId="1376"/>
    <cellStyle name="Heading 3" xfId="1377"/>
    <cellStyle name="Heading 4" xfId="1378"/>
    <cellStyle name="Heading_GP.ITOG.4.78(v1.0) - для разделения" xfId="1379"/>
    <cellStyle name="Heading2" xfId="1380"/>
    <cellStyle name="Heading2 2" xfId="1381"/>
    <cellStyle name="Heading2_46EP.2011(v2.0)" xfId="1382"/>
    <cellStyle name="Hyperlink" xfId="1383"/>
    <cellStyle name="Îáű÷íűé__FES" xfId="1384"/>
    <cellStyle name="Îáû÷íûé_cogs" xfId="1385"/>
    <cellStyle name="Îňęđűâŕâřŕ˙ń˙ ăčďĺđńńűëęŕ" xfId="1386"/>
    <cellStyle name="Info" xfId="1387"/>
    <cellStyle name="Input" xfId="1388"/>
    <cellStyle name="InputCurrency" xfId="1389"/>
    <cellStyle name="InputCurrency2" xfId="1390"/>
    <cellStyle name="InputMultiple1" xfId="1391"/>
    <cellStyle name="InputPercent1" xfId="1392"/>
    <cellStyle name="Inputs" xfId="1393"/>
    <cellStyle name="Inputs (const)" xfId="1394"/>
    <cellStyle name="Inputs (const) 2" xfId="1395"/>
    <cellStyle name="Inputs (const)_46EP.2011(v2.0)" xfId="1396"/>
    <cellStyle name="Inputs 2" xfId="1397"/>
    <cellStyle name="Inputs 3" xfId="1398"/>
    <cellStyle name="Inputs Co" xfId="1399"/>
    <cellStyle name="Inputs_46EE.2011(v1.0)" xfId="1400"/>
    <cellStyle name="Linked Cell" xfId="1401"/>
    <cellStyle name="Millares [0]_RESULTS" xfId="1402"/>
    <cellStyle name="Millares_RESULTS" xfId="1403"/>
    <cellStyle name="Milliers [0]_RESULTS" xfId="1404"/>
    <cellStyle name="Milliers_RESULTS" xfId="1405"/>
    <cellStyle name="mnb" xfId="1406"/>
    <cellStyle name="Moneda [0]_RESULTS" xfId="1407"/>
    <cellStyle name="Moneda_RESULTS" xfId="1408"/>
    <cellStyle name="Monétaire [0]_RESULTS" xfId="1409"/>
    <cellStyle name="Monétaire_RESULTS" xfId="1410"/>
    <cellStyle name="Multiple" xfId="1411"/>
    <cellStyle name="Multiple1" xfId="1412"/>
    <cellStyle name="MultipleBelow" xfId="1413"/>
    <cellStyle name="namber" xfId="1414"/>
    <cellStyle name="Neutral" xfId="1415"/>
    <cellStyle name="Norma11l" xfId="1416"/>
    <cellStyle name="normal" xfId="1417"/>
    <cellStyle name="Normal - Style1" xfId="1418"/>
    <cellStyle name="normal 10" xfId="1419"/>
    <cellStyle name="normal 11" xfId="1420"/>
    <cellStyle name="normal 12" xfId="1421"/>
    <cellStyle name="normal 13" xfId="1422"/>
    <cellStyle name="normal 14" xfId="1423"/>
    <cellStyle name="normal 15" xfId="1424"/>
    <cellStyle name="normal 16" xfId="1425"/>
    <cellStyle name="normal 17" xfId="1426"/>
    <cellStyle name="normal 18" xfId="1427"/>
    <cellStyle name="normal 19" xfId="1428"/>
    <cellStyle name="Normal 2" xfId="1429"/>
    <cellStyle name="Normal 2 2" xfId="1430"/>
    <cellStyle name="Normal 2 3" xfId="1431"/>
    <cellStyle name="Normal 2 4" xfId="1432"/>
    <cellStyle name="Normal 2_Общехоз." xfId="1433"/>
    <cellStyle name="normal 20" xfId="1434"/>
    <cellStyle name="normal 21" xfId="1435"/>
    <cellStyle name="normal 22" xfId="1436"/>
    <cellStyle name="normal 23" xfId="1437"/>
    <cellStyle name="normal 24" xfId="1438"/>
    <cellStyle name="normal 25" xfId="1439"/>
    <cellStyle name="normal 26" xfId="1440"/>
    <cellStyle name="normal 3" xfId="1441"/>
    <cellStyle name="normal 4" xfId="1442"/>
    <cellStyle name="normal 5" xfId="1443"/>
    <cellStyle name="normal 6" xfId="1444"/>
    <cellStyle name="normal 7" xfId="1445"/>
    <cellStyle name="normal 8" xfId="1446"/>
    <cellStyle name="normal 9" xfId="1447"/>
    <cellStyle name="Normal." xfId="1448"/>
    <cellStyle name="Normal_06_9m" xfId="1449"/>
    <cellStyle name="Normal1" xfId="1450"/>
    <cellStyle name="Normal2" xfId="1451"/>
    <cellStyle name="NormalGB" xfId="1452"/>
    <cellStyle name="Normalny_24. 02. 97." xfId="1453"/>
    <cellStyle name="normбlnм_laroux" xfId="1454"/>
    <cellStyle name="Note" xfId="1455"/>
    <cellStyle name="number" xfId="1456"/>
    <cellStyle name="Ôčíŕíńîâűé [0]_(ňŕá 3č)" xfId="1457"/>
    <cellStyle name="Ôčíŕíńîâűé_(ňŕá 3č)" xfId="1458"/>
    <cellStyle name="Option" xfId="1459"/>
    <cellStyle name="Òûñÿ÷è [0]_cogs" xfId="1460"/>
    <cellStyle name="Òûñÿ÷è_cogs" xfId="1461"/>
    <cellStyle name="Output" xfId="1462"/>
    <cellStyle name="Page Number" xfId="1463"/>
    <cellStyle name="pb_page_heading_LS" xfId="1464"/>
    <cellStyle name="Percent_RS_Lianozovo-Samara_9m01" xfId="1465"/>
    <cellStyle name="Percent1" xfId="1466"/>
    <cellStyle name="Piug" xfId="1467"/>
    <cellStyle name="Plug" xfId="1468"/>
    <cellStyle name="Price_Body" xfId="1469"/>
    <cellStyle name="prochrek" xfId="1470"/>
    <cellStyle name="Protected" xfId="1471"/>
    <cellStyle name="Salomon Logo" xfId="1472"/>
    <cellStyle name="SAPBEXaggData" xfId="1473"/>
    <cellStyle name="SAPBEXaggDataEmph" xfId="1474"/>
    <cellStyle name="SAPBEXaggItem" xfId="1475"/>
    <cellStyle name="SAPBEXaggItemX" xfId="1476"/>
    <cellStyle name="SAPBEXchaText" xfId="1477"/>
    <cellStyle name="SAPBEXexcBad7" xfId="1478"/>
    <cellStyle name="SAPBEXexcBad8" xfId="1479"/>
    <cellStyle name="SAPBEXexcBad9" xfId="1480"/>
    <cellStyle name="SAPBEXexcCritical4" xfId="1481"/>
    <cellStyle name="SAPBEXexcCritical5" xfId="1482"/>
    <cellStyle name="SAPBEXexcCritical6" xfId="1483"/>
    <cellStyle name="SAPBEXexcGood1" xfId="1484"/>
    <cellStyle name="SAPBEXexcGood2" xfId="1485"/>
    <cellStyle name="SAPBEXexcGood3" xfId="1486"/>
    <cellStyle name="SAPBEXfilterDrill" xfId="1487"/>
    <cellStyle name="SAPBEXfilterItem" xfId="1488"/>
    <cellStyle name="SAPBEXfilterText" xfId="1489"/>
    <cellStyle name="SAPBEXformats" xfId="1490"/>
    <cellStyle name="SAPBEXheaderItem" xfId="1491"/>
    <cellStyle name="SAPBEXheaderText" xfId="1492"/>
    <cellStyle name="SAPBEXHLevel0" xfId="1493"/>
    <cellStyle name="SAPBEXHLevel0X" xfId="1494"/>
    <cellStyle name="SAPBEXHLevel1" xfId="1495"/>
    <cellStyle name="SAPBEXHLevel1X" xfId="1496"/>
    <cellStyle name="SAPBEXHLevel2" xfId="1497"/>
    <cellStyle name="SAPBEXHLevel2X" xfId="1498"/>
    <cellStyle name="SAPBEXHLevel3" xfId="1499"/>
    <cellStyle name="SAPBEXHLevel3X" xfId="1500"/>
    <cellStyle name="SAPBEXinputData" xfId="1501"/>
    <cellStyle name="SAPBEXinputData 2" xfId="1502"/>
    <cellStyle name="SAPBEXinputData 3" xfId="1503"/>
    <cellStyle name="SAPBEXinputData 4" xfId="1504"/>
    <cellStyle name="SAPBEXresData" xfId="1505"/>
    <cellStyle name="SAPBEXresDataEmph" xfId="1506"/>
    <cellStyle name="SAPBEXresItem" xfId="1507"/>
    <cellStyle name="SAPBEXresItemX" xfId="1508"/>
    <cellStyle name="SAPBEXstdData" xfId="1509"/>
    <cellStyle name="SAPBEXstdDataEmph" xfId="1510"/>
    <cellStyle name="SAPBEXstdItem" xfId="1511"/>
    <cellStyle name="SAPBEXstdItemX" xfId="1512"/>
    <cellStyle name="SAPBEXtitle" xfId="1513"/>
    <cellStyle name="SAPBEXundefined" xfId="1514"/>
    <cellStyle name="st1" xfId="1515"/>
    <cellStyle name="Standard_NEGS" xfId="1516"/>
    <cellStyle name="Style 1" xfId="1517"/>
    <cellStyle name="Table Head" xfId="1518"/>
    <cellStyle name="Table Head Aligned" xfId="1519"/>
    <cellStyle name="Table Head Blue" xfId="1520"/>
    <cellStyle name="Table Head Green" xfId="1521"/>
    <cellStyle name="Table Head_Val_Sum_Graph" xfId="1522"/>
    <cellStyle name="Table Heading" xfId="1523"/>
    <cellStyle name="Table Heading 2" xfId="1524"/>
    <cellStyle name="Table Heading_46EP.2011(v2.0)" xfId="1525"/>
    <cellStyle name="Table Text" xfId="1526"/>
    <cellStyle name="Table Title" xfId="1527"/>
    <cellStyle name="Table Units" xfId="1528"/>
    <cellStyle name="Table_Header" xfId="1529"/>
    <cellStyle name="Text" xfId="1530"/>
    <cellStyle name="Text 1" xfId="1531"/>
    <cellStyle name="Text Head" xfId="1532"/>
    <cellStyle name="Text Head 1" xfId="1533"/>
    <cellStyle name="Title" xfId="1534"/>
    <cellStyle name="Title 4" xfId="1535"/>
    <cellStyle name="Total" xfId="1536"/>
    <cellStyle name="Total 2" xfId="1537"/>
    <cellStyle name="TotalCurrency" xfId="1538"/>
    <cellStyle name="Underline_Single" xfId="1539"/>
    <cellStyle name="Unit" xfId="1540"/>
    <cellStyle name="Warning Text" xfId="1541"/>
    <cellStyle name="year" xfId="1542"/>
    <cellStyle name="Акцент1 10" xfId="1543"/>
    <cellStyle name="Акцент1 2" xfId="1544"/>
    <cellStyle name="Акцент1 2 2" xfId="1545"/>
    <cellStyle name="Акцент1 3" xfId="1546"/>
    <cellStyle name="Акцент1 3 2" xfId="1547"/>
    <cellStyle name="Акцент1 4" xfId="1548"/>
    <cellStyle name="Акцент1 4 2" xfId="1549"/>
    <cellStyle name="Акцент1 5" xfId="1550"/>
    <cellStyle name="Акцент1 5 2" xfId="1551"/>
    <cellStyle name="Акцент1 6" xfId="1552"/>
    <cellStyle name="Акцент1 6 2" xfId="1553"/>
    <cellStyle name="Акцент1 7" xfId="1554"/>
    <cellStyle name="Акцент1 7 2" xfId="1555"/>
    <cellStyle name="Акцент1 8" xfId="1556"/>
    <cellStyle name="Акцент1 8 2" xfId="1557"/>
    <cellStyle name="Акцент1 9" xfId="1558"/>
    <cellStyle name="Акцент1 9 2" xfId="1559"/>
    <cellStyle name="Акцент2 10" xfId="1560"/>
    <cellStyle name="Акцент2 2" xfId="1561"/>
    <cellStyle name="Акцент2 2 2" xfId="1562"/>
    <cellStyle name="Акцент2 3" xfId="1563"/>
    <cellStyle name="Акцент2 3 2" xfId="1564"/>
    <cellStyle name="Акцент2 4" xfId="1565"/>
    <cellStyle name="Акцент2 4 2" xfId="1566"/>
    <cellStyle name="Акцент2 5" xfId="1567"/>
    <cellStyle name="Акцент2 5 2" xfId="1568"/>
    <cellStyle name="Акцент2 6" xfId="1569"/>
    <cellStyle name="Акцент2 6 2" xfId="1570"/>
    <cellStyle name="Акцент2 7" xfId="1571"/>
    <cellStyle name="Акцент2 7 2" xfId="1572"/>
    <cellStyle name="Акцент2 8" xfId="1573"/>
    <cellStyle name="Акцент2 8 2" xfId="1574"/>
    <cellStyle name="Акцент2 9" xfId="1575"/>
    <cellStyle name="Акцент2 9 2" xfId="1576"/>
    <cellStyle name="Акцент3 10" xfId="1577"/>
    <cellStyle name="Акцент3 2" xfId="1578"/>
    <cellStyle name="Акцент3 2 2" xfId="1579"/>
    <cellStyle name="Акцент3 3" xfId="1580"/>
    <cellStyle name="Акцент3 3 2" xfId="1581"/>
    <cellStyle name="Акцент3 4" xfId="1582"/>
    <cellStyle name="Акцент3 4 2" xfId="1583"/>
    <cellStyle name="Акцент3 5" xfId="1584"/>
    <cellStyle name="Акцент3 5 2" xfId="1585"/>
    <cellStyle name="Акцент3 6" xfId="1586"/>
    <cellStyle name="Акцент3 6 2" xfId="1587"/>
    <cellStyle name="Акцент3 7" xfId="1588"/>
    <cellStyle name="Акцент3 7 2" xfId="1589"/>
    <cellStyle name="Акцент3 8" xfId="1590"/>
    <cellStyle name="Акцент3 8 2" xfId="1591"/>
    <cellStyle name="Акцент3 9" xfId="1592"/>
    <cellStyle name="Акцент3 9 2" xfId="1593"/>
    <cellStyle name="Акцент4 10" xfId="1594"/>
    <cellStyle name="Акцент4 2" xfId="1595"/>
    <cellStyle name="Акцент4 2 2" xfId="1596"/>
    <cellStyle name="Акцент4 3" xfId="1597"/>
    <cellStyle name="Акцент4 3 2" xfId="1598"/>
    <cellStyle name="Акцент4 4" xfId="1599"/>
    <cellStyle name="Акцент4 4 2" xfId="1600"/>
    <cellStyle name="Акцент4 5" xfId="1601"/>
    <cellStyle name="Акцент4 5 2" xfId="1602"/>
    <cellStyle name="Акцент4 6" xfId="1603"/>
    <cellStyle name="Акцент4 6 2" xfId="1604"/>
    <cellStyle name="Акцент4 7" xfId="1605"/>
    <cellStyle name="Акцент4 7 2" xfId="1606"/>
    <cellStyle name="Акцент4 8" xfId="1607"/>
    <cellStyle name="Акцент4 8 2" xfId="1608"/>
    <cellStyle name="Акцент4 9" xfId="1609"/>
    <cellStyle name="Акцент4 9 2" xfId="1610"/>
    <cellStyle name="Акцент5 10" xfId="1611"/>
    <cellStyle name="Акцент5 2" xfId="1612"/>
    <cellStyle name="Акцент5 2 2" xfId="1613"/>
    <cellStyle name="Акцент5 3" xfId="1614"/>
    <cellStyle name="Акцент5 3 2" xfId="1615"/>
    <cellStyle name="Акцент5 4" xfId="1616"/>
    <cellStyle name="Акцент5 4 2" xfId="1617"/>
    <cellStyle name="Акцент5 5" xfId="1618"/>
    <cellStyle name="Акцент5 5 2" xfId="1619"/>
    <cellStyle name="Акцент5 6" xfId="1620"/>
    <cellStyle name="Акцент5 6 2" xfId="1621"/>
    <cellStyle name="Акцент5 7" xfId="1622"/>
    <cellStyle name="Акцент5 7 2" xfId="1623"/>
    <cellStyle name="Акцент5 8" xfId="1624"/>
    <cellStyle name="Акцент5 8 2" xfId="1625"/>
    <cellStyle name="Акцент5 9" xfId="1626"/>
    <cellStyle name="Акцент5 9 2" xfId="1627"/>
    <cellStyle name="Акцент6 10" xfId="1628"/>
    <cellStyle name="Акцент6 2" xfId="1629"/>
    <cellStyle name="Акцент6 2 2" xfId="1630"/>
    <cellStyle name="Акцент6 3" xfId="1631"/>
    <cellStyle name="Акцент6 3 2" xfId="1632"/>
    <cellStyle name="Акцент6 4" xfId="1633"/>
    <cellStyle name="Акцент6 4 2" xfId="1634"/>
    <cellStyle name="Акцент6 5" xfId="1635"/>
    <cellStyle name="Акцент6 5 2" xfId="1636"/>
    <cellStyle name="Акцент6 6" xfId="1637"/>
    <cellStyle name="Акцент6 6 2" xfId="1638"/>
    <cellStyle name="Акцент6 7" xfId="1639"/>
    <cellStyle name="Акцент6 7 2" xfId="1640"/>
    <cellStyle name="Акцент6 8" xfId="1641"/>
    <cellStyle name="Акцент6 8 2" xfId="1642"/>
    <cellStyle name="Акцент6 9" xfId="1643"/>
    <cellStyle name="Акцент6 9 2" xfId="1644"/>
    <cellStyle name="Беззащитный" xfId="1645"/>
    <cellStyle name="Ввод  10" xfId="1646"/>
    <cellStyle name="Ввод  2" xfId="1647"/>
    <cellStyle name="Ввод  2 2" xfId="1648"/>
    <cellStyle name="Ввод  2_46EE.2011(v1.0)" xfId="1649"/>
    <cellStyle name="Ввод  3" xfId="1650"/>
    <cellStyle name="Ввод  3 2" xfId="1651"/>
    <cellStyle name="Ввод  3_46EE.2011(v1.0)" xfId="1652"/>
    <cellStyle name="Ввод  4" xfId="1653"/>
    <cellStyle name="Ввод  4 2" xfId="1654"/>
    <cellStyle name="Ввод  4_46EE.2011(v1.0)" xfId="1655"/>
    <cellStyle name="Ввод  5" xfId="1656"/>
    <cellStyle name="Ввод  5 2" xfId="1657"/>
    <cellStyle name="Ввод  5_46EE.2011(v1.0)" xfId="1658"/>
    <cellStyle name="Ввод  6" xfId="1659"/>
    <cellStyle name="Ввод  6 2" xfId="1660"/>
    <cellStyle name="Ввод  6_46EE.2011(v1.0)" xfId="1661"/>
    <cellStyle name="Ввод  7" xfId="1662"/>
    <cellStyle name="Ввод  7 2" xfId="1663"/>
    <cellStyle name="Ввод  7_46EE.2011(v1.0)" xfId="1664"/>
    <cellStyle name="Ввод  8" xfId="1665"/>
    <cellStyle name="Ввод  8 2" xfId="1666"/>
    <cellStyle name="Ввод  8_46EE.2011(v1.0)" xfId="1667"/>
    <cellStyle name="Ввод  9" xfId="1668"/>
    <cellStyle name="Ввод  9 2" xfId="1669"/>
    <cellStyle name="Ввод  9_46EE.2011(v1.0)" xfId="1670"/>
    <cellStyle name="Верт. заголовок" xfId="1671"/>
    <cellStyle name="Вес_продукта" xfId="1672"/>
    <cellStyle name="Вывод 10" xfId="1673"/>
    <cellStyle name="Вывод 2" xfId="1674"/>
    <cellStyle name="Вывод 2 2" xfId="1675"/>
    <cellStyle name="Вывод 2_46EE.2011(v1.0)" xfId="1676"/>
    <cellStyle name="Вывод 3" xfId="1677"/>
    <cellStyle name="Вывод 3 2" xfId="1678"/>
    <cellStyle name="Вывод 3_46EE.2011(v1.0)" xfId="1679"/>
    <cellStyle name="Вывод 4" xfId="1680"/>
    <cellStyle name="Вывод 4 2" xfId="1681"/>
    <cellStyle name="Вывод 4_46EE.2011(v1.0)" xfId="1682"/>
    <cellStyle name="Вывод 5" xfId="1683"/>
    <cellStyle name="Вывод 5 2" xfId="1684"/>
    <cellStyle name="Вывод 5_46EE.2011(v1.0)" xfId="1685"/>
    <cellStyle name="Вывод 6" xfId="1686"/>
    <cellStyle name="Вывод 6 2" xfId="1687"/>
    <cellStyle name="Вывод 6_46EE.2011(v1.0)" xfId="1688"/>
    <cellStyle name="Вывод 7" xfId="1689"/>
    <cellStyle name="Вывод 7 2" xfId="1690"/>
    <cellStyle name="Вывод 7_46EE.2011(v1.0)" xfId="1691"/>
    <cellStyle name="Вывод 8" xfId="1692"/>
    <cellStyle name="Вывод 8 2" xfId="1693"/>
    <cellStyle name="Вывод 8_46EE.2011(v1.0)" xfId="1694"/>
    <cellStyle name="Вывод 9" xfId="1695"/>
    <cellStyle name="Вывод 9 2" xfId="1696"/>
    <cellStyle name="Вывод 9_46EE.2011(v1.0)" xfId="1697"/>
    <cellStyle name="Вычисление 10" xfId="1698"/>
    <cellStyle name="Вычисление 2" xfId="1699"/>
    <cellStyle name="Вычисление 2 2" xfId="1700"/>
    <cellStyle name="Вычисление 2_46EE.2011(v1.0)" xfId="1701"/>
    <cellStyle name="Вычисление 3" xfId="1702"/>
    <cellStyle name="Вычисление 3 2" xfId="1703"/>
    <cellStyle name="Вычисление 3_46EE.2011(v1.0)" xfId="1704"/>
    <cellStyle name="Вычисление 4" xfId="1705"/>
    <cellStyle name="Вычисление 4 2" xfId="1706"/>
    <cellStyle name="Вычисление 4_46EE.2011(v1.0)" xfId="1707"/>
    <cellStyle name="Вычисление 5" xfId="1708"/>
    <cellStyle name="Вычисление 5 2" xfId="1709"/>
    <cellStyle name="Вычисление 5_46EE.2011(v1.0)" xfId="1710"/>
    <cellStyle name="Вычисление 6" xfId="1711"/>
    <cellStyle name="Вычисление 6 2" xfId="1712"/>
    <cellStyle name="Вычисление 6_46EE.2011(v1.0)" xfId="1713"/>
    <cellStyle name="Вычисление 7" xfId="1714"/>
    <cellStyle name="Вычисление 7 2" xfId="1715"/>
    <cellStyle name="Вычисление 7_46EE.2011(v1.0)" xfId="1716"/>
    <cellStyle name="Вычисление 8" xfId="1717"/>
    <cellStyle name="Вычисление 8 2" xfId="1718"/>
    <cellStyle name="Вычисление 8_46EE.2011(v1.0)" xfId="1719"/>
    <cellStyle name="Вычисление 9" xfId="1720"/>
    <cellStyle name="Вычисление 9 2" xfId="1721"/>
    <cellStyle name="Вычисление 9_46EE.2011(v1.0)" xfId="1722"/>
    <cellStyle name="Гиперссылка 2" xfId="1723"/>
    <cellStyle name="Гиперссылка 2 2" xfId="1724"/>
    <cellStyle name="Гиперссылка 2 3" xfId="1725"/>
    <cellStyle name="Гиперссылка 3" xfId="1726"/>
    <cellStyle name="Гиперссылка 4" xfId="1727"/>
    <cellStyle name="Гиперссылка 4 2" xfId="1728"/>
    <cellStyle name="Гиперссылка 5" xfId="1729"/>
    <cellStyle name="Группа" xfId="1730"/>
    <cellStyle name="Группа 0" xfId="1731"/>
    <cellStyle name="Группа 1" xfId="1732"/>
    <cellStyle name="Группа 2" xfId="1733"/>
    <cellStyle name="Группа 3" xfId="1734"/>
    <cellStyle name="Группа 4" xfId="1735"/>
    <cellStyle name="Группа 5" xfId="1736"/>
    <cellStyle name="Группа 6" xfId="1737"/>
    <cellStyle name="Группа 7" xfId="1738"/>
    <cellStyle name="Группа 8" xfId="1739"/>
    <cellStyle name="Группа_4DNS.UPDATE.EXAMPLE" xfId="1740"/>
    <cellStyle name="ДАТА" xfId="1741"/>
    <cellStyle name="ДАТА 2" xfId="1742"/>
    <cellStyle name="ДАТА 3" xfId="1743"/>
    <cellStyle name="ДАТА 4" xfId="1744"/>
    <cellStyle name="ДАТА 5" xfId="1745"/>
    <cellStyle name="ДАТА 6" xfId="1746"/>
    <cellStyle name="ДАТА 7" xfId="1747"/>
    <cellStyle name="ДАТА 8" xfId="1748"/>
    <cellStyle name="ДАТА 9" xfId="1749"/>
    <cellStyle name="ДАТА_1" xfId="1750"/>
    <cellStyle name="Денежный 2" xfId="1751"/>
    <cellStyle name="Денежный 2 2" xfId="1752"/>
    <cellStyle name="Денежный 2_INDEX.STATION.2012(v1.0)_" xfId="1753"/>
    <cellStyle name="Денежный 3" xfId="2429"/>
    <cellStyle name="Заголовок" xfId="1754"/>
    <cellStyle name="Заголовок 1 10" xfId="1755"/>
    <cellStyle name="Заголовок 1 2" xfId="1756"/>
    <cellStyle name="Заголовок 1 2 2" xfId="1757"/>
    <cellStyle name="Заголовок 1 2_46EE.2011(v1.0)" xfId="1758"/>
    <cellStyle name="Заголовок 1 3" xfId="1759"/>
    <cellStyle name="Заголовок 1 3 2" xfId="1760"/>
    <cellStyle name="Заголовок 1 3_46EE.2011(v1.0)" xfId="1761"/>
    <cellStyle name="Заголовок 1 4" xfId="1762"/>
    <cellStyle name="Заголовок 1 4 2" xfId="1763"/>
    <cellStyle name="Заголовок 1 4_46EE.2011(v1.0)" xfId="1764"/>
    <cellStyle name="Заголовок 1 5" xfId="1765"/>
    <cellStyle name="Заголовок 1 5 2" xfId="1766"/>
    <cellStyle name="Заголовок 1 5_46EE.2011(v1.0)" xfId="1767"/>
    <cellStyle name="Заголовок 1 6" xfId="1768"/>
    <cellStyle name="Заголовок 1 6 2" xfId="1769"/>
    <cellStyle name="Заголовок 1 6_46EE.2011(v1.0)" xfId="1770"/>
    <cellStyle name="Заголовок 1 7" xfId="1771"/>
    <cellStyle name="Заголовок 1 7 2" xfId="1772"/>
    <cellStyle name="Заголовок 1 7_46EE.2011(v1.0)" xfId="1773"/>
    <cellStyle name="Заголовок 1 8" xfId="1774"/>
    <cellStyle name="Заголовок 1 8 2" xfId="1775"/>
    <cellStyle name="Заголовок 1 8_46EE.2011(v1.0)" xfId="1776"/>
    <cellStyle name="Заголовок 1 9" xfId="1777"/>
    <cellStyle name="Заголовок 1 9 2" xfId="1778"/>
    <cellStyle name="Заголовок 1 9_46EE.2011(v1.0)" xfId="1779"/>
    <cellStyle name="Заголовок 2 10" xfId="1780"/>
    <cellStyle name="Заголовок 2 2" xfId="1781"/>
    <cellStyle name="Заголовок 2 2 2" xfId="1782"/>
    <cellStyle name="Заголовок 2 2_46EE.2011(v1.0)" xfId="1783"/>
    <cellStyle name="Заголовок 2 3" xfId="1784"/>
    <cellStyle name="Заголовок 2 3 2" xfId="1785"/>
    <cellStyle name="Заголовок 2 3_46EE.2011(v1.0)" xfId="1786"/>
    <cellStyle name="Заголовок 2 4" xfId="1787"/>
    <cellStyle name="Заголовок 2 4 2" xfId="1788"/>
    <cellStyle name="Заголовок 2 4_46EE.2011(v1.0)" xfId="1789"/>
    <cellStyle name="Заголовок 2 5" xfId="1790"/>
    <cellStyle name="Заголовок 2 5 2" xfId="1791"/>
    <cellStyle name="Заголовок 2 5_46EE.2011(v1.0)" xfId="1792"/>
    <cellStyle name="Заголовок 2 6" xfId="1793"/>
    <cellStyle name="Заголовок 2 6 2" xfId="1794"/>
    <cellStyle name="Заголовок 2 6_46EE.2011(v1.0)" xfId="1795"/>
    <cellStyle name="Заголовок 2 7" xfId="1796"/>
    <cellStyle name="Заголовок 2 7 2" xfId="1797"/>
    <cellStyle name="Заголовок 2 7_46EE.2011(v1.0)" xfId="1798"/>
    <cellStyle name="Заголовок 2 8" xfId="1799"/>
    <cellStyle name="Заголовок 2 8 2" xfId="1800"/>
    <cellStyle name="Заголовок 2 8_46EE.2011(v1.0)" xfId="1801"/>
    <cellStyle name="Заголовок 2 9" xfId="1802"/>
    <cellStyle name="Заголовок 2 9 2" xfId="1803"/>
    <cellStyle name="Заголовок 2 9_46EE.2011(v1.0)" xfId="1804"/>
    <cellStyle name="Заголовок 3 10" xfId="1805"/>
    <cellStyle name="Заголовок 3 2" xfId="1806"/>
    <cellStyle name="Заголовок 3 2 2" xfId="1807"/>
    <cellStyle name="Заголовок 3 2_46EE.2011(v1.0)" xfId="1808"/>
    <cellStyle name="Заголовок 3 3" xfId="1809"/>
    <cellStyle name="Заголовок 3 3 2" xfId="1810"/>
    <cellStyle name="Заголовок 3 3_46EE.2011(v1.0)" xfId="1811"/>
    <cellStyle name="Заголовок 3 4" xfId="1812"/>
    <cellStyle name="Заголовок 3 4 2" xfId="1813"/>
    <cellStyle name="Заголовок 3 4_46EE.2011(v1.0)" xfId="1814"/>
    <cellStyle name="Заголовок 3 5" xfId="1815"/>
    <cellStyle name="Заголовок 3 5 2" xfId="1816"/>
    <cellStyle name="Заголовок 3 5_46EE.2011(v1.0)" xfId="1817"/>
    <cellStyle name="Заголовок 3 6" xfId="1818"/>
    <cellStyle name="Заголовок 3 6 2" xfId="1819"/>
    <cellStyle name="Заголовок 3 6_46EE.2011(v1.0)" xfId="1820"/>
    <cellStyle name="Заголовок 3 7" xfId="1821"/>
    <cellStyle name="Заголовок 3 7 2" xfId="1822"/>
    <cellStyle name="Заголовок 3 7_46EE.2011(v1.0)" xfId="1823"/>
    <cellStyle name="Заголовок 3 8" xfId="1824"/>
    <cellStyle name="Заголовок 3 8 2" xfId="1825"/>
    <cellStyle name="Заголовок 3 8_46EE.2011(v1.0)" xfId="1826"/>
    <cellStyle name="Заголовок 3 9" xfId="1827"/>
    <cellStyle name="Заголовок 3 9 2" xfId="1828"/>
    <cellStyle name="Заголовок 3 9_46EE.2011(v1.0)" xfId="1829"/>
    <cellStyle name="Заголовок 4 10" xfId="1830"/>
    <cellStyle name="Заголовок 4 2" xfId="1831"/>
    <cellStyle name="Заголовок 4 2 2" xfId="1832"/>
    <cellStyle name="Заголовок 4 3" xfId="1833"/>
    <cellStyle name="Заголовок 4 3 2" xfId="1834"/>
    <cellStyle name="Заголовок 4 4" xfId="1835"/>
    <cellStyle name="Заголовок 4 4 2" xfId="1836"/>
    <cellStyle name="Заголовок 4 5" xfId="1837"/>
    <cellStyle name="Заголовок 4 5 2" xfId="1838"/>
    <cellStyle name="Заголовок 4 6" xfId="1839"/>
    <cellStyle name="Заголовок 4 6 2" xfId="1840"/>
    <cellStyle name="Заголовок 4 7" xfId="1841"/>
    <cellStyle name="Заголовок 4 7 2" xfId="1842"/>
    <cellStyle name="Заголовок 4 8" xfId="1843"/>
    <cellStyle name="Заголовок 4 8 2" xfId="1844"/>
    <cellStyle name="Заголовок 4 9" xfId="1845"/>
    <cellStyle name="Заголовок 4 9 2" xfId="1846"/>
    <cellStyle name="ЗАГОЛОВОК1" xfId="1847"/>
    <cellStyle name="ЗАГОЛОВОК2" xfId="1848"/>
    <cellStyle name="ЗаголовокСтолбца" xfId="1849"/>
    <cellStyle name="Защитный" xfId="1850"/>
    <cellStyle name="Значение" xfId="1851"/>
    <cellStyle name="Зоголовок" xfId="1852"/>
    <cellStyle name="Итог 10" xfId="1853"/>
    <cellStyle name="Итог 2" xfId="1854"/>
    <cellStyle name="Итог 2 2" xfId="1855"/>
    <cellStyle name="Итог 2_46EE.2011(v1.0)" xfId="1856"/>
    <cellStyle name="Итог 3" xfId="1857"/>
    <cellStyle name="Итог 3 2" xfId="1858"/>
    <cellStyle name="Итог 3_46EE.2011(v1.0)" xfId="1859"/>
    <cellStyle name="Итог 4" xfId="1860"/>
    <cellStyle name="Итог 4 2" xfId="1861"/>
    <cellStyle name="Итог 4_46EE.2011(v1.0)" xfId="1862"/>
    <cellStyle name="Итог 5" xfId="1863"/>
    <cellStyle name="Итог 5 2" xfId="1864"/>
    <cellStyle name="Итог 5_46EE.2011(v1.0)" xfId="1865"/>
    <cellStyle name="Итог 6" xfId="1866"/>
    <cellStyle name="Итог 6 2" xfId="1867"/>
    <cellStyle name="Итог 6_46EE.2011(v1.0)" xfId="1868"/>
    <cellStyle name="Итог 7" xfId="1869"/>
    <cellStyle name="Итог 7 2" xfId="1870"/>
    <cellStyle name="Итог 7_46EE.2011(v1.0)" xfId="1871"/>
    <cellStyle name="Итог 8" xfId="1872"/>
    <cellStyle name="Итог 8 2" xfId="1873"/>
    <cellStyle name="Итог 8_46EE.2011(v1.0)" xfId="1874"/>
    <cellStyle name="Итог 9" xfId="1875"/>
    <cellStyle name="Итог 9 2" xfId="1876"/>
    <cellStyle name="Итог 9_46EE.2011(v1.0)" xfId="1877"/>
    <cellStyle name="Итого" xfId="1878"/>
    <cellStyle name="ИТОГОВЫЙ" xfId="1879"/>
    <cellStyle name="ИТОГОВЫЙ 2" xfId="1880"/>
    <cellStyle name="ИТОГОВЫЙ 3" xfId="1881"/>
    <cellStyle name="ИТОГОВЫЙ 4" xfId="1882"/>
    <cellStyle name="ИТОГОВЫЙ 5" xfId="1883"/>
    <cellStyle name="ИТОГОВЫЙ 6" xfId="1884"/>
    <cellStyle name="ИТОГОВЫЙ 7" xfId="1885"/>
    <cellStyle name="ИТОГОВЫЙ 8" xfId="1886"/>
    <cellStyle name="ИТОГОВЫЙ 9" xfId="1887"/>
    <cellStyle name="ИТОГОВЫЙ_1" xfId="1888"/>
    <cellStyle name="Контрольная ячейка 10" xfId="1889"/>
    <cellStyle name="Контрольная ячейка 2" xfId="1890"/>
    <cellStyle name="Контрольная ячейка 2 2" xfId="1891"/>
    <cellStyle name="Контрольная ячейка 2_46EE.2011(v1.0)" xfId="1892"/>
    <cellStyle name="Контрольная ячейка 3" xfId="1893"/>
    <cellStyle name="Контрольная ячейка 3 2" xfId="1894"/>
    <cellStyle name="Контрольная ячейка 3_46EE.2011(v1.0)" xfId="1895"/>
    <cellStyle name="Контрольная ячейка 4" xfId="1896"/>
    <cellStyle name="Контрольная ячейка 4 2" xfId="1897"/>
    <cellStyle name="Контрольная ячейка 4_46EE.2011(v1.0)" xfId="1898"/>
    <cellStyle name="Контрольная ячейка 5" xfId="1899"/>
    <cellStyle name="Контрольная ячейка 5 2" xfId="1900"/>
    <cellStyle name="Контрольная ячейка 5_46EE.2011(v1.0)" xfId="1901"/>
    <cellStyle name="Контрольная ячейка 6" xfId="1902"/>
    <cellStyle name="Контрольная ячейка 6 2" xfId="1903"/>
    <cellStyle name="Контрольная ячейка 6_46EE.2011(v1.0)" xfId="1904"/>
    <cellStyle name="Контрольная ячейка 7" xfId="1905"/>
    <cellStyle name="Контрольная ячейка 7 2" xfId="1906"/>
    <cellStyle name="Контрольная ячейка 7_46EE.2011(v1.0)" xfId="1907"/>
    <cellStyle name="Контрольная ячейка 8" xfId="1908"/>
    <cellStyle name="Контрольная ячейка 8 2" xfId="1909"/>
    <cellStyle name="Контрольная ячейка 8_46EE.2011(v1.0)" xfId="1910"/>
    <cellStyle name="Контрольная ячейка 9" xfId="1911"/>
    <cellStyle name="Контрольная ячейка 9 2" xfId="1912"/>
    <cellStyle name="Контрольная ячейка 9_46EE.2011(v1.0)" xfId="1913"/>
    <cellStyle name="Миша (бланки отчетности)" xfId="1914"/>
    <cellStyle name="Мои наименования показателей" xfId="1919"/>
    <cellStyle name="Мои наименования показателей 10" xfId="1920"/>
    <cellStyle name="Мои наименования показателей 11" xfId="1921"/>
    <cellStyle name="Мои наименования показателей 2" xfId="1922"/>
    <cellStyle name="Мои наименования показателей 2 2" xfId="1923"/>
    <cellStyle name="Мои наименования показателей 2 3" xfId="1924"/>
    <cellStyle name="Мои наименования показателей 2 4" xfId="1925"/>
    <cellStyle name="Мои наименования показателей 2 5" xfId="1926"/>
    <cellStyle name="Мои наименования показателей 2 6" xfId="1927"/>
    <cellStyle name="Мои наименования показателей 2 7" xfId="1928"/>
    <cellStyle name="Мои наименования показателей 2 8" xfId="1929"/>
    <cellStyle name="Мои наименования показателей 2 9" xfId="1930"/>
    <cellStyle name="Мои наименования показателей 2_1" xfId="1931"/>
    <cellStyle name="Мои наименования показателей 3" xfId="1932"/>
    <cellStyle name="Мои наименования показателей 3 2" xfId="1933"/>
    <cellStyle name="Мои наименования показателей 3 3" xfId="1934"/>
    <cellStyle name="Мои наименования показателей 3 4" xfId="1935"/>
    <cellStyle name="Мои наименования показателей 3 5" xfId="1936"/>
    <cellStyle name="Мои наименования показателей 3 6" xfId="1937"/>
    <cellStyle name="Мои наименования показателей 3 7" xfId="1938"/>
    <cellStyle name="Мои наименования показателей 3 8" xfId="1939"/>
    <cellStyle name="Мои наименования показателей 3 9" xfId="1940"/>
    <cellStyle name="Мои наименования показателей 3_1" xfId="1941"/>
    <cellStyle name="Мои наименования показателей 4" xfId="1942"/>
    <cellStyle name="Мои наименования показателей 4 2" xfId="1943"/>
    <cellStyle name="Мои наименования показателей 4 3" xfId="1944"/>
    <cellStyle name="Мои наименования показателей 4 4" xfId="1945"/>
    <cellStyle name="Мои наименования показателей 4 5" xfId="1946"/>
    <cellStyle name="Мои наименования показателей 4 6" xfId="1947"/>
    <cellStyle name="Мои наименования показателей 4 7" xfId="1948"/>
    <cellStyle name="Мои наименования показателей 4 8" xfId="1949"/>
    <cellStyle name="Мои наименования показателей 4 9" xfId="1950"/>
    <cellStyle name="Мои наименования показателей 4_1" xfId="1951"/>
    <cellStyle name="Мои наименования показателей 5" xfId="1952"/>
    <cellStyle name="Мои наименования показателей 5 2" xfId="1953"/>
    <cellStyle name="Мои наименования показателей 5 3" xfId="1954"/>
    <cellStyle name="Мои наименования показателей 5 4" xfId="1955"/>
    <cellStyle name="Мои наименования показателей 5 5" xfId="1956"/>
    <cellStyle name="Мои наименования показателей 5 6" xfId="1957"/>
    <cellStyle name="Мои наименования показателей 5 7" xfId="1958"/>
    <cellStyle name="Мои наименования показателей 5 8" xfId="1959"/>
    <cellStyle name="Мои наименования показателей 5 9" xfId="1960"/>
    <cellStyle name="Мои наименования показателей 5_1" xfId="1961"/>
    <cellStyle name="Мои наименования показателей 6" xfId="1962"/>
    <cellStyle name="Мои наименования показателей 6 2" xfId="1963"/>
    <cellStyle name="Мои наименования показателей 6 3" xfId="1964"/>
    <cellStyle name="Мои наименования показателей 6_46EE.2011(v1.0)" xfId="1965"/>
    <cellStyle name="Мои наименования показателей 7" xfId="1966"/>
    <cellStyle name="Мои наименования показателей 7 2" xfId="1967"/>
    <cellStyle name="Мои наименования показателей 7 3" xfId="1968"/>
    <cellStyle name="Мои наименования показателей 7_46EE.2011(v1.0)" xfId="1969"/>
    <cellStyle name="Мои наименования показателей 8" xfId="1970"/>
    <cellStyle name="Мои наименования показателей 8 2" xfId="1971"/>
    <cellStyle name="Мои наименования показателей 8 3" xfId="1972"/>
    <cellStyle name="Мои наименования показателей 8_46EE.2011(v1.0)" xfId="1973"/>
    <cellStyle name="Мои наименования показателей 9" xfId="1974"/>
    <cellStyle name="Мои наименования показателей_46EE.2011" xfId="1975"/>
    <cellStyle name="Мой заголовок" xfId="1915"/>
    <cellStyle name="Мой заголовок листа" xfId="1916"/>
    <cellStyle name="Мой заголовок листа 2" xfId="1917"/>
    <cellStyle name="Мой заголовок_Новая инструкция1_фст" xfId="1918"/>
    <cellStyle name="назв фил" xfId="1976"/>
    <cellStyle name="Название 10" xfId="1977"/>
    <cellStyle name="Название 2" xfId="1978"/>
    <cellStyle name="Название 2 2" xfId="1979"/>
    <cellStyle name="Название 3" xfId="1980"/>
    <cellStyle name="Название 3 2" xfId="1981"/>
    <cellStyle name="Название 4" xfId="1982"/>
    <cellStyle name="Название 4 2" xfId="1983"/>
    <cellStyle name="Название 5" xfId="1984"/>
    <cellStyle name="Название 5 2" xfId="1985"/>
    <cellStyle name="Название 6" xfId="1986"/>
    <cellStyle name="Название 6 2" xfId="1987"/>
    <cellStyle name="Название 7" xfId="1988"/>
    <cellStyle name="Название 7 2" xfId="1989"/>
    <cellStyle name="Название 8" xfId="1990"/>
    <cellStyle name="Название 8 2" xfId="1991"/>
    <cellStyle name="Название 9" xfId="1992"/>
    <cellStyle name="Название 9 2" xfId="1993"/>
    <cellStyle name="Невидимый" xfId="1994"/>
    <cellStyle name="Нейтральный 10" xfId="1995"/>
    <cellStyle name="Нейтральный 2" xfId="1996"/>
    <cellStyle name="Нейтральный 2 2" xfId="1997"/>
    <cellStyle name="Нейтральный 3" xfId="1998"/>
    <cellStyle name="Нейтральный 3 2" xfId="1999"/>
    <cellStyle name="Нейтральный 4" xfId="2000"/>
    <cellStyle name="Нейтральный 4 2" xfId="2001"/>
    <cellStyle name="Нейтральный 5" xfId="2002"/>
    <cellStyle name="Нейтральный 5 2" xfId="2003"/>
    <cellStyle name="Нейтральный 6" xfId="2004"/>
    <cellStyle name="Нейтральный 6 2" xfId="2005"/>
    <cellStyle name="Нейтральный 7" xfId="2006"/>
    <cellStyle name="Нейтральный 7 2" xfId="2007"/>
    <cellStyle name="Нейтральный 8" xfId="2008"/>
    <cellStyle name="Нейтральный 8 2" xfId="2009"/>
    <cellStyle name="Нейтральный 9" xfId="2010"/>
    <cellStyle name="Нейтральный 9 2" xfId="2011"/>
    <cellStyle name="Низ1" xfId="2012"/>
    <cellStyle name="Низ2" xfId="2013"/>
    <cellStyle name="Обычный" xfId="0" builtinId="0"/>
    <cellStyle name="Обычный 10" xfId="2014"/>
    <cellStyle name="Обычный 11" xfId="2015"/>
    <cellStyle name="Обычный 11 2" xfId="2016"/>
    <cellStyle name="Обычный 11 3" xfId="2017"/>
    <cellStyle name="Обычный 11_46EE.2011(v1.2)" xfId="2018"/>
    <cellStyle name="Обычный 12" xfId="2019"/>
    <cellStyle name="Обычный 12 2" xfId="2020"/>
    <cellStyle name="Обычный 13" xfId="2021"/>
    <cellStyle name="Обычный 14" xfId="2022"/>
    <cellStyle name="Обычный 15" xfId="2023"/>
    <cellStyle name="Обычный 16" xfId="2024"/>
    <cellStyle name="Обычный 17" xfId="2025"/>
    <cellStyle name="Обычный 18" xfId="2026"/>
    <cellStyle name="Обычный 19" xfId="2027"/>
    <cellStyle name="Обычный 2" xfId="2028"/>
    <cellStyle name="Обычный 2 10" xfId="2029"/>
    <cellStyle name="Обычный 2 11" xfId="2030"/>
    <cellStyle name="Обычный 2 12" xfId="2031"/>
    <cellStyle name="Обычный 2 2" xfId="2032"/>
    <cellStyle name="Обычный 2 2 2" xfId="2033"/>
    <cellStyle name="Обычный 2 2 2 2" xfId="2034"/>
    <cellStyle name="Обычный 2 2 2 2 2" xfId="2430"/>
    <cellStyle name="Обычный 2 2 2 3" xfId="2035"/>
    <cellStyle name="Обычный 2 2 2 4" xfId="2036"/>
    <cellStyle name="Обычный 2 2 2 5" xfId="2037"/>
    <cellStyle name="Обычный 2 2 3" xfId="2038"/>
    <cellStyle name="Обычный 2 2 3 2" xfId="2039"/>
    <cellStyle name="Обычный 2 2 4" xfId="2040"/>
    <cellStyle name="Обычный 2 2_46EE.2011(v1.0)" xfId="2041"/>
    <cellStyle name="Обычный 2 3" xfId="2042"/>
    <cellStyle name="Обычный 2 3 2" xfId="2043"/>
    <cellStyle name="Обычный 2 3 3" xfId="2044"/>
    <cellStyle name="Обычный 2 3_46EE.2011(v1.0)" xfId="2045"/>
    <cellStyle name="Обычный 2 4" xfId="2046"/>
    <cellStyle name="Обычный 2 4 2" xfId="2047"/>
    <cellStyle name="Обычный 2 4 3" xfId="2048"/>
    <cellStyle name="Обычный 2 4_46EE.2011(v1.0)" xfId="2049"/>
    <cellStyle name="Обычный 2 5" xfId="2050"/>
    <cellStyle name="Обычный 2 5 2" xfId="2051"/>
    <cellStyle name="Обычный 2 5 3" xfId="2052"/>
    <cellStyle name="Обычный 2 5_46EE.2011(v1.0)" xfId="2053"/>
    <cellStyle name="Обычный 2 6" xfId="2054"/>
    <cellStyle name="Обычный 2 6 2" xfId="2055"/>
    <cellStyle name="Обычный 2 6 3" xfId="2056"/>
    <cellStyle name="Обычный 2 6_46EE.2011(v1.0)" xfId="2057"/>
    <cellStyle name="Обычный 2 7" xfId="2058"/>
    <cellStyle name="Обычный 2 8" xfId="2059"/>
    <cellStyle name="Обычный 2 9" xfId="2060"/>
    <cellStyle name="Обычный 2_1" xfId="2061"/>
    <cellStyle name="Обычный 20" xfId="2062"/>
    <cellStyle name="Обычный 20 2" xfId="2442"/>
    <cellStyle name="Обычный 21" xfId="2063"/>
    <cellStyle name="Обычный 21 2" xfId="2443"/>
    <cellStyle name="Обычный 22" xfId="2064"/>
    <cellStyle name="Обычный 22 2" xfId="2445"/>
    <cellStyle name="Обычный 23" xfId="2065"/>
    <cellStyle name="Обычный 23 2" xfId="2444"/>
    <cellStyle name="Обычный 24" xfId="2066"/>
    <cellStyle name="Обычный 25" xfId="2067"/>
    <cellStyle name="Обычный 26" xfId="2068"/>
    <cellStyle name="Обычный 27" xfId="2069"/>
    <cellStyle name="Обычный 28" xfId="2070"/>
    <cellStyle name="Обычный 29" xfId="2071"/>
    <cellStyle name="Обычный 3" xfId="2072"/>
    <cellStyle name="Обычный 3 2" xfId="2073"/>
    <cellStyle name="Обычный 3 2 2" xfId="2435"/>
    <cellStyle name="Обычный 3 3" xfId="2074"/>
    <cellStyle name="Обычный 3 4" xfId="2075"/>
    <cellStyle name="Обычный 3_Общехоз." xfId="2076"/>
    <cellStyle name="Обычный 30" xfId="2077"/>
    <cellStyle name="Обычный 31" xfId="2078"/>
    <cellStyle name="Обычный 32" xfId="2079"/>
    <cellStyle name="Обычный 33" xfId="2080"/>
    <cellStyle name="Обычный 34" xfId="2081"/>
    <cellStyle name="Обычный 35" xfId="2082"/>
    <cellStyle name="Обычный 36" xfId="2083"/>
    <cellStyle name="Обычный 37" xfId="2084"/>
    <cellStyle name="Обычный 38" xfId="2085"/>
    <cellStyle name="Обычный 39" xfId="2086"/>
    <cellStyle name="Обычный 4" xfId="2087"/>
    <cellStyle name="Обычный 4 2" xfId="2088"/>
    <cellStyle name="Обычный 4 2 2" xfId="2089"/>
    <cellStyle name="Обычный 4 2 3" xfId="2090"/>
    <cellStyle name="Обычный 4 2 4" xfId="2091"/>
    <cellStyle name="Обычный 4 2_46EP.2012(v0.1)" xfId="2092"/>
    <cellStyle name="Обычный 4 3" xfId="2093"/>
    <cellStyle name="Обычный 4_ARMRAZR" xfId="2094"/>
    <cellStyle name="Обычный 40" xfId="2095"/>
    <cellStyle name="Обычный 41" xfId="2096"/>
    <cellStyle name="Обычный 42" xfId="2097"/>
    <cellStyle name="Обычный 43" xfId="2098"/>
    <cellStyle name="Обычный 43 2" xfId="2431"/>
    <cellStyle name="Обычный 44" xfId="2099"/>
    <cellStyle name="Обычный 45" xfId="2432"/>
    <cellStyle name="Обычный 5" xfId="2100"/>
    <cellStyle name="Обычный 5 2" xfId="2101"/>
    <cellStyle name="Обычный 6" xfId="2102"/>
    <cellStyle name="Обычный 6 2" xfId="2103"/>
    <cellStyle name="Обычный 7" xfId="2104"/>
    <cellStyle name="Обычный 7 2" xfId="2105"/>
    <cellStyle name="Обычный 8" xfId="2106"/>
    <cellStyle name="Обычный 8 2" xfId="2107"/>
    <cellStyle name="Обычный 9" xfId="2108"/>
    <cellStyle name="Обычный 9 2" xfId="2109"/>
    <cellStyle name="Обычный_13 12 11_1 затраты+" xfId="2441"/>
    <cellStyle name="Ошибка" xfId="2110"/>
    <cellStyle name="Плохой 10" xfId="2111"/>
    <cellStyle name="Плохой 2" xfId="2112"/>
    <cellStyle name="Плохой 2 2" xfId="2113"/>
    <cellStyle name="Плохой 3" xfId="2114"/>
    <cellStyle name="Плохой 3 2" xfId="2115"/>
    <cellStyle name="Плохой 4" xfId="2116"/>
    <cellStyle name="Плохой 4 2" xfId="2117"/>
    <cellStyle name="Плохой 5" xfId="2118"/>
    <cellStyle name="Плохой 5 2" xfId="2119"/>
    <cellStyle name="Плохой 6" xfId="2120"/>
    <cellStyle name="Плохой 6 2" xfId="2121"/>
    <cellStyle name="Плохой 7" xfId="2122"/>
    <cellStyle name="Плохой 7 2" xfId="2123"/>
    <cellStyle name="Плохой 8" xfId="2124"/>
    <cellStyle name="Плохой 8 2" xfId="2125"/>
    <cellStyle name="Плохой 9" xfId="2126"/>
    <cellStyle name="Плохой 9 2" xfId="2127"/>
    <cellStyle name="По центру с переносом" xfId="2128"/>
    <cellStyle name="По центру с переносом 2" xfId="2129"/>
    <cellStyle name="По центру с переносом 3" xfId="2130"/>
    <cellStyle name="По центру с переносом 4" xfId="2131"/>
    <cellStyle name="По ширине с переносом" xfId="2132"/>
    <cellStyle name="По ширине с переносом 2" xfId="2133"/>
    <cellStyle name="По ширине с переносом 3" xfId="2134"/>
    <cellStyle name="По ширине с переносом 4" xfId="2135"/>
    <cellStyle name="Подгруппа" xfId="2136"/>
    <cellStyle name="Поле ввода" xfId="2137"/>
    <cellStyle name="Пояснение 10" xfId="2138"/>
    <cellStyle name="Пояснение 2" xfId="2139"/>
    <cellStyle name="Пояснение 2 2" xfId="2140"/>
    <cellStyle name="Пояснение 3" xfId="2141"/>
    <cellStyle name="Пояснение 3 2" xfId="2142"/>
    <cellStyle name="Пояснение 4" xfId="2143"/>
    <cellStyle name="Пояснение 4 2" xfId="2144"/>
    <cellStyle name="Пояснение 5" xfId="2145"/>
    <cellStyle name="Пояснение 5 2" xfId="2146"/>
    <cellStyle name="Пояснение 6" xfId="2147"/>
    <cellStyle name="Пояснение 6 2" xfId="2148"/>
    <cellStyle name="Пояснение 7" xfId="2149"/>
    <cellStyle name="Пояснение 7 2" xfId="2150"/>
    <cellStyle name="Пояснение 8" xfId="2151"/>
    <cellStyle name="Пояснение 8 2" xfId="2152"/>
    <cellStyle name="Пояснение 9" xfId="2153"/>
    <cellStyle name="Пояснение 9 2" xfId="2154"/>
    <cellStyle name="Примечание 10" xfId="2155"/>
    <cellStyle name="Примечание 10 2" xfId="2156"/>
    <cellStyle name="Примечание 10 3" xfId="2157"/>
    <cellStyle name="Примечание 10 4" xfId="2158"/>
    <cellStyle name="Примечание 10_46EE.2011(v1.0)" xfId="2159"/>
    <cellStyle name="Примечание 11" xfId="2160"/>
    <cellStyle name="Примечание 11 2" xfId="2161"/>
    <cellStyle name="Примечание 11 3" xfId="2162"/>
    <cellStyle name="Примечание 11 4" xfId="2163"/>
    <cellStyle name="Примечание 11_46EE.2011(v1.0)" xfId="2164"/>
    <cellStyle name="Примечание 12" xfId="2165"/>
    <cellStyle name="Примечание 12 2" xfId="2166"/>
    <cellStyle name="Примечание 12 3" xfId="2167"/>
    <cellStyle name="Примечание 12 4" xfId="2168"/>
    <cellStyle name="Примечание 12_46EE.2011(v1.0)" xfId="2169"/>
    <cellStyle name="Примечание 13" xfId="2170"/>
    <cellStyle name="Примечание 14" xfId="2171"/>
    <cellStyle name="Примечание 15" xfId="2172"/>
    <cellStyle name="Примечание 16" xfId="2173"/>
    <cellStyle name="Примечание 17" xfId="2174"/>
    <cellStyle name="Примечание 18" xfId="2175"/>
    <cellStyle name="Примечание 19" xfId="2176"/>
    <cellStyle name="Примечание 2" xfId="2177"/>
    <cellStyle name="Примечание 2 2" xfId="2178"/>
    <cellStyle name="Примечание 2 3" xfId="2179"/>
    <cellStyle name="Примечание 2 4" xfId="2180"/>
    <cellStyle name="Примечание 2 5" xfId="2181"/>
    <cellStyle name="Примечание 2 6" xfId="2182"/>
    <cellStyle name="Примечание 2 7" xfId="2183"/>
    <cellStyle name="Примечание 2 8" xfId="2184"/>
    <cellStyle name="Примечание 2 9" xfId="2185"/>
    <cellStyle name="Примечание 2_46EE.2011(v1.0)" xfId="2186"/>
    <cellStyle name="Примечание 20" xfId="2187"/>
    <cellStyle name="Примечание 21" xfId="2188"/>
    <cellStyle name="Примечание 22" xfId="2189"/>
    <cellStyle name="Примечание 23" xfId="2190"/>
    <cellStyle name="Примечание 24" xfId="2191"/>
    <cellStyle name="Примечание 25" xfId="2192"/>
    <cellStyle name="Примечание 26" xfId="2193"/>
    <cellStyle name="Примечание 27" xfId="2194"/>
    <cellStyle name="Примечание 28" xfId="2195"/>
    <cellStyle name="Примечание 29" xfId="2196"/>
    <cellStyle name="Примечание 3" xfId="2197"/>
    <cellStyle name="Примечание 3 2" xfId="2198"/>
    <cellStyle name="Примечание 3 3" xfId="2199"/>
    <cellStyle name="Примечание 3 4" xfId="2200"/>
    <cellStyle name="Примечание 3 5" xfId="2201"/>
    <cellStyle name="Примечание 3 6" xfId="2202"/>
    <cellStyle name="Примечание 3 7" xfId="2203"/>
    <cellStyle name="Примечание 3 8" xfId="2204"/>
    <cellStyle name="Примечание 3 9" xfId="2205"/>
    <cellStyle name="Примечание 3_46EE.2011(v1.0)" xfId="2206"/>
    <cellStyle name="Примечание 30" xfId="2207"/>
    <cellStyle name="Примечание 31" xfId="2208"/>
    <cellStyle name="Примечание 32" xfId="2209"/>
    <cellStyle name="Примечание 33" xfId="2210"/>
    <cellStyle name="Примечание 34" xfId="2211"/>
    <cellStyle name="Примечание 35" xfId="2212"/>
    <cellStyle name="Примечание 36" xfId="2213"/>
    <cellStyle name="Примечание 37" xfId="2214"/>
    <cellStyle name="Примечание 4" xfId="2215"/>
    <cellStyle name="Примечание 4 2" xfId="2216"/>
    <cellStyle name="Примечание 4 3" xfId="2217"/>
    <cellStyle name="Примечание 4 4" xfId="2218"/>
    <cellStyle name="Примечание 4 5" xfId="2219"/>
    <cellStyle name="Примечание 4 6" xfId="2220"/>
    <cellStyle name="Примечание 4 7" xfId="2221"/>
    <cellStyle name="Примечание 4 8" xfId="2222"/>
    <cellStyle name="Примечание 4 9" xfId="2223"/>
    <cellStyle name="Примечание 4_46EE.2011(v1.0)" xfId="2224"/>
    <cellStyle name="Примечание 5" xfId="2225"/>
    <cellStyle name="Примечание 5 2" xfId="2226"/>
    <cellStyle name="Примечание 5 3" xfId="2227"/>
    <cellStyle name="Примечание 5 4" xfId="2228"/>
    <cellStyle name="Примечание 5 5" xfId="2229"/>
    <cellStyle name="Примечание 5 6" xfId="2230"/>
    <cellStyle name="Примечание 5 7" xfId="2231"/>
    <cellStyle name="Примечание 5 8" xfId="2232"/>
    <cellStyle name="Примечание 5 9" xfId="2233"/>
    <cellStyle name="Примечание 5_46EE.2011(v1.0)" xfId="2234"/>
    <cellStyle name="Примечание 6" xfId="2235"/>
    <cellStyle name="Примечание 6 2" xfId="2236"/>
    <cellStyle name="Примечание 6_46EE.2011(v1.0)" xfId="2237"/>
    <cellStyle name="Примечание 7" xfId="2238"/>
    <cellStyle name="Примечание 7 2" xfId="2239"/>
    <cellStyle name="Примечание 7_46EE.2011(v1.0)" xfId="2240"/>
    <cellStyle name="Примечание 8" xfId="2241"/>
    <cellStyle name="Примечание 8 2" xfId="2242"/>
    <cellStyle name="Примечание 8_46EE.2011(v1.0)" xfId="2243"/>
    <cellStyle name="Примечание 9" xfId="2244"/>
    <cellStyle name="Примечание 9 2" xfId="2245"/>
    <cellStyle name="Примечание 9_46EE.2011(v1.0)" xfId="2246"/>
    <cellStyle name="Продукт" xfId="2247"/>
    <cellStyle name="Процентный" xfId="2440" builtinId="5"/>
    <cellStyle name="Процентный 10" xfId="2248"/>
    <cellStyle name="Процентный 2" xfId="2249"/>
    <cellStyle name="Процентный 2 2" xfId="2250"/>
    <cellStyle name="Процентный 2 2 2" xfId="2251"/>
    <cellStyle name="Процентный 2 2 3" xfId="2252"/>
    <cellStyle name="Процентный 2 2 4" xfId="2253"/>
    <cellStyle name="Процентный 2 3" xfId="2254"/>
    <cellStyle name="Процентный 2 3 2" xfId="2255"/>
    <cellStyle name="Процентный 2 3 3" xfId="2256"/>
    <cellStyle name="Процентный 2 3 4" xfId="2257"/>
    <cellStyle name="Процентный 2 4" xfId="2258"/>
    <cellStyle name="Процентный 2 5" xfId="2259"/>
    <cellStyle name="Процентный 2 6" xfId="2260"/>
    <cellStyle name="Процентный 3" xfId="2261"/>
    <cellStyle name="Процентный 3 2" xfId="2262"/>
    <cellStyle name="Процентный 3 3" xfId="2263"/>
    <cellStyle name="Процентный 3 4" xfId="2264"/>
    <cellStyle name="Процентный 4" xfId="2265"/>
    <cellStyle name="Процентный 4 2" xfId="2266"/>
    <cellStyle name="Процентный 4 3" xfId="2267"/>
    <cellStyle name="Процентный 4 4" xfId="2268"/>
    <cellStyle name="Процентный 5" xfId="2269"/>
    <cellStyle name="Процентный 6" xfId="2270"/>
    <cellStyle name="Процентный 7" xfId="2433"/>
    <cellStyle name="Процентный 7 2" xfId="2434"/>
    <cellStyle name="Процентный 9" xfId="2271"/>
    <cellStyle name="Разница" xfId="2272"/>
    <cellStyle name="Рамки" xfId="2273"/>
    <cellStyle name="Сводная таблица" xfId="2274"/>
    <cellStyle name="Связанная ячейка 10" xfId="2275"/>
    <cellStyle name="Связанная ячейка 2" xfId="2276"/>
    <cellStyle name="Связанная ячейка 2 2" xfId="2277"/>
    <cellStyle name="Связанная ячейка 2_46EE.2011(v1.0)" xfId="2278"/>
    <cellStyle name="Связанная ячейка 3" xfId="2279"/>
    <cellStyle name="Связанная ячейка 3 2" xfId="2280"/>
    <cellStyle name="Связанная ячейка 3_46EE.2011(v1.0)" xfId="2281"/>
    <cellStyle name="Связанная ячейка 4" xfId="2282"/>
    <cellStyle name="Связанная ячейка 4 2" xfId="2283"/>
    <cellStyle name="Связанная ячейка 4_46EE.2011(v1.0)" xfId="2284"/>
    <cellStyle name="Связанная ячейка 5" xfId="2285"/>
    <cellStyle name="Связанная ячейка 5 2" xfId="2286"/>
    <cellStyle name="Связанная ячейка 5_46EE.2011(v1.0)" xfId="2287"/>
    <cellStyle name="Связанная ячейка 6" xfId="2288"/>
    <cellStyle name="Связанная ячейка 6 2" xfId="2289"/>
    <cellStyle name="Связанная ячейка 6_46EE.2011(v1.0)" xfId="2290"/>
    <cellStyle name="Связанная ячейка 7" xfId="2291"/>
    <cellStyle name="Связанная ячейка 7 2" xfId="2292"/>
    <cellStyle name="Связанная ячейка 7_46EE.2011(v1.0)" xfId="2293"/>
    <cellStyle name="Связанная ячейка 8" xfId="2294"/>
    <cellStyle name="Связанная ячейка 8 2" xfId="2295"/>
    <cellStyle name="Связанная ячейка 8_46EE.2011(v1.0)" xfId="2296"/>
    <cellStyle name="Связанная ячейка 9" xfId="2297"/>
    <cellStyle name="Связанная ячейка 9 2" xfId="2298"/>
    <cellStyle name="Связанная ячейка 9_46EE.2011(v1.0)" xfId="2299"/>
    <cellStyle name="Стиль 1" xfId="2300"/>
    <cellStyle name="Стиль 1 2" xfId="2301"/>
    <cellStyle name="Стиль 1 2 2" xfId="2302"/>
    <cellStyle name="Стиль 1 2_46EP.2011(v2.0)" xfId="2303"/>
    <cellStyle name="Стиль 1_Новая инструкция1_фст" xfId="2304"/>
    <cellStyle name="Стиль 2" xfId="2305"/>
    <cellStyle name="Субсчет" xfId="2306"/>
    <cellStyle name="Счет" xfId="2307"/>
    <cellStyle name="ТЕКСТ" xfId="2308"/>
    <cellStyle name="ТЕКСТ 2" xfId="2309"/>
    <cellStyle name="ТЕКСТ 3" xfId="2310"/>
    <cellStyle name="ТЕКСТ 4" xfId="2311"/>
    <cellStyle name="ТЕКСТ 5" xfId="2312"/>
    <cellStyle name="ТЕКСТ 6" xfId="2313"/>
    <cellStyle name="ТЕКСТ 7" xfId="2314"/>
    <cellStyle name="ТЕКСТ 8" xfId="2315"/>
    <cellStyle name="ТЕКСТ 9" xfId="2316"/>
    <cellStyle name="Текст предупреждения 10" xfId="2317"/>
    <cellStyle name="Текст предупреждения 2" xfId="2318"/>
    <cellStyle name="Текст предупреждения 2 2" xfId="2319"/>
    <cellStyle name="Текст предупреждения 3" xfId="2320"/>
    <cellStyle name="Текст предупреждения 3 2" xfId="2321"/>
    <cellStyle name="Текст предупреждения 4" xfId="2322"/>
    <cellStyle name="Текст предупреждения 4 2" xfId="2323"/>
    <cellStyle name="Текст предупреждения 5" xfId="2324"/>
    <cellStyle name="Текст предупреждения 5 2" xfId="2325"/>
    <cellStyle name="Текст предупреждения 6" xfId="2326"/>
    <cellStyle name="Текст предупреждения 6 2" xfId="2327"/>
    <cellStyle name="Текст предупреждения 7" xfId="2328"/>
    <cellStyle name="Текст предупреждения 7 2" xfId="2329"/>
    <cellStyle name="Текст предупреждения 8" xfId="2330"/>
    <cellStyle name="Текст предупреждения 8 2" xfId="2331"/>
    <cellStyle name="Текст предупреждения 9" xfId="2332"/>
    <cellStyle name="Текст предупреждения 9 2" xfId="2333"/>
    <cellStyle name="Текстовый" xfId="2334"/>
    <cellStyle name="Текстовый 10" xfId="2335"/>
    <cellStyle name="Текстовый 11" xfId="2336"/>
    <cellStyle name="Текстовый 12" xfId="2337"/>
    <cellStyle name="Текстовый 13" xfId="2338"/>
    <cellStyle name="Текстовый 14" xfId="2339"/>
    <cellStyle name="Текстовый 15" xfId="2340"/>
    <cellStyle name="Текстовый 16" xfId="2341"/>
    <cellStyle name="Текстовый 2" xfId="2342"/>
    <cellStyle name="Текстовый 3" xfId="2343"/>
    <cellStyle name="Текстовый 4" xfId="2344"/>
    <cellStyle name="Текстовый 5" xfId="2345"/>
    <cellStyle name="Текстовый 6" xfId="2346"/>
    <cellStyle name="Текстовый 7" xfId="2347"/>
    <cellStyle name="Текстовый 8" xfId="2348"/>
    <cellStyle name="Текстовый 9" xfId="2349"/>
    <cellStyle name="Текстовый_1" xfId="2350"/>
    <cellStyle name="Тысячи [0]_ СБ$ " xfId="2351"/>
    <cellStyle name="Тысячи_ СБ$ " xfId="2352"/>
    <cellStyle name="ФИКСИРОВАННЫЙ" xfId="2353"/>
    <cellStyle name="ФИКСИРОВАННЫЙ 2" xfId="2354"/>
    <cellStyle name="ФИКСИРОВАННЫЙ 3" xfId="2355"/>
    <cellStyle name="ФИКСИРОВАННЫЙ 4" xfId="2356"/>
    <cellStyle name="ФИКСИРОВАННЫЙ 5" xfId="2357"/>
    <cellStyle name="ФИКСИРОВАННЫЙ 6" xfId="2358"/>
    <cellStyle name="ФИКСИРОВАННЫЙ 7" xfId="2359"/>
    <cellStyle name="ФИКСИРОВАННЫЙ 8" xfId="2360"/>
    <cellStyle name="ФИКСИРОВАННЫЙ 9" xfId="2361"/>
    <cellStyle name="ФИКСИРОВАННЫЙ_1" xfId="2362"/>
    <cellStyle name="Финансовый" xfId="2363" builtinId="3"/>
    <cellStyle name="Финансовый 10" xfId="2446"/>
    <cellStyle name="Финансовый 11" xfId="2447"/>
    <cellStyle name="Финансовый 2" xfId="2364"/>
    <cellStyle name="Финансовый 2 2" xfId="2365"/>
    <cellStyle name="Финансовый 2 2 2" xfId="2366"/>
    <cellStyle name="Финансовый 2 2 3" xfId="2367"/>
    <cellStyle name="Финансовый 2 2 4" xfId="2437"/>
    <cellStyle name="Финансовый 2 2_INDEX.STATION.2012(v1.0)_" xfId="2368"/>
    <cellStyle name="Финансовый 2 3" xfId="2369"/>
    <cellStyle name="Финансовый 2 4" xfId="2370"/>
    <cellStyle name="Финансовый 2 5" xfId="2436"/>
    <cellStyle name="Финансовый 2_46EE.2011(v1.0)" xfId="2371"/>
    <cellStyle name="Финансовый 3" xfId="2372"/>
    <cellStyle name="Финансовый 3 2" xfId="2373"/>
    <cellStyle name="Финансовый 3 2 2" xfId="2374"/>
    <cellStyle name="Финансовый 3 2 3" xfId="2439"/>
    <cellStyle name="Финансовый 3 2_UPDATE.MONITORING.OS.EE.2.02.TO.1.3.64" xfId="2375"/>
    <cellStyle name="Финансовый 3 3" xfId="2376"/>
    <cellStyle name="Финансовый 3 4" xfId="2377"/>
    <cellStyle name="Финансовый 3 5" xfId="2378"/>
    <cellStyle name="Финансовый 3 6" xfId="2438"/>
    <cellStyle name="Финансовый 3_ARMRAZR" xfId="2379"/>
    <cellStyle name="Финансовый 4" xfId="2380"/>
    <cellStyle name="Финансовый 4 2" xfId="2381"/>
    <cellStyle name="Финансовый 4_TEHSHEET" xfId="2382"/>
    <cellStyle name="Финансовый 5" xfId="2383"/>
    <cellStyle name="Финансовый 6" xfId="2384"/>
    <cellStyle name="Финансовый 7" xfId="2385"/>
    <cellStyle name="Финансовый 8" xfId="2386"/>
    <cellStyle name="Финансовый 9" xfId="2427"/>
    <cellStyle name="Финансовый0[0]_FU_bal" xfId="2387"/>
    <cellStyle name="Формула" xfId="2388"/>
    <cellStyle name="Формула 2" xfId="2389"/>
    <cellStyle name="Формула 3" xfId="2390"/>
    <cellStyle name="Формула_A РТ 2009 Рязаньэнерго" xfId="2391"/>
    <cellStyle name="ФормулаВБ" xfId="2392"/>
    <cellStyle name="ФормулаВБ 2" xfId="2393"/>
    <cellStyle name="ФормулаНаКонтроль" xfId="2394"/>
    <cellStyle name="ФормулаНаКонтроль 2" xfId="2395"/>
    <cellStyle name="Хороший 10" xfId="2396"/>
    <cellStyle name="Хороший 2" xfId="2397"/>
    <cellStyle name="Хороший 2 2" xfId="2398"/>
    <cellStyle name="Хороший 3" xfId="2399"/>
    <cellStyle name="Хороший 3 2" xfId="2400"/>
    <cellStyle name="Хороший 4" xfId="2401"/>
    <cellStyle name="Хороший 4 2" xfId="2402"/>
    <cellStyle name="Хороший 5" xfId="2403"/>
    <cellStyle name="Хороший 5 2" xfId="2404"/>
    <cellStyle name="Хороший 6" xfId="2405"/>
    <cellStyle name="Хороший 6 2" xfId="2406"/>
    <cellStyle name="Хороший 7" xfId="2407"/>
    <cellStyle name="Хороший 7 2" xfId="2408"/>
    <cellStyle name="Хороший 8" xfId="2409"/>
    <cellStyle name="Хороший 8 2" xfId="2410"/>
    <cellStyle name="Хороший 9" xfId="2411"/>
    <cellStyle name="Хороший 9 2" xfId="2412"/>
    <cellStyle name="Цена_продукта" xfId="2413"/>
    <cellStyle name="Цифры по центру с десятыми" xfId="2414"/>
    <cellStyle name="Цифры по центру с десятыми 2" xfId="2415"/>
    <cellStyle name="Цифры по центру с десятыми 3" xfId="2416"/>
    <cellStyle name="Цифры по центру с десятыми 4" xfId="2417"/>
    <cellStyle name="число" xfId="2418"/>
    <cellStyle name="Џђћ–…ќ’ќ›‰" xfId="2419"/>
    <cellStyle name="Џђћ–…ќ’ќ›‰ 2" xfId="2420"/>
    <cellStyle name="Шапка" xfId="2421"/>
    <cellStyle name="Шапка таблицы" xfId="2422"/>
    <cellStyle name="Шапка_4DNS.UPDATE.EXAMPLE" xfId="2423"/>
    <cellStyle name="ШАУ" xfId="2424"/>
    <cellStyle name="標準_PL-CF sheet" xfId="2425"/>
    <cellStyle name="䁺_x0001_" xfId="2426"/>
  </cellStyles>
  <dxfs count="0"/>
  <tableStyles count="0" defaultTableStyle="TableStyleMedium9" defaultPivotStyle="PivotStyleLight16"/>
  <colors>
    <mruColors>
      <color rgb="FFC5FFFF"/>
      <color rgb="FF0000CC"/>
      <color rgb="FFD6FFC9"/>
      <color rgb="FF05FF05"/>
      <color rgb="FF66FF66"/>
      <color rgb="FFDECDFF"/>
      <color rgb="FFFDE8D7"/>
      <color rgb="FFFFEDB3"/>
      <color rgb="FF66FFFF"/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7.xml"/><Relationship Id="rId18" Type="http://schemas.openxmlformats.org/officeDocument/2006/relationships/externalLink" Target="externalLinks/externalLink12.xml"/><Relationship Id="rId26" Type="http://schemas.openxmlformats.org/officeDocument/2006/relationships/externalLink" Target="externalLinks/externalLink20.xml"/><Relationship Id="rId39" Type="http://schemas.microsoft.com/office/2006/relationships/vbaProject" Target="vbaProject.bin"/><Relationship Id="rId21" Type="http://schemas.openxmlformats.org/officeDocument/2006/relationships/externalLink" Target="externalLinks/externalLink15.xml"/><Relationship Id="rId34" Type="http://schemas.openxmlformats.org/officeDocument/2006/relationships/externalLink" Target="externalLinks/externalLink28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17" Type="http://schemas.openxmlformats.org/officeDocument/2006/relationships/externalLink" Target="externalLinks/externalLink11.xml"/><Relationship Id="rId25" Type="http://schemas.openxmlformats.org/officeDocument/2006/relationships/externalLink" Target="externalLinks/externalLink19.xml"/><Relationship Id="rId33" Type="http://schemas.openxmlformats.org/officeDocument/2006/relationships/externalLink" Target="externalLinks/externalLink27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0.xml"/><Relationship Id="rId20" Type="http://schemas.openxmlformats.org/officeDocument/2006/relationships/externalLink" Target="externalLinks/externalLink14.xml"/><Relationship Id="rId29" Type="http://schemas.openxmlformats.org/officeDocument/2006/relationships/externalLink" Target="externalLinks/externalLink2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24" Type="http://schemas.openxmlformats.org/officeDocument/2006/relationships/externalLink" Target="externalLinks/externalLink18.xml"/><Relationship Id="rId32" Type="http://schemas.openxmlformats.org/officeDocument/2006/relationships/externalLink" Target="externalLinks/externalLink26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9.xml"/><Relationship Id="rId23" Type="http://schemas.openxmlformats.org/officeDocument/2006/relationships/externalLink" Target="externalLinks/externalLink17.xml"/><Relationship Id="rId28" Type="http://schemas.openxmlformats.org/officeDocument/2006/relationships/externalLink" Target="externalLinks/externalLink22.xml"/><Relationship Id="rId36" Type="http://schemas.openxmlformats.org/officeDocument/2006/relationships/styles" Target="styles.xml"/><Relationship Id="rId10" Type="http://schemas.openxmlformats.org/officeDocument/2006/relationships/externalLink" Target="externalLinks/externalLink4.xml"/><Relationship Id="rId19" Type="http://schemas.openxmlformats.org/officeDocument/2006/relationships/externalLink" Target="externalLinks/externalLink13.xml"/><Relationship Id="rId31" Type="http://schemas.openxmlformats.org/officeDocument/2006/relationships/externalLink" Target="externalLinks/externalLink2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externalLink" Target="externalLinks/externalLink8.xml"/><Relationship Id="rId22" Type="http://schemas.openxmlformats.org/officeDocument/2006/relationships/externalLink" Target="externalLinks/externalLink16.xml"/><Relationship Id="rId27" Type="http://schemas.openxmlformats.org/officeDocument/2006/relationships/externalLink" Target="externalLinks/externalLink21.xml"/><Relationship Id="rId30" Type="http://schemas.openxmlformats.org/officeDocument/2006/relationships/externalLink" Target="externalLinks/externalLink24.xml"/><Relationship Id="rId35" Type="http://schemas.openxmlformats.org/officeDocument/2006/relationships/theme" Target="theme/theme1.xml"/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ortachev\Analitzapiska\Documents%20and%20Settings\Nahimovskay\Local%20Settings\Temporary%20Internet%20Files\OLK13\V2008-2011%2081208%20var&#1050;50&#1082;&#1083;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ortachev\Analitzapiska\&#1041;&#1072;&#1083;&#1072;&#1085;&#1089;\An(EsMon)\SC_W\&#1055;&#1088;&#1086;&#1075;&#1085;&#1086;&#1079;\&#1055;&#1088;&#1086;&#1075;05_00(27.06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9DC99F4\&#1057;&#1074;&#1077;&#1088;&#1082;&#1072;2000&#1055;&#1086;&#1083;&#1080;&#1089;&#1090;&#1080;&#1083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Startup" Target="ICEBOOK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ortachev\Analitzapiska\&#1041;&#1072;&#1083;&#1072;&#1085;&#1089;\An(EsMon)\7.02.01\SC_W\&#1055;&#1088;&#1086;&#1075;&#1085;&#1086;&#1079;\&#1055;&#1088;&#1086;&#1075;05_00(27.06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elmain\common\BBS.ABS\o&amp;g\Clients\UES\2002\2002%20annual\Pack%204q%202002\pack_4q0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ortachev\Analitzapiska\&#1041;&#1072;&#1083;&#1072;&#1085;&#1089;\An(EsMon)\7.02.01\&#1061;&#1072;&#1085;&#1086;&#1074;&#1072;\&#1043;&#1088;(27.07.00)5&#1061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ortachev\Analitzapiska\&#1041;&#1072;&#1083;&#1072;&#1085;&#1089;\An(EsMon)\&#1061;&#1072;&#1085;&#1086;&#1074;&#1072;\&#1043;&#1088;(27.07.00)5&#1061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201\Users\user\DO\&#1040;&#1056;&#1061;&#1048;&#1042;\&#1055;&#1077;&#1088;&#1084;&#1101;&#1085;&#1077;&#1088;&#1075;&#1086;&#1088;&#1077;&#1084;&#1086;&#1085;&#1090;\Users\BS\&#1055;&#1086;&#1088;&#1090;%20&#1041;&#1077;&#1088;&#1077;&#1079;&#1085;&#1103;&#1082;&#1080;\OLD\RY\GOST\&#1052;&#1086;&#1080;%20&#1076;&#1086;&#1082;&#1091;&#1084;&#1077;&#1085;&#1090;&#1099;\&#1050;&#1085;&#1080;&#1075;&#1072;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&#1046;&#1077;&#1085;&#1103;\&#1058;&#1072;&#1088;&#1080;&#1092;&#1099;\&#1058;&#1072;&#1088;&#1080;&#1092;%20&#1085;&#1072;%202011\&#1069;&#1082;&#1089;&#1087;&#1077;&#1088;&#1090;&#1085;&#1099;&#1077;%20&#1086;&#1094;&#1077;&#1085;&#1082;&#1080;\&#1053;&#1072;&#1088;&#1086;-&#1060;&#1086;&#1084;&#1080;&#1085;&#1089;&#1082;&#1080;&#1081;\&#1053;&#1058;&#1069;&#1050;%20&#1050;&#1072;&#1083;&#1100;&#1082;&#1091;&#1083;&#1103;&#1094;&#1080;&#1103;%20&#1090;&#1072;&#1088;&#1080;&#1092;&#1072;%202011%20&#1085;&#1072;%20&#1090;&#1077;&#1087;&#1083;&#1086;&#1074;&#1091;&#1102;%20&#1101;&#1085;&#1077;&#1088;&#1075;&#1080;&#1102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2\Standart\Standart\Tax\Tax_Table\&#1055;&#1083;&#1072;&#1085;&#1080;&#1088;&#1086;&#1074;&#1072;&#1085;&#1080;&#1077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ortachev\Analitzapiska\&#1052;&#1086;&#1080;%20&#1076;&#1086;&#1082;&#1091;&#1084;&#1077;&#1085;&#1090;&#1099;\&#1052;&#1054;&#1041;\06-03-06\Var2.7%20(version%201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elmain\common\Documents%20and%20Settings\sentureva\&#1052;&#1086;&#1080;%20&#1076;&#1086;&#1082;&#1091;&#1084;&#1077;&#1085;&#1090;&#1099;\&#1052;&#1086;&#1080;%20&#1076;&#1086;&#1082;&#1091;&#1084;&#1077;&#1085;&#1090;&#1099;\&#1058;&#1072;&#1088;&#1080;&#1092;&#1099;%202009%20&#1075;&#1086;&#1076;\&#1052;&#1059;&#1055;%20&#1058;&#1077;&#1087;&#1083;&#1086;&#1089;&#1077;&#1090;&#1100;%20&#1075;.%20&#1050;&#1086;&#1088;&#1086;&#1083;&#1077;&#1074;%202009\&#1058;&#1077;&#1093;%20&#1086;&#1073;&#1089;&#1083;&#1091;&#1078;\&#1090;&#1072;&#1088;&#1080;&#1092;&#1099;\376-1\&#1043;&#1059;&#1055;%20&#1043;&#1052;&#1062;%20&#1043;&#1086;&#1089;&#1082;&#1086;&#1084;&#1089;&#1090;&#1072;&#1090;&#1072;\Standart\&#1058;&#1072;&#1073;&#1083;&#1080;&#1094;&#1099;\USERS\PP\Stroin\CFGU02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anova\ira_send\&#1045;&#1057;&#1052;&#1054;&#1053;2002\&#1052;&#1072;&#1090;&#1077;&#1088;&#1086;&#1074;-03.01.02\&#1041;&#1072;&#1083;&#1072;&#1085;&#1089;\An(EsMon)\7.02.01\&#1061;&#1072;&#1085;&#1086;&#1074;&#1072;\&#1043;&#1088;(27.07.00)5&#1061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anova\ira_send\&#1045;&#1057;&#1052;&#1054;&#1053;2002\&#1052;&#1072;&#1090;&#1077;&#1088;&#1086;&#1074;-03.01.02\&#1041;&#1072;&#1083;&#1072;&#1085;&#1089;\An(EsMon)\7.02.01\SC_W\&#1055;&#1088;&#1086;&#1075;&#1085;&#1086;&#1079;\&#1055;&#1088;&#1086;&#1075;05_00(27.06)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201\Users\user\DO\&#1040;&#1056;&#1061;&#1048;&#1042;\&#1055;&#1077;&#1088;&#1084;&#1101;&#1085;&#1077;&#1088;&#1075;&#1086;&#1088;&#1077;&#1084;&#1086;&#1085;&#1090;\Users\RY\&#1043;&#1060;&#1059;&#1055;%20&#1043;&#1052;&#1062;%20&#1043;&#1086;&#1089;&#1082;&#1086;&#1084;&#1089;&#1090;&#1072;&#1090;&#1072;%20&#1056;&#1086;&#1089;&#1089;&#1080;&#1080;\&#1043;&#1086;&#1089;&#1082;&#1086;&#1084;&#1089;&#1090;&#1072;&#1090;\Standart\&#1058;&#1072;&#1073;&#1083;&#1080;&#1094;&#1099;\USERS\PP\Stroin\CFGU02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anova\ira_send\&#1045;&#1057;&#1052;&#1054;&#1053;2002\&#1052;&#1072;&#1090;&#1077;&#1088;&#1086;&#1074;-03.01.02\&#1041;&#1072;&#1083;&#1072;&#1085;&#1089;\An(EsMon)\SC_W\&#1055;&#1088;&#1086;&#1075;&#1085;&#1086;&#1079;\&#1055;&#1088;&#1086;&#1075;05_00(27.06)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ortachev\Analitzapiska\&#1061;&#1072;&#1085;&#1086;&#1074;&#1072;\&#1043;&#1088;(27.07.00)5&#1061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201\Users\Standart\ClassA\USERS\AQ%20(&#1050;&#1072;&#1079;&#1099;&#1084;&#1086;&#1074;)\&#1060;&#1043;&#1059;&#1055;%20&#1050;&#1086;&#1085;&#1077;&#1079;&#1072;&#1074;&#1086;&#1076;\USERS\PP\Stroin\CFGU0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201\Users\user\DO\&#1040;&#1056;&#1061;&#1048;&#1042;\&#1055;&#1077;&#1088;&#1084;&#1101;&#1085;&#1077;&#1088;&#1075;&#1086;&#1088;&#1077;&#1084;&#1086;&#1085;&#1090;\&#1052;&#1086;&#1080;%20&#1076;&#1086;&#1082;&#1091;&#1084;&#1077;&#1085;&#1090;&#1099;\&#1050;&#1085;&#1080;&#1075;&#1072;1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283D3FB\CFGU02.xl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ortachev\Analitzapiska\&#1041;&#1072;&#1083;&#1072;&#1085;&#1089;\An(EsMon)\7.02.01\V&#1045;&#1052;_2001.5.02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ortachev\Analitzapiska\SC_W\&#1055;&#1088;&#1086;&#1075;&#1085;&#1086;&#1079;\&#1055;&#1088;&#1086;&#1075;05_00(27.06)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Users\&#1087;&#1082;\Desktop\&#1042;&#1054;&#1056;&#1054;&#1041;&#1068;&#1045;&#1042;&#1040;%20&#1050;&#1054;&#1052;&#1048;&#1058;&#1045;&#1058;\&#1055;&#1056;&#1054;&#1043;&#1056;&#1040;&#1052;&#1052;&#1048;&#1056;&#1054;&#1042;&#1040;&#1053;&#1048;&#1045;\&#1048;&#1057;&#1055;&#1056;_&#1057;&#1074;&#1086;&#1076;&#1085;&#1099;&#1077;%20&#1090;&#1072;&#1073;&#1083;&#1080;&#1094;&#1099;_&#1057;&#1058;&#1056;&#1059;&#1050;&#1058;&#1059;&#1056;&#1040;%20&#1058;&#1055;.xlsx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201\Users\AQ%20(&#1050;&#1072;&#1079;&#1099;&#1084;&#1086;&#1074;)\&#1054;&#1054;&#1054;%20&#1042;&#1053;&#1043;&#1050;\2001-1\USERS\AQ%20(&#1050;&#1072;&#1079;&#1099;&#1084;&#1086;&#1074;)\Sverka\&#1057;&#1074;&#1077;&#1088;&#1082;&#1072;2000&#1055;&#1086;&#1083;&#1080;&#1089;&#1090;&#1080;&#1083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201\Users\USERS\AQ%20(&#1050;&#1072;&#1079;&#1099;&#1084;&#1086;&#1074;)\&#1054;&#1054;&#1054;%20&#1042;&#1053;&#1043;&#1050;\2001-1\USERS\AQ%20(&#1050;&#1072;&#1079;&#1099;&#1084;&#1086;&#1074;)\Sverka\&#1057;&#1074;&#1077;&#1088;&#1082;&#1072;2000&#1055;&#1086;&#1083;&#1080;&#1089;&#1090;&#1080;&#1083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anova\ira_send\&#1045;&#1057;&#1052;&#1054;&#1053;2002\&#1052;&#1072;&#1090;&#1077;&#1088;&#1086;&#1074;-03.01.02\&#1041;&#1072;&#1083;&#1072;&#1085;&#1089;\An(EsMon)\&#1061;&#1072;&#1085;&#1086;&#1074;&#1072;\&#1043;&#1088;(27.07.00)5&#1061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&#1058;&#1040;&#1056;&#1048;&#1060;&#1067;\&#1058;&#1040;&#1056;&#1048;&#1060;&#1067;%202021%20&#1043;&#1042;&#1057;\!!!&#1058;&#1040;&#1056;&#1048;&#1060;&#1067;%20&#1043;&#1042;&#1057;%202021_&#1052;&#1054;&#1044;&#1045;&#1051;&#1068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PIfood 50"/>
      <sheetName val="ИПЦ-2011-50"/>
      <sheetName val="df04-07"/>
      <sheetName val="50 (2)"/>
      <sheetName val="Мир _цены"/>
      <sheetName val="df08-25"/>
      <sheetName val="уголь-мазут"/>
      <sheetName val="электро-11"/>
      <sheetName val="пч-25"/>
      <sheetName val="2025-ИПЦ-ЖКХ-жд"/>
      <sheetName val="1999-veca"/>
      <sheetName val="ИЦПМЭ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ОГНОЗ_1"/>
      <sheetName val="Гр5(о)"/>
      <sheetName val="2002(v2)"/>
      <sheetName val="ПР_627"/>
      <sheetName val="топография"/>
      <sheetName val="1кв."/>
      <sheetName val="2кв."/>
      <sheetName val="3кв."/>
      <sheetName val="4кв."/>
      <sheetName val="ТИТУЛ"/>
      <sheetName val="6.14"/>
      <sheetName val="ОБЩЕСТВА"/>
      <sheetName val="1.  Исходная инф. и свод"/>
      <sheetName val="план индексы"/>
      <sheetName val="Исходные данные"/>
      <sheetName val="доходы ТЭК СПБ (всего 17095,7)"/>
      <sheetName val="доходы ТЭК СПБ (всего 16463,2)"/>
      <sheetName val="доходы транзит"/>
      <sheetName val="Анализ пл.усл."/>
      <sheetName val="платные услуги"/>
      <sheetName val="Доходы за подключение"/>
      <sheetName val="т_эн и тр"/>
      <sheetName val="Эл-эн ВСЕГО"/>
      <sheetName val="Топливо ВСЕГО заявка сл 16463,2"/>
      <sheetName val="Топливо ВСЕГО 16463,2"/>
      <sheetName val="Топливо ВСЕГО заявка сл 17095,7"/>
      <sheetName val="Вода ВСЕГО 16463,2"/>
      <sheetName val="Вода ВСЕГО 17095,7"/>
      <sheetName val="Покупка"/>
      <sheetName val="Смета 2013"/>
      <sheetName val="Смета 2013 транзит"/>
      <sheetName val="расх на подключение"/>
      <sheetName val="доходы ТЭК СПБ (город 16431)"/>
      <sheetName val="доходы ТЭК СПБ (город 17064,4)"/>
      <sheetName val="доходы ТЭК СПБ (Заневка 48)"/>
      <sheetName val="доходы Кащенко"/>
      <sheetName val="расчет разницы амортиз"/>
      <sheetName val="1999-veca"/>
      <sheetName val="Заголовок"/>
      <sheetName val="Приложение 3"/>
      <sheetName val="Справочники"/>
      <sheetName val="Данные"/>
      <sheetName val="2002(v1)"/>
      <sheetName val="Параметры"/>
      <sheetName val="Лист1"/>
      <sheetName val="Текущие цены"/>
      <sheetName val="рабочий"/>
      <sheetName val="окраска"/>
      <sheetName val="тар"/>
      <sheetName val="т1.15(смета8а)"/>
      <sheetName val="Dat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Форма1"/>
      <sheetName val="Форма2"/>
      <sheetName val="Форма3"/>
      <sheetName val="Форма4"/>
      <sheetName val="Форма5"/>
      <sheetName val="Арифметика"/>
      <sheetName val="Форма1Области"/>
      <sheetName val="Форма2Области"/>
      <sheetName val="Форма3Области"/>
      <sheetName val="Форма4Области"/>
      <sheetName val="Взаимоувязка"/>
      <sheetName val="Форма6"/>
      <sheetName val="Форма5Области"/>
    </sheetNames>
    <sheetDataSet>
      <sheetData sheetId="0" refreshError="1">
        <row r="16">
          <cell r="D16">
            <v>10995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VLDProvGeneralProc"/>
      <sheetName val="modVLDProvDATA"/>
      <sheetName val="Ice"/>
      <sheetName val="Инструкция"/>
      <sheetName val="modInstruction"/>
      <sheetName val="Лог обновления"/>
      <sheetName val="Список МО"/>
      <sheetName val="ИРР"/>
      <sheetName val="ПУ"/>
      <sheetName val="СУБС ЖКУ"/>
      <sheetName val="СУБС ПИ"/>
      <sheetName val="ТФ 1"/>
      <sheetName val="НМ 1"/>
      <sheetName val="СРЕД 1"/>
      <sheetName val="МАКС 1"/>
      <sheetName val="ТФ 2"/>
      <sheetName val="НМ 2"/>
      <sheetName val="СРЕД 2"/>
      <sheetName val="МАКС 2"/>
      <sheetName val="ТФ 3"/>
      <sheetName val="НМ 3"/>
      <sheetName val="СРЕД 3"/>
      <sheetName val="МАКС 3"/>
      <sheetName val="ТФ 4"/>
      <sheetName val="НМ 4"/>
      <sheetName val="СРЕД 4"/>
      <sheetName val="МАКС 4"/>
      <sheetName val="ТФ 5"/>
      <sheetName val="НМ 5"/>
      <sheetName val="СРЕД 5"/>
      <sheetName val="МАКС 5"/>
      <sheetName val="ТФ 6"/>
      <sheetName val="НМ 6"/>
      <sheetName val="СРЕД 6"/>
      <sheetName val="МАКС 6"/>
      <sheetName val="ТФ 7"/>
      <sheetName val="НМ 7"/>
      <sheetName val="СРЕД 7"/>
      <sheetName val="МАКС 7"/>
      <sheetName val="ТФ 8"/>
      <sheetName val="НМ 8"/>
      <sheetName val="СРЕД 8"/>
      <sheetName val="МАКС 8"/>
      <sheetName val="ТФ 9"/>
      <sheetName val="НМ 9"/>
      <sheetName val="СРЕД 9"/>
      <sheetName val="МАКС 9"/>
      <sheetName val="ТФ 10"/>
      <sheetName val="НМ 10"/>
      <sheetName val="СРЕД 10"/>
      <sheetName val="МАКС 10"/>
      <sheetName val="ТФ 11"/>
      <sheetName val="НМ 11"/>
      <sheetName val="СРЕД 11"/>
      <sheetName val="МАКС 11"/>
      <sheetName val="ТФ 12"/>
      <sheetName val="НМ 12"/>
      <sheetName val="СРЕД 12"/>
      <sheetName val="МАКС 12"/>
      <sheetName val="ТФ 13"/>
      <sheetName val="НМ 13"/>
      <sheetName val="СРЕД 13"/>
      <sheetName val="МАКС 13"/>
      <sheetName val="ТФ 14"/>
      <sheetName val="НМ 14"/>
      <sheetName val="СРЕД 14"/>
      <sheetName val="МАКС 14"/>
      <sheetName val="ТФ 15"/>
      <sheetName val="НМ 15"/>
      <sheetName val="СРЕД 15"/>
      <sheetName val="МАКС 15"/>
      <sheetName val="Проверка"/>
      <sheetName val="ORG_TF"/>
      <sheetName val="VBLAG_NM"/>
      <sheetName val="tech"/>
      <sheetName val="ТФ PATTERN"/>
      <sheetName val="НМ PATTERN"/>
      <sheetName val="СРЕД PATTERN"/>
      <sheetName val="МАКС PATTERN"/>
      <sheetName val="ТФ"/>
      <sheetName val="НМ"/>
      <sheetName val="СРЕД"/>
      <sheetName val="МАКС"/>
      <sheetName val="TECHSHEET"/>
      <sheetName val="modGetGeoBase"/>
      <sheetName val="REESTR_FILTERED"/>
      <sheetName val="REESTR_ORG"/>
      <sheetName val="RP_ORG_TF"/>
      <sheetName val="BP_ORG_TF"/>
      <sheetName val="RP_NVV"/>
      <sheetName val="BP_NVV"/>
      <sheetName val="NTKU1X_LIST_MO_BY_RN"/>
      <sheetName val="NTKU1X_LIST_MO"/>
      <sheetName val="NTKU1X_CE"/>
      <sheetName val="NTKU1X_SUBS_JKU"/>
      <sheetName val="NTKU1X_SUBS_IDX"/>
      <sheetName val="NTKU1X_ORG"/>
      <sheetName val="NTKU1X_ORG_TF"/>
      <sheetName val="NTKU1X_VF"/>
      <sheetName val="NTKU1X_VF_NM"/>
      <sheetName val="NTKU1X_AVG"/>
      <sheetName val="NTKU1X_MAX"/>
      <sheetName val="NTKU1X_HOT_LINES"/>
      <sheetName val="NTKU1X_VBLAG"/>
      <sheetName val="NTKU1X_VBLAG_TOTAL"/>
      <sheetName val="REESTR_MO"/>
      <sheetName val="modVLDProv"/>
      <sheetName val="modVLDProvLIST_MO"/>
      <sheetName val="modAVG"/>
      <sheetName val="modMAX"/>
      <sheetName val="modCommandButton"/>
      <sheetName val="modListMO"/>
      <sheetName val="modfrmRegion"/>
      <sheetName val="modfrmVBLAG"/>
      <sheetName val="modfrmReestr"/>
      <sheetName val="modfrmOrg"/>
      <sheetName val="modfrmNTKU1XCheckInIsInProgress"/>
      <sheetName val="modfrmNTKU1XUpdateIsInProgress"/>
      <sheetName val="modUpdTemplMain"/>
      <sheetName val="modfrmCheckUpdates"/>
      <sheetName val="modfrmKU_LENGTH_PERIOD"/>
      <sheetName val="modfrmDateChoose"/>
      <sheetName val="modfrmNormativeDetailed"/>
      <sheetName val="modTF"/>
      <sheetName val="modNM"/>
      <sheetName val="modSUBS_JKU"/>
      <sheetName val="modSUBS_IDX"/>
      <sheetName val="modADVOCACY"/>
      <sheetName val="modCE"/>
      <sheetName val="modIHLCommandBar"/>
      <sheetName val="modfrmHEATAdditionalOrgData"/>
      <sheetName val="modfrmVSNAVOTVAdditionalOrgData"/>
      <sheetName val="modfrmHOTVSNAAdditionalOrgData"/>
      <sheetName val="modGeneralProcedures"/>
      <sheetName val="modUIButtons"/>
      <sheetName val="modInfo"/>
      <sheetName val="modfrmDynamicList"/>
      <sheetName val="modfrmORGTFList"/>
      <sheetName val="Лист1"/>
    </sheetNames>
    <sheetDataSet>
      <sheetData sheetId="0"/>
      <sheetData sheetId="1"/>
      <sheetData sheetId="2"/>
      <sheetData sheetId="3">
        <row r="3">
          <cell r="B3" t="str">
            <v>Версия 1.0.1</v>
          </cell>
        </row>
      </sheetData>
      <sheetData sheetId="4"/>
      <sheetData sheetId="5"/>
      <sheetData sheetId="6">
        <row r="69">
          <cell r="M69">
            <v>4.0999999999999996</v>
          </cell>
        </row>
        <row r="73">
          <cell r="M73">
            <v>8.1999999999999993</v>
          </cell>
        </row>
        <row r="75">
          <cell r="G75">
            <v>22</v>
          </cell>
        </row>
        <row r="77">
          <cell r="G77" t="str">
            <v>Постановление Администрации Курской области от 24 июня 2013 года № 399-ПА "О максимально допустимой доле расходов граждан на оплату жилого помещения и коммунальных услуг в совокупном доходе семьи"</v>
          </cell>
        </row>
      </sheetData>
      <sheetData sheetId="7"/>
      <sheetData sheetId="8"/>
      <sheetData sheetId="9"/>
      <sheetData sheetId="10"/>
      <sheetData sheetId="11"/>
      <sheetData sheetId="12"/>
      <sheetData sheetId="13">
        <row r="74">
          <cell r="CV74">
            <v>104.00452015694668</v>
          </cell>
          <cell r="CX74">
            <v>104.00452015694668</v>
          </cell>
        </row>
      </sheetData>
      <sheetData sheetId="14"/>
      <sheetData sheetId="15"/>
      <sheetData sheetId="16"/>
      <sheetData sheetId="17">
        <row r="75">
          <cell r="CV75">
            <v>103.98352750242191</v>
          </cell>
          <cell r="CX75">
            <v>103.98352750242191</v>
          </cell>
        </row>
      </sheetData>
      <sheetData sheetId="18"/>
      <sheetData sheetId="19"/>
      <sheetData sheetId="20"/>
      <sheetData sheetId="21">
        <row r="98">
          <cell r="CV98">
            <v>108.37147366868717</v>
          </cell>
          <cell r="CX98">
            <v>108.37147366868717</v>
          </cell>
        </row>
      </sheetData>
      <sheetData sheetId="22"/>
      <sheetData sheetId="23"/>
      <sheetData sheetId="24"/>
      <sheetData sheetId="25">
        <row r="95">
          <cell r="CV95">
            <v>99.0394037692528</v>
          </cell>
          <cell r="CX95">
            <v>99.0394037692528</v>
          </cell>
        </row>
      </sheetData>
      <sheetData sheetId="26"/>
      <sheetData sheetId="27"/>
      <sheetData sheetId="28"/>
      <sheetData sheetId="29">
        <row r="73">
          <cell r="CV73">
            <v>104.07205030190359</v>
          </cell>
          <cell r="CX73">
            <v>104.07205030190359</v>
          </cell>
        </row>
      </sheetData>
      <sheetData sheetId="30"/>
      <sheetData sheetId="31"/>
      <sheetData sheetId="32"/>
      <sheetData sheetId="33">
        <row r="79">
          <cell r="CV79">
            <v>103.64532855365709</v>
          </cell>
          <cell r="CX79">
            <v>103.64532855365709</v>
          </cell>
        </row>
      </sheetData>
      <sheetData sheetId="34"/>
      <sheetData sheetId="35"/>
      <sheetData sheetId="36"/>
      <sheetData sheetId="37">
        <row r="80">
          <cell r="CV80">
            <v>104.09531978636926</v>
          </cell>
          <cell r="CX80">
            <v>104.09531978636926</v>
          </cell>
        </row>
      </sheetData>
      <sheetData sheetId="38"/>
      <sheetData sheetId="39"/>
      <sheetData sheetId="40"/>
      <sheetData sheetId="41">
        <row r="71">
          <cell r="CV71">
            <v>103.74961371967647</v>
          </cell>
          <cell r="CX71">
            <v>103.74961371967647</v>
          </cell>
        </row>
      </sheetData>
      <sheetData sheetId="42"/>
      <sheetData sheetId="43"/>
      <sheetData sheetId="44"/>
      <sheetData sheetId="45">
        <row r="86">
          <cell r="CV86">
            <v>104.09356059838801</v>
          </cell>
          <cell r="CX86">
            <v>104.09356059838801</v>
          </cell>
        </row>
      </sheetData>
      <sheetData sheetId="46"/>
      <sheetData sheetId="47"/>
      <sheetData sheetId="48"/>
      <sheetData sheetId="49">
        <row r="88">
          <cell r="CV88">
            <v>104.04578620383751</v>
          </cell>
          <cell r="CX88">
            <v>104.04578620383751</v>
          </cell>
        </row>
      </sheetData>
      <sheetData sheetId="50"/>
      <sheetData sheetId="51"/>
      <sheetData sheetId="52"/>
      <sheetData sheetId="53">
        <row r="78">
          <cell r="CV78">
            <v>104.09059730608519</v>
          </cell>
          <cell r="CX78">
            <v>104.09059730608519</v>
          </cell>
        </row>
      </sheetData>
      <sheetData sheetId="54"/>
      <sheetData sheetId="55"/>
      <sheetData sheetId="56"/>
      <sheetData sheetId="57">
        <row r="79">
          <cell r="CV79">
            <v>104.10222846628973</v>
          </cell>
          <cell r="CX79">
            <v>104.10222846628973</v>
          </cell>
        </row>
      </sheetData>
      <sheetData sheetId="58"/>
      <sheetData sheetId="59"/>
      <sheetData sheetId="60"/>
      <sheetData sheetId="61">
        <row r="86">
          <cell r="CV86">
            <v>104.09538597007464</v>
          </cell>
          <cell r="CX86">
            <v>104.09538597007464</v>
          </cell>
        </row>
      </sheetData>
      <sheetData sheetId="62"/>
      <sheetData sheetId="63"/>
      <sheetData sheetId="64"/>
      <sheetData sheetId="65">
        <row r="78">
          <cell r="CV78">
            <v>104.09082299296257</v>
          </cell>
          <cell r="CX78">
            <v>104.09082299296257</v>
          </cell>
        </row>
      </sheetData>
      <sheetData sheetId="66"/>
      <sheetData sheetId="67"/>
      <sheetData sheetId="68"/>
      <sheetData sheetId="69">
        <row r="84">
          <cell r="CV84">
            <v>104.09554182117498</v>
          </cell>
          <cell r="CX84">
            <v>104.09554182117498</v>
          </cell>
        </row>
      </sheetData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>
        <row r="2">
          <cell r="K2">
            <v>2013</v>
          </cell>
        </row>
        <row r="3">
          <cell r="D3" t="str">
            <v>Водоотведение</v>
          </cell>
          <cell r="K3">
            <v>2014</v>
          </cell>
        </row>
        <row r="4">
          <cell r="D4" t="str">
            <v>Водоснабжение</v>
          </cell>
        </row>
        <row r="5">
          <cell r="D5" t="str">
            <v>Газоснабжение</v>
          </cell>
          <cell r="K5" t="str">
            <v>Август</v>
          </cell>
        </row>
        <row r="6">
          <cell r="D6" t="str">
            <v>Плата граждан за коммунальные услуги</v>
          </cell>
          <cell r="K6" t="str">
            <v>Декабрь</v>
          </cell>
        </row>
        <row r="7">
          <cell r="D7" t="str">
            <v xml:space="preserve">Субсидии </v>
          </cell>
          <cell r="K7" t="str">
            <v>Базовый период</v>
          </cell>
        </row>
        <row r="8">
          <cell r="D8" t="str">
            <v>ТБО</v>
          </cell>
          <cell r="K8" t="str">
            <v>Регулируемый период</v>
          </cell>
        </row>
        <row r="9">
          <cell r="D9" t="str">
            <v>Тепловая энергия</v>
          </cell>
        </row>
        <row r="10">
          <cell r="D10" t="str">
            <v>Электроснабжение</v>
          </cell>
        </row>
        <row r="14">
          <cell r="D14" t="str">
            <v>т</v>
          </cell>
        </row>
        <row r="15">
          <cell r="D15" t="str">
            <v>м3</v>
          </cell>
        </row>
        <row r="45">
          <cell r="D45" t="str">
            <v>да</v>
          </cell>
        </row>
        <row r="46">
          <cell r="D46" t="str">
            <v>нет</v>
          </cell>
        </row>
        <row r="55">
          <cell r="D55" t="str">
            <v>2-х зонная тарификация</v>
          </cell>
        </row>
        <row r="56">
          <cell r="D56" t="str">
            <v>3-х зонная тарификация</v>
          </cell>
        </row>
        <row r="87">
          <cell r="D87" t="str">
            <v>чел</v>
          </cell>
        </row>
        <row r="88">
          <cell r="D88" t="str">
            <v>м2</v>
          </cell>
        </row>
        <row r="89">
          <cell r="D89" t="str">
            <v>голов дом. жив.</v>
          </cell>
        </row>
        <row r="90">
          <cell r="D90" t="str">
            <v>ТС</v>
          </cell>
        </row>
        <row r="91">
          <cell r="D91" t="str">
            <v>иное</v>
          </cell>
        </row>
        <row r="95">
          <cell r="D95" t="str">
            <v>Тариф для населения</v>
          </cell>
        </row>
        <row r="96">
          <cell r="D96" t="str">
            <v>ЭОТ</v>
          </cell>
        </row>
        <row r="100">
          <cell r="D100" t="str">
            <v>Вода для домашних животных</v>
          </cell>
        </row>
        <row r="101">
          <cell r="D101" t="str">
            <v>Вода на уборку</v>
          </cell>
        </row>
        <row r="102">
          <cell r="D102" t="str">
            <v>Вода на хозяйственные нужды</v>
          </cell>
        </row>
        <row r="103">
          <cell r="D103" t="str">
            <v>Полив</v>
          </cell>
        </row>
        <row r="107">
          <cell r="D107" t="str">
            <v>Городское население, дома с газовыми плитами</v>
          </cell>
        </row>
        <row r="108">
          <cell r="D108" t="str">
            <v>Городское население, дома с электроплитами</v>
          </cell>
        </row>
        <row r="109">
          <cell r="D109" t="str">
            <v>Сельское население, дома с газовыми плитами</v>
          </cell>
        </row>
        <row r="110">
          <cell r="D110" t="str">
            <v>Сельское население, дома с электроплитами</v>
          </cell>
        </row>
        <row r="111">
          <cell r="D111" t="str">
            <v>Освещение территории</v>
          </cell>
        </row>
        <row r="112">
          <cell r="D112" t="str">
            <v>Освещение двора</v>
          </cell>
        </row>
        <row r="113">
          <cell r="D113" t="str">
            <v>Освещение коридоров и лестничных площадок</v>
          </cell>
        </row>
        <row r="114">
          <cell r="D114" t="str">
            <v>Освещение подъезда</v>
          </cell>
        </row>
        <row r="115">
          <cell r="D115" t="str">
            <v>Электроэнергия для работы лифта</v>
          </cell>
        </row>
        <row r="119">
          <cell r="D119" t="str">
            <v>Субсидии субъекта РФ</v>
          </cell>
        </row>
        <row r="120">
          <cell r="D120" t="str">
            <v>Субсидии муниципального образования</v>
          </cell>
        </row>
        <row r="121">
          <cell r="D121" t="str">
            <v>Субсидии субъекта РФ; Субсидии муниципального образования</v>
          </cell>
        </row>
        <row r="125">
          <cell r="D125" t="str">
            <v>дрова</v>
          </cell>
        </row>
        <row r="126">
          <cell r="D126" t="str">
            <v>уголь</v>
          </cell>
        </row>
        <row r="127">
          <cell r="D127" t="str">
            <v>уголь АМ</v>
          </cell>
        </row>
        <row r="128">
          <cell r="D128" t="str">
            <v>уголь ТПКО</v>
          </cell>
        </row>
        <row r="129">
          <cell r="D129" t="str">
            <v>уголь ССПК (ССО, ССОМ)</v>
          </cell>
        </row>
        <row r="130">
          <cell r="D130" t="str">
            <v>иное</v>
          </cell>
        </row>
        <row r="134">
          <cell r="D134" t="str">
            <v>реализуемый в баллонах без доставки до потребителя</v>
          </cell>
        </row>
        <row r="135">
          <cell r="D135" t="str">
            <v>реализуемый в баллонах с доставкой до потребителя</v>
          </cell>
        </row>
        <row r="136">
          <cell r="D136" t="str">
            <v>реализуемый в баллонах с места промежуточного хранения</v>
          </cell>
        </row>
        <row r="137">
          <cell r="D137" t="str">
            <v>реализуемый из групповых резервуарных установок</v>
          </cell>
        </row>
        <row r="138">
          <cell r="D138" t="str">
            <v>иное</v>
          </cell>
        </row>
        <row r="142">
          <cell r="D142" t="str">
            <v>перекрёстное субсидирование между населением и другими группами</v>
          </cell>
        </row>
        <row r="143">
          <cell r="D143" t="str">
            <v>тариф для населения не доведён до ЭОУ (осуществляется возмещение затрат организации)</v>
          </cell>
        </row>
        <row r="144">
          <cell r="D144" t="str">
            <v>другое</v>
          </cell>
        </row>
        <row r="148">
          <cell r="D148" t="str">
            <v>новая организация</v>
          </cell>
        </row>
        <row r="149">
          <cell r="D149" t="str">
            <v>доведение до ЭОУ</v>
          </cell>
        </row>
        <row r="150">
          <cell r="D150" t="str">
            <v>другое</v>
          </cell>
        </row>
        <row r="154">
          <cell r="D154" t="str">
            <v>мониторинг плановых показателей</v>
          </cell>
        </row>
        <row r="155">
          <cell r="D155" t="str">
            <v>тариф для населения (льготный тариф) не указан в мониторинге плановых показателей</v>
          </cell>
        </row>
        <row r="156">
          <cell r="D156" t="str">
            <v>другой</v>
          </cell>
        </row>
        <row r="160">
          <cell r="D160" t="str">
            <v>да</v>
          </cell>
        </row>
        <row r="161">
          <cell r="D161" t="str">
            <v>нет</v>
          </cell>
        </row>
        <row r="165">
          <cell r="D165" t="str">
            <v>Новое решение</v>
          </cell>
        </row>
        <row r="166">
          <cell r="D166" t="str">
            <v>Исправления в соответствии с предписанием КРУ</v>
          </cell>
        </row>
        <row r="167">
          <cell r="D167" t="str">
            <v>Перерегулирование</v>
          </cell>
        </row>
        <row r="168">
          <cell r="D168" t="str">
            <v>Старое решение</v>
          </cell>
        </row>
        <row r="169">
          <cell r="D169" t="str">
            <v>Иное</v>
          </cell>
        </row>
        <row r="173">
          <cell r="D173" t="str">
            <v>постановление</v>
          </cell>
        </row>
        <row r="174">
          <cell r="D174" t="str">
            <v>распоряжение</v>
          </cell>
        </row>
        <row r="175">
          <cell r="D175" t="str">
            <v>решение</v>
          </cell>
        </row>
        <row r="176">
          <cell r="D176" t="str">
            <v>приказ</v>
          </cell>
        </row>
        <row r="177">
          <cell r="D177" t="str">
            <v>иное</v>
          </cell>
        </row>
      </sheetData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>
        <row r="2">
          <cell r="D2" t="str">
            <v>Беловский муниципальный район</v>
          </cell>
        </row>
        <row r="3">
          <cell r="D3" t="str">
            <v>Большесолдатский муниципальный район</v>
          </cell>
        </row>
        <row r="4">
          <cell r="D4" t="str">
            <v>Глушковский муниципальный район</v>
          </cell>
        </row>
        <row r="5">
          <cell r="D5" t="str">
            <v>Горшеченский муниципальный район</v>
          </cell>
        </row>
        <row r="6">
          <cell r="D6" t="str">
            <v>Дмитриевский муниципальный район</v>
          </cell>
        </row>
        <row r="7">
          <cell r="D7" t="str">
            <v>Железногорский муниципальный район</v>
          </cell>
        </row>
        <row r="8">
          <cell r="D8" t="str">
            <v>Золотухинский муниципальный район</v>
          </cell>
        </row>
        <row r="9">
          <cell r="D9" t="str">
            <v>Касторенский муниципальный район</v>
          </cell>
        </row>
        <row r="10">
          <cell r="D10" t="str">
            <v>Конышевский муниципальный район</v>
          </cell>
        </row>
        <row r="11">
          <cell r="D11" t="str">
            <v>Кореневский муниципальный район</v>
          </cell>
        </row>
        <row r="12">
          <cell r="D12" t="str">
            <v>Курский муниципальный район</v>
          </cell>
        </row>
        <row r="13">
          <cell r="D13" t="str">
            <v>Курчатовский муниципальный район</v>
          </cell>
        </row>
        <row r="14">
          <cell r="D14" t="str">
            <v>Льговский муниципальный район</v>
          </cell>
        </row>
        <row r="15">
          <cell r="D15" t="str">
            <v>Мантуровский муниципальный район</v>
          </cell>
        </row>
        <row r="16">
          <cell r="D16" t="str">
            <v>Медвенский муниципальный район</v>
          </cell>
        </row>
        <row r="17">
          <cell r="D17" t="str">
            <v>Обоянский муниципальный район</v>
          </cell>
        </row>
        <row r="18">
          <cell r="D18" t="str">
            <v>Октябрьский муниципальный район</v>
          </cell>
        </row>
        <row r="19">
          <cell r="D19" t="str">
            <v>Поныровский муниципальный район</v>
          </cell>
        </row>
        <row r="20">
          <cell r="D20" t="str">
            <v>Пристенский муниципальный район</v>
          </cell>
        </row>
        <row r="21">
          <cell r="D21" t="str">
            <v>Рыльский муниципальный район</v>
          </cell>
        </row>
        <row r="22">
          <cell r="D22" t="str">
            <v>Советский муниципальный район</v>
          </cell>
        </row>
        <row r="23">
          <cell r="D23" t="str">
            <v>Солнцевский муниципальный район</v>
          </cell>
        </row>
        <row r="24">
          <cell r="D24" t="str">
            <v>Суджанский муниципальный район</v>
          </cell>
        </row>
        <row r="25">
          <cell r="B25" t="str">
            <v>Алексеевский сельсовет</v>
          </cell>
          <cell r="D25" t="str">
            <v>Тимский муниципальный район</v>
          </cell>
        </row>
        <row r="26">
          <cell r="B26" t="str">
            <v>Веселовский сельсовет</v>
          </cell>
          <cell r="D26" t="str">
            <v>Фатежский муниципальный район</v>
          </cell>
        </row>
        <row r="27">
          <cell r="B27" t="str">
            <v>Глушковский муниципальный район</v>
          </cell>
          <cell r="D27" t="str">
            <v>Хомутовский муниципальный район</v>
          </cell>
        </row>
        <row r="28">
          <cell r="B28" t="str">
            <v>Званновский сельсовет</v>
          </cell>
          <cell r="D28" t="str">
            <v>Черемисиновский муниципальный район</v>
          </cell>
        </row>
        <row r="29">
          <cell r="B29" t="str">
            <v>Карыжский сельсовет</v>
          </cell>
          <cell r="D29" t="str">
            <v>Щигровский муниципальный район</v>
          </cell>
        </row>
        <row r="30">
          <cell r="B30" t="str">
            <v>Кобыльский сельсовет</v>
          </cell>
          <cell r="D30" t="str">
            <v>город Железногорск</v>
          </cell>
        </row>
        <row r="31">
          <cell r="B31" t="str">
            <v>Коровяковский сельсовет</v>
          </cell>
          <cell r="D31" t="str">
            <v>город Курск</v>
          </cell>
        </row>
        <row r="32">
          <cell r="B32" t="str">
            <v>Кульбакинский сельсовет</v>
          </cell>
          <cell r="D32" t="str">
            <v>город Курчатов</v>
          </cell>
        </row>
        <row r="33">
          <cell r="B33" t="str">
            <v>Марковский сельсовет</v>
          </cell>
          <cell r="D33" t="str">
            <v>город Льгов</v>
          </cell>
        </row>
        <row r="34">
          <cell r="B34" t="str">
            <v>Нижнемордокский сельсовет</v>
          </cell>
          <cell r="D34" t="str">
            <v>город Щигры</v>
          </cell>
        </row>
        <row r="35">
          <cell r="B35" t="str">
            <v>Попово-Лежачанский сельсовет</v>
          </cell>
        </row>
        <row r="36">
          <cell r="B36" t="str">
            <v>Сухиновский сельсовет</v>
          </cell>
        </row>
        <row r="37">
          <cell r="B37" t="str">
            <v>поселок Глушково</v>
          </cell>
        </row>
        <row r="38">
          <cell r="B38" t="str">
            <v>поселок Теткино</v>
          </cell>
        </row>
        <row r="39">
          <cell r="B39" t="str">
            <v>Богатыревский сельсовет</v>
          </cell>
        </row>
        <row r="40">
          <cell r="B40" t="str">
            <v>Быковский сельсовет</v>
          </cell>
        </row>
        <row r="41">
          <cell r="B41" t="str">
            <v>Горшеченский муниципальный район</v>
          </cell>
        </row>
        <row r="42">
          <cell r="B42" t="str">
            <v>Знаменский сельсовет</v>
          </cell>
        </row>
        <row r="43">
          <cell r="B43" t="str">
            <v>Ключевский сельсовет</v>
          </cell>
        </row>
        <row r="44">
          <cell r="B44" t="str">
            <v>Куньевский сельсовет</v>
          </cell>
        </row>
        <row r="45">
          <cell r="B45" t="str">
            <v>Нижнеборковский сельсовет</v>
          </cell>
        </row>
        <row r="46">
          <cell r="B46" t="str">
            <v>Никольский сельсовет</v>
          </cell>
        </row>
        <row r="47">
          <cell r="B47" t="str">
            <v>Новомеловский сельсовет</v>
          </cell>
        </row>
        <row r="48">
          <cell r="B48" t="str">
            <v>Солдатский сельсовет</v>
          </cell>
        </row>
        <row r="49">
          <cell r="B49" t="str">
            <v>Сосновский сельсовет</v>
          </cell>
        </row>
        <row r="50">
          <cell r="B50" t="str">
            <v>Среднеапоченский сельсовет</v>
          </cell>
        </row>
        <row r="51">
          <cell r="B51" t="str">
            <v>Старороговский сельсовет</v>
          </cell>
        </row>
        <row r="52">
          <cell r="B52" t="str">
            <v>Удобенский сельсовет</v>
          </cell>
        </row>
        <row r="53">
          <cell r="B53" t="str">
            <v>Ясеновский сельсовет</v>
          </cell>
        </row>
        <row r="54">
          <cell r="B54" t="str">
            <v>поселок Горшечное</v>
          </cell>
        </row>
      </sheetData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ОГНОЗ_1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онтрольный лист"/>
      <sheetName val="Ошибки"/>
      <sheetName val="F1"/>
      <sheetName val="F2"/>
      <sheetName val="1"/>
      <sheetName val="2"/>
      <sheetName val="2a"/>
      <sheetName val="2-1"/>
      <sheetName val="2-2"/>
      <sheetName val="3"/>
      <sheetName val="3а"/>
      <sheetName val="4"/>
      <sheetName val="5а"/>
      <sheetName val="5"/>
      <sheetName val="6"/>
      <sheetName val="7"/>
      <sheetName val="8"/>
      <sheetName val="9"/>
      <sheetName val="10"/>
      <sheetName val="11"/>
      <sheetName val="12"/>
      <sheetName val="12-1"/>
      <sheetName val="12-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a"/>
      <sheetName val="23"/>
      <sheetName val="24"/>
      <sheetName val="25"/>
      <sheetName val="25a"/>
      <sheetName val="26"/>
      <sheetName val="27"/>
      <sheetName val="28"/>
      <sheetName val="29"/>
      <sheetName val="30"/>
      <sheetName val="31"/>
      <sheetName val="Список"/>
      <sheetName val="Контрольный_лист2"/>
      <sheetName val="Контрольный_лист1"/>
      <sheetName val="Контрольный_лист"/>
      <sheetName val="Контрольный_лист3"/>
      <sheetName val="Контрольный_лист4"/>
      <sheetName val="Контрольный_лист5"/>
      <sheetName val="Контрольный_лист6"/>
      <sheetName val="Контрольный_лист7"/>
      <sheetName val="Контрольный_лист8"/>
    </sheetNames>
    <sheetDataSet>
      <sheetData sheetId="0"/>
      <sheetData sheetId="1" refreshError="1"/>
      <sheetData sheetId="2"/>
      <sheetData sheetId="3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р5(о)"/>
      <sheetName val="Гр1(98_00)"/>
      <sheetName val="Гр1(99_00)"/>
      <sheetName val="Гр2"/>
      <sheetName val="Гр2(06)"/>
      <sheetName val="Гр3"/>
      <sheetName val="Прод(Непр)"/>
      <sheetName val="Гр4"/>
      <sheetName val="Гр4(06)"/>
      <sheetName val="Гр6"/>
      <sheetName val="ПРОГНОЗ_1"/>
      <sheetName val="Огл. Графиков"/>
      <sheetName val="рабочий"/>
      <sheetName val="Текущие цены"/>
      <sheetName val="окраска"/>
      <sheetName val="Управление"/>
      <sheetName val="multilats"/>
      <sheetName val="XLR_NoRangeSheet"/>
      <sheetName val="6.12"/>
      <sheetName val="ТИТУЛ"/>
      <sheetName val="6.14"/>
      <sheetName val="ОБЩЕСТВА"/>
      <sheetName val="6.7"/>
      <sheetName val="6.8"/>
      <sheetName val="6.9.2"/>
      <sheetName val="6.9.1"/>
      <sheetName val="6.9"/>
      <sheetName val="6.10.1"/>
      <sheetName val="6.22"/>
      <sheetName val="6.17"/>
      <sheetName val="6.15"/>
      <sheetName val="6.11.1"/>
      <sheetName val="6.19"/>
      <sheetName val="6.20"/>
      <sheetName val="6.28"/>
      <sheetName val="6.5.1_ТНП"/>
      <sheetName val="6.13"/>
      <sheetName val="6.23"/>
      <sheetName val="6.24"/>
      <sheetName val="6.21"/>
      <sheetName val="TSheet"/>
      <sheetName val="Лист1"/>
      <sheetName val="ИТ-бюджет"/>
      <sheetName val="Исходные данные"/>
      <sheetName val="Общехозяйственные расходы"/>
      <sheetName val="Штатное"/>
      <sheetName val="10"/>
      <sheetName val="Огл__Графиков"/>
      <sheetName val="Текущие_цены"/>
      <sheetName val="2002(v1)"/>
      <sheetName val="Проект"/>
      <sheetName val="12июля"/>
      <sheetName val="Гр5_о_"/>
      <sheetName val="6_12"/>
      <sheetName val="6_14"/>
      <sheetName val="6_7"/>
      <sheetName val="6_8"/>
      <sheetName val="6_9_2"/>
      <sheetName val="6_9_1"/>
      <sheetName val="6_9"/>
      <sheetName val="6_10_1"/>
      <sheetName val="6_22"/>
      <sheetName val="6_17"/>
      <sheetName val="6_15"/>
      <sheetName val="6_11_1"/>
      <sheetName val="6_19"/>
      <sheetName val="6_20"/>
      <sheetName val="6_28"/>
      <sheetName val="6_5_1_ТНП"/>
      <sheetName val="6_13"/>
      <sheetName val="6_23"/>
      <sheetName val="6_24"/>
      <sheetName val="6_21"/>
      <sheetName val="Lists"/>
      <sheetName val="Форма1"/>
      <sheetName val="Форма2"/>
      <sheetName val="BS_ias"/>
      <sheetName val="Сумм"/>
      <sheetName val="Титульный"/>
      <sheetName val="TEHSHEET"/>
      <sheetName val="1.10.9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р5(о)"/>
      <sheetName val="Гр1(98_00)"/>
      <sheetName val="Гр1(99_00)"/>
      <sheetName val="Гр2"/>
      <sheetName val="Гр2(06)"/>
      <sheetName val="Гр3"/>
      <sheetName val="Прод(Непр)"/>
      <sheetName val="Гр4"/>
      <sheetName val="Гр4(06)"/>
      <sheetName val="Гр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ARTA"/>
      <sheetName val="Книга1"/>
    </sheetNames>
    <sheetDataSet>
      <sheetData sheetId="0" refreshError="1">
        <row r="1">
          <cell r="A1" t="str">
            <v>PODKRT</v>
          </cell>
          <cell r="B1" t="str">
            <v>MOLKRT</v>
          </cell>
          <cell r="C1" t="str">
            <v>INVKRT</v>
          </cell>
          <cell r="D1" t="str">
            <v>NA1KRT</v>
          </cell>
          <cell r="E1" t="str">
            <v>NA2KRT</v>
          </cell>
          <cell r="F1" t="str">
            <v>NA3KRT</v>
          </cell>
          <cell r="G1" t="str">
            <v>OPRKRT</v>
          </cell>
          <cell r="H1" t="str">
            <v>PSTKRT</v>
          </cell>
          <cell r="I1" t="str">
            <v>IZPKRT</v>
          </cell>
          <cell r="J1" t="str">
            <v>STOKRT</v>
          </cell>
          <cell r="K1" t="str">
            <v>KOEFKRT</v>
          </cell>
          <cell r="L1" t="str">
            <v>ZATKRT</v>
          </cell>
          <cell r="M1" t="str">
            <v>OTHKRT</v>
          </cell>
          <cell r="N1" t="str">
            <v>KODKRT</v>
          </cell>
          <cell r="O1" t="str">
            <v>GRIKRT</v>
          </cell>
          <cell r="P1" t="str">
            <v>NOVKRT</v>
          </cell>
          <cell r="Q1" t="str">
            <v>NOKKRT</v>
          </cell>
          <cell r="R1" t="str">
            <v>OTRKRT</v>
          </cell>
          <cell r="S1" t="str">
            <v>VIDKRT</v>
          </cell>
          <cell r="T1" t="str">
            <v>DTVKRT</v>
          </cell>
          <cell r="U1" t="str">
            <v>DVMKRT</v>
          </cell>
          <cell r="V1" t="str">
            <v>DVGKRT</v>
          </cell>
          <cell r="W1" t="str">
            <v>DPMKRT</v>
          </cell>
          <cell r="X1" t="str">
            <v>DPGKRT</v>
          </cell>
          <cell r="Y1" t="str">
            <v>DIMKRT</v>
          </cell>
          <cell r="Z1" t="str">
            <v>DIGKRT</v>
          </cell>
          <cell r="AA1" t="str">
            <v>PRUKRT</v>
          </cell>
          <cell r="AB1" t="str">
            <v>OPUKRT</v>
          </cell>
          <cell r="AC1" t="str">
            <v>MUBKRT</v>
          </cell>
          <cell r="AD1" t="str">
            <v>PRZKRT</v>
          </cell>
          <cell r="AE1" t="str">
            <v>PDMKRT</v>
          </cell>
          <cell r="AF1" t="str">
            <v>UCHKRT</v>
          </cell>
          <cell r="AG1" t="str">
            <v>ST0197</v>
          </cell>
          <cell r="AH1" t="str">
            <v>KOEFG</v>
          </cell>
          <cell r="AI1" t="str">
            <v>SUM5KRT</v>
          </cell>
          <cell r="AJ1" t="str">
            <v>IZN5KRT</v>
          </cell>
        </row>
        <row r="2">
          <cell r="A2" t="str">
            <v>16</v>
          </cell>
          <cell r="B2" t="str">
            <v>06</v>
          </cell>
          <cell r="C2" t="str">
            <v>11</v>
          </cell>
          <cell r="D2" t="str">
            <v>Емкость под ГСМ</v>
          </cell>
          <cell r="E2" t="str">
            <v>металлич. 25 м куб</v>
          </cell>
          <cell r="G2" t="str">
            <v>01</v>
          </cell>
          <cell r="H2">
            <v>9532.26</v>
          </cell>
          <cell r="I2">
            <v>4003.59</v>
          </cell>
          <cell r="J2">
            <v>0</v>
          </cell>
          <cell r="K2">
            <v>1.27</v>
          </cell>
          <cell r="L2" t="str">
            <v>88/1</v>
          </cell>
          <cell r="M2" t="str">
            <v>20236</v>
          </cell>
          <cell r="N2" t="str">
            <v>14 2918512</v>
          </cell>
          <cell r="O2" t="str">
            <v>03</v>
          </cell>
          <cell r="P2">
            <v>2.8</v>
          </cell>
          <cell r="Q2">
            <v>0</v>
          </cell>
          <cell r="R2" t="str">
            <v>1</v>
          </cell>
          <cell r="S2" t="str">
            <v>20</v>
          </cell>
          <cell r="T2">
            <v>79</v>
          </cell>
          <cell r="U2">
            <v>12</v>
          </cell>
          <cell r="V2">
            <v>79</v>
          </cell>
          <cell r="W2">
            <v>12</v>
          </cell>
          <cell r="X2">
            <v>79</v>
          </cell>
          <cell r="AF2" t="str">
            <v>16</v>
          </cell>
          <cell r="AI2">
            <v>7505716</v>
          </cell>
          <cell r="AJ2">
            <v>3782917.14</v>
          </cell>
        </row>
        <row r="3">
          <cell r="A3" t="str">
            <v>16</v>
          </cell>
          <cell r="B3" t="str">
            <v>06</v>
          </cell>
          <cell r="C3" t="str">
            <v>17</v>
          </cell>
          <cell r="D3" t="str">
            <v>ЛЭП воздушная</v>
          </cell>
          <cell r="E3" t="str">
            <v>350 м</v>
          </cell>
          <cell r="G3" t="str">
            <v>01</v>
          </cell>
          <cell r="H3">
            <v>54370</v>
          </cell>
          <cell r="I3">
            <v>23650.95</v>
          </cell>
          <cell r="J3">
            <v>0</v>
          </cell>
          <cell r="K3">
            <v>1.22</v>
          </cell>
          <cell r="L3" t="str">
            <v>88/1</v>
          </cell>
          <cell r="M3" t="str">
            <v>30006</v>
          </cell>
          <cell r="N3" t="str">
            <v>14 3131101</v>
          </cell>
          <cell r="O3" t="str">
            <v>05</v>
          </cell>
          <cell r="P3">
            <v>3</v>
          </cell>
          <cell r="Q3">
            <v>0</v>
          </cell>
          <cell r="R3" t="str">
            <v>1</v>
          </cell>
          <cell r="S3" t="str">
            <v>30</v>
          </cell>
          <cell r="T3">
            <v>80</v>
          </cell>
          <cell r="U3">
            <v>6</v>
          </cell>
          <cell r="V3">
            <v>80</v>
          </cell>
          <cell r="W3">
            <v>6</v>
          </cell>
          <cell r="X3">
            <v>80</v>
          </cell>
          <cell r="AF3" t="str">
            <v>16</v>
          </cell>
          <cell r="AI3">
            <v>44550272</v>
          </cell>
          <cell r="AJ3">
            <v>23388892.800000001</v>
          </cell>
        </row>
        <row r="4">
          <cell r="A4" t="str">
            <v>02</v>
          </cell>
          <cell r="B4" t="str">
            <v>05</v>
          </cell>
          <cell r="C4" t="str">
            <v>42</v>
          </cell>
          <cell r="D4" t="str">
            <v>Трактор Т-170</v>
          </cell>
          <cell r="G4" t="str">
            <v>01</v>
          </cell>
          <cell r="H4">
            <v>141183</v>
          </cell>
          <cell r="I4">
            <v>71826.850000000006</v>
          </cell>
          <cell r="J4">
            <v>0</v>
          </cell>
          <cell r="K4">
            <v>1.26</v>
          </cell>
          <cell r="L4" t="str">
            <v>20</v>
          </cell>
          <cell r="M4" t="str">
            <v>40611</v>
          </cell>
          <cell r="N4" t="str">
            <v>14 2918103</v>
          </cell>
          <cell r="O4" t="str">
            <v>067</v>
          </cell>
          <cell r="P4">
            <v>11.1</v>
          </cell>
          <cell r="Q4">
            <v>0</v>
          </cell>
          <cell r="R4" t="str">
            <v>1</v>
          </cell>
          <cell r="S4" t="str">
            <v>40</v>
          </cell>
          <cell r="T4">
            <v>0</v>
          </cell>
          <cell r="U4">
            <v>5</v>
          </cell>
          <cell r="V4">
            <v>90</v>
          </cell>
          <cell r="W4">
            <v>5</v>
          </cell>
          <cell r="X4">
            <v>90</v>
          </cell>
          <cell r="AB4" t="str">
            <v>14</v>
          </cell>
          <cell r="AC4">
            <v>10</v>
          </cell>
          <cell r="AF4" t="str">
            <v>00</v>
          </cell>
          <cell r="AI4">
            <v>111934156</v>
          </cell>
          <cell r="AJ4">
            <v>94220575.599999994</v>
          </cell>
        </row>
        <row r="5">
          <cell r="A5" t="str">
            <v>16</v>
          </cell>
          <cell r="B5" t="str">
            <v>06</v>
          </cell>
          <cell r="C5" t="str">
            <v>44</v>
          </cell>
          <cell r="D5" t="str">
            <v>Домик дачный деревян</v>
          </cell>
          <cell r="E5" t="str">
            <v>ный 5 х 4</v>
          </cell>
          <cell r="F5" t="str">
            <v>3-х местный</v>
          </cell>
          <cell r="G5" t="str">
            <v>01</v>
          </cell>
          <cell r="H5">
            <v>16176.06</v>
          </cell>
          <cell r="I5">
            <v>16176.06</v>
          </cell>
          <cell r="J5">
            <v>0</v>
          </cell>
          <cell r="K5">
            <v>1.1299999999999999</v>
          </cell>
          <cell r="L5" t="str">
            <v>88/1</v>
          </cell>
          <cell r="M5" t="str">
            <v>10007</v>
          </cell>
          <cell r="N5" t="str">
            <v>13 2022231</v>
          </cell>
          <cell r="O5" t="str">
            <v>01</v>
          </cell>
          <cell r="P5">
            <v>9.8000000000000007</v>
          </cell>
          <cell r="Q5">
            <v>0</v>
          </cell>
          <cell r="R5" t="str">
            <v>1</v>
          </cell>
          <cell r="S5" t="str">
            <v>10</v>
          </cell>
          <cell r="T5">
            <v>79</v>
          </cell>
          <cell r="U5">
            <v>7</v>
          </cell>
          <cell r="V5">
            <v>79</v>
          </cell>
          <cell r="W5">
            <v>7</v>
          </cell>
          <cell r="X5">
            <v>79</v>
          </cell>
          <cell r="AA5" t="str">
            <v>1</v>
          </cell>
          <cell r="AB5" t="str">
            <v>15</v>
          </cell>
          <cell r="AC5">
            <v>7</v>
          </cell>
          <cell r="AF5" t="str">
            <v>16</v>
          </cell>
          <cell r="AI5">
            <v>14308764</v>
          </cell>
          <cell r="AJ5">
            <v>14308764</v>
          </cell>
        </row>
        <row r="6">
          <cell r="A6" t="str">
            <v>16</v>
          </cell>
          <cell r="B6" t="str">
            <v>06</v>
          </cell>
          <cell r="C6" t="str">
            <v>45</v>
          </cell>
          <cell r="D6" t="str">
            <v>Домик з-х местный</v>
          </cell>
          <cell r="E6" t="str">
            <v>деревянный 5 х 4</v>
          </cell>
          <cell r="G6" t="str">
            <v>01</v>
          </cell>
          <cell r="H6">
            <v>23540</v>
          </cell>
          <cell r="I6">
            <v>23540</v>
          </cell>
          <cell r="J6">
            <v>0</v>
          </cell>
          <cell r="K6">
            <v>1.1299999999999999</v>
          </cell>
          <cell r="L6" t="str">
            <v>88/1</v>
          </cell>
          <cell r="M6" t="str">
            <v>10007</v>
          </cell>
          <cell r="N6" t="str">
            <v>13 2022231</v>
          </cell>
          <cell r="O6" t="str">
            <v>01</v>
          </cell>
          <cell r="P6">
            <v>9.8000000000000007</v>
          </cell>
          <cell r="Q6">
            <v>0</v>
          </cell>
          <cell r="R6" t="str">
            <v>1</v>
          </cell>
          <cell r="S6" t="str">
            <v>10</v>
          </cell>
          <cell r="T6">
            <v>81</v>
          </cell>
          <cell r="U6">
            <v>6</v>
          </cell>
          <cell r="V6">
            <v>81</v>
          </cell>
          <cell r="W6">
            <v>6</v>
          </cell>
          <cell r="X6">
            <v>81</v>
          </cell>
          <cell r="AA6" t="str">
            <v>1</v>
          </cell>
          <cell r="AB6" t="str">
            <v>15</v>
          </cell>
          <cell r="AC6">
            <v>7</v>
          </cell>
          <cell r="AF6" t="str">
            <v>16</v>
          </cell>
          <cell r="AI6">
            <v>20812138</v>
          </cell>
          <cell r="AJ6">
            <v>20812138</v>
          </cell>
        </row>
        <row r="7">
          <cell r="A7" t="str">
            <v>16</v>
          </cell>
          <cell r="B7" t="str">
            <v>06</v>
          </cell>
          <cell r="C7" t="str">
            <v>46</v>
          </cell>
          <cell r="D7" t="str">
            <v>Домик з-х местный</v>
          </cell>
          <cell r="E7" t="str">
            <v>деревянный 5 х 4</v>
          </cell>
          <cell r="G7" t="str">
            <v>01</v>
          </cell>
          <cell r="H7">
            <v>23540</v>
          </cell>
          <cell r="I7">
            <v>23540</v>
          </cell>
          <cell r="J7">
            <v>0</v>
          </cell>
          <cell r="K7">
            <v>1.1299999999999999</v>
          </cell>
          <cell r="L7" t="str">
            <v>88/1</v>
          </cell>
          <cell r="M7" t="str">
            <v>10007</v>
          </cell>
          <cell r="N7" t="str">
            <v>13 2022231</v>
          </cell>
          <cell r="O7" t="str">
            <v>01</v>
          </cell>
          <cell r="P7">
            <v>9.8000000000000007</v>
          </cell>
          <cell r="Q7">
            <v>0</v>
          </cell>
          <cell r="R7" t="str">
            <v>1</v>
          </cell>
          <cell r="S7" t="str">
            <v>10</v>
          </cell>
          <cell r="T7">
            <v>81</v>
          </cell>
          <cell r="U7">
            <v>6</v>
          </cell>
          <cell r="V7">
            <v>81</v>
          </cell>
          <cell r="W7">
            <v>6</v>
          </cell>
          <cell r="X7">
            <v>81</v>
          </cell>
          <cell r="AA7" t="str">
            <v>1</v>
          </cell>
          <cell r="AB7" t="str">
            <v>15</v>
          </cell>
          <cell r="AC7">
            <v>7</v>
          </cell>
          <cell r="AF7" t="str">
            <v>16</v>
          </cell>
          <cell r="AI7">
            <v>20812138</v>
          </cell>
          <cell r="AJ7">
            <v>20812138</v>
          </cell>
        </row>
        <row r="8">
          <cell r="A8" t="str">
            <v>16</v>
          </cell>
          <cell r="B8" t="str">
            <v>06</v>
          </cell>
          <cell r="C8" t="str">
            <v>47/1</v>
          </cell>
          <cell r="D8" t="str">
            <v>Домик з-х местный</v>
          </cell>
          <cell r="E8" t="str">
            <v>деревянный 5 х 4</v>
          </cell>
          <cell r="G8" t="str">
            <v>01</v>
          </cell>
          <cell r="H8">
            <v>23540</v>
          </cell>
          <cell r="I8">
            <v>23540</v>
          </cell>
          <cell r="J8">
            <v>0</v>
          </cell>
          <cell r="K8">
            <v>1.1299999999999999</v>
          </cell>
          <cell r="L8" t="str">
            <v>88/1</v>
          </cell>
          <cell r="M8" t="str">
            <v>10007</v>
          </cell>
          <cell r="N8" t="str">
            <v>13 2022231</v>
          </cell>
          <cell r="O8" t="str">
            <v>01</v>
          </cell>
          <cell r="P8">
            <v>9.8000000000000007</v>
          </cell>
          <cell r="Q8">
            <v>0</v>
          </cell>
          <cell r="R8" t="str">
            <v>1</v>
          </cell>
          <cell r="S8" t="str">
            <v>10</v>
          </cell>
          <cell r="T8">
            <v>81</v>
          </cell>
          <cell r="U8">
            <v>6</v>
          </cell>
          <cell r="V8">
            <v>81</v>
          </cell>
          <cell r="W8">
            <v>6</v>
          </cell>
          <cell r="X8">
            <v>81</v>
          </cell>
          <cell r="AA8" t="str">
            <v>1</v>
          </cell>
          <cell r="AB8" t="str">
            <v>15</v>
          </cell>
          <cell r="AC8">
            <v>7</v>
          </cell>
          <cell r="AF8" t="str">
            <v>16</v>
          </cell>
          <cell r="AI8">
            <v>20812138</v>
          </cell>
          <cell r="AJ8">
            <v>20812138</v>
          </cell>
        </row>
        <row r="9">
          <cell r="A9" t="str">
            <v>16</v>
          </cell>
          <cell r="B9" t="str">
            <v>06</v>
          </cell>
          <cell r="C9" t="str">
            <v>48</v>
          </cell>
          <cell r="D9" t="str">
            <v>Домик з-х местный</v>
          </cell>
          <cell r="E9" t="str">
            <v>деревянный 5 х 4</v>
          </cell>
          <cell r="G9" t="str">
            <v>01</v>
          </cell>
          <cell r="H9">
            <v>23540</v>
          </cell>
          <cell r="I9">
            <v>23540</v>
          </cell>
          <cell r="J9">
            <v>0</v>
          </cell>
          <cell r="K9">
            <v>1.1299999999999999</v>
          </cell>
          <cell r="L9" t="str">
            <v>88/1</v>
          </cell>
          <cell r="M9" t="str">
            <v>10007</v>
          </cell>
          <cell r="N9" t="str">
            <v>13 2022231</v>
          </cell>
          <cell r="O9" t="str">
            <v>01</v>
          </cell>
          <cell r="P9">
            <v>9.8000000000000007</v>
          </cell>
          <cell r="Q9">
            <v>0</v>
          </cell>
          <cell r="R9" t="str">
            <v>1</v>
          </cell>
          <cell r="S9" t="str">
            <v>10</v>
          </cell>
          <cell r="T9">
            <v>81</v>
          </cell>
          <cell r="U9">
            <v>6</v>
          </cell>
          <cell r="V9">
            <v>81</v>
          </cell>
          <cell r="W9">
            <v>6</v>
          </cell>
          <cell r="X9">
            <v>81</v>
          </cell>
          <cell r="AA9" t="str">
            <v>1</v>
          </cell>
          <cell r="AB9" t="str">
            <v>15</v>
          </cell>
          <cell r="AC9">
            <v>7</v>
          </cell>
          <cell r="AF9" t="str">
            <v>16</v>
          </cell>
          <cell r="AI9">
            <v>20812138</v>
          </cell>
          <cell r="AJ9">
            <v>20812138</v>
          </cell>
        </row>
        <row r="10">
          <cell r="A10" t="str">
            <v>16</v>
          </cell>
          <cell r="B10" t="str">
            <v>06</v>
          </cell>
          <cell r="C10" t="str">
            <v>49/1</v>
          </cell>
          <cell r="D10" t="str">
            <v>Домик з-х местный</v>
          </cell>
          <cell r="E10" t="str">
            <v>деревянный 5 х 4</v>
          </cell>
          <cell r="G10" t="str">
            <v>01</v>
          </cell>
          <cell r="H10">
            <v>23540</v>
          </cell>
          <cell r="I10">
            <v>23540</v>
          </cell>
          <cell r="J10">
            <v>0</v>
          </cell>
          <cell r="K10">
            <v>1.1299999999999999</v>
          </cell>
          <cell r="L10" t="str">
            <v>88/1</v>
          </cell>
          <cell r="M10" t="str">
            <v>10007</v>
          </cell>
          <cell r="N10" t="str">
            <v>13 2022231</v>
          </cell>
          <cell r="O10" t="str">
            <v>01</v>
          </cell>
          <cell r="P10">
            <v>9.8000000000000007</v>
          </cell>
          <cell r="Q10">
            <v>0</v>
          </cell>
          <cell r="R10" t="str">
            <v>1</v>
          </cell>
          <cell r="S10" t="str">
            <v>10</v>
          </cell>
          <cell r="T10">
            <v>81</v>
          </cell>
          <cell r="U10">
            <v>6</v>
          </cell>
          <cell r="V10">
            <v>81</v>
          </cell>
          <cell r="W10">
            <v>6</v>
          </cell>
          <cell r="X10">
            <v>81</v>
          </cell>
          <cell r="AA10" t="str">
            <v>1</v>
          </cell>
          <cell r="AB10" t="str">
            <v>15</v>
          </cell>
          <cell r="AC10">
            <v>7</v>
          </cell>
          <cell r="AF10" t="str">
            <v>16</v>
          </cell>
          <cell r="AI10">
            <v>20812138</v>
          </cell>
          <cell r="AJ10">
            <v>20812138</v>
          </cell>
        </row>
        <row r="11">
          <cell r="A11" t="str">
            <v>16</v>
          </cell>
          <cell r="B11" t="str">
            <v>06</v>
          </cell>
          <cell r="C11" t="str">
            <v>50</v>
          </cell>
          <cell r="D11" t="str">
            <v>Домик з-х местный</v>
          </cell>
          <cell r="E11" t="str">
            <v>деревянный 5 х 4</v>
          </cell>
          <cell r="G11" t="str">
            <v>01</v>
          </cell>
          <cell r="H11">
            <v>23540</v>
          </cell>
          <cell r="I11">
            <v>23540</v>
          </cell>
          <cell r="J11">
            <v>0</v>
          </cell>
          <cell r="K11">
            <v>1.1299999999999999</v>
          </cell>
          <cell r="L11" t="str">
            <v>88/1</v>
          </cell>
          <cell r="M11" t="str">
            <v>10007</v>
          </cell>
          <cell r="N11" t="str">
            <v>13 2022231</v>
          </cell>
          <cell r="O11" t="str">
            <v>01</v>
          </cell>
          <cell r="P11">
            <v>9.8000000000000007</v>
          </cell>
          <cell r="Q11">
            <v>0</v>
          </cell>
          <cell r="R11" t="str">
            <v>1</v>
          </cell>
          <cell r="S11" t="str">
            <v>10</v>
          </cell>
          <cell r="T11">
            <v>81</v>
          </cell>
          <cell r="U11">
            <v>6</v>
          </cell>
          <cell r="V11">
            <v>81</v>
          </cell>
          <cell r="W11">
            <v>6</v>
          </cell>
          <cell r="X11">
            <v>81</v>
          </cell>
          <cell r="AA11" t="str">
            <v>1</v>
          </cell>
          <cell r="AB11" t="str">
            <v>15</v>
          </cell>
          <cell r="AC11">
            <v>7</v>
          </cell>
          <cell r="AF11" t="str">
            <v>16</v>
          </cell>
          <cell r="AI11">
            <v>20812138</v>
          </cell>
          <cell r="AJ11">
            <v>20812138</v>
          </cell>
        </row>
        <row r="12">
          <cell r="A12" t="str">
            <v>16</v>
          </cell>
          <cell r="B12" t="str">
            <v>06</v>
          </cell>
          <cell r="C12" t="str">
            <v>51</v>
          </cell>
          <cell r="D12" t="str">
            <v>Домик з-х местный</v>
          </cell>
          <cell r="E12" t="str">
            <v>деревянный 5 х 4</v>
          </cell>
          <cell r="G12" t="str">
            <v>01</v>
          </cell>
          <cell r="H12">
            <v>23540</v>
          </cell>
          <cell r="I12">
            <v>23540</v>
          </cell>
          <cell r="J12">
            <v>0</v>
          </cell>
          <cell r="K12">
            <v>1.1299999999999999</v>
          </cell>
          <cell r="L12" t="str">
            <v>88/1</v>
          </cell>
          <cell r="M12" t="str">
            <v>10007</v>
          </cell>
          <cell r="N12" t="str">
            <v>13 2022231</v>
          </cell>
          <cell r="O12" t="str">
            <v>01</v>
          </cell>
          <cell r="P12">
            <v>9.8000000000000007</v>
          </cell>
          <cell r="Q12">
            <v>0</v>
          </cell>
          <cell r="R12" t="str">
            <v>1</v>
          </cell>
          <cell r="S12" t="str">
            <v>10</v>
          </cell>
          <cell r="T12">
            <v>81</v>
          </cell>
          <cell r="U12">
            <v>6</v>
          </cell>
          <cell r="V12">
            <v>81</v>
          </cell>
          <cell r="W12">
            <v>6</v>
          </cell>
          <cell r="X12">
            <v>81</v>
          </cell>
          <cell r="AA12" t="str">
            <v>1</v>
          </cell>
          <cell r="AB12" t="str">
            <v>15</v>
          </cell>
          <cell r="AC12">
            <v>7</v>
          </cell>
          <cell r="AF12" t="str">
            <v>16</v>
          </cell>
          <cell r="AI12">
            <v>20812138</v>
          </cell>
          <cell r="AJ12">
            <v>20812138</v>
          </cell>
        </row>
        <row r="13">
          <cell r="A13" t="str">
            <v>16</v>
          </cell>
          <cell r="B13" t="str">
            <v>06</v>
          </cell>
          <cell r="C13" t="str">
            <v>52/1</v>
          </cell>
          <cell r="D13" t="str">
            <v>Домик з-х местный</v>
          </cell>
          <cell r="E13" t="str">
            <v>деревянный 5 х 4</v>
          </cell>
          <cell r="G13" t="str">
            <v>01</v>
          </cell>
          <cell r="H13">
            <v>23540</v>
          </cell>
          <cell r="I13">
            <v>23540</v>
          </cell>
          <cell r="J13">
            <v>0</v>
          </cell>
          <cell r="K13">
            <v>1.1299999999999999</v>
          </cell>
          <cell r="L13" t="str">
            <v>88/1</v>
          </cell>
          <cell r="M13" t="str">
            <v>10007</v>
          </cell>
          <cell r="N13" t="str">
            <v>13 2022231</v>
          </cell>
          <cell r="O13" t="str">
            <v>01</v>
          </cell>
          <cell r="P13">
            <v>9.8000000000000007</v>
          </cell>
          <cell r="Q13">
            <v>0</v>
          </cell>
          <cell r="R13" t="str">
            <v>1</v>
          </cell>
          <cell r="S13" t="str">
            <v>10</v>
          </cell>
          <cell r="T13">
            <v>81</v>
          </cell>
          <cell r="U13">
            <v>6</v>
          </cell>
          <cell r="V13">
            <v>81</v>
          </cell>
          <cell r="W13">
            <v>6</v>
          </cell>
          <cell r="X13">
            <v>81</v>
          </cell>
          <cell r="AF13" t="str">
            <v>16</v>
          </cell>
          <cell r="AI13">
            <v>20812138</v>
          </cell>
          <cell r="AJ13">
            <v>20812138</v>
          </cell>
        </row>
        <row r="14">
          <cell r="A14" t="str">
            <v>16</v>
          </cell>
          <cell r="B14" t="str">
            <v>06</v>
          </cell>
          <cell r="C14" t="str">
            <v>53</v>
          </cell>
          <cell r="D14" t="str">
            <v>Домик з-х местный</v>
          </cell>
          <cell r="E14" t="str">
            <v>деревянный 5 х 4</v>
          </cell>
          <cell r="G14" t="str">
            <v>01</v>
          </cell>
          <cell r="H14">
            <v>23540</v>
          </cell>
          <cell r="I14">
            <v>23540</v>
          </cell>
          <cell r="J14">
            <v>0</v>
          </cell>
          <cell r="K14">
            <v>1.1299999999999999</v>
          </cell>
          <cell r="L14" t="str">
            <v>88/1</v>
          </cell>
          <cell r="M14" t="str">
            <v>10007</v>
          </cell>
          <cell r="N14" t="str">
            <v>13 2022231</v>
          </cell>
          <cell r="O14" t="str">
            <v>01</v>
          </cell>
          <cell r="P14">
            <v>9.8000000000000007</v>
          </cell>
          <cell r="Q14">
            <v>0</v>
          </cell>
          <cell r="R14" t="str">
            <v>1</v>
          </cell>
          <cell r="S14" t="str">
            <v>10</v>
          </cell>
          <cell r="T14">
            <v>81</v>
          </cell>
          <cell r="U14">
            <v>6</v>
          </cell>
          <cell r="V14">
            <v>81</v>
          </cell>
          <cell r="W14">
            <v>6</v>
          </cell>
          <cell r="X14">
            <v>81</v>
          </cell>
          <cell r="AA14" t="str">
            <v>1</v>
          </cell>
          <cell r="AB14" t="str">
            <v>15</v>
          </cell>
          <cell r="AC14">
            <v>7</v>
          </cell>
          <cell r="AF14" t="str">
            <v>16</v>
          </cell>
          <cell r="AI14">
            <v>20812138</v>
          </cell>
          <cell r="AJ14">
            <v>20812138</v>
          </cell>
        </row>
        <row r="15">
          <cell r="A15" t="str">
            <v>16</v>
          </cell>
          <cell r="B15" t="str">
            <v>06</v>
          </cell>
          <cell r="C15" t="str">
            <v>54/1</v>
          </cell>
          <cell r="D15" t="str">
            <v>Домик з-х местный</v>
          </cell>
          <cell r="E15" t="str">
            <v>деревянный 5 х 4</v>
          </cell>
          <cell r="G15" t="str">
            <v>01</v>
          </cell>
          <cell r="H15">
            <v>23540</v>
          </cell>
          <cell r="I15">
            <v>23540</v>
          </cell>
          <cell r="J15">
            <v>0</v>
          </cell>
          <cell r="K15">
            <v>1.1299999999999999</v>
          </cell>
          <cell r="L15" t="str">
            <v>88/1</v>
          </cell>
          <cell r="M15" t="str">
            <v>10007</v>
          </cell>
          <cell r="N15" t="str">
            <v>13 2022231</v>
          </cell>
          <cell r="O15" t="str">
            <v>01</v>
          </cell>
          <cell r="P15">
            <v>9.8000000000000007</v>
          </cell>
          <cell r="Q15">
            <v>0</v>
          </cell>
          <cell r="R15" t="str">
            <v>1</v>
          </cell>
          <cell r="S15" t="str">
            <v>10</v>
          </cell>
          <cell r="T15">
            <v>81</v>
          </cell>
          <cell r="U15">
            <v>6</v>
          </cell>
          <cell r="V15">
            <v>81</v>
          </cell>
          <cell r="W15">
            <v>6</v>
          </cell>
          <cell r="X15">
            <v>81</v>
          </cell>
          <cell r="AA15" t="str">
            <v>1</v>
          </cell>
          <cell r="AB15" t="str">
            <v>15</v>
          </cell>
          <cell r="AC15">
            <v>7</v>
          </cell>
          <cell r="AF15" t="str">
            <v>16</v>
          </cell>
          <cell r="AI15">
            <v>20812138</v>
          </cell>
          <cell r="AJ15">
            <v>20812138</v>
          </cell>
        </row>
        <row r="16">
          <cell r="A16" t="str">
            <v>16</v>
          </cell>
          <cell r="B16" t="str">
            <v>06</v>
          </cell>
          <cell r="C16" t="str">
            <v>55/1</v>
          </cell>
          <cell r="D16" t="str">
            <v>Домик з-х местный</v>
          </cell>
          <cell r="E16" t="str">
            <v>деревянный 5 х 4</v>
          </cell>
          <cell r="G16" t="str">
            <v>01</v>
          </cell>
          <cell r="H16">
            <v>23540</v>
          </cell>
          <cell r="I16">
            <v>23540</v>
          </cell>
          <cell r="J16">
            <v>0</v>
          </cell>
          <cell r="K16">
            <v>1.1299999999999999</v>
          </cell>
          <cell r="L16" t="str">
            <v>88/1</v>
          </cell>
          <cell r="M16" t="str">
            <v>10007</v>
          </cell>
          <cell r="N16" t="str">
            <v>13 2022231</v>
          </cell>
          <cell r="O16" t="str">
            <v>01</v>
          </cell>
          <cell r="P16">
            <v>9.8000000000000007</v>
          </cell>
          <cell r="Q16">
            <v>0</v>
          </cell>
          <cell r="R16" t="str">
            <v>1</v>
          </cell>
          <cell r="S16" t="str">
            <v>10</v>
          </cell>
          <cell r="T16">
            <v>81</v>
          </cell>
          <cell r="U16">
            <v>6</v>
          </cell>
          <cell r="V16">
            <v>81</v>
          </cell>
          <cell r="W16">
            <v>6</v>
          </cell>
          <cell r="X16">
            <v>81</v>
          </cell>
          <cell r="AA16" t="str">
            <v>1</v>
          </cell>
          <cell r="AB16" t="str">
            <v>15</v>
          </cell>
          <cell r="AC16">
            <v>7</v>
          </cell>
          <cell r="AF16" t="str">
            <v>16</v>
          </cell>
          <cell r="AI16">
            <v>20812138</v>
          </cell>
          <cell r="AJ16">
            <v>20812138</v>
          </cell>
        </row>
        <row r="17">
          <cell r="A17" t="str">
            <v>02</v>
          </cell>
          <cell r="B17" t="str">
            <v>23</v>
          </cell>
          <cell r="C17" t="str">
            <v>56</v>
          </cell>
          <cell r="D17" t="str">
            <v>Радиоустановка ИШИМ-</v>
          </cell>
          <cell r="E17" t="str">
            <v>003</v>
          </cell>
          <cell r="G17" t="str">
            <v>01</v>
          </cell>
          <cell r="H17">
            <v>1514</v>
          </cell>
          <cell r="I17">
            <v>1483.72</v>
          </cell>
          <cell r="J17">
            <v>0</v>
          </cell>
          <cell r="K17">
            <v>0.39</v>
          </cell>
          <cell r="L17" t="str">
            <v>23</v>
          </cell>
          <cell r="M17" t="str">
            <v>45620</v>
          </cell>
          <cell r="N17" t="str">
            <v>14 3222110</v>
          </cell>
          <cell r="O17" t="str">
            <v>067</v>
          </cell>
          <cell r="P17">
            <v>12.5</v>
          </cell>
          <cell r="Q17">
            <v>0</v>
          </cell>
          <cell r="R17" t="str">
            <v>1</v>
          </cell>
          <cell r="S17" t="str">
            <v>45</v>
          </cell>
          <cell r="T17">
            <v>0</v>
          </cell>
          <cell r="U17">
            <v>12</v>
          </cell>
          <cell r="V17">
            <v>84</v>
          </cell>
          <cell r="W17">
            <v>12</v>
          </cell>
          <cell r="X17">
            <v>84</v>
          </cell>
          <cell r="AF17" t="str">
            <v>00</v>
          </cell>
          <cell r="AI17">
            <v>3891888</v>
          </cell>
          <cell r="AJ17">
            <v>3891888</v>
          </cell>
        </row>
        <row r="18">
          <cell r="A18" t="str">
            <v>16</v>
          </cell>
          <cell r="B18" t="str">
            <v>06</v>
          </cell>
          <cell r="C18" t="str">
            <v>56/1</v>
          </cell>
          <cell r="D18" t="str">
            <v>Домик з-х местный</v>
          </cell>
          <cell r="E18" t="str">
            <v>деревянный 5 х 4</v>
          </cell>
          <cell r="G18" t="str">
            <v>01</v>
          </cell>
          <cell r="H18">
            <v>23540</v>
          </cell>
          <cell r="I18">
            <v>23540</v>
          </cell>
          <cell r="J18">
            <v>0</v>
          </cell>
          <cell r="K18">
            <v>1.1299999999999999</v>
          </cell>
          <cell r="L18" t="str">
            <v>88/1</v>
          </cell>
          <cell r="M18" t="str">
            <v>10007</v>
          </cell>
          <cell r="N18" t="str">
            <v>13 2022231</v>
          </cell>
          <cell r="O18" t="str">
            <v>01</v>
          </cell>
          <cell r="P18">
            <v>9.8000000000000007</v>
          </cell>
          <cell r="Q18">
            <v>0</v>
          </cell>
          <cell r="R18" t="str">
            <v>1</v>
          </cell>
          <cell r="S18" t="str">
            <v>10</v>
          </cell>
          <cell r="T18">
            <v>81</v>
          </cell>
          <cell r="U18">
            <v>6</v>
          </cell>
          <cell r="V18">
            <v>81</v>
          </cell>
          <cell r="W18">
            <v>6</v>
          </cell>
          <cell r="X18">
            <v>81</v>
          </cell>
          <cell r="AA18" t="str">
            <v>1</v>
          </cell>
          <cell r="AB18" t="str">
            <v>15</v>
          </cell>
          <cell r="AC18">
            <v>7</v>
          </cell>
          <cell r="AF18" t="str">
            <v>16</v>
          </cell>
          <cell r="AI18">
            <v>20812138</v>
          </cell>
          <cell r="AJ18">
            <v>20812138</v>
          </cell>
        </row>
        <row r="19">
          <cell r="A19" t="str">
            <v>16</v>
          </cell>
          <cell r="B19" t="str">
            <v>06</v>
          </cell>
          <cell r="C19" t="str">
            <v>57</v>
          </cell>
          <cell r="D19" t="str">
            <v>Домик з-х местный</v>
          </cell>
          <cell r="E19" t="str">
            <v>деревянный 5 х 4</v>
          </cell>
          <cell r="G19" t="str">
            <v>01</v>
          </cell>
          <cell r="H19">
            <v>23540</v>
          </cell>
          <cell r="I19">
            <v>23540</v>
          </cell>
          <cell r="J19">
            <v>0</v>
          </cell>
          <cell r="K19">
            <v>1.1299999999999999</v>
          </cell>
          <cell r="L19" t="str">
            <v>88/1</v>
          </cell>
          <cell r="M19" t="str">
            <v>10007</v>
          </cell>
          <cell r="N19" t="str">
            <v>13 2022231</v>
          </cell>
          <cell r="O19" t="str">
            <v>01</v>
          </cell>
          <cell r="P19">
            <v>9.8000000000000007</v>
          </cell>
          <cell r="Q19">
            <v>0</v>
          </cell>
          <cell r="R19" t="str">
            <v>1</v>
          </cell>
          <cell r="S19" t="str">
            <v>10</v>
          </cell>
          <cell r="T19">
            <v>81</v>
          </cell>
          <cell r="U19">
            <v>6</v>
          </cell>
          <cell r="V19">
            <v>81</v>
          </cell>
          <cell r="W19">
            <v>6</v>
          </cell>
          <cell r="X19">
            <v>81</v>
          </cell>
          <cell r="AA19" t="str">
            <v>1</v>
          </cell>
          <cell r="AB19" t="str">
            <v>15</v>
          </cell>
          <cell r="AC19">
            <v>7</v>
          </cell>
          <cell r="AF19" t="str">
            <v>16</v>
          </cell>
          <cell r="AI19">
            <v>20812138</v>
          </cell>
          <cell r="AJ19">
            <v>20812138</v>
          </cell>
        </row>
        <row r="20">
          <cell r="A20" t="str">
            <v>16</v>
          </cell>
          <cell r="B20" t="str">
            <v>06</v>
          </cell>
          <cell r="C20" t="str">
            <v>58</v>
          </cell>
          <cell r="D20" t="str">
            <v>Домик з-х местный</v>
          </cell>
          <cell r="E20" t="str">
            <v>деревянный 5 х 4</v>
          </cell>
          <cell r="G20" t="str">
            <v>01</v>
          </cell>
          <cell r="H20">
            <v>23540</v>
          </cell>
          <cell r="I20">
            <v>23540</v>
          </cell>
          <cell r="J20">
            <v>0</v>
          </cell>
          <cell r="K20">
            <v>1.1299999999999999</v>
          </cell>
          <cell r="L20" t="str">
            <v>88/1</v>
          </cell>
          <cell r="M20" t="str">
            <v>10007</v>
          </cell>
          <cell r="N20" t="str">
            <v>13 2022231</v>
          </cell>
          <cell r="O20" t="str">
            <v>01</v>
          </cell>
          <cell r="P20">
            <v>9.8000000000000007</v>
          </cell>
          <cell r="Q20">
            <v>0</v>
          </cell>
          <cell r="R20" t="str">
            <v>1</v>
          </cell>
          <cell r="S20" t="str">
            <v>10</v>
          </cell>
          <cell r="T20">
            <v>81</v>
          </cell>
          <cell r="U20">
            <v>6</v>
          </cell>
          <cell r="V20">
            <v>81</v>
          </cell>
          <cell r="W20">
            <v>6</v>
          </cell>
          <cell r="X20">
            <v>81</v>
          </cell>
          <cell r="AA20" t="str">
            <v>1</v>
          </cell>
          <cell r="AB20" t="str">
            <v>15</v>
          </cell>
          <cell r="AC20">
            <v>7</v>
          </cell>
          <cell r="AF20" t="str">
            <v>16</v>
          </cell>
          <cell r="AI20">
            <v>20812138</v>
          </cell>
          <cell r="AJ20">
            <v>20812138</v>
          </cell>
        </row>
        <row r="21">
          <cell r="A21" t="str">
            <v>16</v>
          </cell>
          <cell r="B21" t="str">
            <v>06</v>
          </cell>
          <cell r="C21" t="str">
            <v>59</v>
          </cell>
          <cell r="D21" t="str">
            <v>Домик з-х местный</v>
          </cell>
          <cell r="E21" t="str">
            <v>деревянный 5 х 4</v>
          </cell>
          <cell r="G21" t="str">
            <v>01</v>
          </cell>
          <cell r="H21">
            <v>23540</v>
          </cell>
          <cell r="I21">
            <v>23540</v>
          </cell>
          <cell r="J21">
            <v>0</v>
          </cell>
          <cell r="K21">
            <v>1.1299999999999999</v>
          </cell>
          <cell r="L21" t="str">
            <v>88/1</v>
          </cell>
          <cell r="M21" t="str">
            <v>10007</v>
          </cell>
          <cell r="N21" t="str">
            <v>13 2022231</v>
          </cell>
          <cell r="O21" t="str">
            <v>01</v>
          </cell>
          <cell r="P21">
            <v>9.8000000000000007</v>
          </cell>
          <cell r="Q21">
            <v>0</v>
          </cell>
          <cell r="R21" t="str">
            <v>1</v>
          </cell>
          <cell r="S21" t="str">
            <v>10</v>
          </cell>
          <cell r="T21">
            <v>81</v>
          </cell>
          <cell r="U21">
            <v>6</v>
          </cell>
          <cell r="V21">
            <v>81</v>
          </cell>
          <cell r="W21">
            <v>6</v>
          </cell>
          <cell r="X21">
            <v>81</v>
          </cell>
          <cell r="AA21" t="str">
            <v>1</v>
          </cell>
          <cell r="AB21" t="str">
            <v>15</v>
          </cell>
          <cell r="AC21">
            <v>7</v>
          </cell>
          <cell r="AF21" t="str">
            <v>16</v>
          </cell>
          <cell r="AI21">
            <v>20812138</v>
          </cell>
          <cell r="AJ21">
            <v>20812138</v>
          </cell>
        </row>
        <row r="22">
          <cell r="A22" t="str">
            <v>02</v>
          </cell>
          <cell r="B22" t="str">
            <v>23</v>
          </cell>
          <cell r="C22" t="str">
            <v>59/1</v>
          </cell>
          <cell r="D22" t="str">
            <v>Станок ЦК6 -Р 105</v>
          </cell>
          <cell r="E22" t="str">
            <v>для проверки стартер</v>
          </cell>
          <cell r="F22" t="str">
            <v>ов</v>
          </cell>
          <cell r="G22" t="str">
            <v>01</v>
          </cell>
          <cell r="H22">
            <v>4852.04</v>
          </cell>
          <cell r="I22">
            <v>2745.45</v>
          </cell>
          <cell r="J22">
            <v>0</v>
          </cell>
          <cell r="K22">
            <v>1.1200000000000001</v>
          </cell>
          <cell r="L22" t="str">
            <v>23</v>
          </cell>
          <cell r="M22" t="str">
            <v>41000</v>
          </cell>
          <cell r="N22" t="str">
            <v>14 2922172</v>
          </cell>
          <cell r="O22" t="str">
            <v>067</v>
          </cell>
          <cell r="P22">
            <v>3.5</v>
          </cell>
          <cell r="Q22">
            <v>0</v>
          </cell>
          <cell r="R22" t="str">
            <v>1</v>
          </cell>
          <cell r="S22" t="str">
            <v>41</v>
          </cell>
          <cell r="T22">
            <v>78</v>
          </cell>
          <cell r="U22">
            <v>10</v>
          </cell>
          <cell r="V22">
            <v>78</v>
          </cell>
          <cell r="W22">
            <v>10</v>
          </cell>
          <cell r="X22">
            <v>78</v>
          </cell>
          <cell r="AF22" t="str">
            <v>00</v>
          </cell>
          <cell r="AI22">
            <v>4332182</v>
          </cell>
          <cell r="AJ22">
            <v>2906171.91</v>
          </cell>
        </row>
        <row r="23">
          <cell r="A23" t="str">
            <v>16</v>
          </cell>
          <cell r="B23" t="str">
            <v>06</v>
          </cell>
          <cell r="C23" t="str">
            <v>60</v>
          </cell>
          <cell r="D23" t="str">
            <v>Домик з-х местный</v>
          </cell>
          <cell r="E23" t="str">
            <v>деревянный 5 х 4</v>
          </cell>
          <cell r="G23" t="str">
            <v>01</v>
          </cell>
          <cell r="H23">
            <v>23540</v>
          </cell>
          <cell r="I23">
            <v>23540</v>
          </cell>
          <cell r="J23">
            <v>0</v>
          </cell>
          <cell r="K23">
            <v>1.1299999999999999</v>
          </cell>
          <cell r="L23" t="str">
            <v>88/4</v>
          </cell>
          <cell r="M23" t="str">
            <v>10007</v>
          </cell>
          <cell r="N23" t="str">
            <v>13 2022231</v>
          </cell>
          <cell r="O23" t="str">
            <v>01</v>
          </cell>
          <cell r="P23">
            <v>9.8000000000000007</v>
          </cell>
          <cell r="Q23">
            <v>0</v>
          </cell>
          <cell r="R23" t="str">
            <v>1</v>
          </cell>
          <cell r="S23" t="str">
            <v>10</v>
          </cell>
          <cell r="T23">
            <v>8</v>
          </cell>
          <cell r="U23">
            <v>6</v>
          </cell>
          <cell r="V23">
            <v>81</v>
          </cell>
          <cell r="W23">
            <v>6</v>
          </cell>
          <cell r="X23">
            <v>81</v>
          </cell>
          <cell r="AA23" t="str">
            <v>1</v>
          </cell>
          <cell r="AB23" t="str">
            <v>15</v>
          </cell>
          <cell r="AC23">
            <v>7</v>
          </cell>
          <cell r="AF23" t="str">
            <v>16</v>
          </cell>
          <cell r="AI23">
            <v>20812138</v>
          </cell>
          <cell r="AJ23">
            <v>20812138</v>
          </cell>
        </row>
        <row r="24">
          <cell r="A24" t="str">
            <v>02</v>
          </cell>
          <cell r="B24" t="str">
            <v>23</v>
          </cell>
          <cell r="C24" t="str">
            <v>60/1</v>
          </cell>
          <cell r="D24" t="str">
            <v>Станок ЦК 6Р 108</v>
          </cell>
          <cell r="E24" t="str">
            <v>для моторной расточк</v>
          </cell>
          <cell r="F24" t="str">
            <v>и клапанов</v>
          </cell>
          <cell r="G24" t="str">
            <v>01</v>
          </cell>
          <cell r="H24">
            <v>4687.88</v>
          </cell>
          <cell r="I24">
            <v>2652.56</v>
          </cell>
          <cell r="J24">
            <v>0</v>
          </cell>
          <cell r="K24">
            <v>1.1200000000000001</v>
          </cell>
          <cell r="L24" t="str">
            <v>23</v>
          </cell>
          <cell r="M24" t="str">
            <v>41000</v>
          </cell>
          <cell r="N24" t="str">
            <v>14 2922169</v>
          </cell>
          <cell r="O24" t="str">
            <v>067</v>
          </cell>
          <cell r="P24">
            <v>3.5</v>
          </cell>
          <cell r="Q24">
            <v>0</v>
          </cell>
          <cell r="R24" t="str">
            <v>1</v>
          </cell>
          <cell r="S24" t="str">
            <v>41</v>
          </cell>
          <cell r="T24">
            <v>78</v>
          </cell>
          <cell r="U24">
            <v>10</v>
          </cell>
          <cell r="V24">
            <v>78</v>
          </cell>
          <cell r="W24">
            <v>10</v>
          </cell>
          <cell r="X24">
            <v>78</v>
          </cell>
          <cell r="AF24" t="str">
            <v>00</v>
          </cell>
          <cell r="AI24">
            <v>4185605</v>
          </cell>
          <cell r="AJ24">
            <v>2807842.39</v>
          </cell>
        </row>
        <row r="25">
          <cell r="A25" t="str">
            <v>02</v>
          </cell>
          <cell r="B25" t="str">
            <v>23</v>
          </cell>
          <cell r="C25" t="str">
            <v>61</v>
          </cell>
          <cell r="D25" t="str">
            <v>Устройство для мойки</v>
          </cell>
          <cell r="E25" t="str">
            <v xml:space="preserve"> детелей 77-400 N7</v>
          </cell>
          <cell r="F25" t="str">
            <v>Польша</v>
          </cell>
          <cell r="G25" t="str">
            <v>01</v>
          </cell>
          <cell r="H25">
            <v>3860</v>
          </cell>
          <cell r="I25">
            <v>3281</v>
          </cell>
          <cell r="J25">
            <v>0</v>
          </cell>
          <cell r="K25">
            <v>0.2</v>
          </cell>
          <cell r="L25" t="str">
            <v>23</v>
          </cell>
          <cell r="M25" t="str">
            <v>46115</v>
          </cell>
          <cell r="N25" t="str">
            <v>14 3440102</v>
          </cell>
          <cell r="O25" t="str">
            <v>067</v>
          </cell>
          <cell r="P25">
            <v>14.3</v>
          </cell>
          <cell r="Q25">
            <v>0</v>
          </cell>
          <cell r="R25" t="str">
            <v>1</v>
          </cell>
          <cell r="S25" t="str">
            <v>46</v>
          </cell>
          <cell r="T25">
            <v>0</v>
          </cell>
          <cell r="U25">
            <v>3</v>
          </cell>
          <cell r="V25">
            <v>89</v>
          </cell>
          <cell r="W25">
            <v>3</v>
          </cell>
          <cell r="X25">
            <v>89</v>
          </cell>
          <cell r="AF25" t="str">
            <v>00</v>
          </cell>
          <cell r="AI25">
            <v>19028805</v>
          </cell>
          <cell r="AJ25">
            <v>19028805</v>
          </cell>
        </row>
        <row r="26">
          <cell r="A26" t="str">
            <v>02</v>
          </cell>
          <cell r="B26" t="str">
            <v>23</v>
          </cell>
          <cell r="C26" t="str">
            <v>62</v>
          </cell>
          <cell r="D26" t="str">
            <v>Прибор ППС-1 РС-1</v>
          </cell>
          <cell r="G26" t="str">
            <v>01</v>
          </cell>
          <cell r="H26">
            <v>5763</v>
          </cell>
          <cell r="I26">
            <v>2996.76</v>
          </cell>
          <cell r="J26">
            <v>0</v>
          </cell>
          <cell r="K26">
            <v>0.47</v>
          </cell>
          <cell r="L26" t="str">
            <v>23</v>
          </cell>
          <cell r="M26" t="str">
            <v>47024</v>
          </cell>
          <cell r="N26" t="str">
            <v>14 3311226</v>
          </cell>
          <cell r="O26" t="str">
            <v>063</v>
          </cell>
          <cell r="P26">
            <v>10.4</v>
          </cell>
          <cell r="Q26">
            <v>0</v>
          </cell>
          <cell r="R26" t="str">
            <v>1</v>
          </cell>
          <cell r="S26" t="str">
            <v>47</v>
          </cell>
          <cell r="T26">
            <v>0</v>
          </cell>
          <cell r="U26">
            <v>12</v>
          </cell>
          <cell r="V26">
            <v>89</v>
          </cell>
          <cell r="W26">
            <v>12</v>
          </cell>
          <cell r="X26">
            <v>89</v>
          </cell>
          <cell r="AF26" t="str">
            <v>00</v>
          </cell>
          <cell r="AI26">
            <v>12134042</v>
          </cell>
          <cell r="AJ26">
            <v>10095523.15</v>
          </cell>
        </row>
        <row r="27">
          <cell r="A27" t="str">
            <v>16</v>
          </cell>
          <cell r="B27" t="str">
            <v>06</v>
          </cell>
          <cell r="C27" t="str">
            <v>63</v>
          </cell>
          <cell r="D27" t="str">
            <v>Вагон-домик металлич</v>
          </cell>
          <cell r="E27" t="str">
            <v>12 х 3м</v>
          </cell>
          <cell r="G27" t="str">
            <v>01</v>
          </cell>
          <cell r="H27">
            <v>20349.72</v>
          </cell>
          <cell r="I27">
            <v>20349.72</v>
          </cell>
          <cell r="J27">
            <v>0</v>
          </cell>
          <cell r="K27">
            <v>1.1299999999999999</v>
          </cell>
          <cell r="L27" t="str">
            <v>88/1</v>
          </cell>
          <cell r="M27" t="str">
            <v>10010</v>
          </cell>
          <cell r="N27" t="str">
            <v>13 3420175</v>
          </cell>
          <cell r="O27" t="str">
            <v>01</v>
          </cell>
          <cell r="P27">
            <v>12.5</v>
          </cell>
          <cell r="Q27">
            <v>0</v>
          </cell>
          <cell r="R27" t="str">
            <v>1</v>
          </cell>
          <cell r="S27" t="str">
            <v>10</v>
          </cell>
          <cell r="T27">
            <v>79</v>
          </cell>
          <cell r="U27">
            <v>8</v>
          </cell>
          <cell r="V27">
            <v>79</v>
          </cell>
          <cell r="W27">
            <v>8</v>
          </cell>
          <cell r="X27">
            <v>79</v>
          </cell>
          <cell r="AF27" t="str">
            <v>16</v>
          </cell>
          <cell r="AI27">
            <v>18000640</v>
          </cell>
          <cell r="AJ27">
            <v>18000640</v>
          </cell>
        </row>
        <row r="28">
          <cell r="A28" t="str">
            <v>16</v>
          </cell>
          <cell r="B28" t="str">
            <v>06</v>
          </cell>
          <cell r="C28" t="str">
            <v>64</v>
          </cell>
          <cell r="D28" t="str">
            <v>Вагон-домик металлич</v>
          </cell>
          <cell r="E28" t="str">
            <v>12 х 3</v>
          </cell>
          <cell r="G28" t="str">
            <v>01</v>
          </cell>
          <cell r="H28">
            <v>20349.72</v>
          </cell>
          <cell r="I28">
            <v>20349.72</v>
          </cell>
          <cell r="J28">
            <v>0</v>
          </cell>
          <cell r="K28">
            <v>1.1299999999999999</v>
          </cell>
          <cell r="L28" t="str">
            <v>88/1</v>
          </cell>
          <cell r="M28" t="str">
            <v>10010</v>
          </cell>
          <cell r="N28" t="str">
            <v>13 3420175</v>
          </cell>
          <cell r="O28" t="str">
            <v>01</v>
          </cell>
          <cell r="P28">
            <v>12.5</v>
          </cell>
          <cell r="Q28">
            <v>0</v>
          </cell>
          <cell r="R28" t="str">
            <v>1</v>
          </cell>
          <cell r="S28" t="str">
            <v>10</v>
          </cell>
          <cell r="T28">
            <v>79</v>
          </cell>
          <cell r="U28">
            <v>8</v>
          </cell>
          <cell r="V28">
            <v>79</v>
          </cell>
          <cell r="W28">
            <v>8</v>
          </cell>
          <cell r="X28">
            <v>79</v>
          </cell>
          <cell r="AF28" t="str">
            <v>16</v>
          </cell>
          <cell r="AI28">
            <v>18000640</v>
          </cell>
          <cell r="AJ28">
            <v>18000640</v>
          </cell>
        </row>
        <row r="29">
          <cell r="A29" t="str">
            <v>16</v>
          </cell>
          <cell r="B29" t="str">
            <v>06</v>
          </cell>
          <cell r="C29" t="str">
            <v>65</v>
          </cell>
          <cell r="D29" t="str">
            <v>Домик дачный 3-х мес</v>
          </cell>
          <cell r="E29" t="str">
            <v>тный деревянный 5х4</v>
          </cell>
          <cell r="G29" t="str">
            <v>01</v>
          </cell>
          <cell r="H29">
            <v>16176.06</v>
          </cell>
          <cell r="I29">
            <v>16176.06</v>
          </cell>
          <cell r="J29">
            <v>0</v>
          </cell>
          <cell r="K29">
            <v>1.1299999999999999</v>
          </cell>
          <cell r="L29" t="str">
            <v>88/1</v>
          </cell>
          <cell r="M29" t="str">
            <v>10007</v>
          </cell>
          <cell r="N29" t="str">
            <v>13 2022231</v>
          </cell>
          <cell r="O29" t="str">
            <v>01</v>
          </cell>
          <cell r="P29">
            <v>9.8000000000000007</v>
          </cell>
          <cell r="Q29">
            <v>0</v>
          </cell>
          <cell r="R29" t="str">
            <v>1</v>
          </cell>
          <cell r="S29" t="str">
            <v>10</v>
          </cell>
          <cell r="T29">
            <v>79</v>
          </cell>
          <cell r="U29">
            <v>7</v>
          </cell>
          <cell r="V29">
            <v>79</v>
          </cell>
          <cell r="W29">
            <v>7</v>
          </cell>
          <cell r="X29">
            <v>79</v>
          </cell>
          <cell r="AF29" t="str">
            <v>16</v>
          </cell>
          <cell r="AI29">
            <v>14308764</v>
          </cell>
          <cell r="AJ29">
            <v>14308764</v>
          </cell>
        </row>
        <row r="30">
          <cell r="A30" t="str">
            <v>16</v>
          </cell>
          <cell r="B30" t="str">
            <v>06</v>
          </cell>
          <cell r="C30" t="str">
            <v>66</v>
          </cell>
          <cell r="D30" t="str">
            <v>Домик дачный 3-хмест</v>
          </cell>
          <cell r="E30" t="str">
            <v>ный деревянный 5х4</v>
          </cell>
          <cell r="G30" t="str">
            <v>01</v>
          </cell>
          <cell r="H30">
            <v>16176.06</v>
          </cell>
          <cell r="I30">
            <v>16176.06</v>
          </cell>
          <cell r="J30">
            <v>0</v>
          </cell>
          <cell r="K30">
            <v>1.1299999999999999</v>
          </cell>
          <cell r="L30" t="str">
            <v>88/1</v>
          </cell>
          <cell r="M30" t="str">
            <v>10007</v>
          </cell>
          <cell r="N30" t="str">
            <v>13 2022231</v>
          </cell>
          <cell r="O30" t="str">
            <v>01</v>
          </cell>
          <cell r="P30">
            <v>9.8000000000000007</v>
          </cell>
          <cell r="Q30">
            <v>0</v>
          </cell>
          <cell r="R30" t="str">
            <v>1</v>
          </cell>
          <cell r="S30" t="str">
            <v>10</v>
          </cell>
          <cell r="T30">
            <v>79</v>
          </cell>
          <cell r="U30">
            <v>7</v>
          </cell>
          <cell r="V30">
            <v>79</v>
          </cell>
          <cell r="W30">
            <v>7</v>
          </cell>
          <cell r="X30">
            <v>79</v>
          </cell>
          <cell r="AF30" t="str">
            <v>16</v>
          </cell>
          <cell r="AI30">
            <v>14308764</v>
          </cell>
          <cell r="AJ30">
            <v>14308764</v>
          </cell>
        </row>
        <row r="31">
          <cell r="A31" t="str">
            <v>16</v>
          </cell>
          <cell r="B31" t="str">
            <v>06</v>
          </cell>
          <cell r="C31" t="str">
            <v>67</v>
          </cell>
          <cell r="D31" t="str">
            <v>Домик дачный 3-х мес</v>
          </cell>
          <cell r="E31" t="str">
            <v>тный деревянный 5х4</v>
          </cell>
          <cell r="G31" t="str">
            <v>01</v>
          </cell>
          <cell r="H31">
            <v>16176.06</v>
          </cell>
          <cell r="I31">
            <v>16176.06</v>
          </cell>
          <cell r="J31">
            <v>0</v>
          </cell>
          <cell r="K31">
            <v>1.1299999999999999</v>
          </cell>
          <cell r="L31" t="str">
            <v>88/1</v>
          </cell>
          <cell r="M31" t="str">
            <v>10007</v>
          </cell>
          <cell r="N31" t="str">
            <v>13 2022231</v>
          </cell>
          <cell r="O31" t="str">
            <v>01</v>
          </cell>
          <cell r="P31">
            <v>9.8000000000000007</v>
          </cell>
          <cell r="Q31">
            <v>0</v>
          </cell>
          <cell r="R31" t="str">
            <v>1</v>
          </cell>
          <cell r="S31" t="str">
            <v>10</v>
          </cell>
          <cell r="T31">
            <v>79</v>
          </cell>
          <cell r="U31">
            <v>7</v>
          </cell>
          <cell r="V31">
            <v>79</v>
          </cell>
          <cell r="W31">
            <v>7</v>
          </cell>
          <cell r="X31">
            <v>79</v>
          </cell>
          <cell r="AF31" t="str">
            <v>16</v>
          </cell>
          <cell r="AI31">
            <v>14308764</v>
          </cell>
          <cell r="AJ31">
            <v>14308764</v>
          </cell>
        </row>
        <row r="32">
          <cell r="A32" t="str">
            <v>02</v>
          </cell>
          <cell r="B32" t="str">
            <v>71</v>
          </cell>
          <cell r="C32" t="str">
            <v>68</v>
          </cell>
          <cell r="D32" t="str">
            <v>Склад хранилище</v>
          </cell>
          <cell r="G32" t="str">
            <v>01</v>
          </cell>
          <cell r="H32">
            <v>98280</v>
          </cell>
          <cell r="I32">
            <v>49549.5</v>
          </cell>
          <cell r="J32">
            <v>0</v>
          </cell>
          <cell r="K32">
            <v>1.1200000000000001</v>
          </cell>
          <cell r="L32" t="str">
            <v>23</v>
          </cell>
          <cell r="M32" t="str">
            <v>10004</v>
          </cell>
          <cell r="N32" t="str">
            <v>11 4527204</v>
          </cell>
          <cell r="O32" t="str">
            <v>01</v>
          </cell>
          <cell r="P32">
            <v>2.5</v>
          </cell>
          <cell r="Q32">
            <v>0</v>
          </cell>
          <cell r="R32" t="str">
            <v>1</v>
          </cell>
          <cell r="S32" t="str">
            <v>10</v>
          </cell>
          <cell r="T32">
            <v>74</v>
          </cell>
          <cell r="U32">
            <v>10</v>
          </cell>
          <cell r="V32">
            <v>74</v>
          </cell>
          <cell r="W32">
            <v>10</v>
          </cell>
          <cell r="X32">
            <v>74</v>
          </cell>
          <cell r="AF32" t="str">
            <v>00</v>
          </cell>
          <cell r="AI32">
            <v>87490549</v>
          </cell>
          <cell r="AJ32">
            <v>50671610.390000001</v>
          </cell>
        </row>
        <row r="33">
          <cell r="A33" t="str">
            <v>16</v>
          </cell>
          <cell r="B33" t="str">
            <v>06</v>
          </cell>
          <cell r="C33" t="str">
            <v>69</v>
          </cell>
          <cell r="D33" t="str">
            <v>Домик дачный 3-х мес</v>
          </cell>
          <cell r="E33" t="str">
            <v>тный деревянный 5х4</v>
          </cell>
          <cell r="G33" t="str">
            <v>01</v>
          </cell>
          <cell r="H33">
            <v>16176.06</v>
          </cell>
          <cell r="I33">
            <v>16176.06</v>
          </cell>
          <cell r="J33">
            <v>0</v>
          </cell>
          <cell r="K33">
            <v>1.1299999999999999</v>
          </cell>
          <cell r="L33" t="str">
            <v>88/1</v>
          </cell>
          <cell r="M33" t="str">
            <v>10007</v>
          </cell>
          <cell r="N33" t="str">
            <v>13 2022231</v>
          </cell>
          <cell r="O33" t="str">
            <v>01</v>
          </cell>
          <cell r="P33">
            <v>9.8000000000000007</v>
          </cell>
          <cell r="Q33">
            <v>0</v>
          </cell>
          <cell r="R33" t="str">
            <v>1</v>
          </cell>
          <cell r="S33" t="str">
            <v>10</v>
          </cell>
          <cell r="T33">
            <v>79</v>
          </cell>
          <cell r="U33">
            <v>7</v>
          </cell>
          <cell r="V33">
            <v>79</v>
          </cell>
          <cell r="W33">
            <v>7</v>
          </cell>
          <cell r="X33">
            <v>79</v>
          </cell>
          <cell r="AF33" t="str">
            <v>16</v>
          </cell>
          <cell r="AI33">
            <v>14308764</v>
          </cell>
          <cell r="AJ33">
            <v>14308764</v>
          </cell>
        </row>
        <row r="34">
          <cell r="A34" t="str">
            <v>16</v>
          </cell>
          <cell r="B34" t="str">
            <v>06</v>
          </cell>
          <cell r="C34" t="str">
            <v>70</v>
          </cell>
          <cell r="D34" t="str">
            <v>Домик дачный 3-х мес</v>
          </cell>
          <cell r="E34" t="str">
            <v>тный деревянный 5х4</v>
          </cell>
          <cell r="G34" t="str">
            <v>01</v>
          </cell>
          <cell r="H34">
            <v>16176.06</v>
          </cell>
          <cell r="I34">
            <v>16176.06</v>
          </cell>
          <cell r="J34">
            <v>0</v>
          </cell>
          <cell r="K34">
            <v>1.1299999999999999</v>
          </cell>
          <cell r="L34" t="str">
            <v>88/1</v>
          </cell>
          <cell r="M34" t="str">
            <v>10007</v>
          </cell>
          <cell r="N34" t="str">
            <v>13 2022231</v>
          </cell>
          <cell r="O34" t="str">
            <v>01</v>
          </cell>
          <cell r="P34">
            <v>9.8000000000000007</v>
          </cell>
          <cell r="Q34">
            <v>0</v>
          </cell>
          <cell r="R34" t="str">
            <v>1</v>
          </cell>
          <cell r="S34" t="str">
            <v>10</v>
          </cell>
          <cell r="T34">
            <v>79</v>
          </cell>
          <cell r="U34">
            <v>7</v>
          </cell>
          <cell r="V34">
            <v>79</v>
          </cell>
          <cell r="W34">
            <v>7</v>
          </cell>
          <cell r="X34">
            <v>79</v>
          </cell>
          <cell r="AF34" t="str">
            <v>16</v>
          </cell>
          <cell r="AI34">
            <v>14308764</v>
          </cell>
          <cell r="AJ34">
            <v>14308764</v>
          </cell>
        </row>
        <row r="35">
          <cell r="A35" t="str">
            <v>16</v>
          </cell>
          <cell r="B35" t="str">
            <v>06</v>
          </cell>
          <cell r="C35" t="str">
            <v>71</v>
          </cell>
          <cell r="D35" t="str">
            <v>Домик дачный 3-х мес</v>
          </cell>
          <cell r="E35" t="str">
            <v>тный деревянный 5х4</v>
          </cell>
          <cell r="G35" t="str">
            <v>01</v>
          </cell>
          <cell r="H35">
            <v>16176.06</v>
          </cell>
          <cell r="I35">
            <v>16176.06</v>
          </cell>
          <cell r="J35">
            <v>0</v>
          </cell>
          <cell r="K35">
            <v>1.1299999999999999</v>
          </cell>
          <cell r="L35" t="str">
            <v>88/1</v>
          </cell>
          <cell r="M35" t="str">
            <v>10007</v>
          </cell>
          <cell r="N35" t="str">
            <v>13 2022231</v>
          </cell>
          <cell r="O35" t="str">
            <v>01</v>
          </cell>
          <cell r="P35">
            <v>9.8000000000000007</v>
          </cell>
          <cell r="Q35">
            <v>0</v>
          </cell>
          <cell r="R35" t="str">
            <v>1</v>
          </cell>
          <cell r="S35" t="str">
            <v>10</v>
          </cell>
          <cell r="T35">
            <v>79</v>
          </cell>
          <cell r="U35">
            <v>7</v>
          </cell>
          <cell r="V35">
            <v>79</v>
          </cell>
          <cell r="W35">
            <v>7</v>
          </cell>
          <cell r="X35">
            <v>79</v>
          </cell>
          <cell r="AF35" t="str">
            <v>16</v>
          </cell>
          <cell r="AI35">
            <v>14308764</v>
          </cell>
          <cell r="AJ35">
            <v>14308764</v>
          </cell>
        </row>
        <row r="36">
          <cell r="A36" t="str">
            <v>16</v>
          </cell>
          <cell r="B36" t="str">
            <v>06</v>
          </cell>
          <cell r="C36" t="str">
            <v>72</v>
          </cell>
          <cell r="D36" t="str">
            <v>Домик дачный 3-х мес</v>
          </cell>
          <cell r="E36" t="str">
            <v>тный деревянный 5х4</v>
          </cell>
          <cell r="G36" t="str">
            <v>01</v>
          </cell>
          <cell r="H36">
            <v>16176.06</v>
          </cell>
          <cell r="I36">
            <v>16176.06</v>
          </cell>
          <cell r="J36">
            <v>0</v>
          </cell>
          <cell r="K36">
            <v>1.1299999999999999</v>
          </cell>
          <cell r="L36" t="str">
            <v>88/1</v>
          </cell>
          <cell r="M36" t="str">
            <v>10007</v>
          </cell>
          <cell r="N36" t="str">
            <v>13 2022231</v>
          </cell>
          <cell r="O36" t="str">
            <v>01</v>
          </cell>
          <cell r="P36">
            <v>9.8000000000000007</v>
          </cell>
          <cell r="Q36">
            <v>0</v>
          </cell>
          <cell r="R36" t="str">
            <v>1</v>
          </cell>
          <cell r="S36" t="str">
            <v>10</v>
          </cell>
          <cell r="T36">
            <v>79</v>
          </cell>
          <cell r="U36">
            <v>7</v>
          </cell>
          <cell r="V36">
            <v>79</v>
          </cell>
          <cell r="W36">
            <v>7</v>
          </cell>
          <cell r="X36">
            <v>79</v>
          </cell>
          <cell r="AF36" t="str">
            <v>16</v>
          </cell>
          <cell r="AI36">
            <v>14308764</v>
          </cell>
          <cell r="AJ36">
            <v>14308764</v>
          </cell>
        </row>
        <row r="37">
          <cell r="A37" t="str">
            <v>16</v>
          </cell>
          <cell r="B37" t="str">
            <v>06</v>
          </cell>
          <cell r="C37" t="str">
            <v>73</v>
          </cell>
          <cell r="D37" t="str">
            <v>Дом каркасный деревя</v>
          </cell>
          <cell r="E37" t="str">
            <v>нный 12 х 6 /фиброли</v>
          </cell>
          <cell r="F37" t="str">
            <v>товый/</v>
          </cell>
          <cell r="G37" t="str">
            <v>01</v>
          </cell>
          <cell r="H37">
            <v>53500</v>
          </cell>
          <cell r="I37">
            <v>18725</v>
          </cell>
          <cell r="J37">
            <v>0</v>
          </cell>
          <cell r="K37">
            <v>1.02</v>
          </cell>
          <cell r="L37" t="str">
            <v>88/1</v>
          </cell>
          <cell r="M37" t="str">
            <v>10004</v>
          </cell>
          <cell r="N37" t="str">
            <v>13 2022231</v>
          </cell>
          <cell r="O37" t="str">
            <v>01</v>
          </cell>
          <cell r="P37">
            <v>2.5</v>
          </cell>
          <cell r="Q37">
            <v>0</v>
          </cell>
          <cell r="R37" t="str">
            <v>1</v>
          </cell>
          <cell r="S37" t="str">
            <v>10</v>
          </cell>
          <cell r="T37">
            <v>80</v>
          </cell>
          <cell r="U37">
            <v>12</v>
          </cell>
          <cell r="V37">
            <v>80</v>
          </cell>
          <cell r="W37">
            <v>12</v>
          </cell>
          <cell r="X37">
            <v>80</v>
          </cell>
          <cell r="AF37" t="str">
            <v>16</v>
          </cell>
          <cell r="AI37">
            <v>52262838</v>
          </cell>
          <cell r="AJ37">
            <v>22211705.68</v>
          </cell>
        </row>
        <row r="38">
          <cell r="A38" t="str">
            <v>02</v>
          </cell>
          <cell r="B38" t="str">
            <v>71</v>
          </cell>
          <cell r="C38" t="str">
            <v>74</v>
          </cell>
          <cell r="D38" t="str">
            <v>Металлический склад</v>
          </cell>
          <cell r="G38" t="str">
            <v>01</v>
          </cell>
          <cell r="H38">
            <v>114480</v>
          </cell>
          <cell r="I38">
            <v>54378</v>
          </cell>
          <cell r="J38">
            <v>0</v>
          </cell>
          <cell r="K38">
            <v>0.66</v>
          </cell>
          <cell r="L38" t="str">
            <v>23</v>
          </cell>
          <cell r="M38" t="str">
            <v>10004</v>
          </cell>
          <cell r="N38" t="str">
            <v>11 4527204</v>
          </cell>
          <cell r="O38" t="str">
            <v>01</v>
          </cell>
          <cell r="P38">
            <v>2.5</v>
          </cell>
          <cell r="Q38">
            <v>0</v>
          </cell>
          <cell r="R38" t="str">
            <v>1</v>
          </cell>
          <cell r="S38" t="str">
            <v>10</v>
          </cell>
          <cell r="T38">
            <v>75</v>
          </cell>
          <cell r="U38">
            <v>12</v>
          </cell>
          <cell r="V38">
            <v>75</v>
          </cell>
          <cell r="W38">
            <v>12</v>
          </cell>
          <cell r="X38">
            <v>75</v>
          </cell>
          <cell r="AF38" t="str">
            <v>00</v>
          </cell>
          <cell r="AI38">
            <v>173691573</v>
          </cell>
          <cell r="AJ38">
            <v>95530365.150000006</v>
          </cell>
        </row>
        <row r="39">
          <cell r="A39" t="str">
            <v>02</v>
          </cell>
          <cell r="B39" t="str">
            <v>71</v>
          </cell>
          <cell r="C39" t="str">
            <v>75</v>
          </cell>
          <cell r="D39" t="str">
            <v>Бытовое помещение на</v>
          </cell>
          <cell r="E39" t="str">
            <v xml:space="preserve"> ИТБ</v>
          </cell>
          <cell r="G39" t="str">
            <v>01</v>
          </cell>
          <cell r="H39">
            <v>387790</v>
          </cell>
          <cell r="I39">
            <v>88416.12</v>
          </cell>
          <cell r="J39">
            <v>0</v>
          </cell>
          <cell r="K39">
            <v>0.45</v>
          </cell>
          <cell r="L39" t="str">
            <v>23</v>
          </cell>
          <cell r="M39" t="str">
            <v>10002</v>
          </cell>
          <cell r="N39" t="str">
            <v>11 4529020</v>
          </cell>
          <cell r="O39" t="str">
            <v>01</v>
          </cell>
          <cell r="P39">
            <v>1.2</v>
          </cell>
          <cell r="Q39">
            <v>0</v>
          </cell>
          <cell r="R39" t="str">
            <v>1</v>
          </cell>
          <cell r="S39" t="str">
            <v>10</v>
          </cell>
          <cell r="T39">
            <v>0</v>
          </cell>
          <cell r="U39">
            <v>12</v>
          </cell>
          <cell r="V39">
            <v>75</v>
          </cell>
          <cell r="W39">
            <v>12</v>
          </cell>
          <cell r="X39">
            <v>75</v>
          </cell>
          <cell r="AF39" t="str">
            <v>00</v>
          </cell>
          <cell r="AI39">
            <v>864434816</v>
          </cell>
          <cell r="AJ39">
            <v>228210792.41</v>
          </cell>
        </row>
        <row r="40">
          <cell r="A40" t="str">
            <v>16</v>
          </cell>
          <cell r="B40" t="str">
            <v>06</v>
          </cell>
          <cell r="C40" t="str">
            <v>76</v>
          </cell>
          <cell r="D40" t="str">
            <v>Павильон "Смоленск"</v>
          </cell>
          <cell r="E40" t="str">
            <v>12 х 7м</v>
          </cell>
          <cell r="G40" t="str">
            <v>01</v>
          </cell>
          <cell r="H40">
            <v>30270</v>
          </cell>
          <cell r="I40">
            <v>23640.87</v>
          </cell>
          <cell r="J40">
            <v>0</v>
          </cell>
          <cell r="K40">
            <v>1.02</v>
          </cell>
          <cell r="L40" t="str">
            <v>88/1</v>
          </cell>
          <cell r="M40" t="str">
            <v>10005</v>
          </cell>
          <cell r="N40" t="str">
            <v>13 2022315</v>
          </cell>
          <cell r="O40" t="str">
            <v>02</v>
          </cell>
          <cell r="P40">
            <v>6.6</v>
          </cell>
          <cell r="Q40">
            <v>0</v>
          </cell>
          <cell r="R40" t="str">
            <v>1</v>
          </cell>
          <cell r="S40" t="str">
            <v>10</v>
          </cell>
          <cell r="T40">
            <v>83</v>
          </cell>
          <cell r="U40">
            <v>2</v>
          </cell>
          <cell r="V40">
            <v>83</v>
          </cell>
          <cell r="W40">
            <v>2</v>
          </cell>
          <cell r="X40">
            <v>83</v>
          </cell>
          <cell r="AF40" t="str">
            <v>16</v>
          </cell>
          <cell r="AI40">
            <v>29549520</v>
          </cell>
          <cell r="AJ40">
            <v>28928980.079999998</v>
          </cell>
        </row>
        <row r="41">
          <cell r="A41" t="str">
            <v>16</v>
          </cell>
          <cell r="B41" t="str">
            <v>06</v>
          </cell>
          <cell r="C41" t="str">
            <v>77</v>
          </cell>
          <cell r="D41" t="str">
            <v>Домик-комплекс "Чехо</v>
          </cell>
          <cell r="E41" t="str">
            <v>словакия"дерево-мета</v>
          </cell>
          <cell r="F41" t="str">
            <v>ллич. 24 х 12м</v>
          </cell>
          <cell r="G41" t="str">
            <v>01</v>
          </cell>
          <cell r="H41">
            <v>312500</v>
          </cell>
          <cell r="I41">
            <v>197916.67</v>
          </cell>
          <cell r="J41">
            <v>0</v>
          </cell>
          <cell r="K41">
            <v>1.1100000000000001</v>
          </cell>
          <cell r="L41" t="str">
            <v>88/1</v>
          </cell>
          <cell r="M41" t="str">
            <v>10008</v>
          </cell>
          <cell r="N41" t="str">
            <v>13 2022231</v>
          </cell>
          <cell r="O41" t="str">
            <v>01</v>
          </cell>
          <cell r="P41">
            <v>5</v>
          </cell>
          <cell r="Q41">
            <v>0</v>
          </cell>
          <cell r="R41" t="str">
            <v>1</v>
          </cell>
          <cell r="S41" t="str">
            <v>10</v>
          </cell>
          <cell r="T41">
            <v>82</v>
          </cell>
          <cell r="U41">
            <v>4</v>
          </cell>
          <cell r="V41">
            <v>82</v>
          </cell>
          <cell r="W41">
            <v>4</v>
          </cell>
          <cell r="X41">
            <v>82</v>
          </cell>
          <cell r="AF41" t="str">
            <v>16</v>
          </cell>
          <cell r="AG41">
            <v>280500000</v>
          </cell>
          <cell r="AI41">
            <v>280500000</v>
          </cell>
          <cell r="AJ41">
            <v>219725000</v>
          </cell>
        </row>
        <row r="42">
          <cell r="A42" t="str">
            <v>16</v>
          </cell>
          <cell r="B42" t="str">
            <v>06</v>
          </cell>
          <cell r="C42" t="str">
            <v>79</v>
          </cell>
          <cell r="D42" t="str">
            <v>Сарай хозяйств. с по</v>
          </cell>
          <cell r="E42" t="str">
            <v>гребом металлический</v>
          </cell>
          <cell r="F42" t="str">
            <v>10 х 5м</v>
          </cell>
          <cell r="G42" t="str">
            <v>01</v>
          </cell>
          <cell r="H42">
            <v>18320</v>
          </cell>
          <cell r="I42">
            <v>8976.77</v>
          </cell>
          <cell r="J42">
            <v>0</v>
          </cell>
          <cell r="K42">
            <v>0.75</v>
          </cell>
          <cell r="L42" t="str">
            <v>88/1</v>
          </cell>
          <cell r="M42" t="str">
            <v>10013</v>
          </cell>
          <cell r="N42" t="str">
            <v>11 4527143</v>
          </cell>
          <cell r="O42" t="str">
            <v>01</v>
          </cell>
          <cell r="P42">
            <v>3.5</v>
          </cell>
          <cell r="Q42">
            <v>0</v>
          </cell>
          <cell r="R42" t="str">
            <v>1</v>
          </cell>
          <cell r="S42" t="str">
            <v>10</v>
          </cell>
          <cell r="T42">
            <v>80</v>
          </cell>
          <cell r="U42">
            <v>12</v>
          </cell>
          <cell r="V42">
            <v>80</v>
          </cell>
          <cell r="W42">
            <v>12</v>
          </cell>
          <cell r="X42">
            <v>80</v>
          </cell>
          <cell r="AF42" t="str">
            <v>16</v>
          </cell>
          <cell r="AI42">
            <v>24538179</v>
          </cell>
          <cell r="AJ42">
            <v>14600179.800000001</v>
          </cell>
        </row>
        <row r="43">
          <cell r="A43" t="str">
            <v>16</v>
          </cell>
          <cell r="B43" t="str">
            <v>06</v>
          </cell>
          <cell r="C43" t="str">
            <v>81</v>
          </cell>
          <cell r="D43" t="str">
            <v>Столовая 18 х 15м</v>
          </cell>
          <cell r="E43" t="str">
            <v>кирпичная</v>
          </cell>
          <cell r="G43" t="str">
            <v>01</v>
          </cell>
          <cell r="H43">
            <v>243620</v>
          </cell>
          <cell r="I43">
            <v>74608.600000000006</v>
          </cell>
          <cell r="J43">
            <v>0</v>
          </cell>
          <cell r="K43">
            <v>1.29</v>
          </cell>
          <cell r="L43" t="str">
            <v>88/1</v>
          </cell>
          <cell r="M43" t="str">
            <v>10004</v>
          </cell>
          <cell r="N43" t="str">
            <v>11 4527133</v>
          </cell>
          <cell r="O43" t="str">
            <v>01</v>
          </cell>
          <cell r="P43">
            <v>2.5</v>
          </cell>
          <cell r="Q43">
            <v>0</v>
          </cell>
          <cell r="R43" t="str">
            <v>1</v>
          </cell>
          <cell r="S43" t="str">
            <v>10</v>
          </cell>
          <cell r="T43">
            <v>82</v>
          </cell>
          <cell r="U43">
            <v>9</v>
          </cell>
          <cell r="V43">
            <v>82</v>
          </cell>
          <cell r="W43">
            <v>9</v>
          </cell>
          <cell r="X43">
            <v>82</v>
          </cell>
          <cell r="AF43" t="str">
            <v>16</v>
          </cell>
          <cell r="AI43">
            <v>188914880</v>
          </cell>
          <cell r="AJ43">
            <v>72023775</v>
          </cell>
        </row>
        <row r="44">
          <cell r="A44" t="str">
            <v>16</v>
          </cell>
          <cell r="B44" t="str">
            <v>06</v>
          </cell>
          <cell r="C44" t="str">
            <v>82</v>
          </cell>
          <cell r="D44" t="str">
            <v>Кинобудка 5 х 4м</v>
          </cell>
          <cell r="E44" t="str">
            <v>кирпичная</v>
          </cell>
          <cell r="G44" t="str">
            <v>01</v>
          </cell>
          <cell r="H44">
            <v>28350</v>
          </cell>
          <cell r="I44">
            <v>9922.5</v>
          </cell>
          <cell r="J44">
            <v>0</v>
          </cell>
          <cell r="K44">
            <v>0.5</v>
          </cell>
          <cell r="L44" t="str">
            <v>88/1</v>
          </cell>
          <cell r="M44" t="str">
            <v>10004</v>
          </cell>
          <cell r="N44" t="str">
            <v>13 2022315</v>
          </cell>
          <cell r="O44" t="str">
            <v>01</v>
          </cell>
          <cell r="P44">
            <v>2.5</v>
          </cell>
          <cell r="Q44">
            <v>0</v>
          </cell>
          <cell r="R44" t="str">
            <v>1</v>
          </cell>
          <cell r="S44" t="str">
            <v>10</v>
          </cell>
          <cell r="T44">
            <v>80</v>
          </cell>
          <cell r="U44">
            <v>12</v>
          </cell>
          <cell r="V44">
            <v>80</v>
          </cell>
          <cell r="W44">
            <v>12</v>
          </cell>
          <cell r="X44">
            <v>80</v>
          </cell>
          <cell r="AF44" t="str">
            <v>16</v>
          </cell>
          <cell r="AI44">
            <v>57116031</v>
          </cell>
          <cell r="AJ44">
            <v>24274312.949999999</v>
          </cell>
        </row>
        <row r="45">
          <cell r="A45" t="str">
            <v>02</v>
          </cell>
          <cell r="B45" t="str">
            <v>90</v>
          </cell>
          <cell r="C45" t="str">
            <v>83</v>
          </cell>
          <cell r="D45" t="str">
            <v>Циркульная пила ЦП-</v>
          </cell>
          <cell r="E45" t="str">
            <v>9128</v>
          </cell>
          <cell r="G45" t="str">
            <v>01</v>
          </cell>
          <cell r="H45">
            <v>1475</v>
          </cell>
          <cell r="I45">
            <v>1475</v>
          </cell>
          <cell r="J45">
            <v>0</v>
          </cell>
          <cell r="K45">
            <v>0.79</v>
          </cell>
          <cell r="L45" t="str">
            <v>23</v>
          </cell>
          <cell r="M45" t="str">
            <v>41000</v>
          </cell>
          <cell r="N45" t="str">
            <v>14 2941134</v>
          </cell>
          <cell r="O45" t="str">
            <v>067</v>
          </cell>
          <cell r="P45">
            <v>3.5</v>
          </cell>
          <cell r="Q45">
            <v>0</v>
          </cell>
          <cell r="R45" t="str">
            <v>1</v>
          </cell>
          <cell r="S45" t="str">
            <v>41</v>
          </cell>
          <cell r="T45">
            <v>73</v>
          </cell>
          <cell r="U45">
            <v>11</v>
          </cell>
          <cell r="V45">
            <v>73</v>
          </cell>
          <cell r="W45">
            <v>11</v>
          </cell>
          <cell r="X45">
            <v>73</v>
          </cell>
          <cell r="AF45" t="str">
            <v>00</v>
          </cell>
          <cell r="AI45">
            <v>1866421</v>
          </cell>
          <cell r="AJ45">
            <v>1866421</v>
          </cell>
        </row>
        <row r="46">
          <cell r="A46" t="str">
            <v>16</v>
          </cell>
          <cell r="B46" t="str">
            <v>06</v>
          </cell>
          <cell r="C46" t="str">
            <v>83/1</v>
          </cell>
          <cell r="D46" t="str">
            <v>Домик ГПП-деревянный</v>
          </cell>
          <cell r="E46" t="str">
            <v>8 х 5</v>
          </cell>
          <cell r="G46" t="str">
            <v>01</v>
          </cell>
          <cell r="H46">
            <v>53500</v>
          </cell>
          <cell r="I46">
            <v>53500</v>
          </cell>
          <cell r="J46">
            <v>0</v>
          </cell>
          <cell r="K46">
            <v>1.1299999999999999</v>
          </cell>
          <cell r="L46" t="str">
            <v>88/1</v>
          </cell>
          <cell r="M46" t="str">
            <v>10010</v>
          </cell>
          <cell r="N46" t="str">
            <v>13 2022231</v>
          </cell>
          <cell r="O46" t="str">
            <v>01</v>
          </cell>
          <cell r="P46">
            <v>12.5</v>
          </cell>
          <cell r="Q46">
            <v>0</v>
          </cell>
          <cell r="R46" t="str">
            <v>1</v>
          </cell>
          <cell r="S46" t="str">
            <v>10</v>
          </cell>
          <cell r="T46">
            <v>79</v>
          </cell>
          <cell r="U46">
            <v>12</v>
          </cell>
          <cell r="V46">
            <v>79</v>
          </cell>
          <cell r="W46">
            <v>12</v>
          </cell>
          <cell r="X46">
            <v>79</v>
          </cell>
          <cell r="AF46" t="str">
            <v>16</v>
          </cell>
          <cell r="AI46">
            <v>47342877</v>
          </cell>
          <cell r="AJ46">
            <v>47342877</v>
          </cell>
        </row>
        <row r="47">
          <cell r="A47" t="str">
            <v>02</v>
          </cell>
          <cell r="B47" t="str">
            <v>90</v>
          </cell>
          <cell r="C47" t="str">
            <v>84</v>
          </cell>
          <cell r="D47" t="str">
            <v>Станов токарно-винто</v>
          </cell>
          <cell r="E47" t="str">
            <v>-резный 16903 П</v>
          </cell>
          <cell r="G47" t="str">
            <v>01</v>
          </cell>
          <cell r="H47">
            <v>4520</v>
          </cell>
          <cell r="I47">
            <v>2069.7800000000002</v>
          </cell>
          <cell r="J47">
            <v>0</v>
          </cell>
          <cell r="K47">
            <v>1.1200000000000001</v>
          </cell>
          <cell r="L47" t="str">
            <v>23</v>
          </cell>
          <cell r="M47" t="str">
            <v>41000</v>
          </cell>
          <cell r="N47" t="str">
            <v>14 2922105</v>
          </cell>
          <cell r="O47" t="str">
            <v>067</v>
          </cell>
          <cell r="P47">
            <v>3.5</v>
          </cell>
          <cell r="Q47">
            <v>0</v>
          </cell>
          <cell r="R47" t="str">
            <v>1</v>
          </cell>
          <cell r="S47" t="str">
            <v>41</v>
          </cell>
          <cell r="T47">
            <v>0</v>
          </cell>
          <cell r="U47">
            <v>11</v>
          </cell>
          <cell r="V47">
            <v>81</v>
          </cell>
          <cell r="W47">
            <v>11</v>
          </cell>
          <cell r="X47">
            <v>81</v>
          </cell>
          <cell r="AF47" t="str">
            <v>00</v>
          </cell>
          <cell r="AI47">
            <v>4030884</v>
          </cell>
          <cell r="AJ47">
            <v>2269052.5699999998</v>
          </cell>
        </row>
        <row r="48">
          <cell r="A48" t="str">
            <v>16</v>
          </cell>
          <cell r="B48" t="str">
            <v>06</v>
          </cell>
          <cell r="C48" t="str">
            <v>84/1</v>
          </cell>
          <cell r="D48" t="str">
            <v>Вагон-домик деревян.</v>
          </cell>
          <cell r="E48" t="str">
            <v>5 х 4</v>
          </cell>
          <cell r="G48" t="str">
            <v>01</v>
          </cell>
          <cell r="H48">
            <v>20349.72</v>
          </cell>
          <cell r="I48">
            <v>20349.72</v>
          </cell>
          <cell r="J48">
            <v>0</v>
          </cell>
          <cell r="K48">
            <v>1.1299999999999999</v>
          </cell>
          <cell r="L48" t="str">
            <v>88/1</v>
          </cell>
          <cell r="M48" t="str">
            <v>10010</v>
          </cell>
          <cell r="N48" t="str">
            <v>13 3420175</v>
          </cell>
          <cell r="O48" t="str">
            <v>01</v>
          </cell>
          <cell r="P48">
            <v>12.5</v>
          </cell>
          <cell r="Q48">
            <v>0</v>
          </cell>
          <cell r="R48" t="str">
            <v>1</v>
          </cell>
          <cell r="S48" t="str">
            <v>10</v>
          </cell>
          <cell r="T48">
            <v>79</v>
          </cell>
          <cell r="U48">
            <v>8</v>
          </cell>
          <cell r="V48">
            <v>79</v>
          </cell>
          <cell r="W48">
            <v>8</v>
          </cell>
          <cell r="X48">
            <v>79</v>
          </cell>
          <cell r="AF48" t="str">
            <v>16</v>
          </cell>
          <cell r="AI48">
            <v>18000640</v>
          </cell>
          <cell r="AJ48">
            <v>18000640</v>
          </cell>
        </row>
        <row r="49">
          <cell r="A49" t="str">
            <v>02</v>
          </cell>
          <cell r="B49" t="str">
            <v>90</v>
          </cell>
          <cell r="C49" t="str">
            <v>85</v>
          </cell>
          <cell r="D49" t="str">
            <v>Фрезерный станок ФС-</v>
          </cell>
          <cell r="E49" t="str">
            <v>SA</v>
          </cell>
          <cell r="G49" t="str">
            <v>01</v>
          </cell>
          <cell r="H49">
            <v>3486</v>
          </cell>
          <cell r="I49">
            <v>3486.6</v>
          </cell>
          <cell r="J49">
            <v>0</v>
          </cell>
          <cell r="K49">
            <v>0.93</v>
          </cell>
          <cell r="L49" t="str">
            <v>23</v>
          </cell>
          <cell r="M49" t="str">
            <v>41000</v>
          </cell>
          <cell r="N49" t="str">
            <v>14 2922150</v>
          </cell>
          <cell r="O49" t="str">
            <v>067</v>
          </cell>
          <cell r="P49">
            <v>3.5</v>
          </cell>
          <cell r="Q49">
            <v>0</v>
          </cell>
          <cell r="R49" t="str">
            <v>1</v>
          </cell>
          <cell r="S49" t="str">
            <v>41</v>
          </cell>
          <cell r="T49">
            <v>73</v>
          </cell>
          <cell r="U49">
            <v>11</v>
          </cell>
          <cell r="V49">
            <v>73</v>
          </cell>
          <cell r="W49">
            <v>11</v>
          </cell>
          <cell r="X49">
            <v>73</v>
          </cell>
          <cell r="AF49" t="str">
            <v>00</v>
          </cell>
          <cell r="AI49">
            <v>3754996</v>
          </cell>
          <cell r="AJ49">
            <v>3754996</v>
          </cell>
        </row>
        <row r="50">
          <cell r="A50" t="str">
            <v>16</v>
          </cell>
          <cell r="B50" t="str">
            <v>06</v>
          </cell>
          <cell r="C50" t="str">
            <v>85/1</v>
          </cell>
          <cell r="D50" t="str">
            <v>Домик для турбазы</v>
          </cell>
          <cell r="E50" t="str">
            <v>деревянный 5 х 4</v>
          </cell>
          <cell r="F50" t="str">
            <v>4-х местный</v>
          </cell>
          <cell r="G50" t="str">
            <v>01</v>
          </cell>
          <cell r="H50">
            <v>23540</v>
          </cell>
          <cell r="I50">
            <v>19993.310000000001</v>
          </cell>
          <cell r="J50">
            <v>0</v>
          </cell>
          <cell r="K50">
            <v>0.92</v>
          </cell>
          <cell r="L50" t="str">
            <v>88/1</v>
          </cell>
          <cell r="M50" t="str">
            <v>10007</v>
          </cell>
          <cell r="N50" t="str">
            <v>13 2022231</v>
          </cell>
          <cell r="O50" t="str">
            <v>01</v>
          </cell>
          <cell r="P50">
            <v>9.8000000000000007</v>
          </cell>
          <cell r="Q50">
            <v>0</v>
          </cell>
          <cell r="R50" t="str">
            <v>1</v>
          </cell>
          <cell r="S50" t="str">
            <v>10</v>
          </cell>
          <cell r="T50">
            <v>86</v>
          </cell>
          <cell r="U50">
            <v>4</v>
          </cell>
          <cell r="V50">
            <v>86</v>
          </cell>
          <cell r="W50">
            <v>4</v>
          </cell>
          <cell r="X50">
            <v>86</v>
          </cell>
          <cell r="AA50" t="str">
            <v>1</v>
          </cell>
          <cell r="AB50" t="str">
            <v>15</v>
          </cell>
          <cell r="AC50">
            <v>7</v>
          </cell>
          <cell r="AF50" t="str">
            <v>16</v>
          </cell>
          <cell r="AI50">
            <v>25571195</v>
          </cell>
          <cell r="AJ50">
            <v>25571195</v>
          </cell>
        </row>
        <row r="51">
          <cell r="A51" t="str">
            <v>02</v>
          </cell>
          <cell r="B51" t="str">
            <v>90</v>
          </cell>
          <cell r="C51" t="str">
            <v>86</v>
          </cell>
          <cell r="D51" t="str">
            <v>Станок рейсмусный</v>
          </cell>
          <cell r="E51" t="str">
            <v>CР-9БС</v>
          </cell>
          <cell r="G51" t="str">
            <v>01</v>
          </cell>
          <cell r="H51">
            <v>7285.09</v>
          </cell>
          <cell r="I51">
            <v>7285.09</v>
          </cell>
          <cell r="J51">
            <v>0</v>
          </cell>
          <cell r="K51">
            <v>1.1200000000000001</v>
          </cell>
          <cell r="L51" t="str">
            <v>23</v>
          </cell>
          <cell r="M51" t="str">
            <v>44501</v>
          </cell>
          <cell r="N51" t="str">
            <v>14 2922625</v>
          </cell>
          <cell r="O51" t="str">
            <v>067</v>
          </cell>
          <cell r="P51">
            <v>12.5</v>
          </cell>
          <cell r="Q51">
            <v>0</v>
          </cell>
          <cell r="R51" t="str">
            <v>1</v>
          </cell>
          <cell r="S51" t="str">
            <v>44</v>
          </cell>
          <cell r="T51">
            <v>75</v>
          </cell>
          <cell r="U51">
            <v>12</v>
          </cell>
          <cell r="V51">
            <v>75</v>
          </cell>
          <cell r="W51">
            <v>12</v>
          </cell>
          <cell r="X51">
            <v>75</v>
          </cell>
          <cell r="AF51" t="str">
            <v>00</v>
          </cell>
          <cell r="AI51">
            <v>6504546</v>
          </cell>
          <cell r="AJ51">
            <v>6504546</v>
          </cell>
        </row>
        <row r="52">
          <cell r="A52" t="str">
            <v>16</v>
          </cell>
          <cell r="B52" t="str">
            <v>06</v>
          </cell>
          <cell r="C52" t="str">
            <v>86/1</v>
          </cell>
          <cell r="D52" t="str">
            <v>Домик для турбазы</v>
          </cell>
          <cell r="E52" t="str">
            <v>деревянный 5 х 4</v>
          </cell>
          <cell r="F52" t="str">
            <v>4-х местный</v>
          </cell>
          <cell r="G52" t="str">
            <v>01</v>
          </cell>
          <cell r="H52">
            <v>23540</v>
          </cell>
          <cell r="I52">
            <v>19993.310000000001</v>
          </cell>
          <cell r="J52">
            <v>0</v>
          </cell>
          <cell r="K52">
            <v>0.92</v>
          </cell>
          <cell r="L52" t="str">
            <v>88/1</v>
          </cell>
          <cell r="M52" t="str">
            <v>10007</v>
          </cell>
          <cell r="N52" t="str">
            <v>13 2022231</v>
          </cell>
          <cell r="O52" t="str">
            <v>01</v>
          </cell>
          <cell r="P52">
            <v>9.8000000000000007</v>
          </cell>
          <cell r="Q52">
            <v>0</v>
          </cell>
          <cell r="R52" t="str">
            <v>1</v>
          </cell>
          <cell r="S52" t="str">
            <v>10</v>
          </cell>
          <cell r="T52">
            <v>86</v>
          </cell>
          <cell r="U52">
            <v>4</v>
          </cell>
          <cell r="V52">
            <v>86</v>
          </cell>
          <cell r="W52">
            <v>4</v>
          </cell>
          <cell r="X52">
            <v>86</v>
          </cell>
          <cell r="AF52" t="str">
            <v>16</v>
          </cell>
          <cell r="AI52">
            <v>25571195</v>
          </cell>
          <cell r="AJ52">
            <v>25571195</v>
          </cell>
        </row>
        <row r="53">
          <cell r="A53" t="str">
            <v>02</v>
          </cell>
          <cell r="B53" t="str">
            <v>90</v>
          </cell>
          <cell r="C53" t="str">
            <v>87</v>
          </cell>
          <cell r="D53" t="str">
            <v>Станок фуговальный</v>
          </cell>
          <cell r="E53" t="str">
            <v>СФ-1828</v>
          </cell>
          <cell r="G53" t="str">
            <v>01</v>
          </cell>
          <cell r="H53">
            <v>1680.42</v>
          </cell>
          <cell r="I53">
            <v>1680.42</v>
          </cell>
          <cell r="J53">
            <v>0</v>
          </cell>
          <cell r="K53">
            <v>1.05</v>
          </cell>
          <cell r="L53" t="str">
            <v>23</v>
          </cell>
          <cell r="M53" t="str">
            <v>44501</v>
          </cell>
          <cell r="N53" t="str">
            <v>14 2922629</v>
          </cell>
          <cell r="O53" t="str">
            <v>067</v>
          </cell>
          <cell r="P53">
            <v>2.5</v>
          </cell>
          <cell r="Q53">
            <v>0</v>
          </cell>
          <cell r="R53" t="str">
            <v>1</v>
          </cell>
          <cell r="S53" t="str">
            <v>44</v>
          </cell>
          <cell r="T53">
            <v>75</v>
          </cell>
          <cell r="U53">
            <v>6</v>
          </cell>
          <cell r="V53">
            <v>75</v>
          </cell>
          <cell r="W53">
            <v>6</v>
          </cell>
          <cell r="X53">
            <v>75</v>
          </cell>
          <cell r="AF53" t="str">
            <v>00</v>
          </cell>
          <cell r="AI53">
            <v>1600402</v>
          </cell>
          <cell r="AJ53">
            <v>1600402</v>
          </cell>
        </row>
        <row r="54">
          <cell r="A54" t="str">
            <v>16</v>
          </cell>
          <cell r="B54" t="str">
            <v>06</v>
          </cell>
          <cell r="C54" t="str">
            <v>87/1</v>
          </cell>
          <cell r="D54" t="str">
            <v>Домик для турбазы</v>
          </cell>
          <cell r="E54" t="str">
            <v>деревянный 5 х 4</v>
          </cell>
          <cell r="F54" t="str">
            <v>4-х местный</v>
          </cell>
          <cell r="G54" t="str">
            <v>01</v>
          </cell>
          <cell r="H54">
            <v>23540</v>
          </cell>
          <cell r="I54">
            <v>19993.310000000001</v>
          </cell>
          <cell r="J54">
            <v>0</v>
          </cell>
          <cell r="K54">
            <v>0.92</v>
          </cell>
          <cell r="L54" t="str">
            <v>88/1</v>
          </cell>
          <cell r="M54" t="str">
            <v>10007</v>
          </cell>
          <cell r="N54" t="str">
            <v>13 2022231</v>
          </cell>
          <cell r="O54" t="str">
            <v>01</v>
          </cell>
          <cell r="P54">
            <v>9.8000000000000007</v>
          </cell>
          <cell r="Q54">
            <v>0</v>
          </cell>
          <cell r="R54" t="str">
            <v>1</v>
          </cell>
          <cell r="S54" t="str">
            <v>10</v>
          </cell>
          <cell r="T54">
            <v>86</v>
          </cell>
          <cell r="U54">
            <v>4</v>
          </cell>
          <cell r="V54">
            <v>86</v>
          </cell>
          <cell r="W54">
            <v>4</v>
          </cell>
          <cell r="X54">
            <v>86</v>
          </cell>
          <cell r="AF54" t="str">
            <v>16</v>
          </cell>
          <cell r="AI54">
            <v>25571195</v>
          </cell>
          <cell r="AJ54">
            <v>25571195</v>
          </cell>
        </row>
        <row r="55">
          <cell r="A55" t="str">
            <v>16</v>
          </cell>
          <cell r="B55" t="str">
            <v>06</v>
          </cell>
          <cell r="C55" t="str">
            <v>88/1</v>
          </cell>
          <cell r="D55" t="str">
            <v>Домик для турбазы</v>
          </cell>
          <cell r="E55" t="str">
            <v>деревянный 5 х 4</v>
          </cell>
          <cell r="F55" t="str">
            <v>4-х местный</v>
          </cell>
          <cell r="G55" t="str">
            <v>01</v>
          </cell>
          <cell r="H55">
            <v>23540</v>
          </cell>
          <cell r="I55">
            <v>19993.310000000001</v>
          </cell>
          <cell r="J55">
            <v>0</v>
          </cell>
          <cell r="K55">
            <v>0.92</v>
          </cell>
          <cell r="L55" t="str">
            <v>88/1</v>
          </cell>
          <cell r="M55" t="str">
            <v>10007</v>
          </cell>
          <cell r="N55" t="str">
            <v>13 2022231</v>
          </cell>
          <cell r="O55" t="str">
            <v>01</v>
          </cell>
          <cell r="P55">
            <v>9.8000000000000007</v>
          </cell>
          <cell r="Q55">
            <v>0</v>
          </cell>
          <cell r="R55" t="str">
            <v>1</v>
          </cell>
          <cell r="S55" t="str">
            <v>10</v>
          </cell>
          <cell r="T55">
            <v>86</v>
          </cell>
          <cell r="U55">
            <v>4</v>
          </cell>
          <cell r="V55">
            <v>86</v>
          </cell>
          <cell r="W55">
            <v>4</v>
          </cell>
          <cell r="X55">
            <v>86</v>
          </cell>
          <cell r="AF55" t="str">
            <v>16</v>
          </cell>
          <cell r="AI55">
            <v>25571195</v>
          </cell>
          <cell r="AJ55">
            <v>25571195</v>
          </cell>
        </row>
        <row r="56">
          <cell r="A56" t="str">
            <v>16</v>
          </cell>
          <cell r="B56" t="str">
            <v>06</v>
          </cell>
          <cell r="C56" t="str">
            <v>89</v>
          </cell>
          <cell r="D56" t="str">
            <v>Домик для турбазы</v>
          </cell>
          <cell r="E56" t="str">
            <v>деревянный 5 х 4</v>
          </cell>
          <cell r="F56" t="str">
            <v>4-х местный</v>
          </cell>
          <cell r="G56" t="str">
            <v>01</v>
          </cell>
          <cell r="H56">
            <v>23540</v>
          </cell>
          <cell r="I56">
            <v>19993.330000000002</v>
          </cell>
          <cell r="J56">
            <v>0</v>
          </cell>
          <cell r="K56">
            <v>0.92</v>
          </cell>
          <cell r="L56" t="str">
            <v>88/1</v>
          </cell>
          <cell r="M56" t="str">
            <v>10007</v>
          </cell>
          <cell r="N56" t="str">
            <v>13 2022231</v>
          </cell>
          <cell r="O56" t="str">
            <v>01</v>
          </cell>
          <cell r="P56">
            <v>9.8000000000000007</v>
          </cell>
          <cell r="Q56">
            <v>0</v>
          </cell>
          <cell r="R56" t="str">
            <v>1</v>
          </cell>
          <cell r="S56" t="str">
            <v>10</v>
          </cell>
          <cell r="T56">
            <v>86</v>
          </cell>
          <cell r="U56">
            <v>4</v>
          </cell>
          <cell r="V56">
            <v>86</v>
          </cell>
          <cell r="W56">
            <v>4</v>
          </cell>
          <cell r="X56">
            <v>86</v>
          </cell>
          <cell r="AF56" t="str">
            <v>16</v>
          </cell>
          <cell r="AI56">
            <v>25571195</v>
          </cell>
          <cell r="AJ56">
            <v>25571195</v>
          </cell>
        </row>
        <row r="57">
          <cell r="A57" t="str">
            <v>16</v>
          </cell>
          <cell r="B57" t="str">
            <v>06</v>
          </cell>
          <cell r="C57" t="str">
            <v>92</v>
          </cell>
          <cell r="D57" t="str">
            <v>Вагон-домик деревян.</v>
          </cell>
          <cell r="E57" t="str">
            <v>5 х 4  4-х местный</v>
          </cell>
          <cell r="G57" t="str">
            <v>01</v>
          </cell>
          <cell r="H57">
            <v>25600</v>
          </cell>
          <cell r="I57">
            <v>18400</v>
          </cell>
          <cell r="J57">
            <v>0</v>
          </cell>
          <cell r="K57">
            <v>1.1299999999999999</v>
          </cell>
          <cell r="L57" t="str">
            <v>88/1</v>
          </cell>
          <cell r="M57" t="str">
            <v>10010</v>
          </cell>
          <cell r="N57" t="str">
            <v>13 3420175</v>
          </cell>
          <cell r="O57" t="str">
            <v>01</v>
          </cell>
          <cell r="P57">
            <v>12.5</v>
          </cell>
          <cell r="Q57">
            <v>0</v>
          </cell>
          <cell r="R57" t="str">
            <v>1</v>
          </cell>
          <cell r="S57" t="str">
            <v>10</v>
          </cell>
          <cell r="T57">
            <v>89</v>
          </cell>
          <cell r="U57">
            <v>3</v>
          </cell>
          <cell r="V57">
            <v>89</v>
          </cell>
          <cell r="W57">
            <v>3</v>
          </cell>
          <cell r="X57">
            <v>89</v>
          </cell>
          <cell r="AF57" t="str">
            <v>16</v>
          </cell>
          <cell r="AG57">
            <v>22750000</v>
          </cell>
          <cell r="AI57">
            <v>22750000</v>
          </cell>
          <cell r="AJ57">
            <v>22750000</v>
          </cell>
        </row>
        <row r="58">
          <cell r="A58" t="str">
            <v>16</v>
          </cell>
          <cell r="B58" t="str">
            <v>06</v>
          </cell>
          <cell r="C58" t="str">
            <v>93/1</v>
          </cell>
          <cell r="D58" t="str">
            <v>Домик ГДП деревян.</v>
          </cell>
          <cell r="E58" t="str">
            <v>8 х 5</v>
          </cell>
          <cell r="G58" t="str">
            <v>01</v>
          </cell>
          <cell r="H58">
            <v>48300</v>
          </cell>
          <cell r="I58">
            <v>48300</v>
          </cell>
          <cell r="J58">
            <v>0</v>
          </cell>
          <cell r="K58">
            <v>1.17</v>
          </cell>
          <cell r="L58" t="str">
            <v>88/1</v>
          </cell>
          <cell r="M58" t="str">
            <v>10010</v>
          </cell>
          <cell r="N58" t="str">
            <v>13 2022231</v>
          </cell>
          <cell r="O58" t="str">
            <v>01</v>
          </cell>
          <cell r="P58">
            <v>12.5</v>
          </cell>
          <cell r="Q58">
            <v>0</v>
          </cell>
          <cell r="R58" t="str">
            <v>1</v>
          </cell>
          <cell r="S58" t="str">
            <v>10</v>
          </cell>
          <cell r="T58">
            <v>83</v>
          </cell>
          <cell r="U58">
            <v>9</v>
          </cell>
          <cell r="V58">
            <v>83</v>
          </cell>
          <cell r="W58">
            <v>9</v>
          </cell>
          <cell r="X58">
            <v>83</v>
          </cell>
          <cell r="AF58" t="str">
            <v>16</v>
          </cell>
          <cell r="AI58">
            <v>41328000</v>
          </cell>
          <cell r="AJ58">
            <v>41328000</v>
          </cell>
        </row>
        <row r="59">
          <cell r="A59" t="str">
            <v>16</v>
          </cell>
          <cell r="B59" t="str">
            <v>06</v>
          </cell>
          <cell r="C59" t="str">
            <v>94</v>
          </cell>
          <cell r="D59" t="str">
            <v>Домик ГДП  деревян.</v>
          </cell>
          <cell r="E59" t="str">
            <v>8 х 5</v>
          </cell>
          <cell r="G59" t="str">
            <v>01</v>
          </cell>
          <cell r="H59">
            <v>48300</v>
          </cell>
          <cell r="I59">
            <v>48300</v>
          </cell>
          <cell r="J59">
            <v>0</v>
          </cell>
          <cell r="K59">
            <v>1.17</v>
          </cell>
          <cell r="L59" t="str">
            <v>88/1</v>
          </cell>
          <cell r="M59" t="str">
            <v>10010</v>
          </cell>
          <cell r="N59" t="str">
            <v>13 2022231</v>
          </cell>
          <cell r="O59" t="str">
            <v>01</v>
          </cell>
          <cell r="P59">
            <v>12.5</v>
          </cell>
          <cell r="Q59">
            <v>0</v>
          </cell>
          <cell r="R59" t="str">
            <v>1</v>
          </cell>
          <cell r="S59" t="str">
            <v>10</v>
          </cell>
          <cell r="T59">
            <v>83</v>
          </cell>
          <cell r="U59">
            <v>9</v>
          </cell>
          <cell r="V59">
            <v>83</v>
          </cell>
          <cell r="W59">
            <v>9</v>
          </cell>
          <cell r="X59">
            <v>83</v>
          </cell>
          <cell r="AF59" t="str">
            <v>16</v>
          </cell>
          <cell r="AI59">
            <v>41328000</v>
          </cell>
          <cell r="AJ59">
            <v>41328000</v>
          </cell>
        </row>
        <row r="60">
          <cell r="A60" t="str">
            <v>02</v>
          </cell>
          <cell r="B60" t="str">
            <v>02</v>
          </cell>
          <cell r="C60" t="str">
            <v>101</v>
          </cell>
          <cell r="D60" t="str">
            <v>Вагон жилой</v>
          </cell>
          <cell r="E60" t="str">
            <v>дерево-мет. 3 х 6</v>
          </cell>
          <cell r="G60" t="str">
            <v>01</v>
          </cell>
          <cell r="H60">
            <v>28800</v>
          </cell>
          <cell r="I60">
            <v>19800</v>
          </cell>
          <cell r="J60">
            <v>0</v>
          </cell>
          <cell r="K60">
            <v>0.39</v>
          </cell>
          <cell r="L60" t="str">
            <v>20</v>
          </cell>
          <cell r="M60" t="str">
            <v>10010</v>
          </cell>
          <cell r="N60" t="str">
            <v>13 2022261</v>
          </cell>
          <cell r="O60" t="str">
            <v>01</v>
          </cell>
          <cell r="P60">
            <v>12.5</v>
          </cell>
          <cell r="Q60">
            <v>0</v>
          </cell>
          <cell r="R60" t="str">
            <v>1</v>
          </cell>
          <cell r="S60" t="str">
            <v>10</v>
          </cell>
          <cell r="T60">
            <v>89</v>
          </cell>
          <cell r="U60">
            <v>6</v>
          </cell>
          <cell r="V60">
            <v>89</v>
          </cell>
          <cell r="W60">
            <v>6</v>
          </cell>
          <cell r="X60">
            <v>89</v>
          </cell>
          <cell r="AB60" t="str">
            <v>14</v>
          </cell>
          <cell r="AC60">
            <v>2</v>
          </cell>
          <cell r="AF60" t="str">
            <v>00</v>
          </cell>
          <cell r="AI60">
            <v>73472000</v>
          </cell>
          <cell r="AJ60">
            <v>73472000</v>
          </cell>
        </row>
        <row r="61">
          <cell r="A61" t="str">
            <v>02</v>
          </cell>
          <cell r="B61" t="str">
            <v>99</v>
          </cell>
          <cell r="C61" t="str">
            <v>109</v>
          </cell>
          <cell r="D61" t="str">
            <v>Емкость под ГСМ 10м</v>
          </cell>
          <cell r="E61" t="str">
            <v>куб    металлическая</v>
          </cell>
          <cell r="G61" t="str">
            <v>01</v>
          </cell>
          <cell r="H61">
            <v>8500</v>
          </cell>
          <cell r="I61">
            <v>5298.33</v>
          </cell>
          <cell r="J61">
            <v>0</v>
          </cell>
          <cell r="K61">
            <v>0.43</v>
          </cell>
          <cell r="L61" t="str">
            <v>20</v>
          </cell>
          <cell r="M61" t="str">
            <v>42906</v>
          </cell>
          <cell r="N61" t="str">
            <v>14 2918512</v>
          </cell>
          <cell r="O61" t="str">
            <v>067</v>
          </cell>
          <cell r="P61">
            <v>11</v>
          </cell>
          <cell r="Q61">
            <v>0</v>
          </cell>
          <cell r="R61" t="str">
            <v>1</v>
          </cell>
          <cell r="S61" t="str">
            <v>42</v>
          </cell>
          <cell r="T61">
            <v>0</v>
          </cell>
          <cell r="U61">
            <v>4</v>
          </cell>
          <cell r="V61">
            <v>89</v>
          </cell>
          <cell r="W61">
            <v>4</v>
          </cell>
          <cell r="X61">
            <v>89</v>
          </cell>
          <cell r="AF61" t="str">
            <v>00</v>
          </cell>
          <cell r="AI61">
            <v>19886031</v>
          </cell>
          <cell r="AJ61">
            <v>18958016.43</v>
          </cell>
        </row>
        <row r="62">
          <cell r="A62" t="str">
            <v>02</v>
          </cell>
          <cell r="B62" t="str">
            <v>99</v>
          </cell>
          <cell r="C62" t="str">
            <v>110</v>
          </cell>
          <cell r="D62" t="str">
            <v>Емкость под ГСМ</v>
          </cell>
          <cell r="E62" t="str">
            <v>металлическая 10м ку</v>
          </cell>
          <cell r="F62" t="str">
            <v>б</v>
          </cell>
          <cell r="G62" t="str">
            <v>01</v>
          </cell>
          <cell r="H62">
            <v>8500</v>
          </cell>
          <cell r="I62">
            <v>5298.33</v>
          </cell>
          <cell r="J62">
            <v>0</v>
          </cell>
          <cell r="K62">
            <v>0.65</v>
          </cell>
          <cell r="L62" t="str">
            <v>20</v>
          </cell>
          <cell r="M62" t="str">
            <v>42906</v>
          </cell>
          <cell r="N62" t="str">
            <v>14 2918512</v>
          </cell>
          <cell r="O62" t="str">
            <v>067</v>
          </cell>
          <cell r="P62">
            <v>11</v>
          </cell>
          <cell r="Q62">
            <v>0</v>
          </cell>
          <cell r="R62" t="str">
            <v>1</v>
          </cell>
          <cell r="S62" t="str">
            <v>42</v>
          </cell>
          <cell r="T62">
            <v>0</v>
          </cell>
          <cell r="U62">
            <v>4</v>
          </cell>
          <cell r="V62">
            <v>89</v>
          </cell>
          <cell r="W62">
            <v>4</v>
          </cell>
          <cell r="X62">
            <v>89</v>
          </cell>
          <cell r="AF62" t="str">
            <v>00</v>
          </cell>
          <cell r="AI62">
            <v>13076744</v>
          </cell>
          <cell r="AJ62">
            <v>12466495.66</v>
          </cell>
        </row>
        <row r="63">
          <cell r="A63" t="str">
            <v>02</v>
          </cell>
          <cell r="B63" t="str">
            <v>70</v>
          </cell>
          <cell r="C63" t="str">
            <v>111</v>
          </cell>
          <cell r="D63" t="str">
            <v>Вагон-общежитие</v>
          </cell>
          <cell r="E63" t="str">
            <v>дерево-мет. 3 х 8</v>
          </cell>
          <cell r="G63" t="str">
            <v>01</v>
          </cell>
          <cell r="H63">
            <v>38200</v>
          </cell>
          <cell r="I63">
            <v>27456.25</v>
          </cell>
          <cell r="J63">
            <v>0</v>
          </cell>
          <cell r="K63">
            <v>0.52</v>
          </cell>
          <cell r="L63" t="str">
            <v>20</v>
          </cell>
          <cell r="M63" t="str">
            <v>10010</v>
          </cell>
          <cell r="N63" t="str">
            <v>13 2022261</v>
          </cell>
          <cell r="O63" t="str">
            <v>01</v>
          </cell>
          <cell r="P63">
            <v>12.5</v>
          </cell>
          <cell r="Q63">
            <v>0</v>
          </cell>
          <cell r="R63" t="str">
            <v>1</v>
          </cell>
          <cell r="S63" t="str">
            <v>10</v>
          </cell>
          <cell r="T63">
            <v>0</v>
          </cell>
          <cell r="U63">
            <v>3</v>
          </cell>
          <cell r="V63">
            <v>89</v>
          </cell>
          <cell r="W63">
            <v>3</v>
          </cell>
          <cell r="X63">
            <v>89</v>
          </cell>
          <cell r="AF63" t="str">
            <v>00</v>
          </cell>
          <cell r="AI63">
            <v>73472000</v>
          </cell>
          <cell r="AJ63">
            <v>73472000</v>
          </cell>
        </row>
        <row r="64">
          <cell r="A64" t="str">
            <v>02</v>
          </cell>
          <cell r="B64" t="str">
            <v>70</v>
          </cell>
          <cell r="C64" t="str">
            <v>112</v>
          </cell>
          <cell r="D64" t="str">
            <v>Вагон-общежитие</v>
          </cell>
          <cell r="E64" t="str">
            <v>дерево-мет. 3 х 8</v>
          </cell>
          <cell r="G64" t="str">
            <v>01</v>
          </cell>
          <cell r="H64">
            <v>38200</v>
          </cell>
          <cell r="I64">
            <v>27456.25</v>
          </cell>
          <cell r="J64">
            <v>0</v>
          </cell>
          <cell r="K64">
            <v>0.52</v>
          </cell>
          <cell r="L64" t="str">
            <v>20</v>
          </cell>
          <cell r="M64" t="str">
            <v>10010</v>
          </cell>
          <cell r="N64" t="str">
            <v>13 2022261</v>
          </cell>
          <cell r="O64" t="str">
            <v>01</v>
          </cell>
          <cell r="P64">
            <v>12.5</v>
          </cell>
          <cell r="Q64">
            <v>0</v>
          </cell>
          <cell r="R64" t="str">
            <v>1</v>
          </cell>
          <cell r="S64" t="str">
            <v>10</v>
          </cell>
          <cell r="T64">
            <v>89</v>
          </cell>
          <cell r="U64">
            <v>3</v>
          </cell>
          <cell r="V64">
            <v>89</v>
          </cell>
          <cell r="W64">
            <v>3</v>
          </cell>
          <cell r="X64">
            <v>89</v>
          </cell>
          <cell r="AF64" t="str">
            <v>00</v>
          </cell>
          <cell r="AI64">
            <v>73472000</v>
          </cell>
          <cell r="AJ64">
            <v>73472000</v>
          </cell>
        </row>
        <row r="65">
          <cell r="A65" t="str">
            <v>02</v>
          </cell>
          <cell r="B65" t="str">
            <v>02</v>
          </cell>
          <cell r="C65" t="str">
            <v>163</v>
          </cell>
          <cell r="D65" t="str">
            <v>Трубоукладчик ТГ-124</v>
          </cell>
          <cell r="E65" t="str">
            <v xml:space="preserve"> А</v>
          </cell>
          <cell r="G65" t="str">
            <v>01</v>
          </cell>
          <cell r="H65">
            <v>314280</v>
          </cell>
          <cell r="I65">
            <v>149283</v>
          </cell>
          <cell r="J65">
            <v>0</v>
          </cell>
          <cell r="K65">
            <v>1.1599999999999999</v>
          </cell>
          <cell r="L65" t="str">
            <v>20</v>
          </cell>
          <cell r="M65" t="str">
            <v>41723</v>
          </cell>
          <cell r="N65" t="str">
            <v>14 2915246</v>
          </cell>
          <cell r="O65" t="str">
            <v>067</v>
          </cell>
          <cell r="P65">
            <v>10</v>
          </cell>
          <cell r="Q65">
            <v>0</v>
          </cell>
          <cell r="R65" t="str">
            <v>1</v>
          </cell>
          <cell r="S65" t="str">
            <v>41</v>
          </cell>
          <cell r="T65">
            <v>0</v>
          </cell>
          <cell r="U65">
            <v>3</v>
          </cell>
          <cell r="V65">
            <v>90</v>
          </cell>
          <cell r="W65">
            <v>3</v>
          </cell>
          <cell r="X65">
            <v>90</v>
          </cell>
          <cell r="AB65" t="str">
            <v>14</v>
          </cell>
          <cell r="AC65">
            <v>6</v>
          </cell>
          <cell r="AF65" t="str">
            <v>00</v>
          </cell>
          <cell r="AI65">
            <v>271111111</v>
          </cell>
          <cell r="AJ65">
            <v>210111111.15000001</v>
          </cell>
        </row>
        <row r="66">
          <cell r="A66" t="str">
            <v>02</v>
          </cell>
          <cell r="B66" t="str">
            <v>03</v>
          </cell>
          <cell r="C66" t="str">
            <v>187</v>
          </cell>
          <cell r="D66" t="str">
            <v>Картина "Весенний ра</v>
          </cell>
          <cell r="E66" t="str">
            <v>злив"</v>
          </cell>
          <cell r="G66" t="str">
            <v>01</v>
          </cell>
          <cell r="H66">
            <v>2918.42</v>
          </cell>
          <cell r="I66">
            <v>642.04999999999995</v>
          </cell>
          <cell r="J66">
            <v>0</v>
          </cell>
          <cell r="K66">
            <v>1.19</v>
          </cell>
          <cell r="L66" t="str">
            <v>26</v>
          </cell>
          <cell r="M66" t="str">
            <v>70007</v>
          </cell>
          <cell r="N66" t="str">
            <v>19 0001031</v>
          </cell>
          <cell r="O66" t="str">
            <v>08</v>
          </cell>
          <cell r="P66">
            <v>2</v>
          </cell>
          <cell r="Q66">
            <v>0</v>
          </cell>
          <cell r="R66" t="str">
            <v>1</v>
          </cell>
          <cell r="S66" t="str">
            <v>70</v>
          </cell>
          <cell r="T66">
            <v>83</v>
          </cell>
          <cell r="U66">
            <v>12</v>
          </cell>
          <cell r="V66">
            <v>83</v>
          </cell>
          <cell r="W66">
            <v>12</v>
          </cell>
          <cell r="X66">
            <v>83</v>
          </cell>
          <cell r="Y66">
            <v>0</v>
          </cell>
          <cell r="Z66">
            <v>0</v>
          </cell>
          <cell r="AB66" t="str">
            <v>14</v>
          </cell>
          <cell r="AC66">
            <v>8</v>
          </cell>
          <cell r="AF66" t="str">
            <v>00</v>
          </cell>
          <cell r="AI66">
            <v>2452452</v>
          </cell>
          <cell r="AJ66">
            <v>686686.56</v>
          </cell>
        </row>
        <row r="67">
          <cell r="A67" t="str">
            <v>02</v>
          </cell>
          <cell r="B67" t="str">
            <v>03</v>
          </cell>
          <cell r="C67" t="str">
            <v>188</v>
          </cell>
          <cell r="D67" t="str">
            <v>Картина "На Воложке"</v>
          </cell>
          <cell r="G67" t="str">
            <v>01</v>
          </cell>
          <cell r="H67">
            <v>2918.42</v>
          </cell>
          <cell r="I67">
            <v>642.04999999999995</v>
          </cell>
          <cell r="J67">
            <v>0</v>
          </cell>
          <cell r="K67">
            <v>1.19</v>
          </cell>
          <cell r="L67" t="str">
            <v>26</v>
          </cell>
          <cell r="M67" t="str">
            <v>70007</v>
          </cell>
          <cell r="N67" t="str">
            <v>19 0001031</v>
          </cell>
          <cell r="O67" t="str">
            <v>08</v>
          </cell>
          <cell r="P67">
            <v>2</v>
          </cell>
          <cell r="Q67">
            <v>0</v>
          </cell>
          <cell r="R67" t="str">
            <v>1</v>
          </cell>
          <cell r="S67" t="str">
            <v>70</v>
          </cell>
          <cell r="T67">
            <v>83</v>
          </cell>
          <cell r="U67">
            <v>12</v>
          </cell>
          <cell r="V67">
            <v>83</v>
          </cell>
          <cell r="W67">
            <v>12</v>
          </cell>
          <cell r="X67">
            <v>83</v>
          </cell>
          <cell r="AB67" t="str">
            <v>14</v>
          </cell>
          <cell r="AC67">
            <v>8</v>
          </cell>
          <cell r="AF67" t="str">
            <v>00</v>
          </cell>
          <cell r="AI67">
            <v>2452452</v>
          </cell>
          <cell r="AJ67">
            <v>686686.56</v>
          </cell>
        </row>
        <row r="68">
          <cell r="A68" t="str">
            <v>02</v>
          </cell>
          <cell r="B68" t="str">
            <v>03</v>
          </cell>
          <cell r="C68" t="str">
            <v>189</v>
          </cell>
          <cell r="D68" t="str">
            <v>Картина "Большая вод</v>
          </cell>
          <cell r="E68" t="str">
            <v>а"</v>
          </cell>
          <cell r="G68" t="str">
            <v>01</v>
          </cell>
          <cell r="H68">
            <v>3850.76</v>
          </cell>
          <cell r="I68">
            <v>879.26</v>
          </cell>
          <cell r="J68">
            <v>0</v>
          </cell>
          <cell r="K68">
            <v>1.19</v>
          </cell>
          <cell r="L68" t="str">
            <v>26</v>
          </cell>
          <cell r="M68" t="str">
            <v>70007</v>
          </cell>
          <cell r="N68" t="str">
            <v>19 0001031</v>
          </cell>
          <cell r="O68" t="str">
            <v>08</v>
          </cell>
          <cell r="P68">
            <v>2</v>
          </cell>
          <cell r="Q68">
            <v>0</v>
          </cell>
          <cell r="R68" t="str">
            <v>1</v>
          </cell>
          <cell r="S68" t="str">
            <v>70</v>
          </cell>
          <cell r="T68">
            <v>83</v>
          </cell>
          <cell r="U68">
            <v>7</v>
          </cell>
          <cell r="V68">
            <v>83</v>
          </cell>
          <cell r="W68">
            <v>7</v>
          </cell>
          <cell r="X68">
            <v>83</v>
          </cell>
          <cell r="AB68" t="str">
            <v>14</v>
          </cell>
          <cell r="AC68">
            <v>8</v>
          </cell>
          <cell r="AF68" t="str">
            <v>00</v>
          </cell>
          <cell r="AI68">
            <v>3235932</v>
          </cell>
          <cell r="AJ68">
            <v>933027.06</v>
          </cell>
        </row>
        <row r="69">
          <cell r="A69" t="str">
            <v>16</v>
          </cell>
          <cell r="B69" t="str">
            <v>06</v>
          </cell>
          <cell r="C69" t="str">
            <v>269</v>
          </cell>
          <cell r="D69" t="str">
            <v>Емкость металлич.</v>
          </cell>
          <cell r="E69" t="str">
            <v>25 м куб</v>
          </cell>
          <cell r="G69" t="str">
            <v>01</v>
          </cell>
          <cell r="H69">
            <v>15146.63</v>
          </cell>
          <cell r="I69">
            <v>4276.3999999999996</v>
          </cell>
          <cell r="J69">
            <v>0</v>
          </cell>
          <cell r="K69">
            <v>1.35</v>
          </cell>
          <cell r="L69" t="str">
            <v>88/1</v>
          </cell>
          <cell r="M69" t="str">
            <v>20236</v>
          </cell>
          <cell r="N69" t="str">
            <v>14 2918512</v>
          </cell>
          <cell r="O69" t="str">
            <v>03</v>
          </cell>
          <cell r="P69">
            <v>2.8</v>
          </cell>
          <cell r="Q69">
            <v>0</v>
          </cell>
          <cell r="R69" t="str">
            <v>1</v>
          </cell>
          <cell r="S69" t="str">
            <v>20</v>
          </cell>
          <cell r="T69">
            <v>84</v>
          </cell>
          <cell r="U69">
            <v>11</v>
          </cell>
          <cell r="V69">
            <v>84</v>
          </cell>
          <cell r="W69">
            <v>11</v>
          </cell>
          <cell r="X69">
            <v>84</v>
          </cell>
          <cell r="AF69" t="str">
            <v>16</v>
          </cell>
          <cell r="AI69">
            <v>11219725</v>
          </cell>
          <cell r="AJ69">
            <v>4110159.49</v>
          </cell>
        </row>
        <row r="70">
          <cell r="A70" t="str">
            <v>16</v>
          </cell>
          <cell r="B70" t="str">
            <v>06</v>
          </cell>
          <cell r="C70" t="str">
            <v>270</v>
          </cell>
          <cell r="D70" t="str">
            <v>Емкость металлич.</v>
          </cell>
          <cell r="E70" t="str">
            <v>25 м куб</v>
          </cell>
          <cell r="G70" t="str">
            <v>01</v>
          </cell>
          <cell r="H70">
            <v>15146.63</v>
          </cell>
          <cell r="I70">
            <v>4276.3999999999996</v>
          </cell>
          <cell r="J70">
            <v>0</v>
          </cell>
          <cell r="K70">
            <v>1.35</v>
          </cell>
          <cell r="L70" t="str">
            <v>88/1</v>
          </cell>
          <cell r="M70" t="str">
            <v>20236</v>
          </cell>
          <cell r="N70" t="str">
            <v>14 2918512</v>
          </cell>
          <cell r="O70" t="str">
            <v>03</v>
          </cell>
          <cell r="P70">
            <v>2.8</v>
          </cell>
          <cell r="Q70">
            <v>0</v>
          </cell>
          <cell r="R70" t="str">
            <v>1</v>
          </cell>
          <cell r="S70" t="str">
            <v>20</v>
          </cell>
          <cell r="T70">
            <v>84</v>
          </cell>
          <cell r="U70">
            <v>11</v>
          </cell>
          <cell r="V70">
            <v>84</v>
          </cell>
          <cell r="W70">
            <v>11</v>
          </cell>
          <cell r="X70">
            <v>84</v>
          </cell>
          <cell r="AF70" t="str">
            <v>16</v>
          </cell>
          <cell r="AI70">
            <v>11219725</v>
          </cell>
          <cell r="AJ70">
            <v>4110159.49</v>
          </cell>
        </row>
        <row r="71">
          <cell r="A71" t="str">
            <v>16</v>
          </cell>
          <cell r="B71" t="str">
            <v>06</v>
          </cell>
          <cell r="C71" t="str">
            <v>390</v>
          </cell>
          <cell r="D71" t="str">
            <v>Сруб хвойных пород 6</v>
          </cell>
          <cell r="E71" t="str">
            <v>х4х2.5</v>
          </cell>
          <cell r="G71" t="str">
            <v>01</v>
          </cell>
          <cell r="H71">
            <v>15200</v>
          </cell>
          <cell r="I71">
            <v>2470</v>
          </cell>
          <cell r="J71">
            <v>0</v>
          </cell>
          <cell r="K71">
            <v>1.38</v>
          </cell>
          <cell r="L71" t="str">
            <v>88/1</v>
          </cell>
          <cell r="M71" t="str">
            <v>10004</v>
          </cell>
          <cell r="N71" t="str">
            <v>11 4527401</v>
          </cell>
          <cell r="O71" t="str">
            <v>01</v>
          </cell>
          <cell r="P71">
            <v>2.5</v>
          </cell>
          <cell r="Q71">
            <v>0</v>
          </cell>
          <cell r="R71" t="str">
            <v>1</v>
          </cell>
          <cell r="S71" t="str">
            <v>10</v>
          </cell>
          <cell r="T71">
            <v>88</v>
          </cell>
          <cell r="U71">
            <v>6</v>
          </cell>
          <cell r="V71">
            <v>88</v>
          </cell>
          <cell r="W71">
            <v>6</v>
          </cell>
          <cell r="X71">
            <v>88</v>
          </cell>
          <cell r="AF71" t="str">
            <v>16</v>
          </cell>
          <cell r="AI71">
            <v>11020800</v>
          </cell>
          <cell r="AJ71">
            <v>2617440</v>
          </cell>
        </row>
        <row r="72">
          <cell r="A72" t="str">
            <v>02</v>
          </cell>
          <cell r="B72" t="str">
            <v>05</v>
          </cell>
          <cell r="C72" t="str">
            <v>923</v>
          </cell>
          <cell r="D72" t="str">
            <v>Двигатель М-8</v>
          </cell>
          <cell r="G72" t="str">
            <v>01</v>
          </cell>
          <cell r="H72">
            <v>11106</v>
          </cell>
          <cell r="I72">
            <v>621.94000000000005</v>
          </cell>
          <cell r="J72">
            <v>0</v>
          </cell>
          <cell r="K72">
            <v>0.96</v>
          </cell>
          <cell r="L72" t="str">
            <v>20</v>
          </cell>
          <cell r="M72" t="str">
            <v>40201</v>
          </cell>
          <cell r="N72" t="str">
            <v>14 2911100</v>
          </cell>
          <cell r="O72" t="str">
            <v>063</v>
          </cell>
          <cell r="P72">
            <v>5.6</v>
          </cell>
          <cell r="Q72">
            <v>0</v>
          </cell>
          <cell r="R72" t="str">
            <v>1</v>
          </cell>
          <cell r="S72" t="str">
            <v>40</v>
          </cell>
          <cell r="T72">
            <v>93</v>
          </cell>
          <cell r="U72">
            <v>12</v>
          </cell>
          <cell r="V72">
            <v>93</v>
          </cell>
          <cell r="W72">
            <v>12</v>
          </cell>
          <cell r="X72">
            <v>93</v>
          </cell>
          <cell r="AF72" t="str">
            <v>00</v>
          </cell>
          <cell r="AI72">
            <v>11621882</v>
          </cell>
          <cell r="AJ72">
            <v>2603301.1800000002</v>
          </cell>
        </row>
        <row r="73">
          <cell r="A73" t="str">
            <v>02</v>
          </cell>
          <cell r="B73" t="str">
            <v>23</v>
          </cell>
          <cell r="C73" t="str">
            <v>1096</v>
          </cell>
          <cell r="D73" t="str">
            <v>ЗИЛ-131 фургон</v>
          </cell>
          <cell r="E73" t="str">
            <v>Nо В 849 ОВ</v>
          </cell>
          <cell r="F73" t="str">
            <v>дв659680 ш487962</v>
          </cell>
          <cell r="G73" t="str">
            <v>01</v>
          </cell>
          <cell r="H73">
            <v>85880</v>
          </cell>
          <cell r="I73">
            <v>104150.7</v>
          </cell>
          <cell r="J73">
            <v>0</v>
          </cell>
          <cell r="K73">
            <v>0.97</v>
          </cell>
          <cell r="L73" t="str">
            <v>23</v>
          </cell>
          <cell r="M73" t="str">
            <v>50402</v>
          </cell>
          <cell r="N73" t="str">
            <v>15 3410194</v>
          </cell>
          <cell r="O73" t="str">
            <v>075</v>
          </cell>
          <cell r="P73">
            <v>0.37</v>
          </cell>
          <cell r="Q73">
            <v>0</v>
          </cell>
          <cell r="R73" t="str">
            <v>1</v>
          </cell>
          <cell r="S73" t="str">
            <v>50</v>
          </cell>
          <cell r="T73">
            <v>85</v>
          </cell>
          <cell r="U73">
            <v>11</v>
          </cell>
          <cell r="V73">
            <v>85</v>
          </cell>
          <cell r="W73">
            <v>11</v>
          </cell>
          <cell r="X73">
            <v>85</v>
          </cell>
          <cell r="AF73" t="str">
            <v>00</v>
          </cell>
          <cell r="AI73">
            <v>88493827</v>
          </cell>
          <cell r="AJ73">
            <v>88493827</v>
          </cell>
        </row>
        <row r="74">
          <cell r="A74" t="str">
            <v>02</v>
          </cell>
          <cell r="B74" t="str">
            <v>23</v>
          </cell>
          <cell r="C74" t="str">
            <v>1101</v>
          </cell>
          <cell r="D74" t="str">
            <v>УРАЛ-4320 NoВ861РА</v>
          </cell>
          <cell r="E74" t="str">
            <v>бортовой</v>
          </cell>
          <cell r="F74" t="str">
            <v>дв278802 ш100535</v>
          </cell>
          <cell r="G74" t="str">
            <v>01</v>
          </cell>
          <cell r="H74">
            <v>87980</v>
          </cell>
          <cell r="I74">
            <v>57355.08</v>
          </cell>
          <cell r="J74">
            <v>0</v>
          </cell>
          <cell r="K74">
            <v>0.78</v>
          </cell>
          <cell r="L74" t="str">
            <v>23</v>
          </cell>
          <cell r="M74" t="str">
            <v>50402</v>
          </cell>
          <cell r="N74" t="str">
            <v>15 3410195</v>
          </cell>
          <cell r="O74" t="str">
            <v>075</v>
          </cell>
          <cell r="P74">
            <v>0.37</v>
          </cell>
          <cell r="Q74">
            <v>0</v>
          </cell>
          <cell r="R74" t="str">
            <v>1</v>
          </cell>
          <cell r="S74" t="str">
            <v>50</v>
          </cell>
          <cell r="T74">
            <v>88</v>
          </cell>
          <cell r="U74">
            <v>6</v>
          </cell>
          <cell r="V74">
            <v>88</v>
          </cell>
          <cell r="W74">
            <v>6</v>
          </cell>
          <cell r="X74">
            <v>88</v>
          </cell>
          <cell r="AF74" t="str">
            <v>00</v>
          </cell>
          <cell r="AI74">
            <v>113382716</v>
          </cell>
          <cell r="AJ74">
            <v>113382716</v>
          </cell>
        </row>
        <row r="75">
          <cell r="A75" t="str">
            <v>02</v>
          </cell>
          <cell r="B75" t="str">
            <v>23</v>
          </cell>
          <cell r="C75" t="str">
            <v>1102</v>
          </cell>
          <cell r="D75" t="str">
            <v>КАМАЗ-4310 No 95-86</v>
          </cell>
          <cell r="E75" t="str">
            <v>КШР груз.трубовоз</v>
          </cell>
          <cell r="F75" t="str">
            <v>дв221817 ш41584</v>
          </cell>
          <cell r="G75" t="str">
            <v>01</v>
          </cell>
          <cell r="H75">
            <v>128820</v>
          </cell>
          <cell r="I75">
            <v>156542.22</v>
          </cell>
          <cell r="J75">
            <v>0</v>
          </cell>
          <cell r="K75">
            <v>1.08</v>
          </cell>
          <cell r="L75" t="str">
            <v>23</v>
          </cell>
          <cell r="M75" t="str">
            <v>50402</v>
          </cell>
          <cell r="N75" t="str">
            <v>14 2928262</v>
          </cell>
          <cell r="O75" t="str">
            <v>075</v>
          </cell>
          <cell r="P75">
            <v>0.37</v>
          </cell>
          <cell r="Q75">
            <v>0</v>
          </cell>
          <cell r="R75" t="str">
            <v>1</v>
          </cell>
          <cell r="S75" t="str">
            <v>50</v>
          </cell>
          <cell r="T75">
            <v>88</v>
          </cell>
          <cell r="U75">
            <v>6</v>
          </cell>
          <cell r="V75">
            <v>88</v>
          </cell>
          <cell r="W75">
            <v>6</v>
          </cell>
          <cell r="X75">
            <v>88</v>
          </cell>
          <cell r="AF75" t="str">
            <v>00</v>
          </cell>
          <cell r="AI75">
            <v>118913518</v>
          </cell>
          <cell r="AJ75">
            <v>118913518</v>
          </cell>
        </row>
        <row r="76">
          <cell r="A76" t="str">
            <v>02</v>
          </cell>
          <cell r="B76" t="str">
            <v>23</v>
          </cell>
          <cell r="C76" t="str">
            <v>1104</v>
          </cell>
          <cell r="D76" t="str">
            <v>КАМАЗ 4310 No Т681СС</v>
          </cell>
          <cell r="E76" t="str">
            <v>грузовой</v>
          </cell>
          <cell r="F76" t="str">
            <v>дв164886 ш42548</v>
          </cell>
          <cell r="G76" t="str">
            <v>01</v>
          </cell>
          <cell r="H76">
            <v>128820</v>
          </cell>
          <cell r="I76">
            <v>156085.13</v>
          </cell>
          <cell r="J76">
            <v>0</v>
          </cell>
          <cell r="K76">
            <v>0.91</v>
          </cell>
          <cell r="L76" t="str">
            <v>23</v>
          </cell>
          <cell r="M76" t="str">
            <v>50402</v>
          </cell>
          <cell r="N76" t="str">
            <v>14 2928262</v>
          </cell>
          <cell r="O76" t="str">
            <v>075</v>
          </cell>
          <cell r="P76">
            <v>0.37</v>
          </cell>
          <cell r="Q76">
            <v>0</v>
          </cell>
          <cell r="R76" t="str">
            <v>1</v>
          </cell>
          <cell r="S76" t="str">
            <v>50</v>
          </cell>
          <cell r="T76">
            <v>88</v>
          </cell>
          <cell r="U76">
            <v>12</v>
          </cell>
          <cell r="V76">
            <v>88</v>
          </cell>
          <cell r="W76">
            <v>12</v>
          </cell>
          <cell r="X76">
            <v>88</v>
          </cell>
          <cell r="AF76" t="str">
            <v>00</v>
          </cell>
          <cell r="AI76">
            <v>142222222</v>
          </cell>
          <cell r="AJ76">
            <v>142222222</v>
          </cell>
        </row>
        <row r="77">
          <cell r="A77" t="str">
            <v>02</v>
          </cell>
          <cell r="B77" t="str">
            <v>23</v>
          </cell>
          <cell r="C77" t="str">
            <v>1106</v>
          </cell>
          <cell r="D77" t="str">
            <v>ЗИЛ ММЗ-4502 No В949</v>
          </cell>
          <cell r="E77" t="str">
            <v>РА груз.самосвал</v>
          </cell>
          <cell r="F77" t="str">
            <v>дв411175 ш б/н</v>
          </cell>
          <cell r="G77" t="str">
            <v>01</v>
          </cell>
          <cell r="H77">
            <v>65540</v>
          </cell>
          <cell r="I77">
            <v>134209.44</v>
          </cell>
          <cell r="J77">
            <v>0</v>
          </cell>
          <cell r="K77">
            <v>0.79</v>
          </cell>
          <cell r="L77" t="str">
            <v>23</v>
          </cell>
          <cell r="M77" t="str">
            <v>50402</v>
          </cell>
          <cell r="N77" t="str">
            <v>15 3410222</v>
          </cell>
          <cell r="O77" t="str">
            <v>075</v>
          </cell>
          <cell r="P77">
            <v>0.37</v>
          </cell>
          <cell r="Q77">
            <v>0</v>
          </cell>
          <cell r="R77" t="str">
            <v>1</v>
          </cell>
          <cell r="S77" t="str">
            <v>50</v>
          </cell>
          <cell r="T77">
            <v>77</v>
          </cell>
          <cell r="U77">
            <v>12</v>
          </cell>
          <cell r="V77">
            <v>77</v>
          </cell>
          <cell r="W77">
            <v>12</v>
          </cell>
          <cell r="X77">
            <v>77</v>
          </cell>
          <cell r="AF77" t="str">
            <v>00</v>
          </cell>
          <cell r="AI77">
            <v>82962963</v>
          </cell>
          <cell r="AJ77">
            <v>82962963</v>
          </cell>
        </row>
        <row r="78">
          <cell r="A78" t="str">
            <v>02</v>
          </cell>
          <cell r="B78" t="str">
            <v>23</v>
          </cell>
          <cell r="C78" t="str">
            <v>1107</v>
          </cell>
          <cell r="D78" t="str">
            <v>КРАЗ-250 бортовой</v>
          </cell>
          <cell r="E78" t="str">
            <v>Nо В 830 КТ</v>
          </cell>
          <cell r="F78" t="str">
            <v>дв8813467 ш620327</v>
          </cell>
          <cell r="G78" t="str">
            <v>01</v>
          </cell>
          <cell r="H78">
            <v>111079</v>
          </cell>
          <cell r="I78">
            <v>35166.559999999998</v>
          </cell>
          <cell r="J78">
            <v>0</v>
          </cell>
          <cell r="K78">
            <v>0.38</v>
          </cell>
          <cell r="L78" t="str">
            <v>23</v>
          </cell>
          <cell r="M78" t="str">
            <v>50402</v>
          </cell>
          <cell r="N78" t="str">
            <v>15 3410196</v>
          </cell>
          <cell r="O78" t="str">
            <v>075</v>
          </cell>
          <cell r="P78">
            <v>0.37</v>
          </cell>
          <cell r="Q78">
            <v>0</v>
          </cell>
          <cell r="R78" t="str">
            <v>1</v>
          </cell>
          <cell r="S78" t="str">
            <v>50</v>
          </cell>
          <cell r="T78">
            <v>88</v>
          </cell>
          <cell r="U78">
            <v>11</v>
          </cell>
          <cell r="V78">
            <v>88</v>
          </cell>
          <cell r="W78">
            <v>11</v>
          </cell>
          <cell r="X78">
            <v>88</v>
          </cell>
          <cell r="AF78" t="str">
            <v>00</v>
          </cell>
          <cell r="AI78">
            <v>288888888</v>
          </cell>
          <cell r="AJ78">
            <v>152770943.97999999</v>
          </cell>
        </row>
        <row r="79">
          <cell r="A79" t="str">
            <v>02</v>
          </cell>
          <cell r="B79" t="str">
            <v>23</v>
          </cell>
          <cell r="C79" t="str">
            <v>1114</v>
          </cell>
          <cell r="D79" t="str">
            <v>КАМАЗ 4310 No 818 КТ</v>
          </cell>
          <cell r="E79" t="str">
            <v>бур.с уст-кой развед</v>
          </cell>
          <cell r="F79" t="str">
            <v>оборуд УРБ дв298383</v>
          </cell>
          <cell r="G79" t="str">
            <v>01</v>
          </cell>
          <cell r="H79">
            <v>300000</v>
          </cell>
          <cell r="I79">
            <v>286300</v>
          </cell>
          <cell r="J79">
            <v>0</v>
          </cell>
          <cell r="K79">
            <v>1.18</v>
          </cell>
          <cell r="L79" t="str">
            <v>23</v>
          </cell>
          <cell r="M79" t="str">
            <v>43413</v>
          </cell>
          <cell r="N79" t="str">
            <v>14 2924452</v>
          </cell>
          <cell r="O79" t="str">
            <v>064</v>
          </cell>
          <cell r="P79">
            <v>14.3</v>
          </cell>
          <cell r="Q79">
            <v>0</v>
          </cell>
          <cell r="R79" t="str">
            <v>1</v>
          </cell>
          <cell r="S79" t="str">
            <v>43</v>
          </cell>
          <cell r="T79">
            <v>88</v>
          </cell>
          <cell r="U79">
            <v>11</v>
          </cell>
          <cell r="V79">
            <v>88</v>
          </cell>
          <cell r="W79">
            <v>11</v>
          </cell>
          <cell r="X79">
            <v>88</v>
          </cell>
          <cell r="AF79" t="str">
            <v>00</v>
          </cell>
          <cell r="AI79">
            <v>253333333</v>
          </cell>
          <cell r="AJ79">
            <v>253333333</v>
          </cell>
        </row>
        <row r="80">
          <cell r="A80" t="str">
            <v>02</v>
          </cell>
          <cell r="B80" t="str">
            <v>23</v>
          </cell>
          <cell r="C80" t="str">
            <v>1115</v>
          </cell>
          <cell r="D80" t="str">
            <v>УАЗ-31512 No В923ОВ</v>
          </cell>
          <cell r="E80" t="str">
            <v>ШО спец.ПЭЛХЗМ</v>
          </cell>
          <cell r="F80" t="str">
            <v>дв00906773ш0286845</v>
          </cell>
          <cell r="G80" t="str">
            <v>01</v>
          </cell>
          <cell r="H80">
            <v>30623</v>
          </cell>
          <cell r="I80">
            <v>13879.87</v>
          </cell>
          <cell r="J80">
            <v>0</v>
          </cell>
          <cell r="K80">
            <v>0.86</v>
          </cell>
          <cell r="L80" t="str">
            <v>23</v>
          </cell>
          <cell r="M80" t="str">
            <v>50418</v>
          </cell>
          <cell r="N80" t="str">
            <v>15 3410160</v>
          </cell>
          <cell r="O80" t="str">
            <v>071</v>
          </cell>
          <cell r="P80">
            <v>11.1</v>
          </cell>
          <cell r="Q80">
            <v>0</v>
          </cell>
          <cell r="R80" t="str">
            <v>1</v>
          </cell>
          <cell r="S80" t="str">
            <v>50</v>
          </cell>
          <cell r="T80">
            <v>90</v>
          </cell>
          <cell r="U80">
            <v>11</v>
          </cell>
          <cell r="V80">
            <v>90</v>
          </cell>
          <cell r="W80">
            <v>11</v>
          </cell>
          <cell r="X80">
            <v>90</v>
          </cell>
          <cell r="AF80" t="str">
            <v>00</v>
          </cell>
          <cell r="AI80">
            <v>35555556</v>
          </cell>
          <cell r="AJ80">
            <v>27955555.710000001</v>
          </cell>
        </row>
        <row r="81">
          <cell r="A81" t="str">
            <v>02</v>
          </cell>
          <cell r="B81" t="str">
            <v>23</v>
          </cell>
          <cell r="C81" t="str">
            <v>1116</v>
          </cell>
          <cell r="D81" t="str">
            <v>ЗИЛ-131 No В 796 АН</v>
          </cell>
          <cell r="E81" t="str">
            <v>фургон</v>
          </cell>
          <cell r="F81" t="str">
            <v>дв445859 ш251920</v>
          </cell>
          <cell r="G81" t="str">
            <v>01</v>
          </cell>
          <cell r="H81">
            <v>85880</v>
          </cell>
          <cell r="I81">
            <v>109877.92</v>
          </cell>
          <cell r="J81">
            <v>0</v>
          </cell>
          <cell r="K81">
            <v>0.97</v>
          </cell>
          <cell r="L81" t="str">
            <v>23</v>
          </cell>
          <cell r="M81" t="str">
            <v>50402</v>
          </cell>
          <cell r="N81" t="str">
            <v>15 3410349</v>
          </cell>
          <cell r="O81" t="str">
            <v>075</v>
          </cell>
          <cell r="P81">
            <v>0.37</v>
          </cell>
          <cell r="Q81">
            <v>0</v>
          </cell>
          <cell r="R81" t="str">
            <v>1</v>
          </cell>
          <cell r="S81" t="str">
            <v>50</v>
          </cell>
          <cell r="T81">
            <v>77</v>
          </cell>
          <cell r="U81">
            <v>6</v>
          </cell>
          <cell r="V81">
            <v>77</v>
          </cell>
          <cell r="W81">
            <v>6</v>
          </cell>
          <cell r="X81">
            <v>77</v>
          </cell>
          <cell r="AF81" t="str">
            <v>00</v>
          </cell>
          <cell r="AI81">
            <v>88493827</v>
          </cell>
          <cell r="AJ81">
            <v>88493827</v>
          </cell>
        </row>
        <row r="82">
          <cell r="A82" t="str">
            <v>02</v>
          </cell>
          <cell r="B82" t="str">
            <v>23</v>
          </cell>
          <cell r="C82" t="str">
            <v>1120</v>
          </cell>
          <cell r="D82" t="str">
            <v>ЗИЛ 131 No 96-32 кшр</v>
          </cell>
          <cell r="E82" t="str">
            <v>фургон д/перевозки л</v>
          </cell>
          <cell r="F82" t="str">
            <v>юдей д061832 ш783305</v>
          </cell>
          <cell r="G82" t="str">
            <v>01</v>
          </cell>
          <cell r="H82">
            <v>109000</v>
          </cell>
          <cell r="I82">
            <v>109000</v>
          </cell>
          <cell r="J82">
            <v>0</v>
          </cell>
          <cell r="K82">
            <v>0.85</v>
          </cell>
          <cell r="L82" t="str">
            <v>23</v>
          </cell>
          <cell r="M82" t="str">
            <v>50401</v>
          </cell>
          <cell r="N82" t="str">
            <v>15 3410359</v>
          </cell>
          <cell r="O82" t="str">
            <v>075</v>
          </cell>
          <cell r="P82">
            <v>14.3</v>
          </cell>
          <cell r="Q82">
            <v>0</v>
          </cell>
          <cell r="R82" t="str">
            <v>1</v>
          </cell>
          <cell r="S82" t="str">
            <v>50</v>
          </cell>
          <cell r="T82">
            <v>88</v>
          </cell>
          <cell r="U82">
            <v>4</v>
          </cell>
          <cell r="V82">
            <v>88</v>
          </cell>
          <cell r="W82">
            <v>4</v>
          </cell>
          <cell r="X82">
            <v>88</v>
          </cell>
          <cell r="AF82" t="str">
            <v>00</v>
          </cell>
          <cell r="AI82">
            <v>128888889</v>
          </cell>
          <cell r="AJ82">
            <v>128888889</v>
          </cell>
        </row>
        <row r="83">
          <cell r="A83" t="str">
            <v>02</v>
          </cell>
          <cell r="B83" t="str">
            <v>23</v>
          </cell>
          <cell r="C83" t="str">
            <v>1122</v>
          </cell>
          <cell r="D83" t="str">
            <v>КРАЗ 257 кс N 4561А</v>
          </cell>
          <cell r="E83" t="str">
            <v>а/кр гос.N В960УУ</v>
          </cell>
          <cell r="F83" t="str">
            <v>дв 34039 ш 527049</v>
          </cell>
          <cell r="G83" t="str">
            <v>01</v>
          </cell>
          <cell r="H83">
            <v>250000</v>
          </cell>
          <cell r="I83">
            <v>214229.17</v>
          </cell>
          <cell r="J83">
            <v>0</v>
          </cell>
          <cell r="K83">
            <v>0.89</v>
          </cell>
          <cell r="L83" t="str">
            <v>23</v>
          </cell>
          <cell r="M83" t="str">
            <v>41701</v>
          </cell>
          <cell r="N83" t="str">
            <v>14 2915242</v>
          </cell>
          <cell r="O83" t="str">
            <v>067</v>
          </cell>
          <cell r="P83">
            <v>9.1</v>
          </cell>
          <cell r="Q83">
            <v>0</v>
          </cell>
          <cell r="R83" t="str">
            <v>1</v>
          </cell>
          <cell r="S83" t="str">
            <v>41</v>
          </cell>
          <cell r="T83">
            <v>85</v>
          </cell>
          <cell r="U83">
            <v>7</v>
          </cell>
          <cell r="V83">
            <v>85</v>
          </cell>
          <cell r="W83">
            <v>7</v>
          </cell>
          <cell r="X83">
            <v>85</v>
          </cell>
          <cell r="AF83" t="str">
            <v>00</v>
          </cell>
          <cell r="AI83">
            <v>281481481</v>
          </cell>
          <cell r="AJ83">
            <v>281481481</v>
          </cell>
        </row>
        <row r="84">
          <cell r="A84" t="str">
            <v>02</v>
          </cell>
          <cell r="B84" t="str">
            <v>23</v>
          </cell>
          <cell r="C84" t="str">
            <v>1125</v>
          </cell>
          <cell r="D84" t="str">
            <v>ЗИЛ 130в1 No В 771АН</v>
          </cell>
          <cell r="E84" t="str">
            <v xml:space="preserve"> грузовая</v>
          </cell>
          <cell r="F84" t="str">
            <v>дв916684 ш1215164</v>
          </cell>
          <cell r="G84" t="str">
            <v>01</v>
          </cell>
          <cell r="H84">
            <v>62150</v>
          </cell>
          <cell r="I84">
            <v>119196.25</v>
          </cell>
          <cell r="J84">
            <v>0</v>
          </cell>
          <cell r="K84">
            <v>0.72</v>
          </cell>
          <cell r="L84" t="str">
            <v>23</v>
          </cell>
          <cell r="M84" t="str">
            <v>50402</v>
          </cell>
          <cell r="N84" t="str">
            <v>15 3410213</v>
          </cell>
          <cell r="O84" t="str">
            <v>075</v>
          </cell>
          <cell r="P84">
            <v>0.37</v>
          </cell>
          <cell r="Q84">
            <v>0</v>
          </cell>
          <cell r="R84" t="str">
            <v>1</v>
          </cell>
          <cell r="S84" t="str">
            <v>50</v>
          </cell>
          <cell r="T84">
            <v>76</v>
          </cell>
          <cell r="U84">
            <v>3</v>
          </cell>
          <cell r="V84">
            <v>76</v>
          </cell>
          <cell r="W84">
            <v>3</v>
          </cell>
          <cell r="X84">
            <v>76</v>
          </cell>
          <cell r="AF84" t="str">
            <v>00</v>
          </cell>
          <cell r="AI84">
            <v>85728395</v>
          </cell>
          <cell r="AJ84">
            <v>85728395</v>
          </cell>
        </row>
        <row r="85">
          <cell r="A85" t="str">
            <v>02</v>
          </cell>
          <cell r="B85" t="str">
            <v>23</v>
          </cell>
          <cell r="C85" t="str">
            <v>1126</v>
          </cell>
          <cell r="D85" t="str">
            <v>КРАЗ-255б1а груз.тя-</v>
          </cell>
          <cell r="E85" t="str">
            <v>гач Nо В 963 МТ</v>
          </cell>
          <cell r="F85" t="str">
            <v>дв963385 ш 639515</v>
          </cell>
          <cell r="G85" t="str">
            <v>01</v>
          </cell>
          <cell r="H85">
            <v>129950</v>
          </cell>
          <cell r="I85">
            <v>69533.539999999994</v>
          </cell>
          <cell r="J85">
            <v>0</v>
          </cell>
          <cell r="K85">
            <v>1.04</v>
          </cell>
          <cell r="L85" t="str">
            <v>23</v>
          </cell>
          <cell r="M85" t="str">
            <v>50402</v>
          </cell>
          <cell r="N85" t="str">
            <v>15 3410214</v>
          </cell>
          <cell r="O85" t="str">
            <v>075</v>
          </cell>
          <cell r="P85">
            <v>0.37</v>
          </cell>
          <cell r="Q85">
            <v>0</v>
          </cell>
          <cell r="R85" t="str">
            <v>1</v>
          </cell>
          <cell r="S85" t="str">
            <v>50</v>
          </cell>
          <cell r="T85">
            <v>88</v>
          </cell>
          <cell r="U85">
            <v>1</v>
          </cell>
          <cell r="V85">
            <v>88</v>
          </cell>
          <cell r="W85">
            <v>1</v>
          </cell>
          <cell r="X85">
            <v>88</v>
          </cell>
          <cell r="AF85" t="str">
            <v>00</v>
          </cell>
          <cell r="AI85">
            <v>124444444</v>
          </cell>
          <cell r="AJ85">
            <v>97962778.319999993</v>
          </cell>
        </row>
        <row r="86">
          <cell r="A86" t="str">
            <v>02</v>
          </cell>
          <cell r="B86" t="str">
            <v>23</v>
          </cell>
          <cell r="C86" t="str">
            <v>1129</v>
          </cell>
          <cell r="D86" t="str">
            <v>УАЗ-31511 N 65-52кшб</v>
          </cell>
          <cell r="E86" t="str">
            <v>ПЭЛХЗ спец.</v>
          </cell>
          <cell r="F86" t="str">
            <v>дв90403721 ш210481</v>
          </cell>
          <cell r="G86" t="str">
            <v>01</v>
          </cell>
          <cell r="H86">
            <v>30623</v>
          </cell>
          <cell r="I86">
            <v>24084.99</v>
          </cell>
          <cell r="J86">
            <v>0</v>
          </cell>
          <cell r="K86">
            <v>0.86</v>
          </cell>
          <cell r="L86" t="str">
            <v>23</v>
          </cell>
          <cell r="M86" t="str">
            <v>50401</v>
          </cell>
          <cell r="N86" t="str">
            <v>15 3410160</v>
          </cell>
          <cell r="O86" t="str">
            <v>075</v>
          </cell>
          <cell r="P86">
            <v>14.3</v>
          </cell>
          <cell r="Q86">
            <v>0</v>
          </cell>
          <cell r="R86" t="str">
            <v>1</v>
          </cell>
          <cell r="S86" t="str">
            <v>50</v>
          </cell>
          <cell r="T86">
            <v>89</v>
          </cell>
          <cell r="U86">
            <v>6</v>
          </cell>
          <cell r="V86">
            <v>89</v>
          </cell>
          <cell r="W86">
            <v>6</v>
          </cell>
          <cell r="X86">
            <v>89</v>
          </cell>
          <cell r="AF86" t="str">
            <v>00</v>
          </cell>
          <cell r="AI86">
            <v>35555556</v>
          </cell>
          <cell r="AJ86">
            <v>35555556</v>
          </cell>
        </row>
        <row r="87">
          <cell r="A87" t="str">
            <v>02</v>
          </cell>
          <cell r="B87" t="str">
            <v>23</v>
          </cell>
          <cell r="C87" t="str">
            <v>1133</v>
          </cell>
          <cell r="D87" t="str">
            <v>КАМАЗ-4310 NoУ684ЕУ</v>
          </cell>
          <cell r="E87" t="str">
            <v>КШC фургон д/перевоз</v>
          </cell>
          <cell r="F87" t="str">
            <v>килюдей дв423995</v>
          </cell>
          <cell r="G87" t="str">
            <v>01</v>
          </cell>
          <cell r="H87">
            <v>131600</v>
          </cell>
          <cell r="I87">
            <v>102084.46</v>
          </cell>
          <cell r="J87">
            <v>0</v>
          </cell>
          <cell r="K87">
            <v>0.74</v>
          </cell>
          <cell r="L87" t="str">
            <v>23</v>
          </cell>
          <cell r="M87" t="str">
            <v>50402</v>
          </cell>
          <cell r="N87" t="str">
            <v>15 3410359</v>
          </cell>
          <cell r="O87" t="str">
            <v>075</v>
          </cell>
          <cell r="P87">
            <v>0.37</v>
          </cell>
          <cell r="Q87">
            <v>0</v>
          </cell>
          <cell r="R87" t="str">
            <v>1</v>
          </cell>
          <cell r="S87" t="str">
            <v>50</v>
          </cell>
          <cell r="T87">
            <v>89</v>
          </cell>
          <cell r="U87">
            <v>7</v>
          </cell>
          <cell r="V87">
            <v>89</v>
          </cell>
          <cell r="W87">
            <v>7</v>
          </cell>
          <cell r="X87">
            <v>89</v>
          </cell>
          <cell r="AF87" t="str">
            <v>00</v>
          </cell>
          <cell r="AI87">
            <v>177777778</v>
          </cell>
          <cell r="AJ87">
            <v>177777778</v>
          </cell>
        </row>
        <row r="88">
          <cell r="A88" t="str">
            <v>02</v>
          </cell>
          <cell r="B88" t="str">
            <v>23</v>
          </cell>
          <cell r="C88" t="str">
            <v>1135</v>
          </cell>
          <cell r="D88" t="str">
            <v>КАМАЗ-5511 No А879УС</v>
          </cell>
          <cell r="E88" t="str">
            <v>грузовой</v>
          </cell>
          <cell r="F88" t="str">
            <v>дв241305ш53197</v>
          </cell>
          <cell r="G88" t="str">
            <v>01</v>
          </cell>
          <cell r="H88">
            <v>110740</v>
          </cell>
          <cell r="I88">
            <v>57855.19</v>
          </cell>
          <cell r="J88">
            <v>0</v>
          </cell>
          <cell r="K88">
            <v>0.83</v>
          </cell>
          <cell r="L88" t="str">
            <v>23</v>
          </cell>
          <cell r="M88" t="str">
            <v>50402</v>
          </cell>
          <cell r="N88" t="str">
            <v>15 3410224</v>
          </cell>
          <cell r="O88" t="str">
            <v>075</v>
          </cell>
          <cell r="P88">
            <v>0.37</v>
          </cell>
          <cell r="Q88">
            <v>0</v>
          </cell>
          <cell r="R88" t="str">
            <v>1</v>
          </cell>
          <cell r="S88" t="str">
            <v>50</v>
          </cell>
          <cell r="T88">
            <v>80</v>
          </cell>
          <cell r="U88">
            <v>12</v>
          </cell>
          <cell r="V88">
            <v>80</v>
          </cell>
          <cell r="W88">
            <v>12</v>
          </cell>
          <cell r="X88">
            <v>80</v>
          </cell>
          <cell r="AF88" t="str">
            <v>00</v>
          </cell>
          <cell r="AI88">
            <v>132740741</v>
          </cell>
          <cell r="AJ88">
            <v>94810035.269999996</v>
          </cell>
        </row>
        <row r="89">
          <cell r="A89" t="str">
            <v>02</v>
          </cell>
          <cell r="B89" t="str">
            <v>23</v>
          </cell>
          <cell r="C89" t="str">
            <v>1140</v>
          </cell>
          <cell r="D89" t="str">
            <v>КАМАЗ 4310 No А766УС</v>
          </cell>
          <cell r="E89" t="str">
            <v>спец.груз.фургон</v>
          </cell>
          <cell r="F89" t="str">
            <v>дв487025 ш53017</v>
          </cell>
          <cell r="G89" t="str">
            <v>01</v>
          </cell>
          <cell r="H89">
            <v>131600</v>
          </cell>
          <cell r="I89">
            <v>95662.23</v>
          </cell>
          <cell r="J89">
            <v>0</v>
          </cell>
          <cell r="K89">
            <v>0.74</v>
          </cell>
          <cell r="L89" t="str">
            <v>23</v>
          </cell>
          <cell r="M89" t="str">
            <v>50401</v>
          </cell>
          <cell r="N89" t="str">
            <v>15 3410359</v>
          </cell>
          <cell r="O89" t="str">
            <v>075</v>
          </cell>
          <cell r="P89">
            <v>14.3</v>
          </cell>
          <cell r="Q89">
            <v>0</v>
          </cell>
          <cell r="R89" t="str">
            <v>1</v>
          </cell>
          <cell r="S89" t="str">
            <v>50</v>
          </cell>
          <cell r="T89">
            <v>89</v>
          </cell>
          <cell r="U89">
            <v>11</v>
          </cell>
          <cell r="V89">
            <v>89</v>
          </cell>
          <cell r="W89">
            <v>11</v>
          </cell>
          <cell r="X89">
            <v>89</v>
          </cell>
          <cell r="AF89" t="str">
            <v>00</v>
          </cell>
          <cell r="AI89">
            <v>177777778</v>
          </cell>
          <cell r="AJ89">
            <v>177777778</v>
          </cell>
        </row>
        <row r="90">
          <cell r="A90" t="str">
            <v>02</v>
          </cell>
          <cell r="B90" t="str">
            <v>23</v>
          </cell>
          <cell r="C90" t="str">
            <v>1141</v>
          </cell>
          <cell r="D90" t="str">
            <v>ЗИЛ 131а No А 845 УС</v>
          </cell>
          <cell r="E90" t="str">
            <v>грузовой спец.</v>
          </cell>
          <cell r="F90" t="str">
            <v>дв б/н ш344958</v>
          </cell>
          <cell r="G90" t="str">
            <v>01</v>
          </cell>
          <cell r="H90">
            <v>85880</v>
          </cell>
          <cell r="I90">
            <v>85880</v>
          </cell>
          <cell r="J90">
            <v>0</v>
          </cell>
          <cell r="K90">
            <v>0.81</v>
          </cell>
          <cell r="L90" t="str">
            <v>23</v>
          </cell>
          <cell r="M90" t="str">
            <v>50401</v>
          </cell>
          <cell r="N90" t="str">
            <v>15 3410359</v>
          </cell>
          <cell r="O90" t="str">
            <v>075</v>
          </cell>
          <cell r="P90">
            <v>14.3</v>
          </cell>
          <cell r="Q90">
            <v>0</v>
          </cell>
          <cell r="R90" t="str">
            <v>1</v>
          </cell>
          <cell r="S90" t="str">
            <v>50</v>
          </cell>
          <cell r="T90">
            <v>80</v>
          </cell>
          <cell r="U90">
            <v>3</v>
          </cell>
          <cell r="V90">
            <v>80</v>
          </cell>
          <cell r="W90">
            <v>3</v>
          </cell>
          <cell r="X90">
            <v>80</v>
          </cell>
          <cell r="AF90" t="str">
            <v>00</v>
          </cell>
          <cell r="AI90">
            <v>106666667</v>
          </cell>
          <cell r="AJ90">
            <v>106666667</v>
          </cell>
        </row>
        <row r="91">
          <cell r="A91" t="str">
            <v>02</v>
          </cell>
          <cell r="B91" t="str">
            <v>23</v>
          </cell>
          <cell r="C91" t="str">
            <v>1154</v>
          </cell>
          <cell r="D91" t="str">
            <v>КАМАЗ 4310 NoС862РО</v>
          </cell>
          <cell r="E91" t="str">
            <v>спец. бур.</v>
          </cell>
          <cell r="F91" t="str">
            <v>дв.079140 ш.31211</v>
          </cell>
          <cell r="G91" t="str">
            <v>01</v>
          </cell>
          <cell r="H91">
            <v>128820</v>
          </cell>
          <cell r="I91">
            <v>12882</v>
          </cell>
          <cell r="J91">
            <v>0</v>
          </cell>
          <cell r="K91">
            <v>0.51</v>
          </cell>
          <cell r="L91" t="str">
            <v>23</v>
          </cell>
          <cell r="M91" t="str">
            <v>43413</v>
          </cell>
          <cell r="N91" t="str">
            <v>14 2924452</v>
          </cell>
          <cell r="O91" t="str">
            <v>064</v>
          </cell>
          <cell r="P91">
            <v>14.3</v>
          </cell>
          <cell r="Q91">
            <v>0</v>
          </cell>
          <cell r="R91" t="str">
            <v>1</v>
          </cell>
          <cell r="S91" t="str">
            <v>43</v>
          </cell>
          <cell r="T91">
            <v>87</v>
          </cell>
          <cell r="U91">
            <v>6</v>
          </cell>
          <cell r="V91">
            <v>87</v>
          </cell>
          <cell r="W91">
            <v>6</v>
          </cell>
          <cell r="X91">
            <v>87</v>
          </cell>
          <cell r="AF91" t="str">
            <v>00</v>
          </cell>
          <cell r="AI91">
            <v>253333333</v>
          </cell>
          <cell r="AJ91">
            <v>134013332.86</v>
          </cell>
        </row>
        <row r="92">
          <cell r="A92" t="str">
            <v>02</v>
          </cell>
          <cell r="B92" t="str">
            <v>23</v>
          </cell>
          <cell r="C92" t="str">
            <v>1155</v>
          </cell>
          <cell r="D92" t="str">
            <v>ЗИЛ-130 спец.АЦПТ-41</v>
          </cell>
          <cell r="E92" t="str">
            <v>Nо В 870 ОВ</v>
          </cell>
          <cell r="F92" t="str">
            <v>дв844148 ш1863430</v>
          </cell>
          <cell r="G92" t="str">
            <v>01</v>
          </cell>
          <cell r="H92">
            <v>66764.44</v>
          </cell>
          <cell r="I92">
            <v>35059.17</v>
          </cell>
          <cell r="J92">
            <v>0</v>
          </cell>
          <cell r="K92">
            <v>1.1100000000000001</v>
          </cell>
          <cell r="L92" t="str">
            <v>23</v>
          </cell>
          <cell r="M92" t="str">
            <v>50402</v>
          </cell>
          <cell r="N92" t="str">
            <v>15 3410364</v>
          </cell>
          <cell r="O92" t="str">
            <v>075</v>
          </cell>
          <cell r="P92">
            <v>0.37</v>
          </cell>
          <cell r="Q92">
            <v>0</v>
          </cell>
          <cell r="R92" t="str">
            <v>1</v>
          </cell>
          <cell r="S92" t="str">
            <v>50</v>
          </cell>
          <cell r="T92">
            <v>81</v>
          </cell>
          <cell r="U92">
            <v>5</v>
          </cell>
          <cell r="V92">
            <v>81</v>
          </cell>
          <cell r="W92">
            <v>5</v>
          </cell>
          <cell r="X92">
            <v>81</v>
          </cell>
          <cell r="AF92" t="str">
            <v>00</v>
          </cell>
          <cell r="AI92">
            <v>60148148</v>
          </cell>
          <cell r="AJ92">
            <v>48563481.049999997</v>
          </cell>
        </row>
        <row r="93">
          <cell r="A93" t="str">
            <v>02</v>
          </cell>
          <cell r="B93" t="str">
            <v>23</v>
          </cell>
          <cell r="C93" t="str">
            <v>1158</v>
          </cell>
          <cell r="D93" t="str">
            <v>ГАЗ-5327 No 70-54кшс</v>
          </cell>
          <cell r="E93" t="str">
            <v>груз.бортовая</v>
          </cell>
          <cell r="F93" t="str">
            <v>дв0239692 ш1230454</v>
          </cell>
          <cell r="G93" t="str">
            <v>01</v>
          </cell>
          <cell r="H93">
            <v>27233</v>
          </cell>
          <cell r="I93">
            <v>18806.740000000002</v>
          </cell>
          <cell r="J93">
            <v>0</v>
          </cell>
          <cell r="K93">
            <v>0.49</v>
          </cell>
          <cell r="L93" t="str">
            <v>23</v>
          </cell>
          <cell r="M93" t="str">
            <v>50402</v>
          </cell>
          <cell r="N93" t="str">
            <v>15 3410441</v>
          </cell>
          <cell r="O93" t="str">
            <v>075</v>
          </cell>
          <cell r="P93">
            <v>0.37</v>
          </cell>
          <cell r="Q93">
            <v>0</v>
          </cell>
          <cell r="R93" t="str">
            <v>1</v>
          </cell>
          <cell r="S93" t="str">
            <v>50</v>
          </cell>
          <cell r="T93">
            <v>88</v>
          </cell>
          <cell r="U93">
            <v>12</v>
          </cell>
          <cell r="V93">
            <v>88</v>
          </cell>
          <cell r="W93">
            <v>12</v>
          </cell>
          <cell r="X93">
            <v>88</v>
          </cell>
          <cell r="AF93" t="str">
            <v>00</v>
          </cell>
          <cell r="AI93">
            <v>55308642</v>
          </cell>
          <cell r="AJ93">
            <v>55308642</v>
          </cell>
        </row>
        <row r="94">
          <cell r="A94" t="str">
            <v>02</v>
          </cell>
          <cell r="B94" t="str">
            <v>23</v>
          </cell>
          <cell r="C94" t="str">
            <v>1170</v>
          </cell>
          <cell r="D94" t="str">
            <v>КАМАЗ-5511 сед.тягач</v>
          </cell>
          <cell r="E94" t="str">
            <v>Nо С 681 ТТ</v>
          </cell>
          <cell r="F94" t="str">
            <v>дв620740 ш033993</v>
          </cell>
          <cell r="G94" t="str">
            <v>01</v>
          </cell>
          <cell r="H94">
            <v>133000</v>
          </cell>
          <cell r="I94">
            <v>108097.15</v>
          </cell>
          <cell r="J94">
            <v>0</v>
          </cell>
          <cell r="K94">
            <v>0.53</v>
          </cell>
          <cell r="L94" t="str">
            <v>23</v>
          </cell>
          <cell r="M94" t="str">
            <v>50402</v>
          </cell>
          <cell r="N94" t="str">
            <v>15 3410214</v>
          </cell>
          <cell r="O94" t="str">
            <v>075</v>
          </cell>
          <cell r="P94">
            <v>0.37</v>
          </cell>
          <cell r="Q94">
            <v>0</v>
          </cell>
          <cell r="R94" t="str">
            <v>1</v>
          </cell>
          <cell r="S94" t="str">
            <v>50</v>
          </cell>
          <cell r="T94">
            <v>83</v>
          </cell>
          <cell r="U94">
            <v>4</v>
          </cell>
          <cell r="V94">
            <v>83</v>
          </cell>
          <cell r="W94">
            <v>4</v>
          </cell>
          <cell r="X94">
            <v>83</v>
          </cell>
          <cell r="AF94" t="str">
            <v>00</v>
          </cell>
          <cell r="AI94">
            <v>248888889</v>
          </cell>
          <cell r="AJ94">
            <v>248888889</v>
          </cell>
        </row>
        <row r="95">
          <cell r="A95" t="str">
            <v>02</v>
          </cell>
          <cell r="B95" t="str">
            <v>23</v>
          </cell>
          <cell r="C95" t="str">
            <v>1171</v>
          </cell>
          <cell r="D95" t="str">
            <v>МАЗ-5334 No А 875 УС</v>
          </cell>
          <cell r="E95" t="str">
            <v>а/топ/заправщик спец</v>
          </cell>
          <cell r="F95" t="str">
            <v>дв770657 ш85999</v>
          </cell>
          <cell r="G95" t="str">
            <v>01</v>
          </cell>
          <cell r="H95">
            <v>165668</v>
          </cell>
          <cell r="I95">
            <v>138056.67000000001</v>
          </cell>
          <cell r="J95">
            <v>0</v>
          </cell>
          <cell r="K95">
            <v>1.1499999999999999</v>
          </cell>
          <cell r="L95" t="str">
            <v>23</v>
          </cell>
          <cell r="M95" t="str">
            <v>50426</v>
          </cell>
          <cell r="N95" t="str">
            <v>15 3410362</v>
          </cell>
          <cell r="O95" t="str">
            <v>073</v>
          </cell>
          <cell r="P95">
            <v>10</v>
          </cell>
          <cell r="Q95">
            <v>0</v>
          </cell>
          <cell r="R95" t="str">
            <v>1</v>
          </cell>
          <cell r="S95" t="str">
            <v>50</v>
          </cell>
          <cell r="T95">
            <v>86</v>
          </cell>
          <cell r="U95">
            <v>8</v>
          </cell>
          <cell r="V95">
            <v>86</v>
          </cell>
          <cell r="W95">
            <v>8</v>
          </cell>
          <cell r="X95">
            <v>86</v>
          </cell>
          <cell r="AF95" t="str">
            <v>00</v>
          </cell>
          <cell r="AI95">
            <v>144641975</v>
          </cell>
          <cell r="AJ95">
            <v>144641975</v>
          </cell>
        </row>
        <row r="96">
          <cell r="A96" t="str">
            <v>02</v>
          </cell>
          <cell r="B96" t="str">
            <v>23</v>
          </cell>
          <cell r="C96" t="str">
            <v>1172</v>
          </cell>
          <cell r="D96" t="str">
            <v>ЗИЛ-131 No 28-51 кшм</v>
          </cell>
          <cell r="E96" t="str">
            <v>в/в-ка дв518721</v>
          </cell>
          <cell r="F96" t="str">
            <v>ш 463900</v>
          </cell>
          <cell r="G96" t="str">
            <v>01</v>
          </cell>
          <cell r="H96">
            <v>85880</v>
          </cell>
          <cell r="I96">
            <v>85880</v>
          </cell>
          <cell r="J96">
            <v>0</v>
          </cell>
          <cell r="K96">
            <v>0.69</v>
          </cell>
          <cell r="L96" t="str">
            <v>23</v>
          </cell>
          <cell r="M96" t="str">
            <v>43413</v>
          </cell>
          <cell r="N96" t="str">
            <v>15 3410364</v>
          </cell>
          <cell r="O96" t="str">
            <v>064</v>
          </cell>
          <cell r="P96">
            <v>14.3</v>
          </cell>
          <cell r="Q96">
            <v>0</v>
          </cell>
          <cell r="R96" t="str">
            <v>1</v>
          </cell>
          <cell r="S96" t="str">
            <v>43</v>
          </cell>
          <cell r="T96">
            <v>81</v>
          </cell>
          <cell r="U96">
            <v>12</v>
          </cell>
          <cell r="V96">
            <v>81</v>
          </cell>
          <cell r="W96">
            <v>12</v>
          </cell>
          <cell r="X96">
            <v>81</v>
          </cell>
          <cell r="AF96" t="str">
            <v>00</v>
          </cell>
          <cell r="AI96">
            <v>124444444</v>
          </cell>
          <cell r="AJ96">
            <v>124444444</v>
          </cell>
        </row>
        <row r="97">
          <cell r="A97" t="str">
            <v>02</v>
          </cell>
          <cell r="B97" t="str">
            <v>23</v>
          </cell>
          <cell r="C97" t="str">
            <v>1178</v>
          </cell>
          <cell r="D97" t="str">
            <v>ЗИЛ 130-80 No В663ХО</v>
          </cell>
          <cell r="E97" t="str">
            <v>спец.АГУ-2М</v>
          </cell>
          <cell r="F97" t="str">
            <v>дв956207 ш2145878</v>
          </cell>
          <cell r="G97" t="str">
            <v>01</v>
          </cell>
          <cell r="H97">
            <v>66764.44</v>
          </cell>
          <cell r="I97">
            <v>12339.81</v>
          </cell>
          <cell r="J97">
            <v>0</v>
          </cell>
          <cell r="K97">
            <v>1.1100000000000001</v>
          </cell>
          <cell r="L97" t="str">
            <v>23</v>
          </cell>
          <cell r="M97" t="str">
            <v>50402</v>
          </cell>
          <cell r="N97" t="str">
            <v>15 3410363</v>
          </cell>
          <cell r="O97" t="str">
            <v>075</v>
          </cell>
          <cell r="P97">
            <v>0.37</v>
          </cell>
          <cell r="Q97">
            <v>0</v>
          </cell>
          <cell r="R97" t="str">
            <v>1</v>
          </cell>
          <cell r="S97" t="str">
            <v>50</v>
          </cell>
          <cell r="T97">
            <v>83</v>
          </cell>
          <cell r="U97">
            <v>9</v>
          </cell>
          <cell r="V97">
            <v>83</v>
          </cell>
          <cell r="W97">
            <v>9</v>
          </cell>
          <cell r="X97">
            <v>83</v>
          </cell>
          <cell r="AF97" t="str">
            <v>00</v>
          </cell>
          <cell r="AI97">
            <v>60148148</v>
          </cell>
          <cell r="AJ97">
            <v>13760819.609999999</v>
          </cell>
        </row>
        <row r="98">
          <cell r="A98" t="str">
            <v>02</v>
          </cell>
          <cell r="B98" t="str">
            <v>23</v>
          </cell>
          <cell r="C98" t="str">
            <v>1179</v>
          </cell>
          <cell r="D98" t="str">
            <v>КАМАЗ 5511 No 52-44</v>
          </cell>
          <cell r="E98" t="str">
            <v>кшн а/бетоносмесит.</v>
          </cell>
          <cell r="F98" t="str">
            <v>дв540364 ш150094</v>
          </cell>
          <cell r="G98" t="str">
            <v>01</v>
          </cell>
          <cell r="H98">
            <v>175000</v>
          </cell>
          <cell r="I98">
            <v>108494.45</v>
          </cell>
          <cell r="J98">
            <v>0</v>
          </cell>
          <cell r="K98">
            <v>0.7</v>
          </cell>
          <cell r="L98" t="str">
            <v>23</v>
          </cell>
          <cell r="M98" t="str">
            <v>50402</v>
          </cell>
          <cell r="N98" t="str">
            <v>15 3410373</v>
          </cell>
          <cell r="O98" t="str">
            <v>075</v>
          </cell>
          <cell r="P98">
            <v>0.37</v>
          </cell>
          <cell r="Q98">
            <v>0</v>
          </cell>
          <cell r="R98" t="str">
            <v>1</v>
          </cell>
          <cell r="S98" t="str">
            <v>50</v>
          </cell>
          <cell r="T98">
            <v>83</v>
          </cell>
          <cell r="U98">
            <v>12</v>
          </cell>
          <cell r="V98">
            <v>83</v>
          </cell>
          <cell r="W98">
            <v>12</v>
          </cell>
          <cell r="X98">
            <v>83</v>
          </cell>
          <cell r="AF98" t="str">
            <v>00</v>
          </cell>
          <cell r="AI98">
            <v>248888889</v>
          </cell>
          <cell r="AJ98">
            <v>181328547.63999999</v>
          </cell>
        </row>
        <row r="99">
          <cell r="A99" t="str">
            <v>02</v>
          </cell>
          <cell r="B99" t="str">
            <v>23</v>
          </cell>
          <cell r="C99" t="str">
            <v>1180</v>
          </cell>
          <cell r="D99" t="str">
            <v>ЗИЛ-130 NoВ804 КТ</v>
          </cell>
          <cell r="E99" t="str">
            <v xml:space="preserve"> грузовая бортовая</v>
          </cell>
          <cell r="F99" t="str">
            <v>дв383226 ш2364612</v>
          </cell>
          <cell r="G99" t="str">
            <v>01</v>
          </cell>
          <cell r="H99">
            <v>85880</v>
          </cell>
          <cell r="I99">
            <v>81072.27</v>
          </cell>
          <cell r="J99">
            <v>0</v>
          </cell>
          <cell r="K99">
            <v>0.86</v>
          </cell>
          <cell r="L99" t="str">
            <v>23</v>
          </cell>
          <cell r="M99" t="str">
            <v>50402</v>
          </cell>
          <cell r="N99" t="str">
            <v>15 3410441</v>
          </cell>
          <cell r="O99" t="str">
            <v>075</v>
          </cell>
          <cell r="P99">
            <v>0.37</v>
          </cell>
          <cell r="Q99">
            <v>0</v>
          </cell>
          <cell r="R99" t="str">
            <v>1</v>
          </cell>
          <cell r="S99" t="str">
            <v>50</v>
          </cell>
          <cell r="T99">
            <v>85</v>
          </cell>
          <cell r="U99">
            <v>9</v>
          </cell>
          <cell r="V99">
            <v>85</v>
          </cell>
          <cell r="W99">
            <v>9</v>
          </cell>
          <cell r="X99">
            <v>85</v>
          </cell>
          <cell r="AF99" t="str">
            <v>00</v>
          </cell>
          <cell r="AI99">
            <v>99555556</v>
          </cell>
          <cell r="AJ99">
            <v>99555556</v>
          </cell>
        </row>
        <row r="100">
          <cell r="A100" t="str">
            <v>02</v>
          </cell>
          <cell r="B100" t="str">
            <v>23</v>
          </cell>
          <cell r="C100" t="str">
            <v>1181</v>
          </cell>
          <cell r="D100" t="str">
            <v>УРАЛ-4320 No У783ЕУ</v>
          </cell>
          <cell r="E100" t="str">
            <v>грузовая дв826575</v>
          </cell>
          <cell r="F100" t="str">
            <v>ш093681</v>
          </cell>
          <cell r="G100" t="str">
            <v>01</v>
          </cell>
          <cell r="H100">
            <v>87980</v>
          </cell>
          <cell r="I100">
            <v>63023.38</v>
          </cell>
          <cell r="J100">
            <v>0</v>
          </cell>
          <cell r="K100">
            <v>0.78</v>
          </cell>
          <cell r="L100" t="str">
            <v>23</v>
          </cell>
          <cell r="M100" t="str">
            <v>50402</v>
          </cell>
          <cell r="N100" t="str">
            <v>14 2928262</v>
          </cell>
          <cell r="O100" t="str">
            <v>075</v>
          </cell>
          <cell r="P100">
            <v>0.37</v>
          </cell>
          <cell r="Q100">
            <v>0</v>
          </cell>
          <cell r="R100" t="str">
            <v>1</v>
          </cell>
          <cell r="S100" t="str">
            <v>50</v>
          </cell>
          <cell r="T100">
            <v>85</v>
          </cell>
          <cell r="U100">
            <v>11</v>
          </cell>
          <cell r="V100">
            <v>85</v>
          </cell>
          <cell r="W100">
            <v>11</v>
          </cell>
          <cell r="X100">
            <v>85</v>
          </cell>
          <cell r="AF100" t="str">
            <v>00</v>
          </cell>
          <cell r="AI100">
            <v>113382716</v>
          </cell>
          <cell r="AJ100">
            <v>93305718.689999998</v>
          </cell>
        </row>
        <row r="101">
          <cell r="A101" t="str">
            <v>02</v>
          </cell>
          <cell r="B101" t="str">
            <v>23</v>
          </cell>
          <cell r="C101" t="str">
            <v>1183</v>
          </cell>
          <cell r="D101" t="str">
            <v>ЗИЛ-130 NoВ831 КТ</v>
          </cell>
          <cell r="E101" t="str">
            <v xml:space="preserve"> грузовая бортовая</v>
          </cell>
          <cell r="F101" t="str">
            <v>дв292166 ш2308794</v>
          </cell>
          <cell r="G101" t="str">
            <v>01</v>
          </cell>
          <cell r="H101">
            <v>85880</v>
          </cell>
          <cell r="I101">
            <v>34764.239999999998</v>
          </cell>
          <cell r="J101">
            <v>0</v>
          </cell>
          <cell r="K101">
            <v>0.86</v>
          </cell>
          <cell r="L101" t="str">
            <v>23</v>
          </cell>
          <cell r="M101" t="str">
            <v>50402</v>
          </cell>
          <cell r="N101" t="str">
            <v>14 3410441</v>
          </cell>
          <cell r="O101" t="str">
            <v>075</v>
          </cell>
          <cell r="P101">
            <v>0.37</v>
          </cell>
          <cell r="Q101">
            <v>0</v>
          </cell>
          <cell r="R101" t="str">
            <v>1</v>
          </cell>
          <cell r="S101" t="str">
            <v>50</v>
          </cell>
          <cell r="T101">
            <v>84</v>
          </cell>
          <cell r="U101">
            <v>12</v>
          </cell>
          <cell r="V101">
            <v>84</v>
          </cell>
          <cell r="W101">
            <v>12</v>
          </cell>
          <cell r="X101">
            <v>84</v>
          </cell>
          <cell r="AF101" t="str">
            <v>00</v>
          </cell>
          <cell r="AI101">
            <v>99555556</v>
          </cell>
          <cell r="AJ101">
            <v>69549383.959999993</v>
          </cell>
        </row>
        <row r="102">
          <cell r="A102" t="str">
            <v>02</v>
          </cell>
          <cell r="B102" t="str">
            <v>23</v>
          </cell>
          <cell r="C102" t="str">
            <v>1185</v>
          </cell>
          <cell r="D102" t="str">
            <v>ЗИЛ-130 NoВ803 КТ</v>
          </cell>
          <cell r="E102" t="str">
            <v xml:space="preserve"> грузовая бортовая</v>
          </cell>
          <cell r="F102" t="str">
            <v>дв983577 ш2396382</v>
          </cell>
          <cell r="G102" t="str">
            <v>01</v>
          </cell>
          <cell r="H102">
            <v>85880</v>
          </cell>
          <cell r="I102">
            <v>49150</v>
          </cell>
          <cell r="J102">
            <v>0</v>
          </cell>
          <cell r="K102">
            <v>0.86</v>
          </cell>
          <cell r="L102" t="str">
            <v>23</v>
          </cell>
          <cell r="M102" t="str">
            <v>50402</v>
          </cell>
          <cell r="N102" t="str">
            <v>15 3410194</v>
          </cell>
          <cell r="O102" t="str">
            <v>075</v>
          </cell>
          <cell r="P102">
            <v>0.37</v>
          </cell>
          <cell r="Q102">
            <v>0</v>
          </cell>
          <cell r="R102" t="str">
            <v>1</v>
          </cell>
          <cell r="S102" t="str">
            <v>50</v>
          </cell>
          <cell r="T102">
            <v>85</v>
          </cell>
          <cell r="U102">
            <v>9</v>
          </cell>
          <cell r="V102">
            <v>85</v>
          </cell>
          <cell r="W102">
            <v>9</v>
          </cell>
          <cell r="X102">
            <v>85</v>
          </cell>
          <cell r="AF102" t="str">
            <v>00</v>
          </cell>
          <cell r="AI102">
            <v>99555556</v>
          </cell>
          <cell r="AJ102">
            <v>80747383.829999998</v>
          </cell>
        </row>
        <row r="103">
          <cell r="A103" t="str">
            <v>02</v>
          </cell>
          <cell r="B103" t="str">
            <v>23</v>
          </cell>
          <cell r="C103" t="str">
            <v>1188</v>
          </cell>
          <cell r="D103" t="str">
            <v>УРАЛ 4320 No А880УС</v>
          </cell>
          <cell r="E103" t="str">
            <v xml:space="preserve"> грузовая</v>
          </cell>
          <cell r="F103" t="str">
            <v>дв826575 ш077455</v>
          </cell>
          <cell r="G103" t="str">
            <v>01</v>
          </cell>
          <cell r="H103">
            <v>87980</v>
          </cell>
          <cell r="I103">
            <v>61866.87</v>
          </cell>
          <cell r="J103">
            <v>0</v>
          </cell>
          <cell r="K103">
            <v>0.78</v>
          </cell>
          <cell r="L103" t="str">
            <v>23</v>
          </cell>
          <cell r="M103" t="str">
            <v>50402</v>
          </cell>
          <cell r="N103" t="str">
            <v>14 2928262</v>
          </cell>
          <cell r="O103" t="str">
            <v>075</v>
          </cell>
          <cell r="P103">
            <v>0.37</v>
          </cell>
          <cell r="Q103">
            <v>0</v>
          </cell>
          <cell r="R103" t="str">
            <v>1</v>
          </cell>
          <cell r="S103" t="str">
            <v>50</v>
          </cell>
          <cell r="T103">
            <v>87</v>
          </cell>
          <cell r="U103">
            <v>6</v>
          </cell>
          <cell r="V103">
            <v>88</v>
          </cell>
          <cell r="W103">
            <v>6</v>
          </cell>
          <cell r="X103">
            <v>88</v>
          </cell>
          <cell r="AA103" t="str">
            <v>1</v>
          </cell>
          <cell r="AB103" t="str">
            <v>12</v>
          </cell>
          <cell r="AC103">
            <v>5</v>
          </cell>
          <cell r="AF103" t="str">
            <v>00</v>
          </cell>
          <cell r="AI103">
            <v>113382716</v>
          </cell>
          <cell r="AJ103">
            <v>113382716</v>
          </cell>
        </row>
        <row r="104">
          <cell r="A104" t="str">
            <v>02</v>
          </cell>
          <cell r="B104" t="str">
            <v>23</v>
          </cell>
          <cell r="C104" t="str">
            <v>1244</v>
          </cell>
          <cell r="D104" t="str">
            <v>А/мГАЗ 53-12 Волгарь</v>
          </cell>
          <cell r="E104" t="str">
            <v>автобус гос 11-86кшш</v>
          </cell>
          <cell r="F104" t="str">
            <v>дв0185604 ш138</v>
          </cell>
          <cell r="G104" t="str">
            <v>01</v>
          </cell>
          <cell r="H104">
            <v>59325</v>
          </cell>
          <cell r="I104">
            <v>12359.37</v>
          </cell>
          <cell r="J104">
            <v>0</v>
          </cell>
          <cell r="K104">
            <v>1.07</v>
          </cell>
          <cell r="L104" t="str">
            <v>23</v>
          </cell>
          <cell r="M104" t="str">
            <v>50423</v>
          </cell>
          <cell r="N104" t="str">
            <v>15 3410260</v>
          </cell>
          <cell r="O104" t="str">
            <v>072</v>
          </cell>
          <cell r="P104">
            <v>10</v>
          </cell>
          <cell r="Q104">
            <v>0</v>
          </cell>
          <cell r="R104" t="str">
            <v>1</v>
          </cell>
          <cell r="S104" t="str">
            <v>50</v>
          </cell>
          <cell r="T104">
            <v>92</v>
          </cell>
          <cell r="U104">
            <v>11</v>
          </cell>
          <cell r="V104">
            <v>92</v>
          </cell>
          <cell r="W104">
            <v>11</v>
          </cell>
          <cell r="X104">
            <v>92</v>
          </cell>
          <cell r="AF104" t="str">
            <v>00</v>
          </cell>
          <cell r="AI104">
            <v>55308642</v>
          </cell>
          <cell r="AJ104">
            <v>28115226.309999999</v>
          </cell>
        </row>
        <row r="105">
          <cell r="A105" t="str">
            <v>02</v>
          </cell>
          <cell r="B105" t="str">
            <v>23</v>
          </cell>
          <cell r="C105" t="str">
            <v>1249</v>
          </cell>
          <cell r="D105" t="str">
            <v>А/м ЗИЛ-131М вахта</v>
          </cell>
          <cell r="E105" t="str">
            <v>пассажир. Nо12-59кшш</v>
          </cell>
          <cell r="F105" t="str">
            <v>д962266 ш0959579</v>
          </cell>
          <cell r="G105" t="str">
            <v>01</v>
          </cell>
          <cell r="H105">
            <v>85880</v>
          </cell>
          <cell r="I105">
            <v>17176</v>
          </cell>
          <cell r="J105">
            <v>0</v>
          </cell>
          <cell r="K105">
            <v>0.97</v>
          </cell>
          <cell r="L105" t="str">
            <v>23</v>
          </cell>
          <cell r="M105" t="str">
            <v>50423</v>
          </cell>
          <cell r="N105" t="str">
            <v>15 3410359</v>
          </cell>
          <cell r="O105" t="str">
            <v>072</v>
          </cell>
          <cell r="P105">
            <v>10</v>
          </cell>
          <cell r="Q105">
            <v>0</v>
          </cell>
          <cell r="R105" t="str">
            <v>1</v>
          </cell>
          <cell r="S105" t="str">
            <v>50</v>
          </cell>
          <cell r="T105">
            <v>92</v>
          </cell>
          <cell r="U105">
            <v>12</v>
          </cell>
          <cell r="V105">
            <v>92</v>
          </cell>
          <cell r="W105">
            <v>12</v>
          </cell>
          <cell r="X105">
            <v>92</v>
          </cell>
          <cell r="AF105" t="str">
            <v>00</v>
          </cell>
          <cell r="AI105">
            <v>88493827</v>
          </cell>
          <cell r="AJ105">
            <v>44246913.5</v>
          </cell>
        </row>
        <row r="106">
          <cell r="A106" t="str">
            <v>02</v>
          </cell>
          <cell r="B106" t="str">
            <v>23</v>
          </cell>
          <cell r="C106" t="str">
            <v>1250</v>
          </cell>
          <cell r="D106" t="str">
            <v>А/м ЗИЛ-131М вахта</v>
          </cell>
          <cell r="E106" t="str">
            <v>пассажир.NоВ829УУ63</v>
          </cell>
          <cell r="F106" t="str">
            <v>дв409222 ш0954633</v>
          </cell>
          <cell r="G106" t="str">
            <v>01</v>
          </cell>
          <cell r="H106">
            <v>85880</v>
          </cell>
          <cell r="I106">
            <v>17176</v>
          </cell>
          <cell r="J106">
            <v>0</v>
          </cell>
          <cell r="K106">
            <v>0.97</v>
          </cell>
          <cell r="L106" t="str">
            <v>23</v>
          </cell>
          <cell r="M106" t="str">
            <v>50423</v>
          </cell>
          <cell r="N106" t="str">
            <v>15 3410359</v>
          </cell>
          <cell r="O106" t="str">
            <v>072</v>
          </cell>
          <cell r="P106">
            <v>10</v>
          </cell>
          <cell r="Q106">
            <v>0</v>
          </cell>
          <cell r="R106" t="str">
            <v>1</v>
          </cell>
          <cell r="S106" t="str">
            <v>50</v>
          </cell>
          <cell r="T106">
            <v>92</v>
          </cell>
          <cell r="U106">
            <v>12</v>
          </cell>
          <cell r="V106">
            <v>92</v>
          </cell>
          <cell r="W106">
            <v>12</v>
          </cell>
          <cell r="X106">
            <v>92</v>
          </cell>
          <cell r="AF106" t="str">
            <v>00</v>
          </cell>
          <cell r="AI106">
            <v>88493827</v>
          </cell>
          <cell r="AJ106">
            <v>44246913.5</v>
          </cell>
        </row>
        <row r="107">
          <cell r="A107" t="str">
            <v>02</v>
          </cell>
          <cell r="B107" t="str">
            <v>23</v>
          </cell>
          <cell r="C107" t="str">
            <v>1251</v>
          </cell>
          <cell r="D107" t="str">
            <v>А/м ЗИЛ-131М вахта</v>
          </cell>
          <cell r="E107" t="str">
            <v>пассажир.Nо12-62кшш</v>
          </cell>
          <cell r="F107" t="str">
            <v>дв957825 ш0959000</v>
          </cell>
          <cell r="G107" t="str">
            <v>01</v>
          </cell>
          <cell r="H107">
            <v>85880</v>
          </cell>
          <cell r="I107">
            <v>17176</v>
          </cell>
          <cell r="J107">
            <v>0</v>
          </cell>
          <cell r="K107">
            <v>0.97</v>
          </cell>
          <cell r="L107" t="str">
            <v>23</v>
          </cell>
          <cell r="M107" t="str">
            <v>50423</v>
          </cell>
          <cell r="N107" t="str">
            <v>15 3410359</v>
          </cell>
          <cell r="O107" t="str">
            <v>072</v>
          </cell>
          <cell r="P107">
            <v>10</v>
          </cell>
          <cell r="Q107">
            <v>0</v>
          </cell>
          <cell r="R107" t="str">
            <v>1</v>
          </cell>
          <cell r="S107" t="str">
            <v>50</v>
          </cell>
          <cell r="T107">
            <v>92</v>
          </cell>
          <cell r="U107">
            <v>12</v>
          </cell>
          <cell r="V107">
            <v>92</v>
          </cell>
          <cell r="W107">
            <v>12</v>
          </cell>
          <cell r="X107">
            <v>92</v>
          </cell>
          <cell r="AF107" t="str">
            <v>00</v>
          </cell>
          <cell r="AI107">
            <v>88493827</v>
          </cell>
          <cell r="AJ107">
            <v>44246913.5</v>
          </cell>
        </row>
        <row r="108">
          <cell r="A108" t="str">
            <v>02</v>
          </cell>
          <cell r="B108" t="str">
            <v>23</v>
          </cell>
          <cell r="C108" t="str">
            <v>1252</v>
          </cell>
          <cell r="D108" t="str">
            <v>А/м ЗИЛ-131М вахта</v>
          </cell>
          <cell r="E108" t="str">
            <v>пассажир. NоУ843ЕУ</v>
          </cell>
          <cell r="F108" t="str">
            <v>дв878064 ш0947659</v>
          </cell>
          <cell r="G108" t="str">
            <v>01</v>
          </cell>
          <cell r="H108">
            <v>85880</v>
          </cell>
          <cell r="I108">
            <v>17176</v>
          </cell>
          <cell r="J108">
            <v>0</v>
          </cell>
          <cell r="K108">
            <v>0.97</v>
          </cell>
          <cell r="L108" t="str">
            <v>23</v>
          </cell>
          <cell r="M108" t="str">
            <v>50423</v>
          </cell>
          <cell r="N108" t="str">
            <v>15 3410359</v>
          </cell>
          <cell r="O108" t="str">
            <v>072</v>
          </cell>
          <cell r="P108">
            <v>10</v>
          </cell>
          <cell r="Q108">
            <v>0</v>
          </cell>
          <cell r="R108" t="str">
            <v>1</v>
          </cell>
          <cell r="S108" t="str">
            <v>50</v>
          </cell>
          <cell r="T108">
            <v>92</v>
          </cell>
          <cell r="U108">
            <v>12</v>
          </cell>
          <cell r="V108">
            <v>92</v>
          </cell>
          <cell r="W108">
            <v>12</v>
          </cell>
          <cell r="X108">
            <v>92</v>
          </cell>
          <cell r="AF108" t="str">
            <v>00</v>
          </cell>
          <cell r="AI108">
            <v>88493827</v>
          </cell>
          <cell r="AJ108">
            <v>44246913.5</v>
          </cell>
        </row>
        <row r="109">
          <cell r="A109" t="str">
            <v>02</v>
          </cell>
          <cell r="B109" t="str">
            <v>23</v>
          </cell>
          <cell r="C109" t="str">
            <v>1263</v>
          </cell>
          <cell r="D109" t="str">
            <v>А/мУАЗ-3741 ПЭЛХЗ</v>
          </cell>
          <cell r="E109" t="str">
            <v>гос.N 48-52 КШЧ спец</v>
          </cell>
          <cell r="F109" t="str">
            <v>д20201759 ш135705</v>
          </cell>
          <cell r="G109" t="str">
            <v>01</v>
          </cell>
          <cell r="H109">
            <v>154697</v>
          </cell>
          <cell r="I109">
            <v>24804.04</v>
          </cell>
          <cell r="J109">
            <v>0</v>
          </cell>
          <cell r="K109">
            <v>1.66</v>
          </cell>
          <cell r="L109" t="str">
            <v>23</v>
          </cell>
          <cell r="M109" t="str">
            <v>50402</v>
          </cell>
          <cell r="N109" t="str">
            <v>15 3410160</v>
          </cell>
          <cell r="O109" t="str">
            <v>075</v>
          </cell>
          <cell r="P109">
            <v>0.37</v>
          </cell>
          <cell r="Q109">
            <v>0</v>
          </cell>
          <cell r="R109" t="str">
            <v>1</v>
          </cell>
          <cell r="S109" t="str">
            <v>50</v>
          </cell>
          <cell r="T109">
            <v>91</v>
          </cell>
          <cell r="U109">
            <v>12</v>
          </cell>
          <cell r="V109">
            <v>92</v>
          </cell>
          <cell r="W109">
            <v>12</v>
          </cell>
          <cell r="X109">
            <v>92</v>
          </cell>
          <cell r="AF109" t="str">
            <v>00</v>
          </cell>
          <cell r="AI109">
            <v>93333333</v>
          </cell>
          <cell r="AJ109">
            <v>42700466.520000003</v>
          </cell>
        </row>
        <row r="110">
          <cell r="A110" t="str">
            <v>02</v>
          </cell>
          <cell r="B110" t="str">
            <v>15</v>
          </cell>
          <cell r="C110" t="str">
            <v>1267</v>
          </cell>
          <cell r="D110" t="str">
            <v>Сварочное оборудован</v>
          </cell>
          <cell r="E110" t="str">
            <v>ие БАРС</v>
          </cell>
          <cell r="F110" t="str">
            <v>23</v>
          </cell>
          <cell r="G110" t="str">
            <v>01</v>
          </cell>
          <cell r="H110">
            <v>38000</v>
          </cell>
          <cell r="I110">
            <v>9500</v>
          </cell>
          <cell r="J110">
            <v>0</v>
          </cell>
          <cell r="K110">
            <v>1</v>
          </cell>
          <cell r="L110" t="str">
            <v>88/2</v>
          </cell>
          <cell r="M110" t="str">
            <v>42504</v>
          </cell>
          <cell r="N110" t="str">
            <v>14 2947193</v>
          </cell>
          <cell r="O110" t="str">
            <v>067</v>
          </cell>
          <cell r="P110">
            <v>12.5</v>
          </cell>
          <cell r="Q110">
            <v>0</v>
          </cell>
          <cell r="R110" t="str">
            <v>1</v>
          </cell>
          <cell r="S110" t="str">
            <v>42</v>
          </cell>
          <cell r="T110">
            <v>92</v>
          </cell>
          <cell r="U110">
            <v>12</v>
          </cell>
          <cell r="V110">
            <v>92</v>
          </cell>
          <cell r="W110">
            <v>12</v>
          </cell>
          <cell r="X110">
            <v>92</v>
          </cell>
          <cell r="AB110" t="str">
            <v>14</v>
          </cell>
          <cell r="AC110">
            <v>10</v>
          </cell>
          <cell r="AF110" t="str">
            <v>00</v>
          </cell>
          <cell r="AG110">
            <v>37890000</v>
          </cell>
          <cell r="AI110">
            <v>37890000</v>
          </cell>
          <cell r="AJ110">
            <v>23681250</v>
          </cell>
        </row>
        <row r="111">
          <cell r="A111" t="str">
            <v>02</v>
          </cell>
          <cell r="B111" t="str">
            <v>11</v>
          </cell>
          <cell r="C111" t="str">
            <v>1270</v>
          </cell>
          <cell r="D111" t="str">
            <v>Подьездная а/дорога</v>
          </cell>
          <cell r="E111" t="str">
            <v>к РБУ</v>
          </cell>
          <cell r="G111" t="str">
            <v>01</v>
          </cell>
          <cell r="H111">
            <v>1298400</v>
          </cell>
          <cell r="I111">
            <v>83097.600000000006</v>
          </cell>
          <cell r="J111">
            <v>0</v>
          </cell>
          <cell r="K111">
            <v>1.02</v>
          </cell>
          <cell r="L111" t="str">
            <v>20</v>
          </cell>
          <cell r="M111" t="str">
            <v>20223</v>
          </cell>
          <cell r="N111" t="str">
            <v>12 4526372</v>
          </cell>
          <cell r="O111" t="str">
            <v>03</v>
          </cell>
          <cell r="P111">
            <v>3.2</v>
          </cell>
          <cell r="Q111">
            <v>0</v>
          </cell>
          <cell r="R111" t="str">
            <v>1</v>
          </cell>
          <cell r="S111" t="str">
            <v>20</v>
          </cell>
          <cell r="T111">
            <v>92</v>
          </cell>
          <cell r="U111">
            <v>12</v>
          </cell>
          <cell r="V111">
            <v>92</v>
          </cell>
          <cell r="W111">
            <v>12</v>
          </cell>
          <cell r="X111">
            <v>92</v>
          </cell>
          <cell r="AB111" t="str">
            <v>14</v>
          </cell>
          <cell r="AC111">
            <v>9</v>
          </cell>
          <cell r="AD111" t="str">
            <v>2</v>
          </cell>
          <cell r="AF111" t="str">
            <v>00</v>
          </cell>
          <cell r="AG111">
            <v>1273560000</v>
          </cell>
          <cell r="AI111">
            <v>1273560000</v>
          </cell>
          <cell r="AJ111">
            <v>203769600</v>
          </cell>
        </row>
        <row r="112">
          <cell r="A112" t="str">
            <v>02</v>
          </cell>
          <cell r="B112" t="str">
            <v>05</v>
          </cell>
          <cell r="C112" t="str">
            <v>1271</v>
          </cell>
          <cell r="D112" t="str">
            <v>Теплоход Москва</v>
          </cell>
          <cell r="G112" t="str">
            <v>01</v>
          </cell>
          <cell r="H112">
            <v>540000</v>
          </cell>
          <cell r="I112">
            <v>24840</v>
          </cell>
          <cell r="J112">
            <v>0</v>
          </cell>
          <cell r="K112">
            <v>0.3</v>
          </cell>
          <cell r="L112" t="str">
            <v>20</v>
          </cell>
          <cell r="M112" t="str">
            <v>50212</v>
          </cell>
          <cell r="N112" t="str">
            <v>15 3511201</v>
          </cell>
          <cell r="O112" t="str">
            <v>075</v>
          </cell>
          <cell r="P112">
            <v>2.2999999999999998</v>
          </cell>
          <cell r="Q112">
            <v>0</v>
          </cell>
          <cell r="R112" t="str">
            <v>1</v>
          </cell>
          <cell r="S112" t="str">
            <v>50</v>
          </cell>
          <cell r="T112">
            <v>74</v>
          </cell>
          <cell r="U112">
            <v>12</v>
          </cell>
          <cell r="V112">
            <v>92</v>
          </cell>
          <cell r="W112">
            <v>12</v>
          </cell>
          <cell r="X112">
            <v>92</v>
          </cell>
          <cell r="AF112" t="str">
            <v>00</v>
          </cell>
          <cell r="AI112">
            <v>1787199461</v>
          </cell>
          <cell r="AJ112">
            <v>205527937.81</v>
          </cell>
        </row>
        <row r="113">
          <cell r="A113" t="str">
            <v>02</v>
          </cell>
          <cell r="B113" t="str">
            <v>02</v>
          </cell>
          <cell r="C113" t="str">
            <v>1273</v>
          </cell>
          <cell r="D113" t="str">
            <v>Эксковатор 4224</v>
          </cell>
          <cell r="E113" t="str">
            <v>дв АО1М 145948</v>
          </cell>
          <cell r="F113" t="str">
            <v>3292</v>
          </cell>
          <cell r="G113" t="str">
            <v>01</v>
          </cell>
          <cell r="H113">
            <v>390000</v>
          </cell>
          <cell r="I113">
            <v>70980</v>
          </cell>
          <cell r="J113">
            <v>0</v>
          </cell>
          <cell r="K113">
            <v>1.21</v>
          </cell>
          <cell r="L113" t="str">
            <v>20</v>
          </cell>
          <cell r="M113" t="str">
            <v>41803</v>
          </cell>
          <cell r="N113" t="str">
            <v>14 2924331</v>
          </cell>
          <cell r="O113" t="str">
            <v>064</v>
          </cell>
          <cell r="P113">
            <v>9.1</v>
          </cell>
          <cell r="Q113">
            <v>0</v>
          </cell>
          <cell r="R113" t="str">
            <v>1</v>
          </cell>
          <cell r="S113" t="str">
            <v>41</v>
          </cell>
          <cell r="T113">
            <v>92</v>
          </cell>
          <cell r="U113">
            <v>12</v>
          </cell>
          <cell r="V113">
            <v>92</v>
          </cell>
          <cell r="W113">
            <v>12</v>
          </cell>
          <cell r="X113">
            <v>92</v>
          </cell>
          <cell r="AB113" t="str">
            <v>14</v>
          </cell>
          <cell r="AC113">
            <v>12</v>
          </cell>
          <cell r="AF113" t="str">
            <v>00</v>
          </cell>
          <cell r="AI113">
            <v>322370370</v>
          </cell>
          <cell r="AJ113">
            <v>146678518.28999999</v>
          </cell>
        </row>
        <row r="114">
          <cell r="A114" t="str">
            <v>02</v>
          </cell>
          <cell r="B114" t="str">
            <v>02</v>
          </cell>
          <cell r="C114" t="str">
            <v>1274</v>
          </cell>
          <cell r="D114" t="str">
            <v>Эасковатор 4224</v>
          </cell>
          <cell r="E114" t="str">
            <v>А-О1М 145948</v>
          </cell>
          <cell r="F114" t="str">
            <v>3292</v>
          </cell>
          <cell r="G114" t="str">
            <v>01</v>
          </cell>
          <cell r="H114">
            <v>390000</v>
          </cell>
          <cell r="I114">
            <v>70980</v>
          </cell>
          <cell r="J114">
            <v>0</v>
          </cell>
          <cell r="K114">
            <v>1.21</v>
          </cell>
          <cell r="L114" t="str">
            <v>20</v>
          </cell>
          <cell r="M114" t="str">
            <v>41803</v>
          </cell>
          <cell r="N114" t="str">
            <v>14 2924331</v>
          </cell>
          <cell r="O114" t="str">
            <v>064</v>
          </cell>
          <cell r="P114">
            <v>9.1</v>
          </cell>
          <cell r="Q114">
            <v>0</v>
          </cell>
          <cell r="R114" t="str">
            <v>1</v>
          </cell>
          <cell r="S114" t="str">
            <v>41</v>
          </cell>
          <cell r="T114">
            <v>92</v>
          </cell>
          <cell r="U114">
            <v>12</v>
          </cell>
          <cell r="V114">
            <v>92</v>
          </cell>
          <cell r="W114">
            <v>12</v>
          </cell>
          <cell r="X114">
            <v>92</v>
          </cell>
          <cell r="AB114" t="str">
            <v>14</v>
          </cell>
          <cell r="AC114">
            <v>12</v>
          </cell>
          <cell r="AF114" t="str">
            <v>00</v>
          </cell>
          <cell r="AI114">
            <v>322370370</v>
          </cell>
          <cell r="AJ114">
            <v>146678518.28999999</v>
          </cell>
        </row>
        <row r="115">
          <cell r="A115" t="str">
            <v>02</v>
          </cell>
          <cell r="B115" t="str">
            <v>80</v>
          </cell>
          <cell r="C115" t="str">
            <v>1275</v>
          </cell>
          <cell r="D115" t="str">
            <v>Компьютер 1ВМ-РС Ат</v>
          </cell>
          <cell r="E115" t="str">
            <v>40Мгц 120Мв</v>
          </cell>
          <cell r="G115" t="str">
            <v>01</v>
          </cell>
          <cell r="H115">
            <v>2800</v>
          </cell>
          <cell r="I115">
            <v>560</v>
          </cell>
          <cell r="J115">
            <v>0</v>
          </cell>
          <cell r="K115">
            <v>0.04</v>
          </cell>
          <cell r="L115" t="str">
            <v>26</v>
          </cell>
          <cell r="M115" t="str">
            <v>48008</v>
          </cell>
          <cell r="N115" t="str">
            <v>14 3020203</v>
          </cell>
          <cell r="O115" t="str">
            <v>063</v>
          </cell>
          <cell r="P115">
            <v>10</v>
          </cell>
          <cell r="Q115">
            <v>0</v>
          </cell>
          <cell r="R115" t="str">
            <v>1</v>
          </cell>
          <cell r="S115" t="str">
            <v>48</v>
          </cell>
          <cell r="T115">
            <v>92</v>
          </cell>
          <cell r="U115">
            <v>12</v>
          </cell>
          <cell r="V115">
            <v>92</v>
          </cell>
          <cell r="W115">
            <v>12</v>
          </cell>
          <cell r="X115">
            <v>92</v>
          </cell>
          <cell r="AF115" t="str">
            <v>00</v>
          </cell>
          <cell r="AI115">
            <v>62272500</v>
          </cell>
          <cell r="AJ115">
            <v>31136250</v>
          </cell>
        </row>
        <row r="116">
          <cell r="A116" t="str">
            <v>02</v>
          </cell>
          <cell r="B116" t="str">
            <v>23</v>
          </cell>
          <cell r="C116" t="str">
            <v>1276</v>
          </cell>
          <cell r="D116" t="str">
            <v>Компьютер 1ВМРСАТ1МГ</v>
          </cell>
          <cell r="E116" t="str">
            <v>у 120 РС с принтером</v>
          </cell>
          <cell r="F116" t="str">
            <v>EPSON в к-те с кабел</v>
          </cell>
          <cell r="G116" t="str">
            <v>01</v>
          </cell>
          <cell r="H116">
            <v>5468.9</v>
          </cell>
          <cell r="I116">
            <v>760</v>
          </cell>
          <cell r="J116">
            <v>0</v>
          </cell>
          <cell r="K116">
            <v>0.06</v>
          </cell>
          <cell r="L116" t="str">
            <v>23</v>
          </cell>
          <cell r="M116" t="str">
            <v>48008</v>
          </cell>
          <cell r="N116" t="str">
            <v>22 0000000</v>
          </cell>
          <cell r="O116" t="str">
            <v>063</v>
          </cell>
          <cell r="P116">
            <v>10</v>
          </cell>
          <cell r="Q116">
            <v>0</v>
          </cell>
          <cell r="R116" t="str">
            <v>1</v>
          </cell>
          <cell r="S116" t="str">
            <v>48</v>
          </cell>
          <cell r="T116">
            <v>92</v>
          </cell>
          <cell r="U116">
            <v>12</v>
          </cell>
          <cell r="V116">
            <v>92</v>
          </cell>
          <cell r="W116">
            <v>12</v>
          </cell>
          <cell r="X116">
            <v>92</v>
          </cell>
          <cell r="AB116" t="str">
            <v>14</v>
          </cell>
          <cell r="AC116">
            <v>5</v>
          </cell>
          <cell r="AF116" t="str">
            <v>00</v>
          </cell>
          <cell r="AI116">
            <v>62272500</v>
          </cell>
          <cell r="AJ116">
            <v>31136250</v>
          </cell>
        </row>
        <row r="117">
          <cell r="A117" t="str">
            <v>02</v>
          </cell>
          <cell r="B117" t="str">
            <v>80</v>
          </cell>
          <cell r="C117" t="str">
            <v>1277</v>
          </cell>
          <cell r="D117" t="str">
            <v>Копировальный аппара</v>
          </cell>
          <cell r="E117" t="str">
            <v>т</v>
          </cell>
          <cell r="G117" t="str">
            <v>01</v>
          </cell>
          <cell r="H117">
            <v>3185</v>
          </cell>
          <cell r="I117">
            <v>796.25</v>
          </cell>
          <cell r="J117">
            <v>0</v>
          </cell>
          <cell r="K117">
            <v>0.19</v>
          </cell>
          <cell r="L117" t="str">
            <v>26</v>
          </cell>
          <cell r="M117" t="str">
            <v>44804</v>
          </cell>
          <cell r="N117" t="str">
            <v>14 3010210</v>
          </cell>
          <cell r="O117" t="str">
            <v>063</v>
          </cell>
          <cell r="P117">
            <v>12.5</v>
          </cell>
          <cell r="Q117">
            <v>0</v>
          </cell>
          <cell r="R117" t="str">
            <v>1</v>
          </cell>
          <cell r="S117" t="str">
            <v>48</v>
          </cell>
          <cell r="T117">
            <v>92</v>
          </cell>
          <cell r="U117">
            <v>12</v>
          </cell>
          <cell r="V117">
            <v>92</v>
          </cell>
          <cell r="W117">
            <v>12</v>
          </cell>
          <cell r="X117">
            <v>92</v>
          </cell>
          <cell r="AF117" t="str">
            <v>00</v>
          </cell>
          <cell r="AI117">
            <v>16606000</v>
          </cell>
          <cell r="AJ117">
            <v>8303000</v>
          </cell>
        </row>
        <row r="118">
          <cell r="A118" t="str">
            <v>02</v>
          </cell>
          <cell r="B118" t="str">
            <v>23</v>
          </cell>
          <cell r="C118" t="str">
            <v>1278</v>
          </cell>
          <cell r="D118" t="str">
            <v>А/м ТОЙОТА микроавто</v>
          </cell>
          <cell r="E118" t="str">
            <v>бус пассажир.N12-53</v>
          </cell>
          <cell r="F118" t="str">
            <v>КШШ дв0343209 ш00112</v>
          </cell>
          <cell r="G118" t="str">
            <v>01</v>
          </cell>
          <cell r="H118">
            <v>135018.25</v>
          </cell>
          <cell r="I118">
            <v>38615.22</v>
          </cell>
          <cell r="J118">
            <v>0</v>
          </cell>
          <cell r="K118">
            <v>1.31</v>
          </cell>
          <cell r="L118" t="str">
            <v>26</v>
          </cell>
          <cell r="M118" t="str">
            <v>50420</v>
          </cell>
          <cell r="N118" t="str">
            <v>15 3410250</v>
          </cell>
          <cell r="O118" t="str">
            <v>072</v>
          </cell>
          <cell r="P118">
            <v>14.3</v>
          </cell>
          <cell r="Q118">
            <v>0</v>
          </cell>
          <cell r="R118" t="str">
            <v>1</v>
          </cell>
          <cell r="S118" t="str">
            <v>50</v>
          </cell>
          <cell r="T118">
            <v>92</v>
          </cell>
          <cell r="U118">
            <v>12</v>
          </cell>
          <cell r="V118">
            <v>92</v>
          </cell>
          <cell r="W118">
            <v>12</v>
          </cell>
          <cell r="X118">
            <v>92</v>
          </cell>
          <cell r="AF118" t="str">
            <v>00</v>
          </cell>
          <cell r="AI118">
            <v>103067366</v>
          </cell>
          <cell r="AJ118">
            <v>73693166.689999998</v>
          </cell>
        </row>
        <row r="119">
          <cell r="A119" t="str">
            <v>02</v>
          </cell>
          <cell r="B119" t="str">
            <v>04</v>
          </cell>
          <cell r="C119" t="str">
            <v>1279</v>
          </cell>
          <cell r="D119" t="str">
            <v>Бензонасос</v>
          </cell>
          <cell r="F119" t="str">
            <v>1771</v>
          </cell>
          <cell r="G119" t="str">
            <v>01</v>
          </cell>
          <cell r="H119">
            <v>2326.3200000000002</v>
          </cell>
          <cell r="I119">
            <v>581.58000000000004</v>
          </cell>
          <cell r="J119">
            <v>0</v>
          </cell>
          <cell r="K119">
            <v>1.06</v>
          </cell>
          <cell r="L119" t="str">
            <v>23</v>
          </cell>
          <cell r="M119" t="str">
            <v>41502</v>
          </cell>
          <cell r="N119" t="str">
            <v>14 2912102</v>
          </cell>
          <cell r="O119" t="str">
            <v>064</v>
          </cell>
          <cell r="P119">
            <v>12.5</v>
          </cell>
          <cell r="Q119">
            <v>0</v>
          </cell>
          <cell r="R119" t="str">
            <v>1</v>
          </cell>
          <cell r="S119" t="str">
            <v>41</v>
          </cell>
          <cell r="T119">
            <v>91</v>
          </cell>
          <cell r="U119">
            <v>12</v>
          </cell>
          <cell r="V119">
            <v>92</v>
          </cell>
          <cell r="W119">
            <v>12</v>
          </cell>
          <cell r="X119">
            <v>92</v>
          </cell>
          <cell r="AB119" t="str">
            <v>14</v>
          </cell>
          <cell r="AC119">
            <v>2</v>
          </cell>
          <cell r="AF119" t="str">
            <v>00</v>
          </cell>
          <cell r="AI119">
            <v>2194637</v>
          </cell>
          <cell r="AJ119">
            <v>1371648.04</v>
          </cell>
        </row>
        <row r="120">
          <cell r="A120" t="str">
            <v>02</v>
          </cell>
          <cell r="B120" t="str">
            <v>11</v>
          </cell>
          <cell r="C120" t="str">
            <v>1280</v>
          </cell>
          <cell r="D120" t="str">
            <v>Бетоносмесительная</v>
          </cell>
          <cell r="E120" t="str">
            <v>установка СП</v>
          </cell>
          <cell r="F120" t="str">
            <v>0654376</v>
          </cell>
          <cell r="G120" t="str">
            <v>01</v>
          </cell>
          <cell r="H120">
            <v>161812.73000000001</v>
          </cell>
          <cell r="I120">
            <v>54045.45</v>
          </cell>
          <cell r="J120">
            <v>0</v>
          </cell>
          <cell r="K120">
            <v>1.61</v>
          </cell>
          <cell r="L120" t="str">
            <v>20</v>
          </cell>
          <cell r="M120" t="str">
            <v>42003</v>
          </cell>
          <cell r="N120" t="str">
            <v>14 2924633</v>
          </cell>
          <cell r="O120" t="str">
            <v>067</v>
          </cell>
          <cell r="P120">
            <v>16.7</v>
          </cell>
          <cell r="Q120">
            <v>0</v>
          </cell>
          <cell r="R120" t="str">
            <v>1</v>
          </cell>
          <cell r="S120" t="str">
            <v>42</v>
          </cell>
          <cell r="T120">
            <v>92</v>
          </cell>
          <cell r="U120">
            <v>12</v>
          </cell>
          <cell r="V120">
            <v>92</v>
          </cell>
          <cell r="W120">
            <v>12</v>
          </cell>
          <cell r="X120">
            <v>92</v>
          </cell>
          <cell r="AB120" t="str">
            <v>14</v>
          </cell>
          <cell r="AC120">
            <v>9</v>
          </cell>
          <cell r="AD120" t="str">
            <v>2</v>
          </cell>
          <cell r="AF120" t="str">
            <v>00</v>
          </cell>
          <cell r="AG120">
            <v>100504800</v>
          </cell>
          <cell r="AI120">
            <v>100504800</v>
          </cell>
          <cell r="AJ120">
            <v>83921507.799999997</v>
          </cell>
        </row>
        <row r="121">
          <cell r="A121" t="str">
            <v>02</v>
          </cell>
          <cell r="B121" t="str">
            <v>71</v>
          </cell>
          <cell r="C121" t="str">
            <v>1281</v>
          </cell>
          <cell r="D121" t="str">
            <v>Автопогрузчик</v>
          </cell>
          <cell r="F121" t="str">
            <v>28341</v>
          </cell>
          <cell r="G121" t="str">
            <v>01</v>
          </cell>
          <cell r="H121">
            <v>60888.800000000003</v>
          </cell>
          <cell r="I121">
            <v>12177.76</v>
          </cell>
          <cell r="J121">
            <v>0</v>
          </cell>
          <cell r="K121">
            <v>0.81</v>
          </cell>
          <cell r="L121" t="str">
            <v>23</v>
          </cell>
          <cell r="M121" t="str">
            <v>41720</v>
          </cell>
          <cell r="N121" t="str">
            <v>14 2915541</v>
          </cell>
          <cell r="O121" t="str">
            <v>067</v>
          </cell>
          <cell r="P121">
            <v>10</v>
          </cell>
          <cell r="Q121">
            <v>0</v>
          </cell>
          <cell r="R121" t="str">
            <v>1</v>
          </cell>
          <cell r="S121" t="str">
            <v>41</v>
          </cell>
          <cell r="T121">
            <v>92</v>
          </cell>
          <cell r="U121">
            <v>12</v>
          </cell>
          <cell r="V121">
            <v>92</v>
          </cell>
          <cell r="W121">
            <v>12</v>
          </cell>
          <cell r="X121">
            <v>92</v>
          </cell>
          <cell r="AF121" t="str">
            <v>00</v>
          </cell>
          <cell r="AI121">
            <v>75411000</v>
          </cell>
          <cell r="AJ121">
            <v>37705500</v>
          </cell>
        </row>
        <row r="122">
          <cell r="A122" t="str">
            <v>02</v>
          </cell>
          <cell r="B122" t="str">
            <v>23</v>
          </cell>
          <cell r="C122" t="str">
            <v>1282</v>
          </cell>
          <cell r="D122" t="str">
            <v>А/м УАЗ-3303 груз.</v>
          </cell>
          <cell r="E122" t="str">
            <v>фургон Nо В 886 ОВ</v>
          </cell>
          <cell r="F122" t="str">
            <v>дв50207055 ш077150</v>
          </cell>
          <cell r="G122" t="str">
            <v>01</v>
          </cell>
          <cell r="H122">
            <v>30000</v>
          </cell>
          <cell r="I122">
            <v>8580</v>
          </cell>
          <cell r="J122">
            <v>0</v>
          </cell>
          <cell r="K122">
            <v>0.54</v>
          </cell>
          <cell r="L122" t="str">
            <v>23</v>
          </cell>
          <cell r="M122" t="str">
            <v>50427</v>
          </cell>
          <cell r="N122" t="str">
            <v>15 3410349</v>
          </cell>
          <cell r="O122" t="str">
            <v>073</v>
          </cell>
          <cell r="P122">
            <v>14.3</v>
          </cell>
          <cell r="Q122">
            <v>0</v>
          </cell>
          <cell r="R122" t="str">
            <v>1</v>
          </cell>
          <cell r="S122" t="str">
            <v>50</v>
          </cell>
          <cell r="T122">
            <v>91</v>
          </cell>
          <cell r="U122">
            <v>12</v>
          </cell>
          <cell r="V122">
            <v>92</v>
          </cell>
          <cell r="W122">
            <v>12</v>
          </cell>
          <cell r="X122">
            <v>92</v>
          </cell>
          <cell r="AF122" t="str">
            <v>00</v>
          </cell>
          <cell r="AI122">
            <v>55308642</v>
          </cell>
          <cell r="AJ122">
            <v>39545679.009999998</v>
          </cell>
        </row>
        <row r="123">
          <cell r="A123" t="str">
            <v>02</v>
          </cell>
          <cell r="B123" t="str">
            <v>70</v>
          </cell>
          <cell r="C123" t="str">
            <v>1284</v>
          </cell>
          <cell r="D123" t="str">
            <v>Машина безогневой ре</v>
          </cell>
          <cell r="E123" t="str">
            <v>зки труб МБРТ 820 с</v>
          </cell>
          <cell r="F123" t="str">
            <v>34</v>
          </cell>
          <cell r="G123" t="str">
            <v>01</v>
          </cell>
          <cell r="H123">
            <v>40000</v>
          </cell>
          <cell r="I123">
            <v>10000</v>
          </cell>
          <cell r="J123">
            <v>0</v>
          </cell>
          <cell r="K123">
            <v>0.39</v>
          </cell>
          <cell r="L123" t="str">
            <v>20</v>
          </cell>
          <cell r="M123" t="str">
            <v>42504</v>
          </cell>
          <cell r="N123" t="str">
            <v>14 2922790</v>
          </cell>
          <cell r="O123" t="str">
            <v>067</v>
          </cell>
          <cell r="P123">
            <v>12.5</v>
          </cell>
          <cell r="Q123">
            <v>0</v>
          </cell>
          <cell r="R123" t="str">
            <v>1</v>
          </cell>
          <cell r="S123" t="str">
            <v>42</v>
          </cell>
          <cell r="T123">
            <v>90</v>
          </cell>
          <cell r="U123">
            <v>12</v>
          </cell>
          <cell r="V123">
            <v>92</v>
          </cell>
          <cell r="W123">
            <v>12</v>
          </cell>
          <cell r="X123">
            <v>92</v>
          </cell>
          <cell r="AB123" t="str">
            <v>14</v>
          </cell>
          <cell r="AC123">
            <v>12</v>
          </cell>
          <cell r="AF123" t="str">
            <v>00</v>
          </cell>
          <cell r="AI123">
            <v>103813243</v>
          </cell>
          <cell r="AJ123">
            <v>64883277.130000003</v>
          </cell>
        </row>
        <row r="124">
          <cell r="A124" t="str">
            <v>02</v>
          </cell>
          <cell r="B124" t="str">
            <v>41</v>
          </cell>
          <cell r="C124" t="str">
            <v>1285</v>
          </cell>
          <cell r="D124" t="str">
            <v>Рентскап аппарат</v>
          </cell>
          <cell r="G124" t="str">
            <v>01</v>
          </cell>
          <cell r="H124">
            <v>2842.67</v>
          </cell>
          <cell r="I124">
            <v>591.28</v>
          </cell>
          <cell r="J124">
            <v>0</v>
          </cell>
          <cell r="K124">
            <v>1.21</v>
          </cell>
          <cell r="L124" t="str">
            <v>20</v>
          </cell>
          <cell r="M124" t="str">
            <v>47024</v>
          </cell>
          <cell r="N124" t="str">
            <v>14 3322302</v>
          </cell>
          <cell r="O124" t="str">
            <v>063</v>
          </cell>
          <cell r="P124">
            <v>10.4</v>
          </cell>
          <cell r="Q124">
            <v>0</v>
          </cell>
          <cell r="R124" t="str">
            <v>1</v>
          </cell>
          <cell r="S124" t="str">
            <v>47</v>
          </cell>
          <cell r="T124">
            <v>92</v>
          </cell>
          <cell r="U124">
            <v>12</v>
          </cell>
          <cell r="V124">
            <v>92</v>
          </cell>
          <cell r="W124">
            <v>12</v>
          </cell>
          <cell r="X124">
            <v>92</v>
          </cell>
          <cell r="AF124" t="str">
            <v>00</v>
          </cell>
          <cell r="AI124">
            <v>2349312</v>
          </cell>
          <cell r="AJ124">
            <v>1221642.3400000001</v>
          </cell>
        </row>
        <row r="125">
          <cell r="A125" t="str">
            <v>02</v>
          </cell>
          <cell r="B125" t="str">
            <v>23</v>
          </cell>
          <cell r="C125" t="str">
            <v>1288</v>
          </cell>
          <cell r="D125" t="str">
            <v>А/мГАЗ-5312 груз.фур</v>
          </cell>
          <cell r="E125" t="str">
            <v>гон Nо 48-05 КШЧ</v>
          </cell>
          <cell r="F125" t="str">
            <v>дв0155708 ш1401588</v>
          </cell>
          <cell r="G125" t="str">
            <v>01</v>
          </cell>
          <cell r="H125">
            <v>27233</v>
          </cell>
          <cell r="I125">
            <v>5194.6899999999996</v>
          </cell>
          <cell r="J125">
            <v>0</v>
          </cell>
          <cell r="K125">
            <v>0.49</v>
          </cell>
          <cell r="L125" t="str">
            <v>23</v>
          </cell>
          <cell r="M125" t="str">
            <v>50402</v>
          </cell>
          <cell r="N125" t="str">
            <v>15 3410349</v>
          </cell>
          <cell r="O125" t="str">
            <v>075</v>
          </cell>
          <cell r="P125">
            <v>0.37</v>
          </cell>
          <cell r="Q125">
            <v>0</v>
          </cell>
          <cell r="R125" t="str">
            <v>1</v>
          </cell>
          <cell r="S125" t="str">
            <v>50</v>
          </cell>
          <cell r="T125">
            <v>92</v>
          </cell>
          <cell r="U125">
            <v>12</v>
          </cell>
          <cell r="V125">
            <v>92</v>
          </cell>
          <cell r="W125">
            <v>12</v>
          </cell>
          <cell r="X125">
            <v>92</v>
          </cell>
          <cell r="AF125" t="str">
            <v>00</v>
          </cell>
          <cell r="AI125">
            <v>55308642</v>
          </cell>
          <cell r="AJ125">
            <v>32672728.510000002</v>
          </cell>
        </row>
        <row r="126">
          <cell r="A126" t="str">
            <v>02</v>
          </cell>
          <cell r="B126" t="str">
            <v>23</v>
          </cell>
          <cell r="C126" t="str">
            <v>1289</v>
          </cell>
          <cell r="D126" t="str">
            <v>А/м КАМАЗ-5320 груз.</v>
          </cell>
          <cell r="E126" t="str">
            <v>борт.Nо В646ХО</v>
          </cell>
          <cell r="F126" t="str">
            <v>дв0017816ш1028619</v>
          </cell>
          <cell r="G126" t="str">
            <v>01</v>
          </cell>
          <cell r="H126">
            <v>85050</v>
          </cell>
          <cell r="I126">
            <v>15632.92</v>
          </cell>
          <cell r="J126">
            <v>0</v>
          </cell>
          <cell r="K126">
            <v>0.72</v>
          </cell>
          <cell r="L126" t="str">
            <v>23</v>
          </cell>
          <cell r="M126" t="str">
            <v>50402</v>
          </cell>
          <cell r="N126" t="str">
            <v>15 3410196</v>
          </cell>
          <cell r="O126" t="str">
            <v>075</v>
          </cell>
          <cell r="P126">
            <v>0.37</v>
          </cell>
          <cell r="Q126">
            <v>0</v>
          </cell>
          <cell r="R126" t="str">
            <v>1</v>
          </cell>
          <cell r="S126" t="str">
            <v>50</v>
          </cell>
          <cell r="T126">
            <v>92</v>
          </cell>
          <cell r="U126">
            <v>12</v>
          </cell>
          <cell r="V126">
            <v>92</v>
          </cell>
          <cell r="W126">
            <v>12</v>
          </cell>
          <cell r="X126">
            <v>92</v>
          </cell>
          <cell r="AF126" t="str">
            <v>00</v>
          </cell>
          <cell r="AI126">
            <v>117530864</v>
          </cell>
          <cell r="AJ126">
            <v>83627863.959999993</v>
          </cell>
        </row>
        <row r="127">
          <cell r="A127" t="str">
            <v>02</v>
          </cell>
          <cell r="B127" t="str">
            <v>23</v>
          </cell>
          <cell r="C127" t="str">
            <v>1291</v>
          </cell>
          <cell r="D127" t="str">
            <v>Волгарь ГАЗ-5312 ав-</v>
          </cell>
          <cell r="E127" t="str">
            <v>тобус Nо48-04 КШЧ</v>
          </cell>
          <cell r="F127" t="str">
            <v>д0155942 ш1401427</v>
          </cell>
          <cell r="G127" t="str">
            <v>01</v>
          </cell>
          <cell r="H127">
            <v>59325</v>
          </cell>
          <cell r="I127">
            <v>11865</v>
          </cell>
          <cell r="J127">
            <v>0</v>
          </cell>
          <cell r="K127">
            <v>1.07</v>
          </cell>
          <cell r="L127" t="str">
            <v>23</v>
          </cell>
          <cell r="M127" t="str">
            <v>50423</v>
          </cell>
          <cell r="N127" t="str">
            <v>15 3410260</v>
          </cell>
          <cell r="O127" t="str">
            <v>072</v>
          </cell>
          <cell r="P127">
            <v>10</v>
          </cell>
          <cell r="Q127">
            <v>0</v>
          </cell>
          <cell r="R127" t="str">
            <v>1</v>
          </cell>
          <cell r="S127" t="str">
            <v>50</v>
          </cell>
          <cell r="T127">
            <v>92</v>
          </cell>
          <cell r="U127">
            <v>12</v>
          </cell>
          <cell r="V127">
            <v>92</v>
          </cell>
          <cell r="W127">
            <v>12</v>
          </cell>
          <cell r="X127">
            <v>92</v>
          </cell>
          <cell r="AF127" t="str">
            <v>00</v>
          </cell>
          <cell r="AI127">
            <v>55308642</v>
          </cell>
          <cell r="AJ127">
            <v>27654321</v>
          </cell>
        </row>
        <row r="128">
          <cell r="A128" t="str">
            <v>02</v>
          </cell>
          <cell r="B128" t="str">
            <v>80</v>
          </cell>
          <cell r="C128" t="str">
            <v>1304</v>
          </cell>
          <cell r="D128" t="str">
            <v>Телетайп</v>
          </cell>
          <cell r="G128" t="str">
            <v>01</v>
          </cell>
          <cell r="H128">
            <v>3894</v>
          </cell>
          <cell r="I128">
            <v>2809.52</v>
          </cell>
          <cell r="J128">
            <v>0</v>
          </cell>
          <cell r="K128">
            <v>0.25</v>
          </cell>
          <cell r="L128" t="str">
            <v>26</v>
          </cell>
          <cell r="M128" t="str">
            <v>60000</v>
          </cell>
          <cell r="N128" t="str">
            <v>14 3222162</v>
          </cell>
          <cell r="O128" t="str">
            <v>08</v>
          </cell>
          <cell r="P128">
            <v>7.4</v>
          </cell>
          <cell r="Q128">
            <v>0</v>
          </cell>
          <cell r="R128" t="str">
            <v>1</v>
          </cell>
          <cell r="S128" t="str">
            <v>60</v>
          </cell>
          <cell r="T128">
            <v>0</v>
          </cell>
          <cell r="U128">
            <v>3</v>
          </cell>
          <cell r="V128">
            <v>85</v>
          </cell>
          <cell r="W128">
            <v>3</v>
          </cell>
          <cell r="X128">
            <v>85</v>
          </cell>
          <cell r="AF128" t="str">
            <v>00</v>
          </cell>
          <cell r="AI128">
            <v>15410380</v>
          </cell>
          <cell r="AJ128">
            <v>14539693.98</v>
          </cell>
        </row>
        <row r="129">
          <cell r="A129" t="str">
            <v>17</v>
          </cell>
          <cell r="B129" t="str">
            <v>82</v>
          </cell>
          <cell r="C129" t="str">
            <v>1309</v>
          </cell>
          <cell r="D129" t="str">
            <v>Холодильный шкаф</v>
          </cell>
          <cell r="G129" t="str">
            <v>01</v>
          </cell>
          <cell r="H129">
            <v>3742</v>
          </cell>
          <cell r="I129">
            <v>3742</v>
          </cell>
          <cell r="J129">
            <v>0</v>
          </cell>
          <cell r="K129">
            <v>0.78</v>
          </cell>
          <cell r="L129" t="str">
            <v>26</v>
          </cell>
          <cell r="M129" t="str">
            <v>45800</v>
          </cell>
          <cell r="N129" t="str">
            <v>16 2930100</v>
          </cell>
          <cell r="O129" t="str">
            <v>063</v>
          </cell>
          <cell r="P129">
            <v>10</v>
          </cell>
          <cell r="Q129">
            <v>0</v>
          </cell>
          <cell r="R129" t="str">
            <v>1</v>
          </cell>
          <cell r="S129" t="str">
            <v>45</v>
          </cell>
          <cell r="T129">
            <v>0</v>
          </cell>
          <cell r="U129">
            <v>2</v>
          </cell>
          <cell r="V129">
            <v>85</v>
          </cell>
          <cell r="W129">
            <v>2</v>
          </cell>
          <cell r="X129">
            <v>85</v>
          </cell>
          <cell r="AF129" t="str">
            <v>17</v>
          </cell>
          <cell r="AI129">
            <v>4769528</v>
          </cell>
          <cell r="AJ129">
            <v>4769528</v>
          </cell>
        </row>
        <row r="130">
          <cell r="A130" t="str">
            <v>02</v>
          </cell>
          <cell r="B130" t="str">
            <v>05</v>
          </cell>
          <cell r="C130" t="str">
            <v>1309/1</v>
          </cell>
          <cell r="D130" t="str">
            <v>Вагон жилой 3 х 9</v>
          </cell>
          <cell r="E130" t="str">
            <v>дерево-мет.</v>
          </cell>
          <cell r="G130" t="str">
            <v>01</v>
          </cell>
          <cell r="H130">
            <v>63142.14</v>
          </cell>
          <cell r="I130">
            <v>42094.79</v>
          </cell>
          <cell r="J130">
            <v>0</v>
          </cell>
          <cell r="K130">
            <v>1.22</v>
          </cell>
          <cell r="L130" t="str">
            <v>20</v>
          </cell>
          <cell r="M130" t="str">
            <v>10010</v>
          </cell>
          <cell r="N130" t="str">
            <v>13 2022231</v>
          </cell>
          <cell r="O130" t="str">
            <v>01</v>
          </cell>
          <cell r="P130">
            <v>12.5</v>
          </cell>
          <cell r="Q130">
            <v>0</v>
          </cell>
          <cell r="R130" t="str">
            <v>1</v>
          </cell>
          <cell r="S130" t="str">
            <v>10</v>
          </cell>
          <cell r="T130">
            <v>0</v>
          </cell>
          <cell r="U130">
            <v>8</v>
          </cell>
          <cell r="V130">
            <v>89</v>
          </cell>
          <cell r="W130">
            <v>8</v>
          </cell>
          <cell r="X130">
            <v>89</v>
          </cell>
          <cell r="AA130" t="str">
            <v>1</v>
          </cell>
          <cell r="AB130" t="str">
            <v>15</v>
          </cell>
          <cell r="AC130">
            <v>6</v>
          </cell>
          <cell r="AF130" t="str">
            <v>00</v>
          </cell>
          <cell r="AI130">
            <v>51947459</v>
          </cell>
          <cell r="AJ130">
            <v>51947459</v>
          </cell>
        </row>
        <row r="131">
          <cell r="A131" t="str">
            <v>15</v>
          </cell>
          <cell r="B131" t="str">
            <v>81</v>
          </cell>
          <cell r="C131" t="str">
            <v>1311</v>
          </cell>
          <cell r="D131" t="str">
            <v>Ин-эктор БИ-3</v>
          </cell>
          <cell r="G131" t="str">
            <v>01</v>
          </cell>
          <cell r="H131">
            <v>5894</v>
          </cell>
          <cell r="I131">
            <v>2554.0700000000002</v>
          </cell>
          <cell r="J131">
            <v>0</v>
          </cell>
          <cell r="K131">
            <v>1.1599999999999999</v>
          </cell>
          <cell r="L131" t="str">
            <v>88/2</v>
          </cell>
          <cell r="M131" t="str">
            <v>46012</v>
          </cell>
          <cell r="N131" t="str">
            <v>14 3311269</v>
          </cell>
          <cell r="O131" t="str">
            <v>067</v>
          </cell>
          <cell r="P131">
            <v>10</v>
          </cell>
          <cell r="Q131">
            <v>0</v>
          </cell>
          <cell r="R131" t="str">
            <v>1</v>
          </cell>
          <cell r="S131" t="str">
            <v>46</v>
          </cell>
          <cell r="T131">
            <v>0</v>
          </cell>
          <cell r="U131">
            <v>8</v>
          </cell>
          <cell r="V131">
            <v>90</v>
          </cell>
          <cell r="W131">
            <v>8</v>
          </cell>
          <cell r="X131">
            <v>90</v>
          </cell>
          <cell r="AF131" t="str">
            <v>15</v>
          </cell>
          <cell r="AI131">
            <v>5070574</v>
          </cell>
          <cell r="AJ131">
            <v>3718420.7</v>
          </cell>
        </row>
        <row r="132">
          <cell r="A132" t="str">
            <v>15</v>
          </cell>
          <cell r="B132" t="str">
            <v>81</v>
          </cell>
          <cell r="C132" t="str">
            <v>1312</v>
          </cell>
          <cell r="D132" t="str">
            <v>Место стоматолога</v>
          </cell>
          <cell r="G132" t="str">
            <v>01</v>
          </cell>
          <cell r="H132">
            <v>19913</v>
          </cell>
          <cell r="I132">
            <v>10786.27</v>
          </cell>
          <cell r="J132">
            <v>0</v>
          </cell>
          <cell r="K132">
            <v>0.76</v>
          </cell>
          <cell r="L132" t="str">
            <v>88/2</v>
          </cell>
          <cell r="M132" t="str">
            <v>46012</v>
          </cell>
          <cell r="N132" t="str">
            <v>14 3311322</v>
          </cell>
          <cell r="O132" t="str">
            <v>067</v>
          </cell>
          <cell r="P132">
            <v>10</v>
          </cell>
          <cell r="Q132">
            <v>0</v>
          </cell>
          <cell r="R132" t="str">
            <v>1</v>
          </cell>
          <cell r="S132" t="str">
            <v>46</v>
          </cell>
          <cell r="T132">
            <v>0</v>
          </cell>
          <cell r="U132">
            <v>7</v>
          </cell>
          <cell r="V132">
            <v>89</v>
          </cell>
          <cell r="W132">
            <v>7</v>
          </cell>
          <cell r="X132">
            <v>89</v>
          </cell>
          <cell r="AF132" t="str">
            <v>15</v>
          </cell>
          <cell r="AI132">
            <v>26242445</v>
          </cell>
          <cell r="AJ132">
            <v>22087468.07</v>
          </cell>
        </row>
        <row r="133">
          <cell r="A133" t="str">
            <v>17</v>
          </cell>
          <cell r="B133" t="str">
            <v>82</v>
          </cell>
          <cell r="C133" t="str">
            <v>1313</v>
          </cell>
          <cell r="D133" t="str">
            <v>Магнитофон "Россия"</v>
          </cell>
          <cell r="G133" t="str">
            <v>01</v>
          </cell>
          <cell r="H133">
            <v>850</v>
          </cell>
          <cell r="I133">
            <v>425</v>
          </cell>
          <cell r="J133">
            <v>0</v>
          </cell>
          <cell r="K133">
            <v>0.28000000000000003</v>
          </cell>
          <cell r="L133" t="str">
            <v>26</v>
          </cell>
          <cell r="M133" t="str">
            <v>45620</v>
          </cell>
          <cell r="N133" t="str">
            <v>14 3230142</v>
          </cell>
          <cell r="O133" t="str">
            <v>067</v>
          </cell>
          <cell r="P133">
            <v>12.5</v>
          </cell>
          <cell r="Q133">
            <v>0</v>
          </cell>
          <cell r="R133" t="str">
            <v>1</v>
          </cell>
          <cell r="S133" t="str">
            <v>45</v>
          </cell>
          <cell r="T133">
            <v>0</v>
          </cell>
          <cell r="U133">
            <v>12</v>
          </cell>
          <cell r="V133">
            <v>90</v>
          </cell>
          <cell r="W133">
            <v>12</v>
          </cell>
          <cell r="X133">
            <v>90</v>
          </cell>
          <cell r="AF133" t="str">
            <v>17</v>
          </cell>
          <cell r="AI133">
            <v>3013959</v>
          </cell>
          <cell r="AJ133">
            <v>2637213.63</v>
          </cell>
        </row>
        <row r="134">
          <cell r="A134" t="str">
            <v>02</v>
          </cell>
          <cell r="B134" t="str">
            <v>05</v>
          </cell>
          <cell r="C134" t="str">
            <v>1583</v>
          </cell>
          <cell r="D134" t="str">
            <v>Трубоукладчик Т-35-6</v>
          </cell>
          <cell r="E134" t="str">
            <v>0</v>
          </cell>
          <cell r="F134" t="str">
            <v>4980  Брянск</v>
          </cell>
          <cell r="G134" t="str">
            <v>01</v>
          </cell>
          <cell r="H134">
            <v>207500</v>
          </cell>
          <cell r="I134">
            <v>46687.55</v>
          </cell>
          <cell r="J134">
            <v>0</v>
          </cell>
          <cell r="K134">
            <v>0.74</v>
          </cell>
          <cell r="L134" t="str">
            <v>20</v>
          </cell>
          <cell r="M134" t="str">
            <v>41723</v>
          </cell>
          <cell r="N134" t="str">
            <v>14 2915246</v>
          </cell>
          <cell r="O134" t="str">
            <v>067</v>
          </cell>
          <cell r="P134">
            <v>10</v>
          </cell>
          <cell r="Q134">
            <v>0</v>
          </cell>
          <cell r="R134" t="str">
            <v>1</v>
          </cell>
          <cell r="S134" t="str">
            <v>41</v>
          </cell>
          <cell r="T134">
            <v>0</v>
          </cell>
          <cell r="U134">
            <v>9</v>
          </cell>
          <cell r="V134">
            <v>92</v>
          </cell>
          <cell r="W134">
            <v>9</v>
          </cell>
          <cell r="X134">
            <v>92</v>
          </cell>
          <cell r="AB134" t="str">
            <v>14</v>
          </cell>
          <cell r="AC134">
            <v>12</v>
          </cell>
          <cell r="AF134" t="str">
            <v>00</v>
          </cell>
          <cell r="AI134">
            <v>280000000</v>
          </cell>
          <cell r="AJ134">
            <v>147000063.11000001</v>
          </cell>
        </row>
        <row r="135">
          <cell r="A135" t="str">
            <v>02</v>
          </cell>
          <cell r="B135" t="str">
            <v>09</v>
          </cell>
          <cell r="C135" t="str">
            <v>1598</v>
          </cell>
          <cell r="D135" t="str">
            <v>Ангар</v>
          </cell>
          <cell r="G135" t="str">
            <v>01</v>
          </cell>
          <cell r="H135">
            <v>60070.25</v>
          </cell>
          <cell r="I135">
            <v>60070.25</v>
          </cell>
          <cell r="J135">
            <v>0</v>
          </cell>
          <cell r="K135">
            <v>1.1499999999999999</v>
          </cell>
          <cell r="L135" t="str">
            <v>88/4</v>
          </cell>
          <cell r="M135" t="str">
            <v>10006</v>
          </cell>
          <cell r="N135" t="str">
            <v>12 2811000</v>
          </cell>
          <cell r="O135" t="str">
            <v>01</v>
          </cell>
          <cell r="P135">
            <v>10</v>
          </cell>
          <cell r="Q135">
            <v>0</v>
          </cell>
          <cell r="R135" t="str">
            <v>1</v>
          </cell>
          <cell r="S135" t="str">
            <v>10</v>
          </cell>
          <cell r="T135">
            <v>88</v>
          </cell>
          <cell r="U135">
            <v>12</v>
          </cell>
          <cell r="V135">
            <v>88</v>
          </cell>
          <cell r="W135">
            <v>12</v>
          </cell>
          <cell r="X135">
            <v>88</v>
          </cell>
          <cell r="AF135" t="str">
            <v>00</v>
          </cell>
          <cell r="AI135">
            <v>52348800</v>
          </cell>
          <cell r="AJ135">
            <v>52348800</v>
          </cell>
        </row>
        <row r="136">
          <cell r="A136" t="str">
            <v>02</v>
          </cell>
          <cell r="B136" t="str">
            <v>05</v>
          </cell>
          <cell r="C136" t="str">
            <v>1973</v>
          </cell>
          <cell r="D136" t="str">
            <v>Трубоукладчик ТГ-124</v>
          </cell>
          <cell r="E136" t="str">
            <v xml:space="preserve"> А</v>
          </cell>
          <cell r="G136" t="str">
            <v>01</v>
          </cell>
          <cell r="H136">
            <v>314280</v>
          </cell>
          <cell r="I136">
            <v>149277.59</v>
          </cell>
          <cell r="J136">
            <v>0</v>
          </cell>
          <cell r="K136">
            <v>1.1599999999999999</v>
          </cell>
          <cell r="L136" t="str">
            <v>20</v>
          </cell>
          <cell r="M136" t="str">
            <v>41723</v>
          </cell>
          <cell r="N136" t="str">
            <v>14 2915246</v>
          </cell>
          <cell r="O136" t="str">
            <v>067</v>
          </cell>
          <cell r="P136">
            <v>10</v>
          </cell>
          <cell r="Q136">
            <v>0</v>
          </cell>
          <cell r="R136" t="str">
            <v>1</v>
          </cell>
          <cell r="S136" t="str">
            <v>41</v>
          </cell>
          <cell r="T136">
            <v>0</v>
          </cell>
          <cell r="U136">
            <v>3</v>
          </cell>
          <cell r="V136">
            <v>90</v>
          </cell>
          <cell r="W136">
            <v>3</v>
          </cell>
          <cell r="X136">
            <v>90</v>
          </cell>
          <cell r="AB136" t="str">
            <v>14</v>
          </cell>
          <cell r="AC136">
            <v>10</v>
          </cell>
          <cell r="AF136" t="str">
            <v>00</v>
          </cell>
          <cell r="AI136">
            <v>271111111</v>
          </cell>
          <cell r="AJ136">
            <v>210106444.58000001</v>
          </cell>
        </row>
        <row r="137">
          <cell r="A137" t="str">
            <v>02</v>
          </cell>
          <cell r="B137" t="str">
            <v>03</v>
          </cell>
          <cell r="C137" t="str">
            <v>2105</v>
          </cell>
          <cell r="D137" t="str">
            <v>Емкость под ГСМ</v>
          </cell>
          <cell r="E137" t="str">
            <v>металлич. КХТ</v>
          </cell>
          <cell r="G137" t="str">
            <v>01</v>
          </cell>
          <cell r="H137">
            <v>8530</v>
          </cell>
          <cell r="I137">
            <v>2746.66</v>
          </cell>
          <cell r="J137">
            <v>0</v>
          </cell>
          <cell r="K137">
            <v>0.38</v>
          </cell>
          <cell r="L137" t="str">
            <v>26</v>
          </cell>
          <cell r="M137" t="str">
            <v>20236</v>
          </cell>
          <cell r="N137" t="str">
            <v>12 2812000</v>
          </cell>
          <cell r="O137" t="str">
            <v>03</v>
          </cell>
          <cell r="P137">
            <v>2.8</v>
          </cell>
          <cell r="Q137">
            <v>0</v>
          </cell>
          <cell r="R137" t="str">
            <v>1</v>
          </cell>
          <cell r="S137" t="str">
            <v>20</v>
          </cell>
          <cell r="T137">
            <v>83</v>
          </cell>
          <cell r="U137">
            <v>6</v>
          </cell>
          <cell r="V137">
            <v>83</v>
          </cell>
          <cell r="W137">
            <v>6</v>
          </cell>
          <cell r="X137">
            <v>83</v>
          </cell>
          <cell r="AF137" t="str">
            <v>00</v>
          </cell>
          <cell r="AI137">
            <v>22735635</v>
          </cell>
          <cell r="AJ137">
            <v>9230667.0299999993</v>
          </cell>
        </row>
        <row r="138">
          <cell r="A138" t="str">
            <v>02</v>
          </cell>
          <cell r="B138" t="str">
            <v>03</v>
          </cell>
          <cell r="C138" t="str">
            <v>2106</v>
          </cell>
          <cell r="D138" t="str">
            <v>Емкость под ГСМ</v>
          </cell>
          <cell r="E138" t="str">
            <v>металлич. КХТ</v>
          </cell>
          <cell r="G138" t="str">
            <v>01</v>
          </cell>
          <cell r="H138">
            <v>8530</v>
          </cell>
          <cell r="I138">
            <v>2746.66</v>
          </cell>
          <cell r="J138">
            <v>0</v>
          </cell>
          <cell r="K138">
            <v>0.38</v>
          </cell>
          <cell r="L138" t="str">
            <v>26</v>
          </cell>
          <cell r="M138" t="str">
            <v>20236</v>
          </cell>
          <cell r="N138" t="str">
            <v>12 2812000</v>
          </cell>
          <cell r="O138" t="str">
            <v>03</v>
          </cell>
          <cell r="P138">
            <v>2.8</v>
          </cell>
          <cell r="Q138">
            <v>0</v>
          </cell>
          <cell r="R138" t="str">
            <v>1</v>
          </cell>
          <cell r="S138" t="str">
            <v>20</v>
          </cell>
          <cell r="T138">
            <v>83</v>
          </cell>
          <cell r="U138">
            <v>6</v>
          </cell>
          <cell r="V138">
            <v>83</v>
          </cell>
          <cell r="W138">
            <v>6</v>
          </cell>
          <cell r="X138">
            <v>83</v>
          </cell>
          <cell r="AF138" t="str">
            <v>00</v>
          </cell>
          <cell r="AI138">
            <v>22735635</v>
          </cell>
          <cell r="AJ138">
            <v>9230667.0299999993</v>
          </cell>
        </row>
        <row r="139">
          <cell r="A139" t="str">
            <v>02</v>
          </cell>
          <cell r="B139" t="str">
            <v>03</v>
          </cell>
          <cell r="C139" t="str">
            <v>2107</v>
          </cell>
          <cell r="D139" t="str">
            <v>Емкость под ГСМ</v>
          </cell>
          <cell r="E139" t="str">
            <v>металлич. КХТ</v>
          </cell>
          <cell r="G139" t="str">
            <v>01</v>
          </cell>
          <cell r="H139">
            <v>8530</v>
          </cell>
          <cell r="I139">
            <v>2746.66</v>
          </cell>
          <cell r="J139">
            <v>0</v>
          </cell>
          <cell r="K139">
            <v>0.38</v>
          </cell>
          <cell r="L139" t="str">
            <v>26</v>
          </cell>
          <cell r="M139" t="str">
            <v>20236</v>
          </cell>
          <cell r="N139" t="str">
            <v>12 2812000</v>
          </cell>
          <cell r="O139" t="str">
            <v>03</v>
          </cell>
          <cell r="P139">
            <v>2.8</v>
          </cell>
          <cell r="Q139">
            <v>0</v>
          </cell>
          <cell r="R139" t="str">
            <v>1</v>
          </cell>
          <cell r="S139" t="str">
            <v>20</v>
          </cell>
          <cell r="T139">
            <v>83</v>
          </cell>
          <cell r="U139">
            <v>6</v>
          </cell>
          <cell r="V139">
            <v>83</v>
          </cell>
          <cell r="W139">
            <v>6</v>
          </cell>
          <cell r="X139">
            <v>83</v>
          </cell>
          <cell r="AF139" t="str">
            <v>00</v>
          </cell>
          <cell r="AI139">
            <v>22735635</v>
          </cell>
          <cell r="AJ139">
            <v>9230667.0299999993</v>
          </cell>
        </row>
        <row r="140">
          <cell r="A140" t="str">
            <v>02</v>
          </cell>
          <cell r="B140" t="str">
            <v>03</v>
          </cell>
          <cell r="C140" t="str">
            <v>2108</v>
          </cell>
          <cell r="D140" t="str">
            <v>Емкость под ГСМ</v>
          </cell>
          <cell r="E140" t="str">
            <v>металлич. КХТ</v>
          </cell>
          <cell r="G140" t="str">
            <v>01</v>
          </cell>
          <cell r="H140">
            <v>8530</v>
          </cell>
          <cell r="I140">
            <v>2746.66</v>
          </cell>
          <cell r="J140">
            <v>0</v>
          </cell>
          <cell r="K140">
            <v>0.41</v>
          </cell>
          <cell r="L140" t="str">
            <v>26</v>
          </cell>
          <cell r="M140" t="str">
            <v>20236</v>
          </cell>
          <cell r="N140" t="str">
            <v>12 2812000</v>
          </cell>
          <cell r="O140" t="str">
            <v>03</v>
          </cell>
          <cell r="P140">
            <v>2.8</v>
          </cell>
          <cell r="Q140">
            <v>0</v>
          </cell>
          <cell r="R140" t="str">
            <v>1</v>
          </cell>
          <cell r="S140" t="str">
            <v>20</v>
          </cell>
          <cell r="T140">
            <v>83</v>
          </cell>
          <cell r="U140">
            <v>6</v>
          </cell>
          <cell r="V140">
            <v>83</v>
          </cell>
          <cell r="W140">
            <v>6</v>
          </cell>
          <cell r="X140">
            <v>83</v>
          </cell>
          <cell r="AF140" t="str">
            <v>00</v>
          </cell>
          <cell r="AI140">
            <v>20801209</v>
          </cell>
          <cell r="AJ140">
            <v>8445290.1799999997</v>
          </cell>
        </row>
        <row r="141">
          <cell r="A141" t="str">
            <v>02</v>
          </cell>
          <cell r="B141" t="str">
            <v>03</v>
          </cell>
          <cell r="C141" t="str">
            <v>2110</v>
          </cell>
          <cell r="D141" t="str">
            <v>Эл.орган "Электроник</v>
          </cell>
          <cell r="E141" t="str">
            <v>а"</v>
          </cell>
          <cell r="G141" t="str">
            <v>01</v>
          </cell>
          <cell r="H141">
            <v>1526</v>
          </cell>
          <cell r="I141">
            <v>249.63</v>
          </cell>
          <cell r="J141">
            <v>0</v>
          </cell>
          <cell r="K141">
            <v>0.06</v>
          </cell>
          <cell r="L141" t="str">
            <v>88</v>
          </cell>
          <cell r="M141" t="str">
            <v>49302</v>
          </cell>
          <cell r="N141" t="str">
            <v>14 3696000</v>
          </cell>
          <cell r="O141" t="str">
            <v>08</v>
          </cell>
          <cell r="P141">
            <v>1.3</v>
          </cell>
          <cell r="Q141">
            <v>0</v>
          </cell>
          <cell r="R141" t="str">
            <v>1</v>
          </cell>
          <cell r="S141" t="str">
            <v>70</v>
          </cell>
          <cell r="T141">
            <v>82</v>
          </cell>
          <cell r="U141">
            <v>5</v>
          </cell>
          <cell r="V141">
            <v>82</v>
          </cell>
          <cell r="W141">
            <v>5</v>
          </cell>
          <cell r="X141">
            <v>82</v>
          </cell>
          <cell r="AF141" t="str">
            <v>00</v>
          </cell>
          <cell r="AI141">
            <v>25301549</v>
          </cell>
          <cell r="AJ141">
            <v>5125672.13</v>
          </cell>
        </row>
        <row r="142">
          <cell r="A142" t="str">
            <v>02</v>
          </cell>
          <cell r="B142" t="str">
            <v>03</v>
          </cell>
          <cell r="C142" t="str">
            <v>2123</v>
          </cell>
          <cell r="D142" t="str">
            <v>Коммутатор КД 18</v>
          </cell>
          <cell r="G142" t="str">
            <v>01</v>
          </cell>
          <cell r="H142">
            <v>1360</v>
          </cell>
          <cell r="I142">
            <v>565.76</v>
          </cell>
          <cell r="J142">
            <v>0</v>
          </cell>
          <cell r="K142">
            <v>0.16</v>
          </cell>
          <cell r="L142" t="str">
            <v>26</v>
          </cell>
          <cell r="M142" t="str">
            <v>45618</v>
          </cell>
          <cell r="N142" t="str">
            <v>24 0008000</v>
          </cell>
          <cell r="O142" t="str">
            <v>067</v>
          </cell>
          <cell r="P142">
            <v>5.2</v>
          </cell>
          <cell r="Q142">
            <v>0</v>
          </cell>
          <cell r="R142" t="str">
            <v>1</v>
          </cell>
          <cell r="S142" t="str">
            <v>45</v>
          </cell>
          <cell r="T142">
            <v>86</v>
          </cell>
          <cell r="U142">
            <v>12</v>
          </cell>
          <cell r="V142">
            <v>86</v>
          </cell>
          <cell r="W142">
            <v>12</v>
          </cell>
          <cell r="X142">
            <v>86</v>
          </cell>
          <cell r="AF142" t="str">
            <v>00</v>
          </cell>
          <cell r="AI142">
            <v>8281129</v>
          </cell>
          <cell r="AJ142">
            <v>4736805.5199999996</v>
          </cell>
        </row>
        <row r="143">
          <cell r="A143" t="str">
            <v>02</v>
          </cell>
          <cell r="B143" t="str">
            <v>03</v>
          </cell>
          <cell r="C143" t="str">
            <v>2124</v>
          </cell>
          <cell r="D143" t="str">
            <v>Коммутатор КД 18</v>
          </cell>
          <cell r="G143" t="str">
            <v>01</v>
          </cell>
          <cell r="H143">
            <v>1360</v>
          </cell>
          <cell r="I143">
            <v>565.76</v>
          </cell>
          <cell r="J143">
            <v>0</v>
          </cell>
          <cell r="K143">
            <v>0.16</v>
          </cell>
          <cell r="L143" t="str">
            <v>26</v>
          </cell>
          <cell r="M143" t="str">
            <v>45618</v>
          </cell>
          <cell r="N143" t="str">
            <v>24 0008000</v>
          </cell>
          <cell r="O143" t="str">
            <v>067</v>
          </cell>
          <cell r="P143">
            <v>5.2</v>
          </cell>
          <cell r="Q143">
            <v>0</v>
          </cell>
          <cell r="R143" t="str">
            <v>1</v>
          </cell>
          <cell r="S143" t="str">
            <v>45</v>
          </cell>
          <cell r="T143">
            <v>86</v>
          </cell>
          <cell r="U143">
            <v>12</v>
          </cell>
          <cell r="V143">
            <v>86</v>
          </cell>
          <cell r="W143">
            <v>12</v>
          </cell>
          <cell r="X143">
            <v>86</v>
          </cell>
          <cell r="AF143" t="str">
            <v>00</v>
          </cell>
          <cell r="AI143">
            <v>8281129</v>
          </cell>
          <cell r="AJ143">
            <v>4736805.5199999996</v>
          </cell>
        </row>
        <row r="144">
          <cell r="A144" t="str">
            <v>02</v>
          </cell>
          <cell r="B144" t="str">
            <v>03</v>
          </cell>
          <cell r="C144" t="str">
            <v>2125</v>
          </cell>
          <cell r="D144" t="str">
            <v>Устройство ВУТ</v>
          </cell>
          <cell r="G144" t="str">
            <v>01</v>
          </cell>
          <cell r="H144">
            <v>11557.63</v>
          </cell>
          <cell r="I144">
            <v>6310.47</v>
          </cell>
          <cell r="J144">
            <v>0</v>
          </cell>
          <cell r="K144">
            <v>1.17</v>
          </cell>
          <cell r="L144" t="str">
            <v>26</v>
          </cell>
          <cell r="M144" t="str">
            <v>40702</v>
          </cell>
          <cell r="N144" t="str">
            <v>14 2894000</v>
          </cell>
          <cell r="O144" t="str">
            <v>067</v>
          </cell>
          <cell r="P144">
            <v>9.1</v>
          </cell>
          <cell r="Q144">
            <v>0</v>
          </cell>
          <cell r="R144" t="str">
            <v>1</v>
          </cell>
          <cell r="S144" t="str">
            <v>40</v>
          </cell>
          <cell r="T144">
            <v>88</v>
          </cell>
          <cell r="U144">
            <v>12</v>
          </cell>
          <cell r="V144">
            <v>88</v>
          </cell>
          <cell r="W144">
            <v>12</v>
          </cell>
          <cell r="X144">
            <v>88</v>
          </cell>
          <cell r="AF144" t="str">
            <v>00</v>
          </cell>
          <cell r="AI144">
            <v>9878319</v>
          </cell>
          <cell r="AJ144">
            <v>8090343.6500000004</v>
          </cell>
        </row>
        <row r="145">
          <cell r="A145" t="str">
            <v>02</v>
          </cell>
          <cell r="B145" t="str">
            <v>99</v>
          </cell>
          <cell r="C145" t="str">
            <v>2131</v>
          </cell>
          <cell r="D145" t="str">
            <v>Эл. печь СНО  555/4</v>
          </cell>
          <cell r="E145" t="str">
            <v>к ПАУ 502а</v>
          </cell>
          <cell r="G145" t="str">
            <v>01</v>
          </cell>
          <cell r="H145">
            <v>26747</v>
          </cell>
          <cell r="I145">
            <v>16716.88</v>
          </cell>
          <cell r="J145">
            <v>0</v>
          </cell>
          <cell r="K145">
            <v>1.17</v>
          </cell>
          <cell r="L145" t="str">
            <v>20</v>
          </cell>
          <cell r="M145" t="str">
            <v>45801</v>
          </cell>
          <cell r="N145" t="str">
            <v>14 2914136</v>
          </cell>
          <cell r="O145" t="str">
            <v>067</v>
          </cell>
          <cell r="P145">
            <v>12.5</v>
          </cell>
          <cell r="Q145">
            <v>0</v>
          </cell>
          <cell r="R145" t="str">
            <v>1</v>
          </cell>
          <cell r="S145" t="str">
            <v>45</v>
          </cell>
          <cell r="T145">
            <v>89</v>
          </cell>
          <cell r="U145">
            <v>12</v>
          </cell>
          <cell r="V145">
            <v>89</v>
          </cell>
          <cell r="W145">
            <v>12</v>
          </cell>
          <cell r="X145">
            <v>89</v>
          </cell>
          <cell r="AB145" t="str">
            <v>14</v>
          </cell>
          <cell r="AC145">
            <v>3</v>
          </cell>
          <cell r="AF145" t="str">
            <v>00</v>
          </cell>
          <cell r="AI145">
            <v>22926758</v>
          </cell>
          <cell r="AJ145">
            <v>22926758</v>
          </cell>
        </row>
        <row r="146">
          <cell r="A146" t="str">
            <v>02</v>
          </cell>
          <cell r="B146" t="str">
            <v>04</v>
          </cell>
          <cell r="C146" t="str">
            <v>2132</v>
          </cell>
          <cell r="D146" t="str">
            <v>Блок питания</v>
          </cell>
          <cell r="G146" t="str">
            <v>01</v>
          </cell>
          <cell r="H146">
            <v>2266</v>
          </cell>
          <cell r="I146">
            <v>915.46</v>
          </cell>
          <cell r="J146">
            <v>0</v>
          </cell>
          <cell r="K146">
            <v>0.48</v>
          </cell>
          <cell r="L146" t="str">
            <v>23</v>
          </cell>
          <cell r="M146" t="str">
            <v>40702</v>
          </cell>
          <cell r="N146" t="str">
            <v>14 2922810</v>
          </cell>
          <cell r="O146" t="str">
            <v>067</v>
          </cell>
          <cell r="P146">
            <v>10.1</v>
          </cell>
          <cell r="Q146">
            <v>0</v>
          </cell>
          <cell r="R146" t="str">
            <v>1</v>
          </cell>
          <cell r="S146" t="str">
            <v>40</v>
          </cell>
          <cell r="T146">
            <v>90</v>
          </cell>
          <cell r="U146">
            <v>12</v>
          </cell>
          <cell r="V146">
            <v>90</v>
          </cell>
          <cell r="W146">
            <v>12</v>
          </cell>
          <cell r="X146">
            <v>90</v>
          </cell>
          <cell r="AB146" t="str">
            <v>14</v>
          </cell>
          <cell r="AC146">
            <v>2</v>
          </cell>
          <cell r="AF146" t="str">
            <v>00</v>
          </cell>
          <cell r="AI146">
            <v>4690483</v>
          </cell>
          <cell r="AJ146">
            <v>3316171.35</v>
          </cell>
        </row>
        <row r="147">
          <cell r="A147" t="str">
            <v>02</v>
          </cell>
          <cell r="B147" t="str">
            <v>03</v>
          </cell>
          <cell r="C147" t="str">
            <v>2137</v>
          </cell>
          <cell r="D147" t="str">
            <v>Станок строгальный 4</v>
          </cell>
          <cell r="E147" t="str">
            <v>х сторонний</v>
          </cell>
          <cell r="G147" t="str">
            <v>01</v>
          </cell>
          <cell r="H147">
            <v>65130</v>
          </cell>
          <cell r="I147">
            <v>10447.94</v>
          </cell>
          <cell r="J147">
            <v>0</v>
          </cell>
          <cell r="K147">
            <v>0.59</v>
          </cell>
          <cell r="L147" t="str">
            <v>26</v>
          </cell>
          <cell r="M147" t="str">
            <v>41000</v>
          </cell>
          <cell r="N147" t="str">
            <v>14 2922620</v>
          </cell>
          <cell r="O147" t="str">
            <v>067</v>
          </cell>
          <cell r="P147">
            <v>3.5</v>
          </cell>
          <cell r="Q147">
            <v>0</v>
          </cell>
          <cell r="R147" t="str">
            <v>1</v>
          </cell>
          <cell r="S147" t="str">
            <v>41</v>
          </cell>
          <cell r="T147">
            <v>90</v>
          </cell>
          <cell r="U147">
            <v>5</v>
          </cell>
          <cell r="V147">
            <v>90</v>
          </cell>
          <cell r="W147">
            <v>5</v>
          </cell>
          <cell r="X147">
            <v>90</v>
          </cell>
          <cell r="AF147" t="str">
            <v>00</v>
          </cell>
          <cell r="AI147">
            <v>111035565</v>
          </cell>
          <cell r="AJ147">
            <v>29470689.460000001</v>
          </cell>
        </row>
        <row r="148">
          <cell r="A148" t="str">
            <v>02</v>
          </cell>
          <cell r="B148" t="str">
            <v>99</v>
          </cell>
          <cell r="C148" t="str">
            <v>2141</v>
          </cell>
          <cell r="D148" t="str">
            <v>Трансформаторная под</v>
          </cell>
          <cell r="E148" t="str">
            <v>станция КТП-100/10</v>
          </cell>
          <cell r="G148" t="str">
            <v>01</v>
          </cell>
          <cell r="H148">
            <v>13861.59</v>
          </cell>
          <cell r="I148">
            <v>2998.72</v>
          </cell>
          <cell r="J148">
            <v>0</v>
          </cell>
          <cell r="K148">
            <v>1.17</v>
          </cell>
          <cell r="L148" t="str">
            <v>20</v>
          </cell>
          <cell r="M148" t="str">
            <v>40705</v>
          </cell>
          <cell r="N148" t="str">
            <v>14 3115201</v>
          </cell>
          <cell r="O148" t="str">
            <v>067</v>
          </cell>
          <cell r="P148">
            <v>4.4000000000000004</v>
          </cell>
          <cell r="Q148">
            <v>0</v>
          </cell>
          <cell r="R148" t="str">
            <v>1</v>
          </cell>
          <cell r="S148" t="str">
            <v>40</v>
          </cell>
          <cell r="T148">
            <v>90</v>
          </cell>
          <cell r="U148">
            <v>1</v>
          </cell>
          <cell r="V148">
            <v>90</v>
          </cell>
          <cell r="W148">
            <v>1</v>
          </cell>
          <cell r="X148">
            <v>90</v>
          </cell>
          <cell r="AF148" t="str">
            <v>00</v>
          </cell>
          <cell r="AI148">
            <v>11847514</v>
          </cell>
          <cell r="AJ148">
            <v>4126883.69</v>
          </cell>
        </row>
        <row r="149">
          <cell r="A149" t="str">
            <v>02</v>
          </cell>
          <cell r="B149" t="str">
            <v>02</v>
          </cell>
          <cell r="C149" t="str">
            <v>2466</v>
          </cell>
          <cell r="D149" t="str">
            <v>Холодильник "Орск"</v>
          </cell>
          <cell r="G149" t="str">
            <v>01</v>
          </cell>
          <cell r="H149">
            <v>1250</v>
          </cell>
          <cell r="I149">
            <v>875</v>
          </cell>
          <cell r="J149">
            <v>0</v>
          </cell>
          <cell r="K149">
            <v>0.3</v>
          </cell>
          <cell r="L149" t="str">
            <v>20</v>
          </cell>
          <cell r="M149" t="str">
            <v>45800</v>
          </cell>
          <cell r="N149" t="str">
            <v>16 2930100</v>
          </cell>
          <cell r="O149" t="str">
            <v>063</v>
          </cell>
          <cell r="P149">
            <v>10</v>
          </cell>
          <cell r="Q149">
            <v>0</v>
          </cell>
          <cell r="R149" t="str">
            <v>1</v>
          </cell>
          <cell r="S149" t="str">
            <v>45</v>
          </cell>
          <cell r="T149">
            <v>87</v>
          </cell>
          <cell r="U149">
            <v>12</v>
          </cell>
          <cell r="V149">
            <v>87</v>
          </cell>
          <cell r="W149">
            <v>12</v>
          </cell>
          <cell r="X149">
            <v>87</v>
          </cell>
          <cell r="AF149" t="str">
            <v>00</v>
          </cell>
          <cell r="AI149">
            <v>4133376</v>
          </cell>
          <cell r="AJ149">
            <v>4133376</v>
          </cell>
        </row>
        <row r="150">
          <cell r="A150" t="str">
            <v>02</v>
          </cell>
          <cell r="B150" t="str">
            <v>02</v>
          </cell>
          <cell r="C150" t="str">
            <v>2468</v>
          </cell>
          <cell r="D150" t="str">
            <v>Холодильник "Орск"</v>
          </cell>
          <cell r="G150" t="str">
            <v>01</v>
          </cell>
          <cell r="H150">
            <v>1250</v>
          </cell>
          <cell r="I150">
            <v>875</v>
          </cell>
          <cell r="J150">
            <v>0</v>
          </cell>
          <cell r="K150">
            <v>0.43</v>
          </cell>
          <cell r="L150" t="str">
            <v>20</v>
          </cell>
          <cell r="M150" t="str">
            <v>45800</v>
          </cell>
          <cell r="N150" t="str">
            <v>16 2930100</v>
          </cell>
          <cell r="O150" t="str">
            <v>063</v>
          </cell>
          <cell r="P150">
            <v>10</v>
          </cell>
          <cell r="Q150">
            <v>0</v>
          </cell>
          <cell r="R150" t="str">
            <v>1</v>
          </cell>
          <cell r="S150" t="str">
            <v>45</v>
          </cell>
          <cell r="T150">
            <v>87</v>
          </cell>
          <cell r="U150">
            <v>12</v>
          </cell>
          <cell r="V150">
            <v>87</v>
          </cell>
          <cell r="W150">
            <v>12</v>
          </cell>
          <cell r="X150">
            <v>87</v>
          </cell>
          <cell r="AF150" t="str">
            <v>00</v>
          </cell>
          <cell r="AI150">
            <v>2893363</v>
          </cell>
          <cell r="AJ150">
            <v>2893363</v>
          </cell>
        </row>
        <row r="151">
          <cell r="A151" t="str">
            <v>17</v>
          </cell>
          <cell r="B151" t="str">
            <v>82</v>
          </cell>
          <cell r="C151" t="str">
            <v>2482</v>
          </cell>
          <cell r="D151" t="str">
            <v>Холодильная камера</v>
          </cell>
          <cell r="G151" t="str">
            <v>01</v>
          </cell>
          <cell r="H151">
            <v>16600</v>
          </cell>
          <cell r="I151">
            <v>13003.33</v>
          </cell>
          <cell r="J151">
            <v>0</v>
          </cell>
          <cell r="K151">
            <v>0.77</v>
          </cell>
          <cell r="L151" t="str">
            <v>26</v>
          </cell>
          <cell r="M151" t="str">
            <v>45800</v>
          </cell>
          <cell r="N151" t="str">
            <v>16 2930100</v>
          </cell>
          <cell r="O151" t="str">
            <v>063</v>
          </cell>
          <cell r="P151">
            <v>10</v>
          </cell>
          <cell r="Q151">
            <v>0</v>
          </cell>
          <cell r="R151" t="str">
            <v>1</v>
          </cell>
          <cell r="S151" t="str">
            <v>45</v>
          </cell>
          <cell r="T151">
            <v>87</v>
          </cell>
          <cell r="U151">
            <v>2</v>
          </cell>
          <cell r="V151">
            <v>87</v>
          </cell>
          <cell r="W151">
            <v>2</v>
          </cell>
          <cell r="X151">
            <v>87</v>
          </cell>
          <cell r="AB151" t="str">
            <v>14</v>
          </cell>
          <cell r="AC151">
            <v>11</v>
          </cell>
          <cell r="AF151" t="str">
            <v>17</v>
          </cell>
          <cell r="AI151">
            <v>21482318</v>
          </cell>
          <cell r="AJ151">
            <v>21482318</v>
          </cell>
        </row>
        <row r="152">
          <cell r="A152" t="str">
            <v>15</v>
          </cell>
          <cell r="B152" t="str">
            <v>81</v>
          </cell>
          <cell r="C152" t="str">
            <v>2488</v>
          </cell>
          <cell r="D152" t="str">
            <v>Телевизор "Крым"</v>
          </cell>
          <cell r="G152" t="str">
            <v>01</v>
          </cell>
          <cell r="H152">
            <v>624</v>
          </cell>
          <cell r="I152">
            <v>624</v>
          </cell>
          <cell r="J152">
            <v>0</v>
          </cell>
          <cell r="K152">
            <v>0.31</v>
          </cell>
          <cell r="L152" t="str">
            <v>88/2</v>
          </cell>
          <cell r="M152" t="str">
            <v>45620</v>
          </cell>
          <cell r="N152" t="str">
            <v>14 3230101</v>
          </cell>
          <cell r="O152" t="str">
            <v>067</v>
          </cell>
          <cell r="P152">
            <v>12.5</v>
          </cell>
          <cell r="Q152">
            <v>0</v>
          </cell>
          <cell r="R152" t="str">
            <v>1</v>
          </cell>
          <cell r="S152" t="str">
            <v>45</v>
          </cell>
          <cell r="T152">
            <v>77</v>
          </cell>
          <cell r="U152">
            <v>5</v>
          </cell>
          <cell r="V152">
            <v>77</v>
          </cell>
          <cell r="W152">
            <v>5</v>
          </cell>
          <cell r="X152">
            <v>77</v>
          </cell>
          <cell r="AB152" t="str">
            <v>14</v>
          </cell>
          <cell r="AC152">
            <v>2</v>
          </cell>
          <cell r="AF152" t="str">
            <v>15</v>
          </cell>
          <cell r="AI152">
            <v>2043056</v>
          </cell>
          <cell r="AJ152">
            <v>2043056</v>
          </cell>
        </row>
        <row r="153">
          <cell r="A153" t="str">
            <v>02</v>
          </cell>
          <cell r="B153" t="str">
            <v>02</v>
          </cell>
          <cell r="C153" t="str">
            <v>2490</v>
          </cell>
          <cell r="D153" t="str">
            <v>Холодильная камера</v>
          </cell>
          <cell r="E153" t="str">
            <v>САРАТОВ</v>
          </cell>
          <cell r="G153" t="str">
            <v>01</v>
          </cell>
          <cell r="H153">
            <v>6110.54</v>
          </cell>
          <cell r="I153">
            <v>2851.58</v>
          </cell>
          <cell r="J153">
            <v>0</v>
          </cell>
          <cell r="K153">
            <v>0.86</v>
          </cell>
          <cell r="L153" t="str">
            <v>20</v>
          </cell>
          <cell r="M153" t="str">
            <v>45800</v>
          </cell>
          <cell r="N153" t="str">
            <v>16 2920100</v>
          </cell>
          <cell r="O153" t="str">
            <v>063</v>
          </cell>
          <cell r="P153">
            <v>10</v>
          </cell>
          <cell r="Q153">
            <v>0</v>
          </cell>
          <cell r="R153" t="str">
            <v>1</v>
          </cell>
          <cell r="S153" t="str">
            <v>45</v>
          </cell>
          <cell r="T153">
            <v>90</v>
          </cell>
          <cell r="U153">
            <v>4</v>
          </cell>
          <cell r="V153">
            <v>90</v>
          </cell>
          <cell r="W153">
            <v>4</v>
          </cell>
          <cell r="X153">
            <v>90</v>
          </cell>
          <cell r="AF153" t="str">
            <v>00</v>
          </cell>
          <cell r="AI153">
            <v>7105273</v>
          </cell>
          <cell r="AJ153">
            <v>5447376.0899999999</v>
          </cell>
        </row>
        <row r="154">
          <cell r="A154" t="str">
            <v>02</v>
          </cell>
          <cell r="B154" t="str">
            <v>71</v>
          </cell>
          <cell r="C154" t="str">
            <v>2492</v>
          </cell>
          <cell r="D154" t="str">
            <v>Станок отрезной П-1</v>
          </cell>
          <cell r="G154" t="str">
            <v>01</v>
          </cell>
          <cell r="H154">
            <v>5311</v>
          </cell>
          <cell r="I154">
            <v>2726.31</v>
          </cell>
          <cell r="J154">
            <v>0</v>
          </cell>
          <cell r="K154">
            <v>0.94</v>
          </cell>
          <cell r="L154" t="str">
            <v>23</v>
          </cell>
          <cell r="M154" t="str">
            <v>41000</v>
          </cell>
          <cell r="N154" t="str">
            <v>14 2922165</v>
          </cell>
          <cell r="O154" t="str">
            <v>067</v>
          </cell>
          <cell r="P154">
            <v>3.5</v>
          </cell>
          <cell r="Q154">
            <v>0</v>
          </cell>
          <cell r="R154" t="str">
            <v>1</v>
          </cell>
          <cell r="S154" t="str">
            <v>41</v>
          </cell>
          <cell r="T154">
            <v>80</v>
          </cell>
          <cell r="U154">
            <v>4</v>
          </cell>
          <cell r="V154">
            <v>80</v>
          </cell>
          <cell r="W154">
            <v>4</v>
          </cell>
          <cell r="X154">
            <v>80</v>
          </cell>
          <cell r="AF154" t="str">
            <v>00</v>
          </cell>
          <cell r="AI154">
            <v>5677439</v>
          </cell>
          <cell r="AJ154">
            <v>3510550.35</v>
          </cell>
        </row>
        <row r="155">
          <cell r="A155" t="str">
            <v>02</v>
          </cell>
          <cell r="B155" t="str">
            <v>71</v>
          </cell>
          <cell r="C155" t="str">
            <v>2493</v>
          </cell>
          <cell r="D155" t="str">
            <v>Станок горизонт.фрез</v>
          </cell>
          <cell r="E155" t="str">
            <v>. 6М 83Г</v>
          </cell>
          <cell r="G155" t="str">
            <v>01</v>
          </cell>
          <cell r="H155">
            <v>7396</v>
          </cell>
          <cell r="I155">
            <v>4659.4799999999996</v>
          </cell>
          <cell r="J155">
            <v>0</v>
          </cell>
          <cell r="K155">
            <v>1.1100000000000001</v>
          </cell>
          <cell r="L155" t="str">
            <v>23</v>
          </cell>
          <cell r="M155" t="str">
            <v>41000</v>
          </cell>
          <cell r="N155" t="str">
            <v>14 2922165</v>
          </cell>
          <cell r="O155" t="str">
            <v>067</v>
          </cell>
          <cell r="P155">
            <v>3.5</v>
          </cell>
          <cell r="Q155">
            <v>0</v>
          </cell>
          <cell r="R155" t="str">
            <v>1</v>
          </cell>
          <cell r="S155" t="str">
            <v>41</v>
          </cell>
          <cell r="T155">
            <v>76</v>
          </cell>
          <cell r="U155">
            <v>12</v>
          </cell>
          <cell r="V155">
            <v>76</v>
          </cell>
          <cell r="W155">
            <v>12</v>
          </cell>
          <cell r="X155">
            <v>76</v>
          </cell>
          <cell r="AF155" t="str">
            <v>00</v>
          </cell>
          <cell r="AI155">
            <v>6663356</v>
          </cell>
          <cell r="AJ155">
            <v>4897567.05</v>
          </cell>
        </row>
        <row r="156">
          <cell r="A156" t="str">
            <v>02</v>
          </cell>
          <cell r="B156" t="str">
            <v>71</v>
          </cell>
          <cell r="C156" t="str">
            <v>2494</v>
          </cell>
          <cell r="D156" t="str">
            <v>Станок токарно-комби</v>
          </cell>
          <cell r="E156" t="str">
            <v>нир.универс.</v>
          </cell>
          <cell r="G156" t="str">
            <v>01</v>
          </cell>
          <cell r="H156">
            <v>15406.01</v>
          </cell>
          <cell r="I156">
            <v>9166.57</v>
          </cell>
          <cell r="J156">
            <v>0</v>
          </cell>
          <cell r="K156">
            <v>1.1200000000000001</v>
          </cell>
          <cell r="L156" t="str">
            <v>23</v>
          </cell>
          <cell r="M156" t="str">
            <v>41000</v>
          </cell>
          <cell r="N156" t="str">
            <v>14 2922100</v>
          </cell>
          <cell r="O156" t="str">
            <v>067</v>
          </cell>
          <cell r="P156">
            <v>3.5</v>
          </cell>
          <cell r="Q156">
            <v>0</v>
          </cell>
          <cell r="R156" t="str">
            <v>1</v>
          </cell>
          <cell r="S156" t="str">
            <v>41</v>
          </cell>
          <cell r="T156">
            <v>77</v>
          </cell>
          <cell r="U156">
            <v>12</v>
          </cell>
          <cell r="V156">
            <v>77</v>
          </cell>
          <cell r="W156">
            <v>12</v>
          </cell>
          <cell r="X156">
            <v>77</v>
          </cell>
          <cell r="AF156" t="str">
            <v>00</v>
          </cell>
          <cell r="AI156">
            <v>13755363</v>
          </cell>
          <cell r="AJ156">
            <v>9628754.3699999992</v>
          </cell>
        </row>
        <row r="157">
          <cell r="A157" t="str">
            <v>02</v>
          </cell>
          <cell r="B157" t="str">
            <v>71</v>
          </cell>
          <cell r="C157" t="str">
            <v>2495</v>
          </cell>
          <cell r="D157" t="str">
            <v>Станок ТО-161</v>
          </cell>
          <cell r="G157" t="str">
            <v>01</v>
          </cell>
          <cell r="H157">
            <v>5450</v>
          </cell>
          <cell r="I157">
            <v>3083.79</v>
          </cell>
          <cell r="J157">
            <v>0</v>
          </cell>
          <cell r="K157">
            <v>0.93</v>
          </cell>
          <cell r="L157" t="str">
            <v>23</v>
          </cell>
          <cell r="M157" t="str">
            <v>41000</v>
          </cell>
          <cell r="N157" t="str">
            <v>14 2922100</v>
          </cell>
          <cell r="O157" t="str">
            <v>067</v>
          </cell>
          <cell r="P157">
            <v>3.5</v>
          </cell>
          <cell r="Q157">
            <v>0</v>
          </cell>
          <cell r="R157" t="str">
            <v>1</v>
          </cell>
          <cell r="S157" t="str">
            <v>41</v>
          </cell>
          <cell r="T157">
            <v>78</v>
          </cell>
          <cell r="U157">
            <v>10</v>
          </cell>
          <cell r="V157">
            <v>78</v>
          </cell>
          <cell r="W157">
            <v>10</v>
          </cell>
          <cell r="X157">
            <v>78</v>
          </cell>
          <cell r="AF157" t="str">
            <v>00</v>
          </cell>
          <cell r="AI157">
            <v>5842257</v>
          </cell>
          <cell r="AJ157">
            <v>3919181.54</v>
          </cell>
        </row>
        <row r="158">
          <cell r="A158" t="str">
            <v>02</v>
          </cell>
          <cell r="B158" t="str">
            <v>71</v>
          </cell>
          <cell r="C158" t="str">
            <v>2496</v>
          </cell>
          <cell r="D158" t="str">
            <v>Станок росточный 2А-</v>
          </cell>
          <cell r="E158" t="str">
            <v>78</v>
          </cell>
          <cell r="G158" t="str">
            <v>01</v>
          </cell>
          <cell r="H158">
            <v>3661.2</v>
          </cell>
          <cell r="I158">
            <v>2456.0500000000002</v>
          </cell>
          <cell r="J158">
            <v>0</v>
          </cell>
          <cell r="K158">
            <v>0.33</v>
          </cell>
          <cell r="L158" t="str">
            <v>23</v>
          </cell>
          <cell r="M158" t="str">
            <v>41000</v>
          </cell>
          <cell r="N158" t="str">
            <v>14 2922100</v>
          </cell>
          <cell r="O158" t="str">
            <v>067</v>
          </cell>
          <cell r="P158">
            <v>3.5</v>
          </cell>
          <cell r="Q158">
            <v>0</v>
          </cell>
          <cell r="R158" t="str">
            <v>1</v>
          </cell>
          <cell r="S158" t="str">
            <v>41</v>
          </cell>
          <cell r="T158">
            <v>75</v>
          </cell>
          <cell r="U158">
            <v>10</v>
          </cell>
          <cell r="V158">
            <v>75</v>
          </cell>
          <cell r="W158">
            <v>10</v>
          </cell>
          <cell r="X158">
            <v>75</v>
          </cell>
          <cell r="AF158" t="str">
            <v>00</v>
          </cell>
          <cell r="AI158">
            <v>11116966</v>
          </cell>
          <cell r="AJ158">
            <v>8624911.75</v>
          </cell>
        </row>
        <row r="159">
          <cell r="A159" t="str">
            <v>02</v>
          </cell>
          <cell r="B159" t="str">
            <v>71</v>
          </cell>
          <cell r="C159" t="str">
            <v>2497</v>
          </cell>
          <cell r="D159" t="str">
            <v>Станок сверлильный П</v>
          </cell>
          <cell r="E159" t="str">
            <v>К-203</v>
          </cell>
          <cell r="G159" t="str">
            <v>01</v>
          </cell>
          <cell r="H159">
            <v>3322</v>
          </cell>
          <cell r="I159">
            <v>1705.29</v>
          </cell>
          <cell r="J159">
            <v>0</v>
          </cell>
          <cell r="K159">
            <v>0.74</v>
          </cell>
          <cell r="L159" t="str">
            <v>23</v>
          </cell>
          <cell r="M159" t="str">
            <v>41000</v>
          </cell>
          <cell r="N159" t="str">
            <v>14 2922111</v>
          </cell>
          <cell r="O159" t="str">
            <v>067</v>
          </cell>
          <cell r="P159">
            <v>3.5</v>
          </cell>
          <cell r="Q159">
            <v>0</v>
          </cell>
          <cell r="R159" t="str">
            <v>1</v>
          </cell>
          <cell r="S159" t="str">
            <v>41</v>
          </cell>
          <cell r="T159">
            <v>80</v>
          </cell>
          <cell r="U159">
            <v>4</v>
          </cell>
          <cell r="V159">
            <v>80</v>
          </cell>
          <cell r="W159">
            <v>4</v>
          </cell>
          <cell r="X159">
            <v>80</v>
          </cell>
          <cell r="AF159" t="str">
            <v>00</v>
          </cell>
          <cell r="AI159">
            <v>4472245</v>
          </cell>
          <cell r="AJ159">
            <v>2765338.57</v>
          </cell>
        </row>
        <row r="160">
          <cell r="A160" t="str">
            <v>02</v>
          </cell>
          <cell r="B160" t="str">
            <v>71</v>
          </cell>
          <cell r="C160" t="str">
            <v>2502/1</v>
          </cell>
          <cell r="D160" t="str">
            <v>Станок токарновинтор</v>
          </cell>
          <cell r="E160" t="str">
            <v>ез.</v>
          </cell>
          <cell r="G160" t="str">
            <v>01</v>
          </cell>
          <cell r="H160">
            <v>3808.67</v>
          </cell>
          <cell r="I160">
            <v>2532.77</v>
          </cell>
          <cell r="J160">
            <v>0</v>
          </cell>
          <cell r="K160">
            <v>1.1200000000000001</v>
          </cell>
          <cell r="L160" t="str">
            <v>23</v>
          </cell>
          <cell r="M160" t="str">
            <v>41000</v>
          </cell>
          <cell r="N160" t="str">
            <v>14 2922105</v>
          </cell>
          <cell r="O160" t="str">
            <v>067</v>
          </cell>
          <cell r="P160">
            <v>3.5</v>
          </cell>
          <cell r="Q160">
            <v>0</v>
          </cell>
          <cell r="R160" t="str">
            <v>1</v>
          </cell>
          <cell r="S160" t="str">
            <v>41</v>
          </cell>
          <cell r="T160">
            <v>75</v>
          </cell>
          <cell r="U160">
            <v>12</v>
          </cell>
          <cell r="V160">
            <v>75</v>
          </cell>
          <cell r="W160">
            <v>12</v>
          </cell>
          <cell r="X160">
            <v>75</v>
          </cell>
          <cell r="AF160" t="str">
            <v>00</v>
          </cell>
          <cell r="AI160">
            <v>3400600</v>
          </cell>
          <cell r="AJ160">
            <v>2618462.8199999998</v>
          </cell>
        </row>
        <row r="161">
          <cell r="A161" t="str">
            <v>02</v>
          </cell>
          <cell r="B161" t="str">
            <v>02</v>
          </cell>
          <cell r="C161" t="str">
            <v>2504</v>
          </cell>
          <cell r="D161" t="str">
            <v>Сварочное оборудован</v>
          </cell>
          <cell r="E161" t="str">
            <v>ие ЛСТ-8 в к-те</v>
          </cell>
          <cell r="G161" t="str">
            <v>01</v>
          </cell>
          <cell r="H161">
            <v>236000</v>
          </cell>
          <cell r="I161">
            <v>46708.35</v>
          </cell>
          <cell r="J161">
            <v>0</v>
          </cell>
          <cell r="K161">
            <v>1.02</v>
          </cell>
          <cell r="L161" t="str">
            <v>20</v>
          </cell>
          <cell r="M161" t="str">
            <v>42504</v>
          </cell>
          <cell r="N161" t="str">
            <v>14 2947193</v>
          </cell>
          <cell r="O161" t="str">
            <v>067</v>
          </cell>
          <cell r="P161">
            <v>12.5</v>
          </cell>
          <cell r="Q161">
            <v>0</v>
          </cell>
          <cell r="R161" t="str">
            <v>1</v>
          </cell>
          <cell r="S161" t="str">
            <v>42</v>
          </cell>
          <cell r="T161">
            <v>90</v>
          </cell>
          <cell r="U161">
            <v>5</v>
          </cell>
          <cell r="V161">
            <v>93</v>
          </cell>
          <cell r="W161">
            <v>5</v>
          </cell>
          <cell r="X161">
            <v>93</v>
          </cell>
          <cell r="AB161" t="str">
            <v>14</v>
          </cell>
          <cell r="AC161">
            <v>2</v>
          </cell>
          <cell r="AF161" t="str">
            <v>00</v>
          </cell>
          <cell r="AI161">
            <v>230382351</v>
          </cell>
          <cell r="AJ161">
            <v>131989907.63</v>
          </cell>
        </row>
        <row r="162">
          <cell r="A162" t="str">
            <v>02</v>
          </cell>
          <cell r="B162" t="str">
            <v>71</v>
          </cell>
          <cell r="C162" t="str">
            <v>2504/1</v>
          </cell>
          <cell r="D162" t="str">
            <v>Хонинговальный стано</v>
          </cell>
          <cell r="E162" t="str">
            <v>к</v>
          </cell>
          <cell r="G162" t="str">
            <v>01</v>
          </cell>
          <cell r="H162">
            <v>7029</v>
          </cell>
          <cell r="I162">
            <v>2952.18</v>
          </cell>
          <cell r="J162">
            <v>0</v>
          </cell>
          <cell r="K162">
            <v>0.74</v>
          </cell>
          <cell r="L162" t="str">
            <v>23</v>
          </cell>
          <cell r="M162" t="str">
            <v>41000</v>
          </cell>
          <cell r="N162" t="str">
            <v>14 2922176</v>
          </cell>
          <cell r="O162" t="str">
            <v>067</v>
          </cell>
          <cell r="P162">
            <v>3.5</v>
          </cell>
          <cell r="Q162">
            <v>0</v>
          </cell>
          <cell r="R162" t="str">
            <v>1</v>
          </cell>
          <cell r="S162" t="str">
            <v>41</v>
          </cell>
          <cell r="T162">
            <v>82</v>
          </cell>
          <cell r="U162">
            <v>12</v>
          </cell>
          <cell r="V162">
            <v>82</v>
          </cell>
          <cell r="W162">
            <v>12</v>
          </cell>
          <cell r="X162">
            <v>82</v>
          </cell>
          <cell r="AF162" t="str">
            <v>00</v>
          </cell>
          <cell r="AI162">
            <v>9530109</v>
          </cell>
          <cell r="AJ162">
            <v>5003307.03</v>
          </cell>
        </row>
        <row r="163">
          <cell r="A163" t="str">
            <v>02</v>
          </cell>
          <cell r="B163" t="str">
            <v>71</v>
          </cell>
          <cell r="C163" t="str">
            <v>2510</v>
          </cell>
          <cell r="D163" t="str">
            <v>Круглошлиф.станок 3</v>
          </cell>
          <cell r="E163" t="str">
            <v>У131 М</v>
          </cell>
          <cell r="G163" t="str">
            <v>01</v>
          </cell>
          <cell r="H163">
            <v>70946.86</v>
          </cell>
          <cell r="I163">
            <v>25038.33</v>
          </cell>
          <cell r="J163">
            <v>0</v>
          </cell>
          <cell r="K163">
            <v>1.06</v>
          </cell>
          <cell r="L163" t="str">
            <v>23</v>
          </cell>
          <cell r="M163" t="str">
            <v>41000</v>
          </cell>
          <cell r="N163" t="str">
            <v>14 2922623</v>
          </cell>
          <cell r="O163" t="str">
            <v>067</v>
          </cell>
          <cell r="P163">
            <v>3.5</v>
          </cell>
          <cell r="Q163">
            <v>0</v>
          </cell>
          <cell r="R163" t="str">
            <v>1</v>
          </cell>
          <cell r="S163" t="str">
            <v>41</v>
          </cell>
          <cell r="T163">
            <v>84</v>
          </cell>
          <cell r="U163">
            <v>11</v>
          </cell>
          <cell r="V163">
            <v>84</v>
          </cell>
          <cell r="W163">
            <v>11</v>
          </cell>
          <cell r="X163">
            <v>84</v>
          </cell>
          <cell r="AF163" t="str">
            <v>00</v>
          </cell>
          <cell r="AI163">
            <v>66930997</v>
          </cell>
          <cell r="AJ163">
            <v>30648819.34</v>
          </cell>
        </row>
        <row r="164">
          <cell r="A164" t="str">
            <v>02</v>
          </cell>
          <cell r="B164" t="str">
            <v>55</v>
          </cell>
          <cell r="C164" t="str">
            <v>2513</v>
          </cell>
          <cell r="D164" t="str">
            <v>Рампа 2010 кислр.</v>
          </cell>
          <cell r="G164" t="str">
            <v>01</v>
          </cell>
          <cell r="H164">
            <v>2085.4499999999998</v>
          </cell>
          <cell r="I164">
            <v>2085.4499999999998</v>
          </cell>
          <cell r="J164">
            <v>0</v>
          </cell>
          <cell r="K164">
            <v>1.27</v>
          </cell>
          <cell r="L164" t="str">
            <v>26</v>
          </cell>
          <cell r="M164" t="str">
            <v>43401</v>
          </cell>
          <cell r="N164" t="str">
            <v>14 2919107</v>
          </cell>
          <cell r="O164" t="str">
            <v>064</v>
          </cell>
          <cell r="P164">
            <v>16.7</v>
          </cell>
          <cell r="Q164">
            <v>0</v>
          </cell>
          <cell r="R164" t="str">
            <v>1</v>
          </cell>
          <cell r="S164" t="str">
            <v>43</v>
          </cell>
          <cell r="T164">
            <v>83</v>
          </cell>
          <cell r="U164">
            <v>9</v>
          </cell>
          <cell r="V164">
            <v>83</v>
          </cell>
          <cell r="W164">
            <v>9</v>
          </cell>
          <cell r="X164">
            <v>83</v>
          </cell>
          <cell r="AF164" t="str">
            <v>00</v>
          </cell>
          <cell r="AI164">
            <v>1642088</v>
          </cell>
          <cell r="AJ164">
            <v>1642088</v>
          </cell>
        </row>
        <row r="165">
          <cell r="A165" t="str">
            <v>02</v>
          </cell>
          <cell r="B165" t="str">
            <v>71</v>
          </cell>
          <cell r="C165" t="str">
            <v>2515</v>
          </cell>
          <cell r="D165" t="str">
            <v>Пресс гидравл. ПО 93</v>
          </cell>
          <cell r="E165" t="str">
            <v>0</v>
          </cell>
          <cell r="G165" t="str">
            <v>01</v>
          </cell>
          <cell r="H165">
            <v>20340</v>
          </cell>
          <cell r="I165">
            <v>4093.43</v>
          </cell>
          <cell r="J165">
            <v>0</v>
          </cell>
          <cell r="K165">
            <v>1.1399999999999999</v>
          </cell>
          <cell r="L165" t="str">
            <v>23</v>
          </cell>
          <cell r="M165" t="str">
            <v>41000</v>
          </cell>
          <cell r="N165" t="str">
            <v>14 2922200</v>
          </cell>
          <cell r="O165" t="str">
            <v>067</v>
          </cell>
          <cell r="P165">
            <v>3.5</v>
          </cell>
          <cell r="Q165">
            <v>0</v>
          </cell>
          <cell r="R165" t="str">
            <v>1</v>
          </cell>
          <cell r="S165" t="str">
            <v>41</v>
          </cell>
          <cell r="T165">
            <v>89</v>
          </cell>
          <cell r="U165">
            <v>3</v>
          </cell>
          <cell r="V165">
            <v>89</v>
          </cell>
          <cell r="W165">
            <v>3</v>
          </cell>
          <cell r="X165">
            <v>89</v>
          </cell>
          <cell r="AF165" t="str">
            <v>00</v>
          </cell>
          <cell r="AI165">
            <v>17791488</v>
          </cell>
          <cell r="AJ165">
            <v>5448643.2000000002</v>
          </cell>
        </row>
        <row r="166">
          <cell r="A166" t="str">
            <v>02</v>
          </cell>
          <cell r="B166" t="str">
            <v>71</v>
          </cell>
          <cell r="C166" t="str">
            <v>2516</v>
          </cell>
          <cell r="D166" t="str">
            <v>Пресс-ножницы</v>
          </cell>
          <cell r="G166" t="str">
            <v>01</v>
          </cell>
          <cell r="H166">
            <v>34250</v>
          </cell>
          <cell r="I166">
            <v>13485.94</v>
          </cell>
          <cell r="J166">
            <v>0</v>
          </cell>
          <cell r="K166">
            <v>0.97</v>
          </cell>
          <cell r="L166" t="str">
            <v>23</v>
          </cell>
          <cell r="M166" t="str">
            <v>41000</v>
          </cell>
          <cell r="N166" t="str">
            <v>14 2922250</v>
          </cell>
          <cell r="O166" t="str">
            <v>067</v>
          </cell>
          <cell r="P166">
            <v>3.5</v>
          </cell>
          <cell r="Q166">
            <v>0</v>
          </cell>
          <cell r="R166" t="str">
            <v>1</v>
          </cell>
          <cell r="S166" t="str">
            <v>41</v>
          </cell>
          <cell r="T166">
            <v>83</v>
          </cell>
          <cell r="U166">
            <v>9</v>
          </cell>
          <cell r="V166">
            <v>83</v>
          </cell>
          <cell r="W166">
            <v>9</v>
          </cell>
          <cell r="X166">
            <v>83</v>
          </cell>
          <cell r="AF166" t="str">
            <v>00</v>
          </cell>
          <cell r="AI166">
            <v>35304984</v>
          </cell>
          <cell r="AJ166">
            <v>17608360.77</v>
          </cell>
        </row>
        <row r="167">
          <cell r="A167" t="str">
            <v>02</v>
          </cell>
          <cell r="B167" t="str">
            <v>55</v>
          </cell>
          <cell r="C167" t="str">
            <v>2524</v>
          </cell>
          <cell r="D167" t="str">
            <v>Резервуар УТК 05/025</v>
          </cell>
          <cell r="G167" t="str">
            <v>01</v>
          </cell>
          <cell r="H167">
            <v>35800</v>
          </cell>
          <cell r="I167">
            <v>10525.2</v>
          </cell>
          <cell r="J167">
            <v>0</v>
          </cell>
          <cell r="K167">
            <v>1.03</v>
          </cell>
          <cell r="L167" t="str">
            <v>26</v>
          </cell>
          <cell r="M167" t="str">
            <v>20236</v>
          </cell>
          <cell r="N167" t="str">
            <v>12 2812000</v>
          </cell>
          <cell r="O167" t="str">
            <v>03</v>
          </cell>
          <cell r="P167">
            <v>2.8</v>
          </cell>
          <cell r="Q167">
            <v>0</v>
          </cell>
          <cell r="R167" t="str">
            <v>1</v>
          </cell>
          <cell r="S167" t="str">
            <v>20</v>
          </cell>
          <cell r="T167">
            <v>84</v>
          </cell>
          <cell r="U167">
            <v>6</v>
          </cell>
          <cell r="V167">
            <v>84</v>
          </cell>
          <cell r="W167">
            <v>6</v>
          </cell>
          <cell r="X167">
            <v>84</v>
          </cell>
          <cell r="AF167" t="str">
            <v>00</v>
          </cell>
          <cell r="AI167">
            <v>34899200</v>
          </cell>
          <cell r="AJ167">
            <v>13191898.08</v>
          </cell>
        </row>
        <row r="168">
          <cell r="A168" t="str">
            <v>02</v>
          </cell>
          <cell r="B168" t="str">
            <v>71</v>
          </cell>
          <cell r="C168" t="str">
            <v>2525</v>
          </cell>
          <cell r="D168" t="str">
            <v>Сверлил.станок</v>
          </cell>
          <cell r="G168" t="str">
            <v>01</v>
          </cell>
          <cell r="H168">
            <v>7719</v>
          </cell>
          <cell r="I168">
            <v>3782.31</v>
          </cell>
          <cell r="J168">
            <v>0</v>
          </cell>
          <cell r="K168">
            <v>0.66</v>
          </cell>
          <cell r="L168" t="str">
            <v>23</v>
          </cell>
          <cell r="M168" t="str">
            <v>41000</v>
          </cell>
          <cell r="N168" t="str">
            <v>14 2922111</v>
          </cell>
          <cell r="O168" t="str">
            <v>067</v>
          </cell>
          <cell r="P168">
            <v>3.5</v>
          </cell>
          <cell r="Q168">
            <v>0</v>
          </cell>
          <cell r="R168" t="str">
            <v>1</v>
          </cell>
          <cell r="S168" t="str">
            <v>41</v>
          </cell>
          <cell r="T168">
            <v>80</v>
          </cell>
          <cell r="U168">
            <v>12</v>
          </cell>
          <cell r="V168">
            <v>80</v>
          </cell>
          <cell r="W168">
            <v>12</v>
          </cell>
          <cell r="X168">
            <v>80</v>
          </cell>
          <cell r="AF168" t="str">
            <v>00</v>
          </cell>
          <cell r="AI168">
            <v>11732723</v>
          </cell>
          <cell r="AJ168">
            <v>6980969.7999999998</v>
          </cell>
        </row>
        <row r="169">
          <cell r="A169" t="str">
            <v>02</v>
          </cell>
          <cell r="B169" t="str">
            <v>71</v>
          </cell>
          <cell r="C169" t="str">
            <v>2527</v>
          </cell>
          <cell r="D169" t="str">
            <v>Установка для мойки</v>
          </cell>
          <cell r="E169" t="str">
            <v>деталей</v>
          </cell>
          <cell r="G169" t="str">
            <v>01</v>
          </cell>
          <cell r="H169">
            <v>3860</v>
          </cell>
          <cell r="I169">
            <v>2621.9</v>
          </cell>
          <cell r="J169">
            <v>0</v>
          </cell>
          <cell r="K169">
            <v>0.92</v>
          </cell>
          <cell r="L169" t="str">
            <v>23</v>
          </cell>
          <cell r="M169" t="str">
            <v>46115</v>
          </cell>
          <cell r="N169" t="str">
            <v>14 3740102</v>
          </cell>
          <cell r="O169" t="str">
            <v>067</v>
          </cell>
          <cell r="P169">
            <v>14.3</v>
          </cell>
          <cell r="Q169">
            <v>0</v>
          </cell>
          <cell r="R169" t="str">
            <v>1</v>
          </cell>
          <cell r="S169" t="str">
            <v>46</v>
          </cell>
          <cell r="T169">
            <v>90</v>
          </cell>
          <cell r="U169">
            <v>3</v>
          </cell>
          <cell r="V169">
            <v>90</v>
          </cell>
          <cell r="W169">
            <v>3</v>
          </cell>
          <cell r="X169">
            <v>90</v>
          </cell>
          <cell r="AF169" t="str">
            <v>00</v>
          </cell>
          <cell r="AI169">
            <v>4181000</v>
          </cell>
          <cell r="AJ169">
            <v>4181000</v>
          </cell>
        </row>
        <row r="170">
          <cell r="A170" t="str">
            <v>02</v>
          </cell>
          <cell r="B170" t="str">
            <v>05</v>
          </cell>
          <cell r="C170" t="str">
            <v>2539</v>
          </cell>
          <cell r="D170" t="str">
            <v>Катер Р-376 1524</v>
          </cell>
          <cell r="E170" t="str">
            <v>/Сосновский судостр.</v>
          </cell>
          <cell r="F170" t="str">
            <v>завод /</v>
          </cell>
          <cell r="G170" t="str">
            <v>01</v>
          </cell>
          <cell r="H170">
            <v>226430.84</v>
          </cell>
          <cell r="I170">
            <v>201372.49</v>
          </cell>
          <cell r="J170">
            <v>0</v>
          </cell>
          <cell r="K170">
            <v>1.1499999999999999</v>
          </cell>
          <cell r="L170" t="str">
            <v>20</v>
          </cell>
          <cell r="M170" t="str">
            <v>50202</v>
          </cell>
          <cell r="N170" t="str">
            <v>15 3511225</v>
          </cell>
          <cell r="O170" t="str">
            <v>075</v>
          </cell>
          <cell r="P170">
            <v>4.5999999999999996</v>
          </cell>
          <cell r="Q170">
            <v>0</v>
          </cell>
          <cell r="R170" t="str">
            <v>1</v>
          </cell>
          <cell r="S170" t="str">
            <v>50</v>
          </cell>
          <cell r="T170">
            <v>75</v>
          </cell>
          <cell r="U170">
            <v>8</v>
          </cell>
          <cell r="V170">
            <v>75</v>
          </cell>
          <cell r="W170">
            <v>8</v>
          </cell>
          <cell r="X170">
            <v>75</v>
          </cell>
          <cell r="AF170" t="str">
            <v>00</v>
          </cell>
          <cell r="AI170">
            <v>196896380</v>
          </cell>
          <cell r="AJ170">
            <v>196896380</v>
          </cell>
        </row>
        <row r="171">
          <cell r="A171" t="str">
            <v>02</v>
          </cell>
          <cell r="B171" t="str">
            <v>05</v>
          </cell>
          <cell r="C171" t="str">
            <v>2540</v>
          </cell>
          <cell r="D171" t="str">
            <v>Водолазный бот РВ-19</v>
          </cell>
          <cell r="E171" t="str">
            <v>30/ Сосновский судос</v>
          </cell>
          <cell r="F171" t="str">
            <v>троит.з-д/</v>
          </cell>
          <cell r="G171" t="str">
            <v>01</v>
          </cell>
          <cell r="H171">
            <v>302939.57</v>
          </cell>
          <cell r="I171">
            <v>302939.57</v>
          </cell>
          <cell r="J171">
            <v>0</v>
          </cell>
          <cell r="K171">
            <v>1.1499999999999999</v>
          </cell>
          <cell r="L171" t="str">
            <v>20</v>
          </cell>
          <cell r="M171" t="str">
            <v>42402</v>
          </cell>
          <cell r="N171" t="str">
            <v>15 3511232</v>
          </cell>
          <cell r="O171" t="str">
            <v>067</v>
          </cell>
          <cell r="P171">
            <v>5.6</v>
          </cell>
          <cell r="Q171">
            <v>0</v>
          </cell>
          <cell r="R171" t="str">
            <v>1</v>
          </cell>
          <cell r="S171" t="str">
            <v>42</v>
          </cell>
          <cell r="T171">
            <v>72</v>
          </cell>
          <cell r="U171">
            <v>2</v>
          </cell>
          <cell r="V171">
            <v>72</v>
          </cell>
          <cell r="W171">
            <v>2</v>
          </cell>
          <cell r="X171">
            <v>72</v>
          </cell>
          <cell r="AF171" t="str">
            <v>00</v>
          </cell>
          <cell r="AI171">
            <v>263425713</v>
          </cell>
          <cell r="AJ171">
            <v>263425713</v>
          </cell>
        </row>
        <row r="172">
          <cell r="A172" t="str">
            <v>02</v>
          </cell>
          <cell r="B172" t="str">
            <v>05</v>
          </cell>
          <cell r="C172" t="str">
            <v>2542</v>
          </cell>
          <cell r="D172" t="str">
            <v>Баржа-площадка N 1</v>
          </cell>
          <cell r="G172" t="str">
            <v>01</v>
          </cell>
          <cell r="H172">
            <v>212416.78</v>
          </cell>
          <cell r="I172">
            <v>212416.78</v>
          </cell>
          <cell r="J172">
            <v>0</v>
          </cell>
          <cell r="K172">
            <v>1.1499999999999999</v>
          </cell>
          <cell r="L172" t="str">
            <v>20</v>
          </cell>
          <cell r="M172" t="str">
            <v>50219</v>
          </cell>
          <cell r="N172" t="str">
            <v>15 3511242</v>
          </cell>
          <cell r="O172" t="str">
            <v>075</v>
          </cell>
          <cell r="P172">
            <v>4.5</v>
          </cell>
          <cell r="Q172">
            <v>0</v>
          </cell>
          <cell r="R172" t="str">
            <v>1</v>
          </cell>
          <cell r="S172" t="str">
            <v>50</v>
          </cell>
          <cell r="T172">
            <v>72</v>
          </cell>
          <cell r="U172">
            <v>8</v>
          </cell>
          <cell r="V172">
            <v>72</v>
          </cell>
          <cell r="W172">
            <v>8</v>
          </cell>
          <cell r="X172">
            <v>72</v>
          </cell>
          <cell r="AF172" t="str">
            <v>00</v>
          </cell>
          <cell r="AI172">
            <v>184710240</v>
          </cell>
          <cell r="AJ172">
            <v>184710240</v>
          </cell>
        </row>
        <row r="173">
          <cell r="A173" t="str">
            <v>02</v>
          </cell>
          <cell r="B173" t="str">
            <v>70</v>
          </cell>
          <cell r="C173" t="str">
            <v>2589</v>
          </cell>
          <cell r="D173" t="str">
            <v>Трубоукладчик Т-12-2</v>
          </cell>
          <cell r="E173" t="str">
            <v>4</v>
          </cell>
          <cell r="G173" t="str">
            <v>01</v>
          </cell>
          <cell r="H173">
            <v>268920</v>
          </cell>
          <cell r="I173">
            <v>107568</v>
          </cell>
          <cell r="J173">
            <v>0</v>
          </cell>
          <cell r="K173">
            <v>1.04</v>
          </cell>
          <cell r="L173" t="str">
            <v>20</v>
          </cell>
          <cell r="M173" t="str">
            <v>41723</v>
          </cell>
          <cell r="N173" t="str">
            <v>14 2915246</v>
          </cell>
          <cell r="O173" t="str">
            <v>067</v>
          </cell>
          <cell r="P173">
            <v>10</v>
          </cell>
          <cell r="Q173">
            <v>0</v>
          </cell>
          <cell r="R173" t="str">
            <v>1</v>
          </cell>
          <cell r="S173" t="str">
            <v>41</v>
          </cell>
          <cell r="T173">
            <v>0</v>
          </cell>
          <cell r="U173">
            <v>12</v>
          </cell>
          <cell r="V173">
            <v>90</v>
          </cell>
          <cell r="W173">
            <v>12</v>
          </cell>
          <cell r="X173">
            <v>90</v>
          </cell>
          <cell r="AB173" t="str">
            <v>14</v>
          </cell>
          <cell r="AC173">
            <v>10</v>
          </cell>
          <cell r="AF173" t="str">
            <v>00</v>
          </cell>
          <cell r="AI173">
            <v>257777778</v>
          </cell>
          <cell r="AJ173">
            <v>180444444.59999999</v>
          </cell>
        </row>
        <row r="174">
          <cell r="A174" t="str">
            <v>02</v>
          </cell>
          <cell r="B174" t="str">
            <v>05</v>
          </cell>
          <cell r="C174" t="str">
            <v>2595</v>
          </cell>
          <cell r="D174" t="str">
            <v>Будка КуМГ /ЗИЛ-131/</v>
          </cell>
          <cell r="G174" t="str">
            <v>01</v>
          </cell>
          <cell r="H174">
            <v>11100</v>
          </cell>
          <cell r="I174">
            <v>7631.21</v>
          </cell>
          <cell r="J174">
            <v>0</v>
          </cell>
          <cell r="K174">
            <v>0.92</v>
          </cell>
          <cell r="L174" t="str">
            <v>20</v>
          </cell>
          <cell r="M174" t="str">
            <v>10010</v>
          </cell>
          <cell r="N174" t="str">
            <v>13 2022231</v>
          </cell>
          <cell r="O174" t="str">
            <v>01</v>
          </cell>
          <cell r="P174">
            <v>12.5</v>
          </cell>
          <cell r="Q174">
            <v>0</v>
          </cell>
          <cell r="R174" t="str">
            <v>1</v>
          </cell>
          <cell r="S174" t="str">
            <v>10</v>
          </cell>
          <cell r="T174">
            <v>89</v>
          </cell>
          <cell r="U174">
            <v>6</v>
          </cell>
          <cell r="V174">
            <v>89</v>
          </cell>
          <cell r="W174">
            <v>6</v>
          </cell>
          <cell r="X174">
            <v>89</v>
          </cell>
          <cell r="AF174" t="str">
            <v>00</v>
          </cell>
          <cell r="AI174">
            <v>12031040</v>
          </cell>
          <cell r="AJ174">
            <v>12031040</v>
          </cell>
        </row>
        <row r="175">
          <cell r="A175" t="str">
            <v>02</v>
          </cell>
          <cell r="B175" t="str">
            <v>05</v>
          </cell>
          <cell r="C175" t="str">
            <v>2596</v>
          </cell>
          <cell r="D175" t="str">
            <v>Лодка "Казанка"</v>
          </cell>
          <cell r="G175" t="str">
            <v>01</v>
          </cell>
          <cell r="H175">
            <v>3800</v>
          </cell>
          <cell r="I175">
            <v>2736</v>
          </cell>
          <cell r="J175">
            <v>0</v>
          </cell>
          <cell r="K175">
            <v>0.56999999999999995</v>
          </cell>
          <cell r="L175" t="str">
            <v>20</v>
          </cell>
          <cell r="M175" t="str">
            <v>50224</v>
          </cell>
          <cell r="N175" t="str">
            <v>15 3511230</v>
          </cell>
          <cell r="O175" t="str">
            <v>075</v>
          </cell>
          <cell r="P175">
            <v>12</v>
          </cell>
          <cell r="Q175">
            <v>0</v>
          </cell>
          <cell r="R175" t="str">
            <v>1</v>
          </cell>
          <cell r="S175" t="str">
            <v>50</v>
          </cell>
          <cell r="T175">
            <v>88</v>
          </cell>
          <cell r="U175">
            <v>12</v>
          </cell>
          <cell r="V175">
            <v>88</v>
          </cell>
          <cell r="W175">
            <v>12</v>
          </cell>
          <cell r="X175">
            <v>88</v>
          </cell>
          <cell r="AF175" t="str">
            <v>00</v>
          </cell>
          <cell r="AI175">
            <v>6631373</v>
          </cell>
          <cell r="AJ175">
            <v>6631373</v>
          </cell>
        </row>
        <row r="176">
          <cell r="A176" t="str">
            <v>02</v>
          </cell>
          <cell r="B176" t="str">
            <v>05</v>
          </cell>
          <cell r="C176" t="str">
            <v>2600</v>
          </cell>
          <cell r="D176" t="str">
            <v>Шаланда СШ-20</v>
          </cell>
          <cell r="G176" t="str">
            <v>01</v>
          </cell>
          <cell r="H176">
            <v>95535.29</v>
          </cell>
          <cell r="I176">
            <v>61739.68</v>
          </cell>
          <cell r="J176">
            <v>0</v>
          </cell>
          <cell r="K176">
            <v>1.23</v>
          </cell>
          <cell r="L176" t="str">
            <v>20</v>
          </cell>
          <cell r="M176" t="str">
            <v>45503</v>
          </cell>
          <cell r="N176" t="str">
            <v>15 2947192</v>
          </cell>
          <cell r="O176" t="str">
            <v>067</v>
          </cell>
          <cell r="P176">
            <v>4.7</v>
          </cell>
          <cell r="Q176">
            <v>0</v>
          </cell>
          <cell r="R176" t="str">
            <v>1</v>
          </cell>
          <cell r="S176" t="str">
            <v>45</v>
          </cell>
          <cell r="T176">
            <v>81</v>
          </cell>
          <cell r="U176">
            <v>3</v>
          </cell>
          <cell r="V176">
            <v>81</v>
          </cell>
          <cell r="W176">
            <v>3</v>
          </cell>
          <cell r="X176">
            <v>81</v>
          </cell>
          <cell r="AF176" t="str">
            <v>00</v>
          </cell>
          <cell r="AI176">
            <v>77670965</v>
          </cell>
          <cell r="AJ176">
            <v>61146467.280000001</v>
          </cell>
        </row>
        <row r="177">
          <cell r="A177" t="str">
            <v>02</v>
          </cell>
          <cell r="B177" t="str">
            <v>05</v>
          </cell>
          <cell r="C177" t="str">
            <v>2603</v>
          </cell>
          <cell r="D177" t="str">
            <v>Станция насосная СНП</v>
          </cell>
          <cell r="E177" t="str">
            <v xml:space="preserve"> 100х80</v>
          </cell>
          <cell r="G177" t="str">
            <v>01</v>
          </cell>
          <cell r="H177">
            <v>26278</v>
          </cell>
          <cell r="I177">
            <v>17244.91</v>
          </cell>
          <cell r="J177">
            <v>0</v>
          </cell>
          <cell r="K177">
            <v>0.89</v>
          </cell>
          <cell r="L177" t="str">
            <v>20</v>
          </cell>
          <cell r="M177" t="str">
            <v>42405</v>
          </cell>
          <cell r="N177" t="str">
            <v>14 2912000</v>
          </cell>
          <cell r="O177" t="str">
            <v>067</v>
          </cell>
          <cell r="P177">
            <v>12.5</v>
          </cell>
          <cell r="Q177">
            <v>0</v>
          </cell>
          <cell r="R177" t="str">
            <v>1</v>
          </cell>
          <cell r="S177" t="str">
            <v>42</v>
          </cell>
          <cell r="T177">
            <v>89</v>
          </cell>
          <cell r="U177">
            <v>9</v>
          </cell>
          <cell r="V177">
            <v>89</v>
          </cell>
          <cell r="W177">
            <v>9</v>
          </cell>
          <cell r="X177">
            <v>89</v>
          </cell>
          <cell r="AF177" t="str">
            <v>00</v>
          </cell>
          <cell r="AI177">
            <v>29617652</v>
          </cell>
          <cell r="AJ177">
            <v>29617652</v>
          </cell>
        </row>
        <row r="178">
          <cell r="A178" t="str">
            <v>02</v>
          </cell>
          <cell r="B178" t="str">
            <v>05</v>
          </cell>
          <cell r="C178" t="str">
            <v>2612</v>
          </cell>
          <cell r="D178" t="str">
            <v>Катер "Волга" на П/К</v>
          </cell>
          <cell r="E178" t="str">
            <v>Гомель</v>
          </cell>
          <cell r="G178" t="str">
            <v>01</v>
          </cell>
          <cell r="H178">
            <v>71877.55</v>
          </cell>
          <cell r="I178">
            <v>32344.9</v>
          </cell>
          <cell r="J178">
            <v>0</v>
          </cell>
          <cell r="K178">
            <v>1.23</v>
          </cell>
          <cell r="L178" t="str">
            <v>20</v>
          </cell>
          <cell r="M178" t="str">
            <v>50215</v>
          </cell>
          <cell r="N178" t="str">
            <v>15 3511236</v>
          </cell>
          <cell r="O178" t="str">
            <v>075</v>
          </cell>
          <cell r="P178">
            <v>4.5</v>
          </cell>
          <cell r="Q178">
            <v>0</v>
          </cell>
          <cell r="R178" t="str">
            <v>1</v>
          </cell>
          <cell r="S178" t="str">
            <v>50</v>
          </cell>
          <cell r="T178">
            <v>84</v>
          </cell>
          <cell r="U178">
            <v>12</v>
          </cell>
          <cell r="V178">
            <v>84</v>
          </cell>
          <cell r="W178">
            <v>12</v>
          </cell>
          <cell r="X178">
            <v>84</v>
          </cell>
          <cell r="AF178" t="str">
            <v>00</v>
          </cell>
          <cell r="AI178">
            <v>58437032</v>
          </cell>
          <cell r="AJ178">
            <v>34185663.719999999</v>
          </cell>
        </row>
        <row r="179">
          <cell r="A179" t="str">
            <v>02</v>
          </cell>
          <cell r="B179" t="str">
            <v>05</v>
          </cell>
          <cell r="C179" t="str">
            <v>2613</v>
          </cell>
          <cell r="D179" t="str">
            <v>Катер на подводных к</v>
          </cell>
          <cell r="E179" t="str">
            <v>рыльях</v>
          </cell>
          <cell r="F179" t="str">
            <v>Гомель</v>
          </cell>
          <cell r="G179" t="str">
            <v>01</v>
          </cell>
          <cell r="H179">
            <v>81591.38</v>
          </cell>
          <cell r="I179">
            <v>36716.120000000003</v>
          </cell>
          <cell r="J179">
            <v>0</v>
          </cell>
          <cell r="K179">
            <v>1.23</v>
          </cell>
          <cell r="L179" t="str">
            <v>20</v>
          </cell>
          <cell r="M179" t="str">
            <v>50215</v>
          </cell>
          <cell r="N179" t="str">
            <v>15 3511236</v>
          </cell>
          <cell r="O179" t="str">
            <v>075</v>
          </cell>
          <cell r="P179">
            <v>4.5</v>
          </cell>
          <cell r="Q179">
            <v>0</v>
          </cell>
          <cell r="R179" t="str">
            <v>1</v>
          </cell>
          <cell r="S179" t="str">
            <v>50</v>
          </cell>
          <cell r="T179">
            <v>84</v>
          </cell>
          <cell r="U179">
            <v>12</v>
          </cell>
          <cell r="V179">
            <v>84</v>
          </cell>
          <cell r="W179">
            <v>12</v>
          </cell>
          <cell r="X179">
            <v>84</v>
          </cell>
          <cell r="AF179" t="str">
            <v>00</v>
          </cell>
          <cell r="AI179">
            <v>66334451</v>
          </cell>
          <cell r="AJ179">
            <v>38805653.670000002</v>
          </cell>
        </row>
        <row r="180">
          <cell r="A180" t="str">
            <v>02</v>
          </cell>
          <cell r="B180" t="str">
            <v>05</v>
          </cell>
          <cell r="C180" t="str">
            <v>2617</v>
          </cell>
          <cell r="D180" t="str">
            <v>Дальномер</v>
          </cell>
          <cell r="G180" t="str">
            <v>01</v>
          </cell>
          <cell r="H180">
            <v>83333</v>
          </cell>
          <cell r="I180">
            <v>42999.83</v>
          </cell>
          <cell r="J180">
            <v>0</v>
          </cell>
          <cell r="K180">
            <v>0.98</v>
          </cell>
          <cell r="L180" t="str">
            <v>20</v>
          </cell>
          <cell r="M180" t="str">
            <v>47034</v>
          </cell>
          <cell r="N180" t="str">
            <v>14 3915230</v>
          </cell>
          <cell r="O180" t="str">
            <v>063</v>
          </cell>
          <cell r="P180">
            <v>12.9</v>
          </cell>
          <cell r="Q180">
            <v>0</v>
          </cell>
          <cell r="R180" t="str">
            <v>1</v>
          </cell>
          <cell r="S180" t="str">
            <v>47</v>
          </cell>
          <cell r="T180">
            <v>90</v>
          </cell>
          <cell r="U180">
            <v>12</v>
          </cell>
          <cell r="V180">
            <v>90</v>
          </cell>
          <cell r="W180">
            <v>12</v>
          </cell>
          <cell r="X180">
            <v>90</v>
          </cell>
          <cell r="AF180" t="str">
            <v>00</v>
          </cell>
          <cell r="AI180">
            <v>85444632</v>
          </cell>
          <cell r="AJ180">
            <v>77156502.579999998</v>
          </cell>
        </row>
        <row r="181">
          <cell r="A181" t="str">
            <v>02</v>
          </cell>
          <cell r="B181" t="str">
            <v>41</v>
          </cell>
          <cell r="C181" t="str">
            <v>2618</v>
          </cell>
          <cell r="D181" t="str">
            <v>Фотоувеличитель "Азо</v>
          </cell>
          <cell r="E181" t="str">
            <v>в"</v>
          </cell>
          <cell r="G181" t="str">
            <v>01</v>
          </cell>
          <cell r="H181">
            <v>275</v>
          </cell>
          <cell r="I181">
            <v>165.55</v>
          </cell>
          <cell r="J181">
            <v>0</v>
          </cell>
          <cell r="K181">
            <v>0.04</v>
          </cell>
          <cell r="L181" t="str">
            <v>20</v>
          </cell>
          <cell r="M181" t="str">
            <v>45904</v>
          </cell>
          <cell r="N181" t="str">
            <v>14 3322330</v>
          </cell>
          <cell r="O181" t="str">
            <v>067</v>
          </cell>
          <cell r="P181">
            <v>8.4</v>
          </cell>
          <cell r="Q181">
            <v>0</v>
          </cell>
          <cell r="R181" t="str">
            <v>1</v>
          </cell>
          <cell r="S181" t="str">
            <v>45</v>
          </cell>
          <cell r="T181">
            <v>87</v>
          </cell>
          <cell r="U181">
            <v>10</v>
          </cell>
          <cell r="V181">
            <v>87</v>
          </cell>
          <cell r="W181">
            <v>10</v>
          </cell>
          <cell r="X181">
            <v>87</v>
          </cell>
          <cell r="AF181" t="str">
            <v>00</v>
          </cell>
          <cell r="AI181">
            <v>6307891</v>
          </cell>
          <cell r="AJ181">
            <v>5386938.5300000003</v>
          </cell>
        </row>
        <row r="182">
          <cell r="A182" t="str">
            <v>02</v>
          </cell>
          <cell r="B182" t="str">
            <v>03</v>
          </cell>
          <cell r="C182" t="str">
            <v>2626</v>
          </cell>
          <cell r="D182" t="str">
            <v>Щит ЩПТ 4/200 649</v>
          </cell>
          <cell r="G182" t="str">
            <v>01</v>
          </cell>
          <cell r="H182">
            <v>6140.73</v>
          </cell>
          <cell r="I182">
            <v>3352.84</v>
          </cell>
          <cell r="J182">
            <v>0</v>
          </cell>
          <cell r="K182">
            <v>1.17</v>
          </cell>
          <cell r="L182" t="str">
            <v>26</v>
          </cell>
          <cell r="M182" t="str">
            <v>40702</v>
          </cell>
          <cell r="N182" t="str">
            <v>14 3120390</v>
          </cell>
          <cell r="O182" t="str">
            <v>067</v>
          </cell>
          <cell r="P182">
            <v>9.1</v>
          </cell>
          <cell r="Q182">
            <v>0</v>
          </cell>
          <cell r="R182" t="str">
            <v>1</v>
          </cell>
          <cell r="S182" t="str">
            <v>40</v>
          </cell>
          <cell r="T182">
            <v>88</v>
          </cell>
          <cell r="U182">
            <v>12</v>
          </cell>
          <cell r="V182">
            <v>88</v>
          </cell>
          <cell r="W182">
            <v>12</v>
          </cell>
          <cell r="X182">
            <v>88</v>
          </cell>
          <cell r="AF182" t="str">
            <v>00</v>
          </cell>
          <cell r="AI182">
            <v>5248489</v>
          </cell>
          <cell r="AJ182">
            <v>4298512.3499999996</v>
          </cell>
        </row>
        <row r="183">
          <cell r="A183" t="str">
            <v>02</v>
          </cell>
          <cell r="B183" t="str">
            <v>05</v>
          </cell>
          <cell r="C183" t="str">
            <v>2628</v>
          </cell>
          <cell r="D183" t="str">
            <v>Эл.агрегат АВ-1</v>
          </cell>
          <cell r="G183" t="str">
            <v>01</v>
          </cell>
          <cell r="H183">
            <v>1631.5</v>
          </cell>
          <cell r="I183">
            <v>968.69</v>
          </cell>
          <cell r="J183">
            <v>0</v>
          </cell>
          <cell r="K183">
            <v>1.17</v>
          </cell>
          <cell r="L183" t="str">
            <v>20</v>
          </cell>
          <cell r="M183" t="str">
            <v>47016</v>
          </cell>
          <cell r="N183" t="str">
            <v>14 2947193</v>
          </cell>
          <cell r="O183" t="str">
            <v>063</v>
          </cell>
          <cell r="P183">
            <v>12.5</v>
          </cell>
          <cell r="Q183">
            <v>0</v>
          </cell>
          <cell r="R183" t="str">
            <v>1</v>
          </cell>
          <cell r="S183" t="str">
            <v>47</v>
          </cell>
          <cell r="T183">
            <v>90</v>
          </cell>
          <cell r="U183">
            <v>3</v>
          </cell>
          <cell r="V183">
            <v>90</v>
          </cell>
          <cell r="W183">
            <v>3</v>
          </cell>
          <cell r="X183">
            <v>90</v>
          </cell>
          <cell r="AB183" t="str">
            <v>14</v>
          </cell>
          <cell r="AC183">
            <v>9</v>
          </cell>
          <cell r="AF183" t="str">
            <v>00</v>
          </cell>
          <cell r="AI183">
            <v>1394440</v>
          </cell>
          <cell r="AJ183">
            <v>1350859</v>
          </cell>
        </row>
        <row r="184">
          <cell r="A184" t="str">
            <v>02</v>
          </cell>
          <cell r="B184" t="str">
            <v>08</v>
          </cell>
          <cell r="C184" t="str">
            <v>2629</v>
          </cell>
          <cell r="D184" t="str">
            <v>Рентгенотелевизионны</v>
          </cell>
          <cell r="E184" t="str">
            <v>й интерскоп РТ-60ТК</v>
          </cell>
          <cell r="G184" t="str">
            <v>01</v>
          </cell>
          <cell r="H184">
            <v>21000</v>
          </cell>
          <cell r="I184">
            <v>10374</v>
          </cell>
          <cell r="J184">
            <v>0</v>
          </cell>
          <cell r="K184">
            <v>1.04</v>
          </cell>
          <cell r="L184" t="str">
            <v>20</v>
          </cell>
          <cell r="M184" t="str">
            <v>47024</v>
          </cell>
          <cell r="N184" t="str">
            <v>14 3313341</v>
          </cell>
          <cell r="O184" t="str">
            <v>063</v>
          </cell>
          <cell r="P184">
            <v>10.4</v>
          </cell>
          <cell r="Q184">
            <v>0</v>
          </cell>
          <cell r="R184" t="str">
            <v>1</v>
          </cell>
          <cell r="S184" t="str">
            <v>47</v>
          </cell>
          <cell r="T184">
            <v>90</v>
          </cell>
          <cell r="U184">
            <v>3</v>
          </cell>
          <cell r="V184">
            <v>90</v>
          </cell>
          <cell r="W184">
            <v>3</v>
          </cell>
          <cell r="X184">
            <v>90</v>
          </cell>
          <cell r="AF184" t="str">
            <v>00</v>
          </cell>
          <cell r="AG184">
            <v>20250000</v>
          </cell>
          <cell r="AI184">
            <v>20250000</v>
          </cell>
          <cell r="AJ184">
            <v>16321500</v>
          </cell>
        </row>
        <row r="185">
          <cell r="A185" t="str">
            <v>02</v>
          </cell>
          <cell r="B185" t="str">
            <v>41</v>
          </cell>
          <cell r="C185" t="str">
            <v>2630</v>
          </cell>
          <cell r="D185" t="str">
            <v>ЭВМ "Электроника"</v>
          </cell>
          <cell r="G185" t="str">
            <v>01</v>
          </cell>
          <cell r="H185">
            <v>1800</v>
          </cell>
          <cell r="I185">
            <v>765</v>
          </cell>
          <cell r="J185">
            <v>0</v>
          </cell>
          <cell r="K185">
            <v>0.27</v>
          </cell>
          <cell r="L185" t="str">
            <v>20</v>
          </cell>
          <cell r="M185" t="str">
            <v>48000</v>
          </cell>
          <cell r="N185" t="str">
            <v>14 3020206</v>
          </cell>
          <cell r="O185" t="str">
            <v>063</v>
          </cell>
          <cell r="P185">
            <v>10</v>
          </cell>
          <cell r="Q185">
            <v>0</v>
          </cell>
          <cell r="R185" t="str">
            <v>1</v>
          </cell>
          <cell r="S185" t="str">
            <v>48</v>
          </cell>
          <cell r="T185">
            <v>90</v>
          </cell>
          <cell r="U185">
            <v>9</v>
          </cell>
          <cell r="V185">
            <v>90</v>
          </cell>
          <cell r="W185">
            <v>9</v>
          </cell>
          <cell r="X185">
            <v>90</v>
          </cell>
          <cell r="AF185" t="str">
            <v>00</v>
          </cell>
          <cell r="AI185">
            <v>6707291</v>
          </cell>
          <cell r="AJ185">
            <v>4862784.3</v>
          </cell>
        </row>
        <row r="186">
          <cell r="A186" t="str">
            <v>02</v>
          </cell>
          <cell r="B186" t="str">
            <v>41</v>
          </cell>
          <cell r="C186" t="str">
            <v>2633</v>
          </cell>
          <cell r="D186" t="str">
            <v>Прибор ИТТ-10 НК</v>
          </cell>
          <cell r="G186" t="str">
            <v>01</v>
          </cell>
          <cell r="H186">
            <v>4896</v>
          </cell>
          <cell r="I186">
            <v>2376.19</v>
          </cell>
          <cell r="J186">
            <v>0</v>
          </cell>
          <cell r="K186">
            <v>0.72</v>
          </cell>
          <cell r="L186" t="str">
            <v>20</v>
          </cell>
          <cell r="M186" t="str">
            <v>47024</v>
          </cell>
          <cell r="N186" t="str">
            <v>14 3313366</v>
          </cell>
          <cell r="O186" t="str">
            <v>063</v>
          </cell>
          <cell r="P186">
            <v>10.4</v>
          </cell>
          <cell r="Q186">
            <v>0</v>
          </cell>
          <cell r="R186" t="str">
            <v>1</v>
          </cell>
          <cell r="S186" t="str">
            <v>47</v>
          </cell>
          <cell r="T186">
            <v>90</v>
          </cell>
          <cell r="U186">
            <v>4</v>
          </cell>
          <cell r="V186">
            <v>90</v>
          </cell>
          <cell r="W186">
            <v>4</v>
          </cell>
          <cell r="X186">
            <v>90</v>
          </cell>
          <cell r="AF186" t="str">
            <v>00</v>
          </cell>
          <cell r="AI186">
            <v>6765859</v>
          </cell>
          <cell r="AJ186">
            <v>5394644.9199999999</v>
          </cell>
        </row>
        <row r="187">
          <cell r="A187" t="str">
            <v>02</v>
          </cell>
          <cell r="B187" t="str">
            <v>41</v>
          </cell>
          <cell r="C187" t="str">
            <v>2634</v>
          </cell>
          <cell r="D187" t="str">
            <v>Ренгенаппарат "Арина</v>
          </cell>
          <cell r="E187" t="str">
            <v>" 02М</v>
          </cell>
          <cell r="G187" t="str">
            <v>01</v>
          </cell>
          <cell r="H187">
            <v>6350</v>
          </cell>
          <cell r="I187">
            <v>2696.63</v>
          </cell>
          <cell r="J187">
            <v>0</v>
          </cell>
          <cell r="K187">
            <v>0.63</v>
          </cell>
          <cell r="L187" t="str">
            <v>20</v>
          </cell>
          <cell r="M187" t="str">
            <v>47024</v>
          </cell>
          <cell r="N187" t="str">
            <v>14 3313341</v>
          </cell>
          <cell r="O187" t="str">
            <v>063</v>
          </cell>
          <cell r="P187">
            <v>10.4</v>
          </cell>
          <cell r="Q187">
            <v>0</v>
          </cell>
          <cell r="R187" t="str">
            <v>1</v>
          </cell>
          <cell r="S187" t="str">
            <v>47</v>
          </cell>
          <cell r="T187">
            <v>90</v>
          </cell>
          <cell r="U187">
            <v>11</v>
          </cell>
          <cell r="V187">
            <v>90</v>
          </cell>
          <cell r="W187">
            <v>11</v>
          </cell>
          <cell r="X187">
            <v>90</v>
          </cell>
          <cell r="AF187" t="str">
            <v>00</v>
          </cell>
          <cell r="AI187">
            <v>10032407</v>
          </cell>
          <cell r="AJ187">
            <v>7390539.8200000003</v>
          </cell>
        </row>
        <row r="188">
          <cell r="A188" t="str">
            <v>02</v>
          </cell>
          <cell r="B188" t="str">
            <v>41</v>
          </cell>
          <cell r="C188" t="str">
            <v>2635</v>
          </cell>
          <cell r="D188" t="str">
            <v>Ренгенаппарат "Арина</v>
          </cell>
          <cell r="E188" t="str">
            <v>" 02М</v>
          </cell>
          <cell r="G188" t="str">
            <v>01</v>
          </cell>
          <cell r="H188">
            <v>6350</v>
          </cell>
          <cell r="I188">
            <v>2696.63</v>
          </cell>
          <cell r="J188">
            <v>0</v>
          </cell>
          <cell r="K188">
            <v>0.63</v>
          </cell>
          <cell r="L188" t="str">
            <v>20</v>
          </cell>
          <cell r="M188" t="str">
            <v>47024</v>
          </cell>
          <cell r="N188" t="str">
            <v>14 3313341</v>
          </cell>
          <cell r="O188" t="str">
            <v>063</v>
          </cell>
          <cell r="P188">
            <v>10.4</v>
          </cell>
          <cell r="Q188">
            <v>0</v>
          </cell>
          <cell r="R188" t="str">
            <v>1</v>
          </cell>
          <cell r="S188" t="str">
            <v>47</v>
          </cell>
          <cell r="T188">
            <v>90</v>
          </cell>
          <cell r="U188">
            <v>11</v>
          </cell>
          <cell r="V188">
            <v>90</v>
          </cell>
          <cell r="W188">
            <v>11</v>
          </cell>
          <cell r="X188">
            <v>90</v>
          </cell>
          <cell r="AF188" t="str">
            <v>00</v>
          </cell>
          <cell r="AI188">
            <v>10032407</v>
          </cell>
          <cell r="AJ188">
            <v>7390539.8200000003</v>
          </cell>
        </row>
        <row r="189">
          <cell r="A189" t="str">
            <v>02</v>
          </cell>
          <cell r="B189" t="str">
            <v>41</v>
          </cell>
          <cell r="C189" t="str">
            <v>2636</v>
          </cell>
          <cell r="D189" t="str">
            <v>Ренгенаппарат "Арина</v>
          </cell>
          <cell r="E189" t="str">
            <v xml:space="preserve"> "02М</v>
          </cell>
          <cell r="G189" t="str">
            <v>01</v>
          </cell>
          <cell r="H189">
            <v>6350</v>
          </cell>
          <cell r="I189">
            <v>2696.63</v>
          </cell>
          <cell r="J189">
            <v>0</v>
          </cell>
          <cell r="K189">
            <v>0.63</v>
          </cell>
          <cell r="L189" t="str">
            <v>20</v>
          </cell>
          <cell r="M189" t="str">
            <v>47024</v>
          </cell>
          <cell r="N189" t="str">
            <v>14 3313341</v>
          </cell>
          <cell r="O189" t="str">
            <v>063</v>
          </cell>
          <cell r="P189">
            <v>10.4</v>
          </cell>
          <cell r="Q189">
            <v>0</v>
          </cell>
          <cell r="R189" t="str">
            <v>1</v>
          </cell>
          <cell r="S189" t="str">
            <v>47</v>
          </cell>
          <cell r="T189">
            <v>90</v>
          </cell>
          <cell r="U189">
            <v>11</v>
          </cell>
          <cell r="V189">
            <v>90</v>
          </cell>
          <cell r="W189">
            <v>11</v>
          </cell>
          <cell r="X189">
            <v>90</v>
          </cell>
          <cell r="AF189" t="str">
            <v>00</v>
          </cell>
          <cell r="AI189">
            <v>10032407</v>
          </cell>
          <cell r="AJ189">
            <v>7390539.8200000003</v>
          </cell>
        </row>
        <row r="190">
          <cell r="A190" t="str">
            <v>02</v>
          </cell>
          <cell r="B190" t="str">
            <v>41</v>
          </cell>
          <cell r="C190" t="str">
            <v>2637</v>
          </cell>
          <cell r="D190" t="str">
            <v>Ренгенаппарат "Арина</v>
          </cell>
          <cell r="E190" t="str">
            <v>"</v>
          </cell>
          <cell r="G190" t="str">
            <v>01</v>
          </cell>
          <cell r="H190">
            <v>6200</v>
          </cell>
          <cell r="I190">
            <v>3062.8</v>
          </cell>
          <cell r="J190">
            <v>0</v>
          </cell>
          <cell r="K190">
            <v>0.3</v>
          </cell>
          <cell r="L190" t="str">
            <v>20</v>
          </cell>
          <cell r="M190" t="str">
            <v>47024</v>
          </cell>
          <cell r="N190" t="str">
            <v>14 3313341</v>
          </cell>
          <cell r="O190" t="str">
            <v>063</v>
          </cell>
          <cell r="P190">
            <v>10.4</v>
          </cell>
          <cell r="Q190">
            <v>0</v>
          </cell>
          <cell r="R190" t="str">
            <v>1</v>
          </cell>
          <cell r="S190" t="str">
            <v>47</v>
          </cell>
          <cell r="T190">
            <v>90</v>
          </cell>
          <cell r="U190">
            <v>3</v>
          </cell>
          <cell r="V190">
            <v>90</v>
          </cell>
          <cell r="W190">
            <v>3</v>
          </cell>
          <cell r="X190">
            <v>90</v>
          </cell>
          <cell r="AF190" t="str">
            <v>00</v>
          </cell>
          <cell r="AI190">
            <v>21015352</v>
          </cell>
          <cell r="AJ190">
            <v>16938373.710000001</v>
          </cell>
        </row>
        <row r="191">
          <cell r="A191" t="str">
            <v>02</v>
          </cell>
          <cell r="B191" t="str">
            <v>41</v>
          </cell>
          <cell r="C191" t="str">
            <v>2638</v>
          </cell>
          <cell r="D191" t="str">
            <v>Ренгенаппарат "Арина</v>
          </cell>
          <cell r="E191" t="str">
            <v>"</v>
          </cell>
          <cell r="G191" t="str">
            <v>01</v>
          </cell>
          <cell r="H191">
            <v>6200</v>
          </cell>
          <cell r="I191">
            <v>3062.8</v>
          </cell>
          <cell r="J191">
            <v>0</v>
          </cell>
          <cell r="K191">
            <v>0.3</v>
          </cell>
          <cell r="L191" t="str">
            <v>20</v>
          </cell>
          <cell r="M191" t="str">
            <v>47024</v>
          </cell>
          <cell r="N191" t="str">
            <v>14 3313341</v>
          </cell>
          <cell r="O191" t="str">
            <v>063</v>
          </cell>
          <cell r="P191">
            <v>10.4</v>
          </cell>
          <cell r="Q191">
            <v>0</v>
          </cell>
          <cell r="R191" t="str">
            <v>1</v>
          </cell>
          <cell r="S191" t="str">
            <v>47</v>
          </cell>
          <cell r="T191">
            <v>90</v>
          </cell>
          <cell r="U191">
            <v>3</v>
          </cell>
          <cell r="V191">
            <v>90</v>
          </cell>
          <cell r="W191">
            <v>3</v>
          </cell>
          <cell r="X191">
            <v>90</v>
          </cell>
          <cell r="AF191" t="str">
            <v>00</v>
          </cell>
          <cell r="AI191">
            <v>21015352</v>
          </cell>
          <cell r="AJ191">
            <v>16938373.710000001</v>
          </cell>
        </row>
        <row r="192">
          <cell r="A192" t="str">
            <v>02</v>
          </cell>
          <cell r="B192" t="str">
            <v>41</v>
          </cell>
          <cell r="C192" t="str">
            <v>2639</v>
          </cell>
          <cell r="D192" t="str">
            <v>Ренгенаппарат "Арина</v>
          </cell>
          <cell r="E192" t="str">
            <v>"</v>
          </cell>
          <cell r="G192" t="str">
            <v>01</v>
          </cell>
          <cell r="H192">
            <v>6200</v>
          </cell>
          <cell r="I192">
            <v>3062.8</v>
          </cell>
          <cell r="J192">
            <v>0</v>
          </cell>
          <cell r="K192">
            <v>0.3</v>
          </cell>
          <cell r="L192" t="str">
            <v>20</v>
          </cell>
          <cell r="M192" t="str">
            <v>47024</v>
          </cell>
          <cell r="N192" t="str">
            <v>14 3313341</v>
          </cell>
          <cell r="O192" t="str">
            <v>063</v>
          </cell>
          <cell r="P192">
            <v>10.4</v>
          </cell>
          <cell r="Q192">
            <v>0</v>
          </cell>
          <cell r="R192" t="str">
            <v>1</v>
          </cell>
          <cell r="S192" t="str">
            <v>47</v>
          </cell>
          <cell r="T192">
            <v>90</v>
          </cell>
          <cell r="U192">
            <v>3</v>
          </cell>
          <cell r="V192">
            <v>90</v>
          </cell>
          <cell r="W192">
            <v>3</v>
          </cell>
          <cell r="X192">
            <v>90</v>
          </cell>
          <cell r="AF192" t="str">
            <v>00</v>
          </cell>
          <cell r="AI192">
            <v>21015352</v>
          </cell>
          <cell r="AJ192">
            <v>16938373.710000001</v>
          </cell>
        </row>
        <row r="193">
          <cell r="A193" t="str">
            <v>02</v>
          </cell>
          <cell r="B193" t="str">
            <v>41</v>
          </cell>
          <cell r="C193" t="str">
            <v>2640</v>
          </cell>
          <cell r="D193" t="str">
            <v>Ренгенаппарат "Арина</v>
          </cell>
          <cell r="E193" t="str">
            <v>"</v>
          </cell>
          <cell r="G193" t="str">
            <v>01</v>
          </cell>
          <cell r="H193">
            <v>6200</v>
          </cell>
          <cell r="I193">
            <v>3062.8</v>
          </cell>
          <cell r="J193">
            <v>0</v>
          </cell>
          <cell r="K193">
            <v>0.3</v>
          </cell>
          <cell r="L193" t="str">
            <v>20</v>
          </cell>
          <cell r="M193" t="str">
            <v>47024</v>
          </cell>
          <cell r="N193" t="str">
            <v>14 3313341</v>
          </cell>
          <cell r="O193" t="str">
            <v>063</v>
          </cell>
          <cell r="P193">
            <v>10.4</v>
          </cell>
          <cell r="Q193">
            <v>0</v>
          </cell>
          <cell r="R193" t="str">
            <v>1</v>
          </cell>
          <cell r="S193" t="str">
            <v>47</v>
          </cell>
          <cell r="T193">
            <v>90</v>
          </cell>
          <cell r="U193">
            <v>3</v>
          </cell>
          <cell r="V193">
            <v>90</v>
          </cell>
          <cell r="W193">
            <v>3</v>
          </cell>
          <cell r="X193">
            <v>90</v>
          </cell>
          <cell r="AF193" t="str">
            <v>00</v>
          </cell>
          <cell r="AI193">
            <v>21015352</v>
          </cell>
          <cell r="AJ193">
            <v>16938373.710000001</v>
          </cell>
        </row>
        <row r="194">
          <cell r="A194" t="str">
            <v>02</v>
          </cell>
          <cell r="B194" t="str">
            <v>41</v>
          </cell>
          <cell r="C194" t="str">
            <v>2641</v>
          </cell>
          <cell r="D194" t="str">
            <v>Рентген.ап-т Андрекс</v>
          </cell>
          <cell r="G194" t="str">
            <v>01</v>
          </cell>
          <cell r="H194">
            <v>6300</v>
          </cell>
          <cell r="I194">
            <v>3112.2</v>
          </cell>
          <cell r="J194">
            <v>0</v>
          </cell>
          <cell r="K194">
            <v>0.3</v>
          </cell>
          <cell r="L194" t="str">
            <v>20</v>
          </cell>
          <cell r="M194" t="str">
            <v>47024</v>
          </cell>
          <cell r="N194" t="str">
            <v>14 3313341</v>
          </cell>
          <cell r="O194" t="str">
            <v>063</v>
          </cell>
          <cell r="P194">
            <v>10.4</v>
          </cell>
          <cell r="Q194">
            <v>0</v>
          </cell>
          <cell r="R194" t="str">
            <v>1</v>
          </cell>
          <cell r="S194" t="str">
            <v>47</v>
          </cell>
          <cell r="T194">
            <v>90</v>
          </cell>
          <cell r="U194">
            <v>3</v>
          </cell>
          <cell r="V194">
            <v>90</v>
          </cell>
          <cell r="W194">
            <v>3</v>
          </cell>
          <cell r="X194">
            <v>90</v>
          </cell>
          <cell r="AF194" t="str">
            <v>00</v>
          </cell>
          <cell r="AI194">
            <v>21015352</v>
          </cell>
          <cell r="AJ194">
            <v>16938373.710000001</v>
          </cell>
        </row>
        <row r="195">
          <cell r="A195" t="str">
            <v>02</v>
          </cell>
          <cell r="B195" t="str">
            <v>41</v>
          </cell>
          <cell r="C195" t="str">
            <v>2644</v>
          </cell>
          <cell r="D195" t="str">
            <v>Аппарат"Андрекс"</v>
          </cell>
          <cell r="G195" t="str">
            <v>01</v>
          </cell>
          <cell r="H195">
            <v>3956.49</v>
          </cell>
          <cell r="I195">
            <v>1978.25</v>
          </cell>
          <cell r="J195">
            <v>0</v>
          </cell>
          <cell r="K195">
            <v>1.17</v>
          </cell>
          <cell r="L195" t="str">
            <v>20</v>
          </cell>
          <cell r="M195" t="str">
            <v>47033</v>
          </cell>
          <cell r="N195" t="str">
            <v>14 3313341</v>
          </cell>
          <cell r="O195" t="str">
            <v>063</v>
          </cell>
          <cell r="P195">
            <v>12.5</v>
          </cell>
          <cell r="Q195">
            <v>0</v>
          </cell>
          <cell r="R195" t="str">
            <v>1</v>
          </cell>
          <cell r="S195" t="str">
            <v>47</v>
          </cell>
          <cell r="T195">
            <v>90</v>
          </cell>
          <cell r="U195">
            <v>12</v>
          </cell>
          <cell r="V195">
            <v>90</v>
          </cell>
          <cell r="W195">
            <v>12</v>
          </cell>
          <cell r="X195">
            <v>90</v>
          </cell>
          <cell r="AF195" t="str">
            <v>00</v>
          </cell>
          <cell r="AI195">
            <v>3381618</v>
          </cell>
          <cell r="AJ195">
            <v>2958915.75</v>
          </cell>
        </row>
        <row r="196">
          <cell r="A196" t="str">
            <v>02</v>
          </cell>
          <cell r="B196" t="str">
            <v>99</v>
          </cell>
          <cell r="C196" t="str">
            <v>2668</v>
          </cell>
          <cell r="D196" t="str">
            <v>Холодильная камера</v>
          </cell>
          <cell r="G196" t="str">
            <v>01</v>
          </cell>
          <cell r="H196">
            <v>16600</v>
          </cell>
          <cell r="I196">
            <v>12726.7</v>
          </cell>
          <cell r="J196">
            <v>0</v>
          </cell>
          <cell r="K196">
            <v>0.83</v>
          </cell>
          <cell r="L196" t="str">
            <v>20</v>
          </cell>
          <cell r="M196" t="str">
            <v>45800</v>
          </cell>
          <cell r="N196" t="str">
            <v>16 2930100</v>
          </cell>
          <cell r="O196" t="str">
            <v>063</v>
          </cell>
          <cell r="P196">
            <v>10</v>
          </cell>
          <cell r="Q196">
            <v>0</v>
          </cell>
          <cell r="R196" t="str">
            <v>1</v>
          </cell>
          <cell r="S196" t="str">
            <v>45</v>
          </cell>
          <cell r="T196">
            <v>0</v>
          </cell>
          <cell r="U196">
            <v>4</v>
          </cell>
          <cell r="V196">
            <v>87</v>
          </cell>
          <cell r="W196">
            <v>4</v>
          </cell>
          <cell r="X196">
            <v>87</v>
          </cell>
          <cell r="AB196" t="str">
            <v>14</v>
          </cell>
          <cell r="AC196">
            <v>12</v>
          </cell>
          <cell r="AF196" t="str">
            <v>00</v>
          </cell>
          <cell r="AI196">
            <v>20008123</v>
          </cell>
          <cell r="AJ196">
            <v>20008123</v>
          </cell>
        </row>
        <row r="197">
          <cell r="A197" t="str">
            <v>15</v>
          </cell>
          <cell r="B197" t="str">
            <v>81</v>
          </cell>
          <cell r="C197" t="str">
            <v>2727</v>
          </cell>
          <cell r="D197" t="str">
            <v>Кресло-стоматологиче</v>
          </cell>
          <cell r="E197" t="str">
            <v>ское</v>
          </cell>
          <cell r="G197" t="str">
            <v>01</v>
          </cell>
          <cell r="H197">
            <v>3644.7</v>
          </cell>
          <cell r="I197">
            <v>2156.4499999999998</v>
          </cell>
          <cell r="J197">
            <v>0</v>
          </cell>
          <cell r="K197">
            <v>1.17</v>
          </cell>
          <cell r="L197" t="str">
            <v>88/2</v>
          </cell>
          <cell r="M197" t="str">
            <v>46012</v>
          </cell>
          <cell r="N197" t="str">
            <v>14 3311269</v>
          </cell>
          <cell r="O197" t="str">
            <v>067</v>
          </cell>
          <cell r="P197">
            <v>10</v>
          </cell>
          <cell r="Q197">
            <v>0</v>
          </cell>
          <cell r="R197" t="str">
            <v>1</v>
          </cell>
          <cell r="S197" t="str">
            <v>46</v>
          </cell>
          <cell r="T197">
            <v>0</v>
          </cell>
          <cell r="U197">
            <v>1</v>
          </cell>
          <cell r="V197">
            <v>89</v>
          </cell>
          <cell r="W197">
            <v>1</v>
          </cell>
          <cell r="X197">
            <v>89</v>
          </cell>
          <cell r="AF197" t="str">
            <v>15</v>
          </cell>
          <cell r="AI197">
            <v>3115128</v>
          </cell>
          <cell r="AJ197">
            <v>2777655.8</v>
          </cell>
        </row>
        <row r="198">
          <cell r="A198" t="str">
            <v>02</v>
          </cell>
          <cell r="B198" t="str">
            <v>71</v>
          </cell>
          <cell r="C198" t="str">
            <v>2736</v>
          </cell>
          <cell r="D198" t="str">
            <v>ЭО УБ 1233-1</v>
          </cell>
          <cell r="E198" t="str">
            <v>экскаватор</v>
          </cell>
          <cell r="F198" t="str">
            <v>963-900-12</v>
          </cell>
          <cell r="G198" t="str">
            <v>01</v>
          </cell>
          <cell r="H198">
            <v>473100</v>
          </cell>
          <cell r="I198">
            <v>226023.52</v>
          </cell>
          <cell r="J198">
            <v>0</v>
          </cell>
          <cell r="K198">
            <v>0.85</v>
          </cell>
          <cell r="L198" t="str">
            <v>23</v>
          </cell>
          <cell r="M198" t="str">
            <v>41803</v>
          </cell>
          <cell r="N198" t="str">
            <v>14 2924331</v>
          </cell>
          <cell r="O198" t="str">
            <v>064</v>
          </cell>
          <cell r="P198">
            <v>9.1</v>
          </cell>
          <cell r="Q198">
            <v>0</v>
          </cell>
          <cell r="R198" t="str">
            <v>1</v>
          </cell>
          <cell r="S198" t="str">
            <v>41</v>
          </cell>
          <cell r="T198">
            <v>0</v>
          </cell>
          <cell r="U198">
            <v>9</v>
          </cell>
          <cell r="V198">
            <v>89</v>
          </cell>
          <cell r="W198">
            <v>9</v>
          </cell>
          <cell r="X198">
            <v>89</v>
          </cell>
          <cell r="AB198" t="str">
            <v>14</v>
          </cell>
          <cell r="AC198">
            <v>10</v>
          </cell>
          <cell r="AF198" t="str">
            <v>00</v>
          </cell>
          <cell r="AI198">
            <v>559263744</v>
          </cell>
          <cell r="AJ198">
            <v>419867255.63999999</v>
          </cell>
        </row>
        <row r="199">
          <cell r="A199" t="str">
            <v>02</v>
          </cell>
          <cell r="B199" t="str">
            <v>03</v>
          </cell>
          <cell r="C199" t="str">
            <v>2741</v>
          </cell>
          <cell r="D199" t="str">
            <v>Водонагреватель</v>
          </cell>
          <cell r="G199" t="str">
            <v>01</v>
          </cell>
          <cell r="H199">
            <v>1750</v>
          </cell>
          <cell r="I199">
            <v>1134</v>
          </cell>
          <cell r="J199">
            <v>0</v>
          </cell>
          <cell r="K199">
            <v>1.01</v>
          </cell>
          <cell r="L199" t="str">
            <v>26</v>
          </cell>
          <cell r="M199" t="str">
            <v>43126</v>
          </cell>
          <cell r="N199" t="str">
            <v>16 2930151</v>
          </cell>
          <cell r="O199" t="str">
            <v>067</v>
          </cell>
          <cell r="P199">
            <v>5.4</v>
          </cell>
          <cell r="Q199">
            <v>0</v>
          </cell>
          <cell r="R199" t="str">
            <v>1</v>
          </cell>
          <cell r="S199" t="str">
            <v>43</v>
          </cell>
          <cell r="T199">
            <v>82</v>
          </cell>
          <cell r="U199">
            <v>12</v>
          </cell>
          <cell r="V199">
            <v>82</v>
          </cell>
          <cell r="W199">
            <v>12</v>
          </cell>
          <cell r="X199">
            <v>82</v>
          </cell>
          <cell r="AB199" t="str">
            <v>14</v>
          </cell>
          <cell r="AC199">
            <v>8</v>
          </cell>
          <cell r="AF199" t="str">
            <v>00</v>
          </cell>
          <cell r="AI199">
            <v>1732034</v>
          </cell>
          <cell r="AJ199">
            <v>1402947.06</v>
          </cell>
        </row>
        <row r="200">
          <cell r="A200" t="str">
            <v>16</v>
          </cell>
          <cell r="B200" t="str">
            <v>06</v>
          </cell>
          <cell r="C200" t="str">
            <v>3101/1</v>
          </cell>
          <cell r="D200" t="str">
            <v>Въездной знак металл</v>
          </cell>
          <cell r="E200" t="str">
            <v>навигацион.опознават</v>
          </cell>
          <cell r="F200" t="str">
            <v>3286-АР</v>
          </cell>
          <cell r="G200" t="str">
            <v>01</v>
          </cell>
          <cell r="H200">
            <v>25720</v>
          </cell>
          <cell r="I200">
            <v>1929</v>
          </cell>
          <cell r="J200">
            <v>0</v>
          </cell>
          <cell r="K200">
            <v>1.08</v>
          </cell>
          <cell r="L200" t="str">
            <v>88/1</v>
          </cell>
          <cell r="M200" t="str">
            <v>20250</v>
          </cell>
          <cell r="N200" t="str">
            <v>12 4526314</v>
          </cell>
          <cell r="O200" t="str">
            <v>03</v>
          </cell>
          <cell r="P200">
            <v>2</v>
          </cell>
          <cell r="Q200">
            <v>0</v>
          </cell>
          <cell r="R200" t="str">
            <v>1</v>
          </cell>
          <cell r="S200" t="str">
            <v>20</v>
          </cell>
          <cell r="T200">
            <v>91</v>
          </cell>
          <cell r="U200">
            <v>3</v>
          </cell>
          <cell r="V200">
            <v>91</v>
          </cell>
          <cell r="W200">
            <v>3</v>
          </cell>
          <cell r="X200">
            <v>91</v>
          </cell>
          <cell r="AF200" t="str">
            <v>16</v>
          </cell>
          <cell r="AG200">
            <v>23800000</v>
          </cell>
          <cell r="AI200">
            <v>23800000</v>
          </cell>
          <cell r="AJ200">
            <v>3213000</v>
          </cell>
        </row>
        <row r="201">
          <cell r="A201" t="str">
            <v>02</v>
          </cell>
          <cell r="B201" t="str">
            <v>03</v>
          </cell>
          <cell r="C201" t="str">
            <v>3104/1</v>
          </cell>
          <cell r="D201" t="str">
            <v>Мясорубка МНМ</v>
          </cell>
          <cell r="G201" t="str">
            <v>01</v>
          </cell>
          <cell r="H201">
            <v>2117</v>
          </cell>
          <cell r="I201">
            <v>1135.24</v>
          </cell>
          <cell r="J201">
            <v>0</v>
          </cell>
          <cell r="K201">
            <v>0.99</v>
          </cell>
          <cell r="L201" t="str">
            <v>26</v>
          </cell>
          <cell r="M201" t="str">
            <v>45803</v>
          </cell>
          <cell r="N201" t="str">
            <v>14 2945102</v>
          </cell>
          <cell r="O201" t="str">
            <v>067</v>
          </cell>
          <cell r="P201">
            <v>14.3</v>
          </cell>
          <cell r="Q201">
            <v>0</v>
          </cell>
          <cell r="R201" t="str">
            <v>1</v>
          </cell>
          <cell r="S201" t="str">
            <v>45</v>
          </cell>
          <cell r="T201">
            <v>91</v>
          </cell>
          <cell r="U201">
            <v>3</v>
          </cell>
          <cell r="V201">
            <v>91</v>
          </cell>
          <cell r="W201">
            <v>3</v>
          </cell>
          <cell r="X201">
            <v>91</v>
          </cell>
          <cell r="AB201" t="str">
            <v>14</v>
          </cell>
          <cell r="AC201">
            <v>8</v>
          </cell>
          <cell r="AF201" t="str">
            <v>00</v>
          </cell>
          <cell r="AI201">
            <v>2143413</v>
          </cell>
          <cell r="AJ201">
            <v>2068929.18</v>
          </cell>
        </row>
        <row r="202">
          <cell r="A202" t="str">
            <v>02</v>
          </cell>
          <cell r="B202" t="str">
            <v>55</v>
          </cell>
          <cell r="C202" t="str">
            <v>3106</v>
          </cell>
          <cell r="D202" t="str">
            <v>Вагон-домик</v>
          </cell>
          <cell r="E202" t="str">
            <v>дерево-мет. 3 х 6</v>
          </cell>
          <cell r="G202" t="str">
            <v>01</v>
          </cell>
          <cell r="H202">
            <v>28105.46</v>
          </cell>
          <cell r="I202">
            <v>28105.46</v>
          </cell>
          <cell r="J202">
            <v>0</v>
          </cell>
          <cell r="K202">
            <v>1.1299999999999999</v>
          </cell>
          <cell r="L202" t="str">
            <v>26</v>
          </cell>
          <cell r="M202" t="str">
            <v>10010</v>
          </cell>
          <cell r="N202" t="str">
            <v>13 2022261</v>
          </cell>
          <cell r="O202" t="str">
            <v>01</v>
          </cell>
          <cell r="P202">
            <v>12.5</v>
          </cell>
          <cell r="Q202">
            <v>0</v>
          </cell>
          <cell r="R202" t="str">
            <v>1</v>
          </cell>
          <cell r="S202" t="str">
            <v>10</v>
          </cell>
          <cell r="T202">
            <v>78</v>
          </cell>
          <cell r="U202">
            <v>12</v>
          </cell>
          <cell r="V202">
            <v>78</v>
          </cell>
          <cell r="W202">
            <v>12</v>
          </cell>
          <cell r="X202">
            <v>78</v>
          </cell>
          <cell r="AF202" t="str">
            <v>00</v>
          </cell>
          <cell r="AI202">
            <v>24861088</v>
          </cell>
          <cell r="AJ202">
            <v>24861088</v>
          </cell>
        </row>
        <row r="203">
          <cell r="A203" t="str">
            <v>02</v>
          </cell>
          <cell r="B203" t="str">
            <v>55</v>
          </cell>
          <cell r="C203" t="str">
            <v>3107</v>
          </cell>
          <cell r="D203" t="str">
            <v>Вагон-домик</v>
          </cell>
          <cell r="E203" t="str">
            <v>дерево-мет. 6 х 9</v>
          </cell>
          <cell r="G203" t="str">
            <v>01</v>
          </cell>
          <cell r="H203">
            <v>54710.61</v>
          </cell>
          <cell r="I203">
            <v>38183.449999999997</v>
          </cell>
          <cell r="J203">
            <v>0</v>
          </cell>
          <cell r="K203">
            <v>1.22</v>
          </cell>
          <cell r="L203" t="str">
            <v>26</v>
          </cell>
          <cell r="M203" t="str">
            <v>10010</v>
          </cell>
          <cell r="N203" t="str">
            <v>13 2022261</v>
          </cell>
          <cell r="O203" t="str">
            <v>01</v>
          </cell>
          <cell r="P203">
            <v>12.5</v>
          </cell>
          <cell r="Q203">
            <v>0</v>
          </cell>
          <cell r="R203" t="str">
            <v>1</v>
          </cell>
          <cell r="S203" t="str">
            <v>10</v>
          </cell>
          <cell r="T203">
            <v>89</v>
          </cell>
          <cell r="U203">
            <v>5</v>
          </cell>
          <cell r="V203">
            <v>89</v>
          </cell>
          <cell r="W203">
            <v>5</v>
          </cell>
          <cell r="X203">
            <v>89</v>
          </cell>
          <cell r="AF203" t="str">
            <v>00</v>
          </cell>
          <cell r="AI203">
            <v>45010784</v>
          </cell>
          <cell r="AJ203">
            <v>45010784</v>
          </cell>
        </row>
        <row r="204">
          <cell r="A204" t="str">
            <v>02</v>
          </cell>
          <cell r="B204" t="str">
            <v>02</v>
          </cell>
          <cell r="C204" t="str">
            <v>3119</v>
          </cell>
          <cell r="D204" t="str">
            <v>Вагон-столовая</v>
          </cell>
          <cell r="E204" t="str">
            <v>дерево-металлич.</v>
          </cell>
          <cell r="F204" t="str">
            <v>Финляндия</v>
          </cell>
          <cell r="G204" t="str">
            <v>01</v>
          </cell>
          <cell r="H204">
            <v>56485.55</v>
          </cell>
          <cell r="I204">
            <v>28831.17</v>
          </cell>
          <cell r="J204">
            <v>0</v>
          </cell>
          <cell r="K204">
            <v>1.43</v>
          </cell>
          <cell r="L204" t="str">
            <v>20</v>
          </cell>
          <cell r="M204" t="str">
            <v>10010</v>
          </cell>
          <cell r="N204" t="str">
            <v>13 2022261</v>
          </cell>
          <cell r="O204" t="str">
            <v>01</v>
          </cell>
          <cell r="P204">
            <v>12.5</v>
          </cell>
          <cell r="Q204">
            <v>0</v>
          </cell>
          <cell r="R204" t="str">
            <v>1</v>
          </cell>
          <cell r="S204" t="str">
            <v>10</v>
          </cell>
          <cell r="T204">
            <v>90</v>
          </cell>
          <cell r="U204">
            <v>11</v>
          </cell>
          <cell r="V204">
            <v>90</v>
          </cell>
          <cell r="W204">
            <v>11</v>
          </cell>
          <cell r="X204">
            <v>90</v>
          </cell>
          <cell r="AF204" t="str">
            <v>00</v>
          </cell>
          <cell r="AI204">
            <v>39500384</v>
          </cell>
          <cell r="AJ204">
            <v>34974298.109999999</v>
          </cell>
        </row>
        <row r="205">
          <cell r="A205" t="str">
            <v>02</v>
          </cell>
          <cell r="B205" t="str">
            <v>03</v>
          </cell>
          <cell r="C205" t="str">
            <v>3125</v>
          </cell>
          <cell r="D205" t="str">
            <v>Устройство ВУТ 31/60</v>
          </cell>
          <cell r="G205" t="str">
            <v>01</v>
          </cell>
          <cell r="H205">
            <v>11557.63</v>
          </cell>
          <cell r="I205">
            <v>5872.24</v>
          </cell>
          <cell r="J205">
            <v>0</v>
          </cell>
          <cell r="K205">
            <v>1.17</v>
          </cell>
          <cell r="L205" t="str">
            <v>26</v>
          </cell>
          <cell r="M205" t="str">
            <v>40702</v>
          </cell>
          <cell r="N205" t="str">
            <v>14 2894000</v>
          </cell>
          <cell r="O205" t="str">
            <v>067</v>
          </cell>
          <cell r="P205">
            <v>9.1</v>
          </cell>
          <cell r="Q205">
            <v>0</v>
          </cell>
          <cell r="R205" t="str">
            <v>1</v>
          </cell>
          <cell r="S205" t="str">
            <v>10</v>
          </cell>
          <cell r="T205">
            <v>89</v>
          </cell>
          <cell r="U205">
            <v>5</v>
          </cell>
          <cell r="V205">
            <v>89</v>
          </cell>
          <cell r="W205">
            <v>5</v>
          </cell>
          <cell r="X205">
            <v>89</v>
          </cell>
          <cell r="AF205" t="str">
            <v>00</v>
          </cell>
          <cell r="AI205">
            <v>9878319</v>
          </cell>
          <cell r="AJ205">
            <v>7715790.7000000002</v>
          </cell>
        </row>
        <row r="206">
          <cell r="A206" t="str">
            <v>02</v>
          </cell>
          <cell r="B206" t="str">
            <v>03</v>
          </cell>
          <cell r="C206" t="str">
            <v>3204</v>
          </cell>
          <cell r="D206" t="str">
            <v>Люльки строительные</v>
          </cell>
          <cell r="E206" t="str">
            <v>2штуки подвесные</v>
          </cell>
          <cell r="G206" t="str">
            <v>01</v>
          </cell>
          <cell r="H206">
            <v>12900</v>
          </cell>
          <cell r="I206">
            <v>7001.48</v>
          </cell>
          <cell r="J206">
            <v>0</v>
          </cell>
          <cell r="K206">
            <v>0.54</v>
          </cell>
          <cell r="L206" t="str">
            <v>26</v>
          </cell>
          <cell r="M206" t="str">
            <v>42008</v>
          </cell>
          <cell r="N206" t="str">
            <v>14 2947109</v>
          </cell>
          <cell r="O206" t="str">
            <v>067</v>
          </cell>
          <cell r="P206">
            <v>16.7</v>
          </cell>
          <cell r="Q206">
            <v>0</v>
          </cell>
          <cell r="R206" t="str">
            <v>1</v>
          </cell>
          <cell r="S206" t="str">
            <v>42</v>
          </cell>
          <cell r="T206">
            <v>91</v>
          </cell>
          <cell r="U206">
            <v>9</v>
          </cell>
          <cell r="V206">
            <v>91</v>
          </cell>
          <cell r="W206">
            <v>9</v>
          </cell>
          <cell r="X206">
            <v>91</v>
          </cell>
          <cell r="AB206" t="str">
            <v>14</v>
          </cell>
          <cell r="AC206">
            <v>12</v>
          </cell>
          <cell r="AF206" t="str">
            <v>00</v>
          </cell>
          <cell r="AI206">
            <v>23749151</v>
          </cell>
          <cell r="AJ206">
            <v>23749151</v>
          </cell>
        </row>
        <row r="207">
          <cell r="A207" t="str">
            <v>02</v>
          </cell>
          <cell r="B207" t="str">
            <v>41</v>
          </cell>
          <cell r="C207" t="str">
            <v>3209/1</v>
          </cell>
          <cell r="D207" t="str">
            <v>Аппарат АРИНА</v>
          </cell>
          <cell r="F207" t="str">
            <v>5961</v>
          </cell>
          <cell r="G207" t="str">
            <v>01</v>
          </cell>
          <cell r="H207">
            <v>6200</v>
          </cell>
          <cell r="I207">
            <v>1934.4</v>
          </cell>
          <cell r="J207">
            <v>0</v>
          </cell>
          <cell r="K207">
            <v>1.08</v>
          </cell>
          <cell r="L207" t="str">
            <v>20</v>
          </cell>
          <cell r="M207" t="str">
            <v>47024</v>
          </cell>
          <cell r="N207" t="str">
            <v>14 3313341</v>
          </cell>
          <cell r="O207" t="str">
            <v>063</v>
          </cell>
          <cell r="P207">
            <v>10.4</v>
          </cell>
          <cell r="Q207">
            <v>0</v>
          </cell>
          <cell r="R207" t="str">
            <v>1</v>
          </cell>
          <cell r="S207" t="str">
            <v>47</v>
          </cell>
          <cell r="T207">
            <v>91</v>
          </cell>
          <cell r="U207">
            <v>12</v>
          </cell>
          <cell r="V207">
            <v>91</v>
          </cell>
          <cell r="W207">
            <v>12</v>
          </cell>
          <cell r="X207">
            <v>91</v>
          </cell>
          <cell r="AF207" t="str">
            <v>00</v>
          </cell>
          <cell r="AI207">
            <v>5752239</v>
          </cell>
          <cell r="AJ207">
            <v>3589397.14</v>
          </cell>
        </row>
        <row r="208">
          <cell r="A208" t="str">
            <v>02</v>
          </cell>
          <cell r="B208" t="str">
            <v>41</v>
          </cell>
          <cell r="C208" t="str">
            <v>3210</v>
          </cell>
          <cell r="D208" t="str">
            <v>Аппарат АРИНА</v>
          </cell>
          <cell r="F208" t="str">
            <v>5957</v>
          </cell>
          <cell r="G208" t="str">
            <v>01</v>
          </cell>
          <cell r="H208">
            <v>6200</v>
          </cell>
          <cell r="I208">
            <v>1934.4</v>
          </cell>
          <cell r="J208">
            <v>0</v>
          </cell>
          <cell r="K208">
            <v>1.08</v>
          </cell>
          <cell r="L208" t="str">
            <v>20</v>
          </cell>
          <cell r="M208" t="str">
            <v>47024</v>
          </cell>
          <cell r="N208" t="str">
            <v>14 3313341</v>
          </cell>
          <cell r="O208" t="str">
            <v>063</v>
          </cell>
          <cell r="P208">
            <v>10.4</v>
          </cell>
          <cell r="Q208">
            <v>0</v>
          </cell>
          <cell r="R208" t="str">
            <v>1</v>
          </cell>
          <cell r="S208" t="str">
            <v>47</v>
          </cell>
          <cell r="T208">
            <v>91</v>
          </cell>
          <cell r="U208">
            <v>12</v>
          </cell>
          <cell r="V208">
            <v>91</v>
          </cell>
          <cell r="W208">
            <v>12</v>
          </cell>
          <cell r="X208">
            <v>91</v>
          </cell>
          <cell r="AF208" t="str">
            <v>00</v>
          </cell>
          <cell r="AI208">
            <v>5752239</v>
          </cell>
          <cell r="AJ208">
            <v>3589397.14</v>
          </cell>
        </row>
        <row r="209">
          <cell r="A209" t="str">
            <v>02</v>
          </cell>
          <cell r="B209" t="str">
            <v>41</v>
          </cell>
          <cell r="C209" t="str">
            <v>3211</v>
          </cell>
          <cell r="D209" t="str">
            <v>Толщиномер УТ-93-П 2</v>
          </cell>
          <cell r="E209" t="str">
            <v>шт.НПО Волна гКишине</v>
          </cell>
          <cell r="F209" t="str">
            <v>в 9959 9726</v>
          </cell>
          <cell r="G209" t="str">
            <v>01</v>
          </cell>
          <cell r="H209">
            <v>3446</v>
          </cell>
          <cell r="I209">
            <v>1075.1500000000001</v>
          </cell>
          <cell r="J209">
            <v>0</v>
          </cell>
          <cell r="K209">
            <v>0.32</v>
          </cell>
          <cell r="L209" t="str">
            <v>20</v>
          </cell>
          <cell r="M209" t="str">
            <v>47024</v>
          </cell>
          <cell r="N209" t="str">
            <v>14 3313302</v>
          </cell>
          <cell r="O209" t="str">
            <v>063</v>
          </cell>
          <cell r="P209">
            <v>10.4</v>
          </cell>
          <cell r="Q209">
            <v>0</v>
          </cell>
          <cell r="R209" t="str">
            <v>1</v>
          </cell>
          <cell r="S209" t="str">
            <v>47</v>
          </cell>
          <cell r="T209">
            <v>91</v>
          </cell>
          <cell r="U209">
            <v>12</v>
          </cell>
          <cell r="V209">
            <v>91</v>
          </cell>
          <cell r="W209">
            <v>12</v>
          </cell>
          <cell r="X209">
            <v>91</v>
          </cell>
          <cell r="AF209" t="str">
            <v>00</v>
          </cell>
          <cell r="AI209">
            <v>10668372</v>
          </cell>
          <cell r="AJ209">
            <v>6657064.1299999999</v>
          </cell>
        </row>
        <row r="210">
          <cell r="A210" t="str">
            <v>02</v>
          </cell>
          <cell r="B210" t="str">
            <v>80</v>
          </cell>
          <cell r="C210" t="str">
            <v>3214</v>
          </cell>
          <cell r="D210" t="str">
            <v>Ковер 2х3</v>
          </cell>
          <cell r="G210" t="str">
            <v>01</v>
          </cell>
          <cell r="H210">
            <v>475</v>
          </cell>
          <cell r="I210">
            <v>103.43</v>
          </cell>
          <cell r="J210">
            <v>0</v>
          </cell>
          <cell r="K210">
            <v>0.13</v>
          </cell>
          <cell r="L210" t="str">
            <v>88/2</v>
          </cell>
          <cell r="M210" t="str">
            <v>70004</v>
          </cell>
          <cell r="N210" t="str">
            <v>16 1722000</v>
          </cell>
          <cell r="O210" t="str">
            <v>08</v>
          </cell>
          <cell r="P210">
            <v>6.7</v>
          </cell>
          <cell r="Q210">
            <v>0</v>
          </cell>
          <cell r="R210" t="str">
            <v>1</v>
          </cell>
          <cell r="S210" t="str">
            <v>70</v>
          </cell>
          <cell r="T210">
            <v>91</v>
          </cell>
          <cell r="U210">
            <v>9</v>
          </cell>
          <cell r="V210">
            <v>91</v>
          </cell>
          <cell r="W210">
            <v>9</v>
          </cell>
          <cell r="X210">
            <v>91</v>
          </cell>
          <cell r="AF210" t="str">
            <v>00</v>
          </cell>
          <cell r="AI210">
            <v>3608064</v>
          </cell>
          <cell r="AJ210">
            <v>1510876.86</v>
          </cell>
        </row>
        <row r="211">
          <cell r="A211" t="str">
            <v>02</v>
          </cell>
          <cell r="B211" t="str">
            <v>23</v>
          </cell>
          <cell r="C211" t="str">
            <v>3221</v>
          </cell>
          <cell r="D211" t="str">
            <v>Газоанализатор инфра</v>
          </cell>
          <cell r="E211" t="str">
            <v>лит -1100</v>
          </cell>
          <cell r="F211" t="str">
            <v>66226003</v>
          </cell>
          <cell r="G211" t="str">
            <v>01</v>
          </cell>
          <cell r="H211">
            <v>14737</v>
          </cell>
          <cell r="I211">
            <v>4981.1099999999997</v>
          </cell>
          <cell r="J211">
            <v>0</v>
          </cell>
          <cell r="K211">
            <v>1</v>
          </cell>
          <cell r="L211" t="str">
            <v>23</v>
          </cell>
          <cell r="M211" t="str">
            <v>41024</v>
          </cell>
          <cell r="N211" t="str">
            <v>14 3313141</v>
          </cell>
          <cell r="O211" t="str">
            <v>067</v>
          </cell>
          <cell r="P211">
            <v>10.4</v>
          </cell>
          <cell r="Q211">
            <v>0</v>
          </cell>
          <cell r="R211" t="str">
            <v>1</v>
          </cell>
          <cell r="S211" t="str">
            <v>41</v>
          </cell>
          <cell r="T211">
            <v>90</v>
          </cell>
          <cell r="U211">
            <v>9</v>
          </cell>
          <cell r="V211">
            <v>91</v>
          </cell>
          <cell r="W211">
            <v>9</v>
          </cell>
          <cell r="X211">
            <v>91</v>
          </cell>
          <cell r="AF211" t="str">
            <v>00</v>
          </cell>
          <cell r="AI211">
            <v>14778223</v>
          </cell>
          <cell r="AJ211">
            <v>9605844.5800000001</v>
          </cell>
        </row>
        <row r="212">
          <cell r="A212" t="str">
            <v>02</v>
          </cell>
          <cell r="B212" t="str">
            <v>04</v>
          </cell>
          <cell r="C212" t="str">
            <v>3222</v>
          </cell>
          <cell r="D212" t="str">
            <v>Шкаф распределительн</v>
          </cell>
          <cell r="E212" t="str">
            <v>ый ПР-11</v>
          </cell>
          <cell r="F212" t="str">
            <v>1012</v>
          </cell>
          <cell r="G212" t="str">
            <v>01</v>
          </cell>
          <cell r="H212">
            <v>2450</v>
          </cell>
          <cell r="I212">
            <v>724.59</v>
          </cell>
          <cell r="J212">
            <v>0</v>
          </cell>
          <cell r="K212">
            <v>0.98</v>
          </cell>
          <cell r="L212" t="str">
            <v>23</v>
          </cell>
          <cell r="M212" t="str">
            <v>40702</v>
          </cell>
          <cell r="N212" t="str">
            <v>14 3120390</v>
          </cell>
          <cell r="O212" t="str">
            <v>067</v>
          </cell>
          <cell r="P212">
            <v>9.1</v>
          </cell>
          <cell r="Q212">
            <v>0</v>
          </cell>
          <cell r="R212" t="str">
            <v>1</v>
          </cell>
          <cell r="S212" t="str">
            <v>40</v>
          </cell>
          <cell r="T212">
            <v>89</v>
          </cell>
          <cell r="U212">
            <v>9</v>
          </cell>
          <cell r="V212">
            <v>91</v>
          </cell>
          <cell r="W212">
            <v>9</v>
          </cell>
          <cell r="X212">
            <v>91</v>
          </cell>
          <cell r="AB212" t="str">
            <v>14</v>
          </cell>
          <cell r="AC212">
            <v>11</v>
          </cell>
          <cell r="AF212" t="str">
            <v>00</v>
          </cell>
          <cell r="AI212">
            <v>2489326</v>
          </cell>
          <cell r="AJ212">
            <v>1415804</v>
          </cell>
        </row>
        <row r="213">
          <cell r="A213" t="str">
            <v>02</v>
          </cell>
          <cell r="B213" t="str">
            <v>03</v>
          </cell>
          <cell r="C213" t="str">
            <v>3223</v>
          </cell>
          <cell r="D213" t="str">
            <v>Котел КП</v>
          </cell>
          <cell r="F213" t="str">
            <v>178</v>
          </cell>
          <cell r="G213" t="str">
            <v>01</v>
          </cell>
          <cell r="H213">
            <v>4741</v>
          </cell>
          <cell r="I213">
            <v>1926.03</v>
          </cell>
          <cell r="J213">
            <v>0</v>
          </cell>
          <cell r="K213">
            <v>0.86</v>
          </cell>
          <cell r="L213" t="str">
            <v>26</v>
          </cell>
          <cell r="M213" t="str">
            <v>45801</v>
          </cell>
          <cell r="N213" t="str">
            <v>14 2813101</v>
          </cell>
          <cell r="O213" t="str">
            <v>067</v>
          </cell>
          <cell r="P213">
            <v>12.5</v>
          </cell>
          <cell r="Q213">
            <v>0</v>
          </cell>
          <cell r="R213" t="str">
            <v>1</v>
          </cell>
          <cell r="S213" t="str">
            <v>45</v>
          </cell>
          <cell r="T213">
            <v>90</v>
          </cell>
          <cell r="U213">
            <v>9</v>
          </cell>
          <cell r="V213">
            <v>91</v>
          </cell>
          <cell r="W213">
            <v>9</v>
          </cell>
          <cell r="X213">
            <v>91</v>
          </cell>
          <cell r="AF213" t="str">
            <v>00</v>
          </cell>
          <cell r="AI213">
            <v>5532673</v>
          </cell>
          <cell r="AJ213">
            <v>4322400.38</v>
          </cell>
        </row>
        <row r="214">
          <cell r="A214" t="str">
            <v>02</v>
          </cell>
          <cell r="B214" t="str">
            <v>80</v>
          </cell>
          <cell r="C214" t="str">
            <v>3227</v>
          </cell>
          <cell r="D214" t="str">
            <v>Электронный калькуля</v>
          </cell>
          <cell r="E214" t="str">
            <v>тор 15 шт.</v>
          </cell>
          <cell r="G214" t="str">
            <v>01</v>
          </cell>
          <cell r="H214">
            <v>96</v>
          </cell>
          <cell r="I214">
            <v>34.630000000000003</v>
          </cell>
          <cell r="J214">
            <v>0</v>
          </cell>
          <cell r="K214">
            <v>0.01</v>
          </cell>
          <cell r="L214" t="str">
            <v>26</v>
          </cell>
          <cell r="M214" t="str">
            <v>48009</v>
          </cell>
          <cell r="N214" t="str">
            <v>14 3020204</v>
          </cell>
          <cell r="O214" t="str">
            <v>063</v>
          </cell>
          <cell r="P214">
            <v>11.1</v>
          </cell>
          <cell r="Q214">
            <v>0</v>
          </cell>
          <cell r="R214" t="str">
            <v>1</v>
          </cell>
          <cell r="S214" t="str">
            <v>48</v>
          </cell>
          <cell r="T214">
            <v>91</v>
          </cell>
          <cell r="U214">
            <v>9</v>
          </cell>
          <cell r="V214">
            <v>91</v>
          </cell>
          <cell r="W214">
            <v>9</v>
          </cell>
          <cell r="X214">
            <v>91</v>
          </cell>
          <cell r="AF214" t="str">
            <v>00</v>
          </cell>
          <cell r="AI214">
            <v>9544080</v>
          </cell>
          <cell r="AJ214">
            <v>6621205.6399999997</v>
          </cell>
        </row>
        <row r="215">
          <cell r="A215" t="str">
            <v>02</v>
          </cell>
          <cell r="B215" t="str">
            <v>71</v>
          </cell>
          <cell r="C215" t="str">
            <v>3228</v>
          </cell>
          <cell r="D215" t="str">
            <v>Трактор К-701 с зипо</v>
          </cell>
          <cell r="E215" t="str">
            <v>м</v>
          </cell>
          <cell r="F215" t="str">
            <v>9108771</v>
          </cell>
          <cell r="G215" t="str">
            <v>01</v>
          </cell>
          <cell r="H215">
            <v>190956</v>
          </cell>
          <cell r="I215">
            <v>62060.7</v>
          </cell>
          <cell r="J215">
            <v>0</v>
          </cell>
          <cell r="K215">
            <v>1.05</v>
          </cell>
          <cell r="L215" t="str">
            <v>23</v>
          </cell>
          <cell r="M215" t="str">
            <v>40600</v>
          </cell>
          <cell r="N215" t="str">
            <v>14 2918104</v>
          </cell>
          <cell r="O215" t="str">
            <v>065</v>
          </cell>
          <cell r="P215">
            <v>10</v>
          </cell>
          <cell r="Q215">
            <v>0</v>
          </cell>
          <cell r="R215" t="str">
            <v>1</v>
          </cell>
          <cell r="S215" t="str">
            <v>40</v>
          </cell>
          <cell r="T215">
            <v>91</v>
          </cell>
          <cell r="U215">
            <v>9</v>
          </cell>
          <cell r="V215">
            <v>91</v>
          </cell>
          <cell r="W215">
            <v>9</v>
          </cell>
          <cell r="X215">
            <v>91</v>
          </cell>
          <cell r="AF215" t="str">
            <v>00</v>
          </cell>
          <cell r="AI215">
            <v>181069959</v>
          </cell>
          <cell r="AJ215">
            <v>113168724.34</v>
          </cell>
        </row>
        <row r="216">
          <cell r="A216" t="str">
            <v>02</v>
          </cell>
          <cell r="B216" t="str">
            <v>03</v>
          </cell>
          <cell r="C216" t="str">
            <v>3316</v>
          </cell>
          <cell r="D216" t="str">
            <v>Эл.таль во93м 0.25т</v>
          </cell>
          <cell r="G216" t="str">
            <v>01</v>
          </cell>
          <cell r="H216">
            <v>1492</v>
          </cell>
          <cell r="I216">
            <v>320.02999999999997</v>
          </cell>
          <cell r="J216">
            <v>0</v>
          </cell>
          <cell r="K216">
            <v>0.24</v>
          </cell>
          <cell r="L216" t="str">
            <v>26</v>
          </cell>
          <cell r="M216" t="str">
            <v>41722</v>
          </cell>
          <cell r="N216" t="str">
            <v>14 2915282</v>
          </cell>
          <cell r="O216" t="str">
            <v>063</v>
          </cell>
          <cell r="P216">
            <v>14.3</v>
          </cell>
          <cell r="Q216">
            <v>0</v>
          </cell>
          <cell r="R216" t="str">
            <v>1</v>
          </cell>
          <cell r="S216" t="str">
            <v>41</v>
          </cell>
          <cell r="T216">
            <v>93</v>
          </cell>
          <cell r="U216">
            <v>6</v>
          </cell>
          <cell r="V216">
            <v>93</v>
          </cell>
          <cell r="W216">
            <v>6</v>
          </cell>
          <cell r="X216">
            <v>93</v>
          </cell>
          <cell r="AF216" t="str">
            <v>00</v>
          </cell>
          <cell r="AI216">
            <v>6131009</v>
          </cell>
          <cell r="AJ216">
            <v>3945304.27</v>
          </cell>
        </row>
        <row r="217">
          <cell r="A217" t="str">
            <v>02</v>
          </cell>
          <cell r="B217" t="str">
            <v>61</v>
          </cell>
          <cell r="C217" t="str">
            <v>3318</v>
          </cell>
          <cell r="D217" t="str">
            <v>Таль ручная нс-3т</v>
          </cell>
          <cell r="G217" t="str">
            <v>01</v>
          </cell>
          <cell r="H217">
            <v>3500</v>
          </cell>
          <cell r="I217">
            <v>750.75</v>
          </cell>
          <cell r="J217">
            <v>0</v>
          </cell>
          <cell r="K217">
            <v>1.21</v>
          </cell>
          <cell r="L217" t="str">
            <v>23</v>
          </cell>
          <cell r="M217" t="str">
            <v>41722</v>
          </cell>
          <cell r="N217" t="str">
            <v>14 2915282</v>
          </cell>
          <cell r="O217" t="str">
            <v>063</v>
          </cell>
          <cell r="P217">
            <v>14.3</v>
          </cell>
          <cell r="Q217">
            <v>0</v>
          </cell>
          <cell r="R217" t="str">
            <v>1</v>
          </cell>
          <cell r="S217" t="str">
            <v>41</v>
          </cell>
          <cell r="T217">
            <v>93</v>
          </cell>
          <cell r="U217">
            <v>6</v>
          </cell>
          <cell r="V217">
            <v>93</v>
          </cell>
          <cell r="W217">
            <v>6</v>
          </cell>
          <cell r="X217">
            <v>93</v>
          </cell>
          <cell r="AB217" t="str">
            <v>14</v>
          </cell>
          <cell r="AC217">
            <v>9</v>
          </cell>
          <cell r="AF217" t="str">
            <v>00</v>
          </cell>
          <cell r="AI217">
            <v>2898386</v>
          </cell>
          <cell r="AJ217">
            <v>1865111.59</v>
          </cell>
        </row>
        <row r="218">
          <cell r="A218" t="str">
            <v>02</v>
          </cell>
          <cell r="B218" t="str">
            <v>12</v>
          </cell>
          <cell r="C218" t="str">
            <v>3319</v>
          </cell>
          <cell r="D218" t="str">
            <v>Сцепка СП-11</v>
          </cell>
          <cell r="F218" t="str">
            <v>3300275</v>
          </cell>
          <cell r="G218" t="str">
            <v>01</v>
          </cell>
          <cell r="H218">
            <v>6100</v>
          </cell>
          <cell r="I218">
            <v>1830</v>
          </cell>
          <cell r="J218">
            <v>0</v>
          </cell>
          <cell r="K218">
            <v>0.94</v>
          </cell>
          <cell r="L218" t="str">
            <v>88/4</v>
          </cell>
          <cell r="M218" t="str">
            <v>45740</v>
          </cell>
          <cell r="N218" t="str">
            <v>14 2921000</v>
          </cell>
          <cell r="O218" t="str">
            <v>067</v>
          </cell>
          <cell r="P218">
            <v>20</v>
          </cell>
          <cell r="Q218">
            <v>0</v>
          </cell>
          <cell r="R218" t="str">
            <v>1</v>
          </cell>
          <cell r="S218" t="str">
            <v>45</v>
          </cell>
          <cell r="T218">
            <v>93</v>
          </cell>
          <cell r="U218">
            <v>6</v>
          </cell>
          <cell r="V218">
            <v>93</v>
          </cell>
          <cell r="W218">
            <v>6</v>
          </cell>
          <cell r="X218">
            <v>93</v>
          </cell>
          <cell r="AF218" t="str">
            <v>00</v>
          </cell>
          <cell r="AI218">
            <v>6459264</v>
          </cell>
          <cell r="AJ218">
            <v>5813337.4000000004</v>
          </cell>
        </row>
        <row r="219">
          <cell r="A219" t="str">
            <v>17</v>
          </cell>
          <cell r="B219" t="str">
            <v>82</v>
          </cell>
          <cell r="C219" t="str">
            <v>3320</v>
          </cell>
          <cell r="D219" t="str">
            <v>Телефонный аппарат</v>
          </cell>
          <cell r="E219" t="str">
            <v>ТА-80</v>
          </cell>
          <cell r="G219" t="str">
            <v>01</v>
          </cell>
          <cell r="H219">
            <v>73.11</v>
          </cell>
          <cell r="I219">
            <v>21.93</v>
          </cell>
          <cell r="J219">
            <v>0</v>
          </cell>
          <cell r="K219">
            <v>1.21</v>
          </cell>
          <cell r="L219" t="str">
            <v>26</v>
          </cell>
          <cell r="M219" t="str">
            <v>45610</v>
          </cell>
          <cell r="N219" t="str">
            <v>14 3222131</v>
          </cell>
          <cell r="O219" t="str">
            <v>067</v>
          </cell>
          <cell r="P219">
            <v>20</v>
          </cell>
          <cell r="Q219">
            <v>0</v>
          </cell>
          <cell r="R219" t="str">
            <v>1</v>
          </cell>
          <cell r="S219" t="str">
            <v>45</v>
          </cell>
          <cell r="T219">
            <v>93</v>
          </cell>
          <cell r="U219">
            <v>6</v>
          </cell>
          <cell r="V219">
            <v>93</v>
          </cell>
          <cell r="W219">
            <v>6</v>
          </cell>
          <cell r="X219">
            <v>93</v>
          </cell>
          <cell r="AF219" t="str">
            <v>17</v>
          </cell>
          <cell r="AI219">
            <v>60420</v>
          </cell>
          <cell r="AJ219">
            <v>54378</v>
          </cell>
        </row>
        <row r="220">
          <cell r="A220" t="str">
            <v>02</v>
          </cell>
          <cell r="B220" t="str">
            <v>71</v>
          </cell>
          <cell r="C220" t="str">
            <v>3323</v>
          </cell>
          <cell r="D220" t="str">
            <v>Дизель генератор 100</v>
          </cell>
          <cell r="E220" t="str">
            <v xml:space="preserve"> квт</v>
          </cell>
          <cell r="G220" t="str">
            <v>01</v>
          </cell>
          <cell r="H220">
            <v>48573.75</v>
          </cell>
          <cell r="I220">
            <v>3060.15</v>
          </cell>
          <cell r="J220">
            <v>0</v>
          </cell>
          <cell r="K220">
            <v>1.25</v>
          </cell>
          <cell r="L220" t="str">
            <v>23</v>
          </cell>
          <cell r="M220" t="str">
            <v>40202</v>
          </cell>
          <cell r="N220" t="str">
            <v>14 2911101</v>
          </cell>
          <cell r="O220" t="str">
            <v>063</v>
          </cell>
          <cell r="P220">
            <v>4.2</v>
          </cell>
          <cell r="Q220">
            <v>0</v>
          </cell>
          <cell r="R220" t="str">
            <v>1</v>
          </cell>
          <cell r="S220" t="str">
            <v>40</v>
          </cell>
          <cell r="T220">
            <v>93</v>
          </cell>
          <cell r="U220">
            <v>6</v>
          </cell>
          <cell r="V220">
            <v>93</v>
          </cell>
          <cell r="W220">
            <v>6</v>
          </cell>
          <cell r="X220">
            <v>93</v>
          </cell>
          <cell r="AB220" t="str">
            <v>14</v>
          </cell>
          <cell r="AC220">
            <v>6</v>
          </cell>
          <cell r="AF220" t="str">
            <v>00</v>
          </cell>
          <cell r="AG220">
            <v>38859000</v>
          </cell>
          <cell r="AI220">
            <v>38859000</v>
          </cell>
          <cell r="AJ220">
            <v>7344351</v>
          </cell>
        </row>
        <row r="221">
          <cell r="A221" t="str">
            <v>02</v>
          </cell>
          <cell r="B221" t="str">
            <v>03</v>
          </cell>
          <cell r="C221" t="str">
            <v>3324</v>
          </cell>
          <cell r="D221" t="str">
            <v>Телевизор СПЕКТР 51</v>
          </cell>
          <cell r="E221" t="str">
            <v>ТЦ-423ДВ диагональ 5</v>
          </cell>
          <cell r="F221" t="str">
            <v>13000804</v>
          </cell>
          <cell r="G221" t="str">
            <v>01</v>
          </cell>
          <cell r="H221">
            <v>955.5</v>
          </cell>
          <cell r="I221">
            <v>150.49</v>
          </cell>
          <cell r="J221">
            <v>0</v>
          </cell>
          <cell r="K221">
            <v>0.91</v>
          </cell>
          <cell r="L221" t="str">
            <v>26</v>
          </cell>
          <cell r="M221" t="str">
            <v>45625</v>
          </cell>
          <cell r="N221" t="str">
            <v>14 3230100</v>
          </cell>
          <cell r="O221" t="str">
            <v>067</v>
          </cell>
          <cell r="P221">
            <v>10.5</v>
          </cell>
          <cell r="Q221">
            <v>0</v>
          </cell>
          <cell r="R221" t="str">
            <v>1</v>
          </cell>
          <cell r="S221" t="str">
            <v>45</v>
          </cell>
          <cell r="T221">
            <v>93</v>
          </cell>
          <cell r="U221">
            <v>6</v>
          </cell>
          <cell r="V221">
            <v>93</v>
          </cell>
          <cell r="W221">
            <v>6</v>
          </cell>
          <cell r="X221">
            <v>93</v>
          </cell>
          <cell r="AB221" t="str">
            <v>14</v>
          </cell>
          <cell r="AC221">
            <v>8</v>
          </cell>
          <cell r="AF221" t="str">
            <v>00</v>
          </cell>
          <cell r="AG221">
            <v>1050000</v>
          </cell>
          <cell r="AI221">
            <v>1050000</v>
          </cell>
          <cell r="AJ221">
            <v>496125</v>
          </cell>
        </row>
        <row r="222">
          <cell r="A222" t="str">
            <v>02</v>
          </cell>
          <cell r="B222" t="str">
            <v>03</v>
          </cell>
          <cell r="C222" t="str">
            <v>3326</v>
          </cell>
          <cell r="D222" t="str">
            <v>Фрезерный станок ГФ-</v>
          </cell>
          <cell r="E222" t="str">
            <v>21</v>
          </cell>
          <cell r="G222" t="str">
            <v>01</v>
          </cell>
          <cell r="H222">
            <v>14125</v>
          </cell>
          <cell r="I222">
            <v>1758.56</v>
          </cell>
          <cell r="J222">
            <v>0</v>
          </cell>
          <cell r="K222">
            <v>0.33</v>
          </cell>
          <cell r="L222" t="str">
            <v>26</v>
          </cell>
          <cell r="M222" t="str">
            <v>44502</v>
          </cell>
          <cell r="N222" t="str">
            <v>14 2922623</v>
          </cell>
          <cell r="O222" t="str">
            <v>067</v>
          </cell>
          <cell r="P222">
            <v>8.3000000000000007</v>
          </cell>
          <cell r="Q222">
            <v>0</v>
          </cell>
          <cell r="R222" t="str">
            <v>1</v>
          </cell>
          <cell r="S222" t="str">
            <v>44</v>
          </cell>
          <cell r="T222">
            <v>93</v>
          </cell>
          <cell r="U222">
            <v>6</v>
          </cell>
          <cell r="V222">
            <v>93</v>
          </cell>
          <cell r="W222">
            <v>6</v>
          </cell>
          <cell r="X222">
            <v>93</v>
          </cell>
          <cell r="AF222" t="str">
            <v>00</v>
          </cell>
          <cell r="AI222">
            <v>42336000</v>
          </cell>
          <cell r="AJ222">
            <v>15812496</v>
          </cell>
        </row>
        <row r="223">
          <cell r="A223" t="str">
            <v>02</v>
          </cell>
          <cell r="B223" t="str">
            <v>03</v>
          </cell>
          <cell r="C223" t="str">
            <v>3327</v>
          </cell>
          <cell r="D223" t="str">
            <v>Реймусовый станок РС</v>
          </cell>
          <cell r="E223" t="str">
            <v>-482</v>
          </cell>
          <cell r="G223" t="str">
            <v>01</v>
          </cell>
          <cell r="H223">
            <v>7741.44</v>
          </cell>
          <cell r="I223">
            <v>963.81</v>
          </cell>
          <cell r="J223">
            <v>0</v>
          </cell>
          <cell r="K223">
            <v>1.1200000000000001</v>
          </cell>
          <cell r="L223" t="str">
            <v>26</v>
          </cell>
          <cell r="M223" t="str">
            <v>44502</v>
          </cell>
          <cell r="N223" t="str">
            <v>14 2922623</v>
          </cell>
          <cell r="O223" t="str">
            <v>067</v>
          </cell>
          <cell r="P223">
            <v>8.3000000000000007</v>
          </cell>
          <cell r="Q223">
            <v>0</v>
          </cell>
          <cell r="R223" t="str">
            <v>1</v>
          </cell>
          <cell r="S223" t="str">
            <v>44</v>
          </cell>
          <cell r="T223">
            <v>93</v>
          </cell>
          <cell r="U223">
            <v>6</v>
          </cell>
          <cell r="V223">
            <v>93</v>
          </cell>
          <cell r="W223">
            <v>6</v>
          </cell>
          <cell r="X223">
            <v>93</v>
          </cell>
          <cell r="AF223" t="str">
            <v>00</v>
          </cell>
          <cell r="AI223">
            <v>6912000</v>
          </cell>
          <cell r="AJ223">
            <v>2581632</v>
          </cell>
        </row>
        <row r="224">
          <cell r="A224" t="str">
            <v>02</v>
          </cell>
          <cell r="B224" t="str">
            <v>41</v>
          </cell>
          <cell r="C224" t="str">
            <v>3328</v>
          </cell>
          <cell r="D224" t="str">
            <v>Пишущая машина Ятран</v>
          </cell>
          <cell r="E224" t="str">
            <v>ь</v>
          </cell>
          <cell r="F224" t="str">
            <v>1496618</v>
          </cell>
          <cell r="G224" t="str">
            <v>01</v>
          </cell>
          <cell r="H224">
            <v>1067</v>
          </cell>
          <cell r="I224">
            <v>200.06</v>
          </cell>
          <cell r="J224">
            <v>0</v>
          </cell>
          <cell r="K224">
            <v>0.04</v>
          </cell>
          <cell r="L224" t="str">
            <v>20</v>
          </cell>
          <cell r="M224" t="str">
            <v>44811</v>
          </cell>
          <cell r="N224" t="str">
            <v>14 3010103</v>
          </cell>
          <cell r="O224" t="str">
            <v>063</v>
          </cell>
          <cell r="P224">
            <v>12.5</v>
          </cell>
          <cell r="Q224">
            <v>0</v>
          </cell>
          <cell r="R224" t="str">
            <v>1</v>
          </cell>
          <cell r="S224" t="str">
            <v>44</v>
          </cell>
          <cell r="T224">
            <v>92</v>
          </cell>
          <cell r="U224">
            <v>6</v>
          </cell>
          <cell r="V224">
            <v>93</v>
          </cell>
          <cell r="W224">
            <v>6</v>
          </cell>
          <cell r="X224">
            <v>93</v>
          </cell>
          <cell r="AB224" t="str">
            <v>14</v>
          </cell>
          <cell r="AC224">
            <v>2</v>
          </cell>
          <cell r="AF224" t="str">
            <v>00</v>
          </cell>
          <cell r="AI224">
            <v>23828013</v>
          </cell>
          <cell r="AJ224">
            <v>13403257.359999999</v>
          </cell>
        </row>
        <row r="225">
          <cell r="A225" t="str">
            <v>02</v>
          </cell>
          <cell r="B225" t="str">
            <v>08</v>
          </cell>
          <cell r="C225" t="str">
            <v>3329</v>
          </cell>
          <cell r="D225" t="str">
            <v>Электро генераторСФО</v>
          </cell>
          <cell r="E225" t="str">
            <v>ч 60/65 ч1</v>
          </cell>
          <cell r="G225" t="str">
            <v>01</v>
          </cell>
          <cell r="H225">
            <v>4790</v>
          </cell>
          <cell r="I225">
            <v>474.21</v>
          </cell>
          <cell r="J225">
            <v>0</v>
          </cell>
          <cell r="K225">
            <v>0.99</v>
          </cell>
          <cell r="L225" t="str">
            <v>20</v>
          </cell>
          <cell r="M225" t="str">
            <v>40200</v>
          </cell>
          <cell r="N225" t="str">
            <v>14 3112220</v>
          </cell>
          <cell r="O225" t="str">
            <v>063</v>
          </cell>
          <cell r="P225">
            <v>6.6</v>
          </cell>
          <cell r="Q225">
            <v>0</v>
          </cell>
          <cell r="R225" t="str">
            <v>1</v>
          </cell>
          <cell r="S225" t="str">
            <v>40</v>
          </cell>
          <cell r="T225">
            <v>93</v>
          </cell>
          <cell r="U225">
            <v>6</v>
          </cell>
          <cell r="V225">
            <v>93</v>
          </cell>
          <cell r="W225">
            <v>6</v>
          </cell>
          <cell r="X225">
            <v>93</v>
          </cell>
          <cell r="AF225" t="str">
            <v>00</v>
          </cell>
          <cell r="AG225">
            <v>4830000</v>
          </cell>
          <cell r="AI225">
            <v>4830000</v>
          </cell>
          <cell r="AJ225">
            <v>1434510</v>
          </cell>
        </row>
        <row r="226">
          <cell r="A226" t="str">
            <v>02</v>
          </cell>
          <cell r="B226" t="str">
            <v>05</v>
          </cell>
          <cell r="C226" t="str">
            <v>3330</v>
          </cell>
          <cell r="D226" t="str">
            <v>Лодочный мотор Вихрь</v>
          </cell>
          <cell r="E226" t="str">
            <v>-30</v>
          </cell>
          <cell r="F226" t="str">
            <v>5257э</v>
          </cell>
          <cell r="G226" t="str">
            <v>01</v>
          </cell>
          <cell r="H226">
            <v>6712</v>
          </cell>
          <cell r="I226">
            <v>916.19</v>
          </cell>
          <cell r="J226">
            <v>0</v>
          </cell>
          <cell r="K226">
            <v>1.1599999999999999</v>
          </cell>
          <cell r="L226" t="str">
            <v>20</v>
          </cell>
          <cell r="M226" t="str">
            <v>70000</v>
          </cell>
          <cell r="N226" t="str">
            <v>14 2911110</v>
          </cell>
          <cell r="O226" t="str">
            <v>08</v>
          </cell>
          <cell r="P226">
            <v>9.1</v>
          </cell>
          <cell r="Q226">
            <v>0</v>
          </cell>
          <cell r="R226" t="str">
            <v>1</v>
          </cell>
          <cell r="S226" t="str">
            <v>70</v>
          </cell>
          <cell r="T226">
            <v>91</v>
          </cell>
          <cell r="U226">
            <v>6</v>
          </cell>
          <cell r="V226">
            <v>93</v>
          </cell>
          <cell r="W226">
            <v>6</v>
          </cell>
          <cell r="X226">
            <v>93</v>
          </cell>
          <cell r="AF226" t="str">
            <v>00</v>
          </cell>
          <cell r="AI226">
            <v>5807376</v>
          </cell>
          <cell r="AJ226">
            <v>2378120.65</v>
          </cell>
        </row>
        <row r="227">
          <cell r="A227" t="str">
            <v>02</v>
          </cell>
          <cell r="B227" t="str">
            <v>03</v>
          </cell>
          <cell r="C227" t="str">
            <v>3331</v>
          </cell>
          <cell r="D227" t="str">
            <v>Котел ДОН КС-ТВМ-16</v>
          </cell>
          <cell r="E227" t="str">
            <v>отопительный</v>
          </cell>
          <cell r="G227" t="str">
            <v>01</v>
          </cell>
          <cell r="H227">
            <v>7091.52</v>
          </cell>
          <cell r="I227">
            <v>531.86</v>
          </cell>
          <cell r="J227">
            <v>0</v>
          </cell>
          <cell r="K227">
            <v>1.51</v>
          </cell>
          <cell r="L227" t="str">
            <v>26</v>
          </cell>
          <cell r="M227" t="str">
            <v>40002</v>
          </cell>
          <cell r="N227" t="str">
            <v>14 2813101</v>
          </cell>
          <cell r="O227" t="str">
            <v>066</v>
          </cell>
          <cell r="P227">
            <v>5</v>
          </cell>
          <cell r="Q227">
            <v>0</v>
          </cell>
          <cell r="R227" t="str">
            <v>1</v>
          </cell>
          <cell r="S227" t="str">
            <v>40</v>
          </cell>
          <cell r="T227">
            <v>93</v>
          </cell>
          <cell r="U227">
            <v>6</v>
          </cell>
          <cell r="V227">
            <v>93</v>
          </cell>
          <cell r="W227">
            <v>6</v>
          </cell>
          <cell r="X227">
            <v>93</v>
          </cell>
          <cell r="AF227" t="str">
            <v>00</v>
          </cell>
          <cell r="AI227">
            <v>4696369</v>
          </cell>
          <cell r="AJ227">
            <v>1056683.3500000001</v>
          </cell>
        </row>
        <row r="228">
          <cell r="A228" t="str">
            <v>02</v>
          </cell>
          <cell r="B228" t="str">
            <v>03</v>
          </cell>
          <cell r="C228" t="str">
            <v>3332</v>
          </cell>
          <cell r="D228" t="str">
            <v>Котел ДОН КС-ТВМ-16</v>
          </cell>
          <cell r="E228" t="str">
            <v>отопительный</v>
          </cell>
          <cell r="G228" t="str">
            <v>01</v>
          </cell>
          <cell r="H228">
            <v>7091.52</v>
          </cell>
          <cell r="I228">
            <v>531.86</v>
          </cell>
          <cell r="J228">
            <v>0</v>
          </cell>
          <cell r="K228">
            <v>1.51</v>
          </cell>
          <cell r="L228" t="str">
            <v>26</v>
          </cell>
          <cell r="M228" t="str">
            <v>40002</v>
          </cell>
          <cell r="N228" t="str">
            <v>14 2813101</v>
          </cell>
          <cell r="O228" t="str">
            <v>066</v>
          </cell>
          <cell r="P228">
            <v>5</v>
          </cell>
          <cell r="Q228">
            <v>0</v>
          </cell>
          <cell r="R228" t="str">
            <v>1</v>
          </cell>
          <cell r="S228" t="str">
            <v>40</v>
          </cell>
          <cell r="T228">
            <v>93</v>
          </cell>
          <cell r="U228">
            <v>6</v>
          </cell>
          <cell r="V228">
            <v>93</v>
          </cell>
          <cell r="W228">
            <v>6</v>
          </cell>
          <cell r="X228">
            <v>93</v>
          </cell>
          <cell r="AF228" t="str">
            <v>00</v>
          </cell>
          <cell r="AI228">
            <v>4696369</v>
          </cell>
          <cell r="AJ228">
            <v>1056683.3500000001</v>
          </cell>
        </row>
        <row r="229">
          <cell r="A229" t="str">
            <v>02</v>
          </cell>
          <cell r="B229" t="str">
            <v>12</v>
          </cell>
          <cell r="C229" t="str">
            <v>3335</v>
          </cell>
          <cell r="D229" t="str">
            <v>Сеялка СЗП-3.6</v>
          </cell>
          <cell r="F229" t="str">
            <v>329</v>
          </cell>
          <cell r="G229" t="str">
            <v>01</v>
          </cell>
          <cell r="H229">
            <v>18755</v>
          </cell>
          <cell r="I229">
            <v>3094.58</v>
          </cell>
          <cell r="J229">
            <v>0</v>
          </cell>
          <cell r="K229">
            <v>1.01</v>
          </cell>
          <cell r="L229" t="str">
            <v>88/4</v>
          </cell>
          <cell r="M229" t="str">
            <v>45727</v>
          </cell>
          <cell r="N229" t="str">
            <v>14 2921000</v>
          </cell>
          <cell r="O229" t="str">
            <v>063</v>
          </cell>
          <cell r="P229">
            <v>11</v>
          </cell>
          <cell r="Q229">
            <v>0</v>
          </cell>
          <cell r="R229" t="str">
            <v>1</v>
          </cell>
          <cell r="S229" t="str">
            <v>45</v>
          </cell>
          <cell r="T229">
            <v>93</v>
          </cell>
          <cell r="U229">
            <v>6</v>
          </cell>
          <cell r="V229">
            <v>93</v>
          </cell>
          <cell r="W229">
            <v>6</v>
          </cell>
          <cell r="X229">
            <v>93</v>
          </cell>
          <cell r="AF229" t="str">
            <v>00</v>
          </cell>
          <cell r="AI229">
            <v>18565071</v>
          </cell>
          <cell r="AJ229">
            <v>9189710.4299999997</v>
          </cell>
        </row>
        <row r="230">
          <cell r="A230" t="str">
            <v>02</v>
          </cell>
          <cell r="B230" t="str">
            <v>12</v>
          </cell>
          <cell r="C230" t="str">
            <v>3336</v>
          </cell>
          <cell r="D230" t="str">
            <v>Сеялка СЗП-3.6</v>
          </cell>
          <cell r="F230" t="str">
            <v>330</v>
          </cell>
          <cell r="G230" t="str">
            <v>01</v>
          </cell>
          <cell r="H230">
            <v>18755</v>
          </cell>
          <cell r="I230">
            <v>3094.58</v>
          </cell>
          <cell r="J230">
            <v>0</v>
          </cell>
          <cell r="K230">
            <v>1.01</v>
          </cell>
          <cell r="L230" t="str">
            <v>88/4</v>
          </cell>
          <cell r="M230" t="str">
            <v>45727</v>
          </cell>
          <cell r="N230" t="str">
            <v>14 2921000</v>
          </cell>
          <cell r="O230" t="str">
            <v>063</v>
          </cell>
          <cell r="P230">
            <v>11</v>
          </cell>
          <cell r="Q230">
            <v>0</v>
          </cell>
          <cell r="R230" t="str">
            <v>1</v>
          </cell>
          <cell r="S230" t="str">
            <v>45</v>
          </cell>
          <cell r="T230">
            <v>93</v>
          </cell>
          <cell r="U230">
            <v>6</v>
          </cell>
          <cell r="V230">
            <v>93</v>
          </cell>
          <cell r="W230">
            <v>6</v>
          </cell>
          <cell r="X230">
            <v>93</v>
          </cell>
          <cell r="AF230" t="str">
            <v>00</v>
          </cell>
          <cell r="AI230">
            <v>18565071</v>
          </cell>
          <cell r="AJ230">
            <v>9189710.4299999997</v>
          </cell>
        </row>
        <row r="231">
          <cell r="A231" t="str">
            <v>02</v>
          </cell>
          <cell r="B231" t="str">
            <v>12</v>
          </cell>
          <cell r="C231" t="str">
            <v>3337</v>
          </cell>
          <cell r="D231" t="str">
            <v>СЕЯЛКА СЗП-3.6</v>
          </cell>
          <cell r="F231" t="str">
            <v>339</v>
          </cell>
          <cell r="G231" t="str">
            <v>01</v>
          </cell>
          <cell r="H231">
            <v>18755</v>
          </cell>
          <cell r="I231">
            <v>3094.58</v>
          </cell>
          <cell r="J231">
            <v>0</v>
          </cell>
          <cell r="K231">
            <v>1.01</v>
          </cell>
          <cell r="L231" t="str">
            <v>88/4</v>
          </cell>
          <cell r="M231" t="str">
            <v>45727</v>
          </cell>
          <cell r="N231" t="str">
            <v>14 2921000</v>
          </cell>
          <cell r="O231" t="str">
            <v>063</v>
          </cell>
          <cell r="P231">
            <v>11</v>
          </cell>
          <cell r="Q231">
            <v>0</v>
          </cell>
          <cell r="R231" t="str">
            <v>1</v>
          </cell>
          <cell r="S231" t="str">
            <v>45</v>
          </cell>
          <cell r="T231">
            <v>93</v>
          </cell>
          <cell r="U231">
            <v>6</v>
          </cell>
          <cell r="V231">
            <v>93</v>
          </cell>
          <cell r="W231">
            <v>6</v>
          </cell>
          <cell r="X231">
            <v>93</v>
          </cell>
          <cell r="AF231" t="str">
            <v>00</v>
          </cell>
          <cell r="AI231">
            <v>18565071</v>
          </cell>
          <cell r="AJ231">
            <v>9189710.4299999997</v>
          </cell>
        </row>
        <row r="232">
          <cell r="A232" t="str">
            <v>02</v>
          </cell>
          <cell r="B232" t="str">
            <v>99</v>
          </cell>
          <cell r="C232" t="str">
            <v>3343</v>
          </cell>
          <cell r="D232" t="str">
            <v>Эл.шлифмашина МА-180</v>
          </cell>
          <cell r="E232" t="str">
            <v>0</v>
          </cell>
          <cell r="G232" t="str">
            <v>01</v>
          </cell>
          <cell r="H232">
            <v>820</v>
          </cell>
          <cell r="I232">
            <v>111.93</v>
          </cell>
          <cell r="J232">
            <v>0</v>
          </cell>
          <cell r="K232">
            <v>0.36</v>
          </cell>
          <cell r="L232" t="str">
            <v>20</v>
          </cell>
          <cell r="M232" t="str">
            <v>60000</v>
          </cell>
          <cell r="N232" t="str">
            <v>14 2947196</v>
          </cell>
          <cell r="O232" t="str">
            <v>08</v>
          </cell>
          <cell r="P232">
            <v>50</v>
          </cell>
          <cell r="Q232">
            <v>0</v>
          </cell>
          <cell r="R232" t="str">
            <v>1</v>
          </cell>
          <cell r="S232" t="str">
            <v>70</v>
          </cell>
          <cell r="T232">
            <v>92</v>
          </cell>
          <cell r="U232">
            <v>6</v>
          </cell>
          <cell r="V232">
            <v>93</v>
          </cell>
          <cell r="W232">
            <v>6</v>
          </cell>
          <cell r="X232">
            <v>93</v>
          </cell>
          <cell r="AF232" t="str">
            <v>00</v>
          </cell>
          <cell r="AI232">
            <v>2268000</v>
          </cell>
          <cell r="AJ232">
            <v>2268000</v>
          </cell>
        </row>
        <row r="233">
          <cell r="A233" t="str">
            <v>02</v>
          </cell>
          <cell r="B233" t="str">
            <v>02</v>
          </cell>
          <cell r="C233" t="str">
            <v>3345</v>
          </cell>
          <cell r="D233" t="str">
            <v>Эл.шлифмашина МА-180</v>
          </cell>
          <cell r="E233" t="str">
            <v>0</v>
          </cell>
          <cell r="G233" t="str">
            <v>01</v>
          </cell>
          <cell r="H233">
            <v>820</v>
          </cell>
          <cell r="I233">
            <v>111.93</v>
          </cell>
          <cell r="J233">
            <v>0</v>
          </cell>
          <cell r="K233">
            <v>0.36</v>
          </cell>
          <cell r="L233" t="str">
            <v>20</v>
          </cell>
          <cell r="M233" t="str">
            <v>60000</v>
          </cell>
          <cell r="N233" t="str">
            <v>14 2947196</v>
          </cell>
          <cell r="O233" t="str">
            <v>08</v>
          </cell>
          <cell r="P233">
            <v>50</v>
          </cell>
          <cell r="Q233">
            <v>0</v>
          </cell>
          <cell r="R233" t="str">
            <v>1</v>
          </cell>
          <cell r="S233" t="str">
            <v>70</v>
          </cell>
          <cell r="T233">
            <v>92</v>
          </cell>
          <cell r="U233">
            <v>6</v>
          </cell>
          <cell r="V233">
            <v>93</v>
          </cell>
          <cell r="W233">
            <v>6</v>
          </cell>
          <cell r="X233">
            <v>93</v>
          </cell>
          <cell r="AF233" t="str">
            <v>00</v>
          </cell>
          <cell r="AI233">
            <v>2268000</v>
          </cell>
          <cell r="AJ233">
            <v>2268000</v>
          </cell>
        </row>
        <row r="234">
          <cell r="A234" t="str">
            <v>02</v>
          </cell>
          <cell r="B234" t="str">
            <v>05</v>
          </cell>
          <cell r="C234" t="str">
            <v>3347</v>
          </cell>
          <cell r="D234" t="str">
            <v>Водолазный БОТ 1527</v>
          </cell>
          <cell r="E234" t="str">
            <v>РВМ-376  Сосновский</v>
          </cell>
          <cell r="F234" t="str">
            <v>судостр.з-д</v>
          </cell>
          <cell r="G234" t="str">
            <v>01</v>
          </cell>
          <cell r="H234">
            <v>920000</v>
          </cell>
          <cell r="I234">
            <v>77280</v>
          </cell>
          <cell r="J234">
            <v>0</v>
          </cell>
          <cell r="K234">
            <v>0.82</v>
          </cell>
          <cell r="L234" t="str">
            <v>20</v>
          </cell>
          <cell r="M234" t="str">
            <v>42402</v>
          </cell>
          <cell r="N234" t="str">
            <v>15 3511232</v>
          </cell>
          <cell r="O234" t="str">
            <v>067</v>
          </cell>
          <cell r="P234">
            <v>5.6</v>
          </cell>
          <cell r="Q234">
            <v>0</v>
          </cell>
          <cell r="R234" t="str">
            <v>1</v>
          </cell>
          <cell r="S234" t="str">
            <v>42</v>
          </cell>
          <cell r="T234">
            <v>92</v>
          </cell>
          <cell r="U234">
            <v>6</v>
          </cell>
          <cell r="V234">
            <v>93</v>
          </cell>
          <cell r="W234">
            <v>6</v>
          </cell>
          <cell r="X234">
            <v>93</v>
          </cell>
          <cell r="AF234" t="str">
            <v>00</v>
          </cell>
          <cell r="AI234">
            <v>1127226620</v>
          </cell>
          <cell r="AJ234">
            <v>284061108.12</v>
          </cell>
        </row>
        <row r="235">
          <cell r="A235" t="str">
            <v>02</v>
          </cell>
          <cell r="B235" t="str">
            <v>05</v>
          </cell>
          <cell r="C235" t="str">
            <v>3348</v>
          </cell>
          <cell r="D235" t="str">
            <v>Водолазный БОТ РВМ-3</v>
          </cell>
          <cell r="E235" t="str">
            <v>76 Сосновский судост</v>
          </cell>
          <cell r="F235" t="str">
            <v>р.з-д</v>
          </cell>
          <cell r="G235" t="str">
            <v>01</v>
          </cell>
          <cell r="H235">
            <v>920000</v>
          </cell>
          <cell r="I235">
            <v>77280</v>
          </cell>
          <cell r="J235">
            <v>0</v>
          </cell>
          <cell r="K235">
            <v>0.82</v>
          </cell>
          <cell r="L235" t="str">
            <v>20</v>
          </cell>
          <cell r="M235" t="str">
            <v>42402</v>
          </cell>
          <cell r="N235" t="str">
            <v>15 3511232</v>
          </cell>
          <cell r="O235" t="str">
            <v>067</v>
          </cell>
          <cell r="P235">
            <v>5.6</v>
          </cell>
          <cell r="Q235">
            <v>0</v>
          </cell>
          <cell r="R235" t="str">
            <v>1</v>
          </cell>
          <cell r="S235" t="str">
            <v>42</v>
          </cell>
          <cell r="T235">
            <v>92</v>
          </cell>
          <cell r="U235">
            <v>6</v>
          </cell>
          <cell r="V235">
            <v>93</v>
          </cell>
          <cell r="W235">
            <v>6</v>
          </cell>
          <cell r="X235">
            <v>93</v>
          </cell>
          <cell r="AF235" t="str">
            <v>00</v>
          </cell>
          <cell r="AI235">
            <v>1127226620</v>
          </cell>
          <cell r="AJ235">
            <v>284061108.12</v>
          </cell>
        </row>
        <row r="236">
          <cell r="A236" t="str">
            <v>02</v>
          </cell>
          <cell r="B236" t="str">
            <v>80</v>
          </cell>
          <cell r="C236" t="str">
            <v>3349</v>
          </cell>
          <cell r="D236" t="str">
            <v>ПЭВМ</v>
          </cell>
          <cell r="G236" t="str">
            <v>01</v>
          </cell>
          <cell r="H236">
            <v>3500</v>
          </cell>
          <cell r="I236">
            <v>525</v>
          </cell>
          <cell r="J236">
            <v>7018.4</v>
          </cell>
          <cell r="K236">
            <v>0.5</v>
          </cell>
          <cell r="L236" t="str">
            <v>26</v>
          </cell>
          <cell r="M236" t="str">
            <v>48008</v>
          </cell>
          <cell r="N236" t="str">
            <v>14 3020203</v>
          </cell>
          <cell r="O236" t="str">
            <v>063</v>
          </cell>
          <cell r="P236">
            <v>10</v>
          </cell>
          <cell r="Q236">
            <v>0</v>
          </cell>
          <cell r="R236" t="str">
            <v>1</v>
          </cell>
          <cell r="S236" t="str">
            <v>48</v>
          </cell>
          <cell r="T236">
            <v>93</v>
          </cell>
          <cell r="U236">
            <v>6</v>
          </cell>
          <cell r="V236">
            <v>93</v>
          </cell>
          <cell r="W236">
            <v>6</v>
          </cell>
          <cell r="X236">
            <v>93</v>
          </cell>
          <cell r="Y236">
            <v>6</v>
          </cell>
          <cell r="Z236">
            <v>99</v>
          </cell>
          <cell r="AF236" t="str">
            <v>00</v>
          </cell>
          <cell r="AI236">
            <v>7035700</v>
          </cell>
          <cell r="AJ236">
            <v>3166065</v>
          </cell>
        </row>
        <row r="237">
          <cell r="A237" t="str">
            <v>02</v>
          </cell>
          <cell r="B237" t="str">
            <v>80</v>
          </cell>
          <cell r="C237" t="str">
            <v>3350</v>
          </cell>
          <cell r="D237" t="str">
            <v xml:space="preserve"> ПВЭМ</v>
          </cell>
          <cell r="G237" t="str">
            <v>01</v>
          </cell>
          <cell r="H237">
            <v>3500</v>
          </cell>
          <cell r="I237">
            <v>525</v>
          </cell>
          <cell r="J237">
            <v>0</v>
          </cell>
          <cell r="K237">
            <v>0.5</v>
          </cell>
          <cell r="L237" t="str">
            <v>26</v>
          </cell>
          <cell r="M237" t="str">
            <v>48008</v>
          </cell>
          <cell r="N237" t="str">
            <v>14 3020203</v>
          </cell>
          <cell r="O237" t="str">
            <v>063</v>
          </cell>
          <cell r="P237">
            <v>10</v>
          </cell>
          <cell r="Q237">
            <v>0</v>
          </cell>
          <cell r="R237" t="str">
            <v>1</v>
          </cell>
          <cell r="S237" t="str">
            <v>48</v>
          </cell>
          <cell r="T237">
            <v>93</v>
          </cell>
          <cell r="U237">
            <v>6</v>
          </cell>
          <cell r="V237">
            <v>93</v>
          </cell>
          <cell r="W237">
            <v>6</v>
          </cell>
          <cell r="X237">
            <v>93</v>
          </cell>
          <cell r="AF237" t="str">
            <v>00</v>
          </cell>
          <cell r="AI237">
            <v>7035700</v>
          </cell>
          <cell r="AJ237">
            <v>3166065</v>
          </cell>
        </row>
        <row r="238">
          <cell r="A238" t="str">
            <v>02</v>
          </cell>
          <cell r="B238" t="str">
            <v>55</v>
          </cell>
          <cell r="C238" t="str">
            <v>3351</v>
          </cell>
          <cell r="D238" t="str">
            <v>ПВЭМ РС-486 с лазерн</v>
          </cell>
          <cell r="E238" t="str">
            <v>ым принтером</v>
          </cell>
          <cell r="G238" t="str">
            <v>01</v>
          </cell>
          <cell r="H238">
            <v>6556</v>
          </cell>
          <cell r="I238">
            <v>907</v>
          </cell>
          <cell r="J238">
            <v>0</v>
          </cell>
          <cell r="K238">
            <v>0.5</v>
          </cell>
          <cell r="L238" t="str">
            <v>26</v>
          </cell>
          <cell r="M238" t="str">
            <v>48008</v>
          </cell>
          <cell r="N238" t="str">
            <v>14 3020201</v>
          </cell>
          <cell r="O238" t="str">
            <v>063</v>
          </cell>
          <cell r="P238">
            <v>10</v>
          </cell>
          <cell r="Q238">
            <v>0</v>
          </cell>
          <cell r="R238" t="str">
            <v>1</v>
          </cell>
          <cell r="S238" t="str">
            <v>48</v>
          </cell>
          <cell r="T238">
            <v>93</v>
          </cell>
          <cell r="U238">
            <v>6</v>
          </cell>
          <cell r="V238">
            <v>93</v>
          </cell>
          <cell r="W238">
            <v>6</v>
          </cell>
          <cell r="X238">
            <v>93</v>
          </cell>
          <cell r="AF238" t="str">
            <v>00</v>
          </cell>
          <cell r="AI238">
            <v>7035700</v>
          </cell>
          <cell r="AJ238">
            <v>3166065</v>
          </cell>
        </row>
        <row r="239">
          <cell r="A239" t="str">
            <v>02</v>
          </cell>
          <cell r="B239" t="str">
            <v>80</v>
          </cell>
          <cell r="C239" t="str">
            <v>3353</v>
          </cell>
          <cell r="D239" t="str">
            <v>ПАННО худож. резьба</v>
          </cell>
          <cell r="E239" t="str">
            <v>по дереву сборщица в</v>
          </cell>
          <cell r="G239" t="str">
            <v>01</v>
          </cell>
          <cell r="H239">
            <v>21402.66</v>
          </cell>
          <cell r="I239">
            <v>642.08000000000004</v>
          </cell>
          <cell r="J239">
            <v>0</v>
          </cell>
          <cell r="K239">
            <v>1.26</v>
          </cell>
          <cell r="L239" t="str">
            <v>88/2</v>
          </cell>
          <cell r="M239" t="str">
            <v>70007</v>
          </cell>
          <cell r="N239" t="str">
            <v>19 0001034</v>
          </cell>
          <cell r="O239" t="str">
            <v>08</v>
          </cell>
          <cell r="P239">
            <v>2</v>
          </cell>
          <cell r="Q239">
            <v>0</v>
          </cell>
          <cell r="R239" t="str">
            <v>1</v>
          </cell>
          <cell r="S239" t="str">
            <v>70</v>
          </cell>
          <cell r="T239">
            <v>93</v>
          </cell>
          <cell r="U239">
            <v>6</v>
          </cell>
          <cell r="V239">
            <v>93</v>
          </cell>
          <cell r="W239">
            <v>6</v>
          </cell>
          <cell r="X239">
            <v>93</v>
          </cell>
          <cell r="AF239" t="str">
            <v>00</v>
          </cell>
          <cell r="AI239">
            <v>16986240</v>
          </cell>
          <cell r="AJ239">
            <v>1528761.6</v>
          </cell>
        </row>
        <row r="240">
          <cell r="A240" t="str">
            <v>15</v>
          </cell>
          <cell r="B240" t="str">
            <v>81</v>
          </cell>
          <cell r="C240" t="str">
            <v>3354</v>
          </cell>
          <cell r="D240" t="str">
            <v>ПАННО худож.резьбы п</v>
          </cell>
          <cell r="E240" t="str">
            <v>о дереву ЛОСИ</v>
          </cell>
          <cell r="G240" t="str">
            <v>01</v>
          </cell>
          <cell r="H240">
            <v>39191.040000000001</v>
          </cell>
          <cell r="I240">
            <v>1175.73</v>
          </cell>
          <cell r="J240">
            <v>0</v>
          </cell>
          <cell r="K240">
            <v>1.26</v>
          </cell>
          <cell r="L240" t="str">
            <v>88/2</v>
          </cell>
          <cell r="M240" t="str">
            <v>70007</v>
          </cell>
          <cell r="N240" t="str">
            <v>19 0001034</v>
          </cell>
          <cell r="O240" t="str">
            <v>08</v>
          </cell>
          <cell r="P240">
            <v>2</v>
          </cell>
          <cell r="Q240">
            <v>0</v>
          </cell>
          <cell r="R240" t="str">
            <v>1</v>
          </cell>
          <cell r="S240" t="str">
            <v>70</v>
          </cell>
          <cell r="T240">
            <v>93</v>
          </cell>
          <cell r="U240">
            <v>6</v>
          </cell>
          <cell r="V240">
            <v>93</v>
          </cell>
          <cell r="W240">
            <v>6</v>
          </cell>
          <cell r="X240">
            <v>93</v>
          </cell>
          <cell r="AB240" t="str">
            <v>14</v>
          </cell>
          <cell r="AC240">
            <v>2</v>
          </cell>
          <cell r="AF240" t="str">
            <v>15</v>
          </cell>
          <cell r="AI240">
            <v>31104000</v>
          </cell>
          <cell r="AJ240">
            <v>2799360</v>
          </cell>
        </row>
        <row r="241">
          <cell r="A241" t="str">
            <v>02</v>
          </cell>
          <cell r="B241" t="str">
            <v>02</v>
          </cell>
          <cell r="C241" t="str">
            <v>3355</v>
          </cell>
          <cell r="D241" t="str">
            <v>Эксковатор ДХ-411</v>
          </cell>
          <cell r="G241" t="str">
            <v>01</v>
          </cell>
          <cell r="H241">
            <v>720000</v>
          </cell>
          <cell r="I241">
            <v>83160</v>
          </cell>
          <cell r="J241">
            <v>0</v>
          </cell>
          <cell r="K241">
            <v>0.89</v>
          </cell>
          <cell r="L241" t="str">
            <v>20</v>
          </cell>
          <cell r="M241" t="str">
            <v>41804</v>
          </cell>
          <cell r="N241" t="str">
            <v>14 2924335</v>
          </cell>
          <cell r="O241" t="str">
            <v>064</v>
          </cell>
          <cell r="P241">
            <v>7.7</v>
          </cell>
          <cell r="Q241">
            <v>0</v>
          </cell>
          <cell r="R241" t="str">
            <v>1</v>
          </cell>
          <cell r="S241" t="str">
            <v>41</v>
          </cell>
          <cell r="T241">
            <v>91</v>
          </cell>
          <cell r="U241">
            <v>6</v>
          </cell>
          <cell r="V241">
            <v>93</v>
          </cell>
          <cell r="W241">
            <v>6</v>
          </cell>
          <cell r="X241">
            <v>93</v>
          </cell>
          <cell r="AB241" t="str">
            <v>14</v>
          </cell>
          <cell r="AC241">
            <v>10</v>
          </cell>
          <cell r="AF241" t="str">
            <v>00</v>
          </cell>
          <cell r="AI241">
            <v>813418997</v>
          </cell>
          <cell r="AJ241">
            <v>281849682.31</v>
          </cell>
        </row>
        <row r="242">
          <cell r="A242" t="str">
            <v>02</v>
          </cell>
          <cell r="B242" t="str">
            <v>23</v>
          </cell>
          <cell r="C242" t="str">
            <v>3358</v>
          </cell>
          <cell r="D242" t="str">
            <v>Автобус ПАЗ-3205</v>
          </cell>
          <cell r="E242" t="str">
            <v>NоС 613 УС</v>
          </cell>
          <cell r="F242" t="str">
            <v>дв15236 ш9300394</v>
          </cell>
          <cell r="G242" t="str">
            <v>01</v>
          </cell>
          <cell r="H242">
            <v>87800</v>
          </cell>
          <cell r="I242">
            <v>13172.36</v>
          </cell>
          <cell r="J242">
            <v>0</v>
          </cell>
          <cell r="K242">
            <v>0.9</v>
          </cell>
          <cell r="L242" t="str">
            <v>23</v>
          </cell>
          <cell r="M242" t="str">
            <v>50423</v>
          </cell>
          <cell r="N242" t="str">
            <v>15 3410260</v>
          </cell>
          <cell r="O242" t="str">
            <v>072</v>
          </cell>
          <cell r="P242">
            <v>10</v>
          </cell>
          <cell r="Q242">
            <v>0</v>
          </cell>
          <cell r="R242" t="str">
            <v>1</v>
          </cell>
          <cell r="S242" t="str">
            <v>50</v>
          </cell>
          <cell r="T242">
            <v>93</v>
          </cell>
          <cell r="U242">
            <v>6</v>
          </cell>
          <cell r="V242">
            <v>93</v>
          </cell>
          <cell r="W242">
            <v>6</v>
          </cell>
          <cell r="X242">
            <v>93</v>
          </cell>
          <cell r="AF242" t="str">
            <v>00</v>
          </cell>
          <cell r="AI242">
            <v>97777778</v>
          </cell>
          <cell r="AJ242">
            <v>44002623.649999999</v>
          </cell>
        </row>
        <row r="243">
          <cell r="A243" t="str">
            <v>02</v>
          </cell>
          <cell r="B243" t="str">
            <v>23</v>
          </cell>
          <cell r="C243" t="str">
            <v>3359</v>
          </cell>
          <cell r="D243" t="str">
            <v>А/машина ГАЗ 3307</v>
          </cell>
          <cell r="E243" t="str">
            <v>СПЭИИ.N 14-58кшш</v>
          </cell>
          <cell r="F243" t="str">
            <v>дв0033682 ш1543247</v>
          </cell>
          <cell r="G243" t="str">
            <v>01</v>
          </cell>
          <cell r="H243">
            <v>67800</v>
          </cell>
          <cell r="I243">
            <v>14543.1</v>
          </cell>
          <cell r="J243">
            <v>0</v>
          </cell>
          <cell r="K243">
            <v>0.53</v>
          </cell>
          <cell r="L243" t="str">
            <v>23</v>
          </cell>
          <cell r="M243" t="str">
            <v>50401</v>
          </cell>
          <cell r="N243" t="str">
            <v>15 3410340</v>
          </cell>
          <cell r="O243" t="str">
            <v>075</v>
          </cell>
          <cell r="P243">
            <v>14.3</v>
          </cell>
          <cell r="Q243">
            <v>0</v>
          </cell>
          <cell r="R243" t="str">
            <v>1</v>
          </cell>
          <cell r="S243" t="str">
            <v>50</v>
          </cell>
          <cell r="T243">
            <v>93</v>
          </cell>
          <cell r="U243">
            <v>6</v>
          </cell>
          <cell r="V243">
            <v>93</v>
          </cell>
          <cell r="W243">
            <v>6</v>
          </cell>
          <cell r="X243">
            <v>93</v>
          </cell>
          <cell r="AF243" t="str">
            <v>00</v>
          </cell>
          <cell r="AI243">
            <v>128888889</v>
          </cell>
          <cell r="AJ243">
            <v>82940000.170000002</v>
          </cell>
        </row>
        <row r="244">
          <cell r="A244" t="str">
            <v>02</v>
          </cell>
          <cell r="B244" t="str">
            <v>23</v>
          </cell>
          <cell r="C244" t="str">
            <v>3360</v>
          </cell>
          <cell r="D244" t="str">
            <v>ЗИЛ-131 битумозаправ</v>
          </cell>
          <cell r="E244" t="str">
            <v>БВ-43 спец.госN13-55</v>
          </cell>
          <cell r="F244" t="str">
            <v>КШШ дв030195 ш037656</v>
          </cell>
          <cell r="G244" t="str">
            <v>01</v>
          </cell>
          <cell r="H244">
            <v>157000</v>
          </cell>
          <cell r="I244">
            <v>23550</v>
          </cell>
          <cell r="J244">
            <v>0</v>
          </cell>
          <cell r="K244">
            <v>1.1399999999999999</v>
          </cell>
          <cell r="L244" t="str">
            <v>23</v>
          </cell>
          <cell r="M244" t="str">
            <v>42100</v>
          </cell>
          <cell r="N244" t="str">
            <v>15 3410372</v>
          </cell>
          <cell r="O244" t="str">
            <v>067</v>
          </cell>
          <cell r="P244">
            <v>10</v>
          </cell>
          <cell r="Q244">
            <v>0</v>
          </cell>
          <cell r="R244" t="str">
            <v>1</v>
          </cell>
          <cell r="S244" t="str">
            <v>50</v>
          </cell>
          <cell r="T244">
            <v>92</v>
          </cell>
          <cell r="U244">
            <v>6</v>
          </cell>
          <cell r="V244">
            <v>93</v>
          </cell>
          <cell r="W244">
            <v>6</v>
          </cell>
          <cell r="X244">
            <v>93</v>
          </cell>
          <cell r="AF244" t="str">
            <v>00</v>
          </cell>
          <cell r="AI244">
            <v>137777778</v>
          </cell>
          <cell r="AJ244">
            <v>62000000.100000001</v>
          </cell>
        </row>
        <row r="245">
          <cell r="A245" t="str">
            <v>02</v>
          </cell>
          <cell r="B245" t="str">
            <v>23</v>
          </cell>
          <cell r="C245" t="str">
            <v>3361</v>
          </cell>
          <cell r="D245" t="str">
            <v>А/м УАЗ-31512 спец.</v>
          </cell>
          <cell r="E245" t="str">
            <v>легковая Nо95-23 КШВ</v>
          </cell>
          <cell r="F245" t="str">
            <v>дв21107202 ш402819</v>
          </cell>
          <cell r="G245" t="str">
            <v>01</v>
          </cell>
          <cell r="H245">
            <v>30623</v>
          </cell>
          <cell r="I245">
            <v>6568.63</v>
          </cell>
          <cell r="J245">
            <v>0</v>
          </cell>
          <cell r="K245">
            <v>0.86</v>
          </cell>
          <cell r="L245" t="str">
            <v>26</v>
          </cell>
          <cell r="M245" t="str">
            <v>50416</v>
          </cell>
          <cell r="N245" t="str">
            <v>15 3410180</v>
          </cell>
          <cell r="O245" t="str">
            <v>071</v>
          </cell>
          <cell r="P245">
            <v>14.3</v>
          </cell>
          <cell r="Q245">
            <v>0</v>
          </cell>
          <cell r="R245" t="str">
            <v>1</v>
          </cell>
          <cell r="S245" t="str">
            <v>50</v>
          </cell>
          <cell r="T245">
            <v>93</v>
          </cell>
          <cell r="U245">
            <v>6</v>
          </cell>
          <cell r="V245">
            <v>93</v>
          </cell>
          <cell r="W245">
            <v>6</v>
          </cell>
          <cell r="X245">
            <v>93</v>
          </cell>
          <cell r="AF245" t="str">
            <v>00</v>
          </cell>
          <cell r="AI245">
            <v>35555556</v>
          </cell>
          <cell r="AJ245">
            <v>22880000.260000002</v>
          </cell>
        </row>
        <row r="246">
          <cell r="A246" t="str">
            <v>02</v>
          </cell>
          <cell r="B246" t="str">
            <v>23</v>
          </cell>
          <cell r="C246" t="str">
            <v>3362</v>
          </cell>
          <cell r="D246" t="str">
            <v>А/м УАЗ-3741 спец</v>
          </cell>
          <cell r="E246" t="str">
            <v>NоУ833ЕУ</v>
          </cell>
          <cell r="F246" t="str">
            <v>дв20909497 ш0170531</v>
          </cell>
          <cell r="G246" t="str">
            <v>01</v>
          </cell>
          <cell r="H246">
            <v>71419.259999999995</v>
          </cell>
          <cell r="I246">
            <v>15319.43</v>
          </cell>
          <cell r="J246">
            <v>0</v>
          </cell>
          <cell r="K246">
            <v>1.31</v>
          </cell>
          <cell r="L246" t="str">
            <v>23</v>
          </cell>
          <cell r="M246" t="str">
            <v>50416</v>
          </cell>
          <cell r="N246" t="str">
            <v>15 3410165</v>
          </cell>
          <cell r="O246" t="str">
            <v>071</v>
          </cell>
          <cell r="P246">
            <v>14.3</v>
          </cell>
          <cell r="Q246">
            <v>0</v>
          </cell>
          <cell r="R246" t="str">
            <v>1</v>
          </cell>
          <cell r="S246" t="str">
            <v>50</v>
          </cell>
          <cell r="T246">
            <v>92</v>
          </cell>
          <cell r="U246">
            <v>6</v>
          </cell>
          <cell r="V246">
            <v>93</v>
          </cell>
          <cell r="W246">
            <v>6</v>
          </cell>
          <cell r="X246">
            <v>93</v>
          </cell>
          <cell r="AF246" t="str">
            <v>00</v>
          </cell>
          <cell r="AI246">
            <v>54518519</v>
          </cell>
          <cell r="AJ246">
            <v>35082667.039999999</v>
          </cell>
        </row>
        <row r="247">
          <cell r="A247" t="str">
            <v>02</v>
          </cell>
          <cell r="B247" t="str">
            <v>23</v>
          </cell>
          <cell r="C247" t="str">
            <v>3363</v>
          </cell>
          <cell r="D247" t="str">
            <v>А/поезд КАМАЗ с приц</v>
          </cell>
          <cell r="E247" t="str">
            <v>Nо В 895 ОВ груз.с/с</v>
          </cell>
          <cell r="F247" t="str">
            <v>дв б/н  ш2034041</v>
          </cell>
          <cell r="G247" t="str">
            <v>01</v>
          </cell>
          <cell r="H247">
            <v>191279.41</v>
          </cell>
          <cell r="I247">
            <v>32936.519999999997</v>
          </cell>
          <cell r="J247">
            <v>0</v>
          </cell>
          <cell r="K247">
            <v>1.31</v>
          </cell>
          <cell r="L247" t="str">
            <v>23</v>
          </cell>
          <cell r="M247" t="str">
            <v>50403</v>
          </cell>
          <cell r="N247" t="str">
            <v>15 3410196</v>
          </cell>
          <cell r="O247" t="str">
            <v>075</v>
          </cell>
          <cell r="P247">
            <v>0.37</v>
          </cell>
          <cell r="Q247">
            <v>0</v>
          </cell>
          <cell r="R247" t="str">
            <v>1</v>
          </cell>
          <cell r="S247" t="str">
            <v>50</v>
          </cell>
          <cell r="T247">
            <v>92</v>
          </cell>
          <cell r="U247">
            <v>6</v>
          </cell>
          <cell r="V247">
            <v>93</v>
          </cell>
          <cell r="W247">
            <v>6</v>
          </cell>
          <cell r="X247">
            <v>93</v>
          </cell>
          <cell r="AF247" t="str">
            <v>00</v>
          </cell>
          <cell r="AI247">
            <v>146014815</v>
          </cell>
          <cell r="AJ247">
            <v>71494080.75</v>
          </cell>
        </row>
        <row r="248">
          <cell r="A248" t="str">
            <v>02</v>
          </cell>
          <cell r="B248" t="str">
            <v>23</v>
          </cell>
          <cell r="C248" t="str">
            <v>3364</v>
          </cell>
          <cell r="D248" t="str">
            <v>Автобус КАРОСА</v>
          </cell>
          <cell r="E248" t="str">
            <v>Nо09-06 КШШ</v>
          </cell>
          <cell r="F248" t="str">
            <v>дв6090087 ш32619</v>
          </cell>
          <cell r="G248" t="str">
            <v>01</v>
          </cell>
          <cell r="H248">
            <v>183060</v>
          </cell>
          <cell r="I248">
            <v>24987.69</v>
          </cell>
          <cell r="J248">
            <v>0</v>
          </cell>
          <cell r="K248">
            <v>0.66</v>
          </cell>
          <cell r="L248" t="str">
            <v>23</v>
          </cell>
          <cell r="M248" t="str">
            <v>50425</v>
          </cell>
          <cell r="N248" t="str">
            <v>15 3410280</v>
          </cell>
          <cell r="O248" t="str">
            <v>072</v>
          </cell>
          <cell r="P248">
            <v>9.1</v>
          </cell>
          <cell r="Q248">
            <v>0</v>
          </cell>
          <cell r="R248" t="str">
            <v>1</v>
          </cell>
          <cell r="S248" t="str">
            <v>50</v>
          </cell>
          <cell r="T248">
            <v>93</v>
          </cell>
          <cell r="U248">
            <v>6</v>
          </cell>
          <cell r="V248">
            <v>93</v>
          </cell>
          <cell r="W248">
            <v>6</v>
          </cell>
          <cell r="X248">
            <v>93</v>
          </cell>
          <cell r="AF248" t="str">
            <v>00</v>
          </cell>
          <cell r="AI248">
            <v>276467688</v>
          </cell>
          <cell r="AJ248">
            <v>113213518.09</v>
          </cell>
        </row>
        <row r="249">
          <cell r="A249" t="str">
            <v>02</v>
          </cell>
          <cell r="B249" t="str">
            <v>12</v>
          </cell>
          <cell r="C249" t="str">
            <v>3367</v>
          </cell>
          <cell r="D249" t="str">
            <v>Трактор ЮМЗ-6л</v>
          </cell>
          <cell r="F249" t="str">
            <v>873954</v>
          </cell>
          <cell r="G249" t="str">
            <v>01</v>
          </cell>
          <cell r="H249">
            <v>51000</v>
          </cell>
          <cell r="I249">
            <v>6961.5</v>
          </cell>
          <cell r="J249">
            <v>0</v>
          </cell>
          <cell r="K249">
            <v>1.1100000000000001</v>
          </cell>
          <cell r="L249" t="str">
            <v>88/4</v>
          </cell>
          <cell r="M249" t="str">
            <v>40609</v>
          </cell>
          <cell r="N249" t="str">
            <v>14 2918103</v>
          </cell>
          <cell r="O249" t="str">
            <v>064</v>
          </cell>
          <cell r="P249">
            <v>9.1</v>
          </cell>
          <cell r="Q249">
            <v>0</v>
          </cell>
          <cell r="R249" t="str">
            <v>1</v>
          </cell>
          <cell r="S249" t="str">
            <v>40</v>
          </cell>
          <cell r="T249">
            <v>92</v>
          </cell>
          <cell r="U249">
            <v>6</v>
          </cell>
          <cell r="V249">
            <v>93</v>
          </cell>
          <cell r="W249">
            <v>6</v>
          </cell>
          <cell r="X249">
            <v>93</v>
          </cell>
          <cell r="AF249" t="str">
            <v>00</v>
          </cell>
          <cell r="AI249">
            <v>46090535</v>
          </cell>
          <cell r="AJ249">
            <v>18874074.09</v>
          </cell>
        </row>
        <row r="250">
          <cell r="A250" t="str">
            <v>02</v>
          </cell>
          <cell r="B250" t="str">
            <v>23</v>
          </cell>
          <cell r="C250" t="str">
            <v>3370</v>
          </cell>
          <cell r="D250" t="str">
            <v>Автобус ПАЗ-3203</v>
          </cell>
          <cell r="E250" t="str">
            <v>Nо28-89 КШЦ</v>
          </cell>
          <cell r="F250" t="str">
            <v>дв82479 ш9302862</v>
          </cell>
          <cell r="G250" t="str">
            <v>01</v>
          </cell>
          <cell r="H250">
            <v>87800</v>
          </cell>
          <cell r="I250">
            <v>12438.33</v>
          </cell>
          <cell r="J250">
            <v>0</v>
          </cell>
          <cell r="K250">
            <v>0.9</v>
          </cell>
          <cell r="L250" t="str">
            <v>23</v>
          </cell>
          <cell r="M250" t="str">
            <v>50423</v>
          </cell>
          <cell r="N250" t="str">
            <v>15 3410260</v>
          </cell>
          <cell r="O250" t="str">
            <v>072</v>
          </cell>
          <cell r="P250">
            <v>10</v>
          </cell>
          <cell r="Q250">
            <v>0</v>
          </cell>
          <cell r="R250" t="str">
            <v>1</v>
          </cell>
          <cell r="S250" t="str">
            <v>50</v>
          </cell>
          <cell r="T250">
            <v>93</v>
          </cell>
          <cell r="U250">
            <v>7</v>
          </cell>
          <cell r="V250">
            <v>93</v>
          </cell>
          <cell r="W250">
            <v>7</v>
          </cell>
          <cell r="X250">
            <v>93</v>
          </cell>
          <cell r="AF250" t="str">
            <v>00</v>
          </cell>
          <cell r="AI250">
            <v>97777778</v>
          </cell>
          <cell r="AJ250">
            <v>43185185.399999999</v>
          </cell>
        </row>
        <row r="251">
          <cell r="A251" t="str">
            <v>02</v>
          </cell>
          <cell r="B251" t="str">
            <v>23</v>
          </cell>
          <cell r="C251" t="str">
            <v>3372</v>
          </cell>
          <cell r="D251" t="str">
            <v>Автобус ПАЗ-3205</v>
          </cell>
          <cell r="E251" t="str">
            <v>Nо28-87 КШЦ</v>
          </cell>
          <cell r="F251" t="str">
            <v>дв80750 ш9302808</v>
          </cell>
          <cell r="G251" t="str">
            <v>01</v>
          </cell>
          <cell r="H251">
            <v>87800</v>
          </cell>
          <cell r="I251">
            <v>12438.33</v>
          </cell>
          <cell r="J251">
            <v>0</v>
          </cell>
          <cell r="K251">
            <v>0.9</v>
          </cell>
          <cell r="L251" t="str">
            <v>23</v>
          </cell>
          <cell r="M251" t="str">
            <v>50423</v>
          </cell>
          <cell r="N251" t="str">
            <v>15 3410260</v>
          </cell>
          <cell r="O251" t="str">
            <v>072</v>
          </cell>
          <cell r="P251">
            <v>10</v>
          </cell>
          <cell r="Q251">
            <v>0</v>
          </cell>
          <cell r="R251" t="str">
            <v>1</v>
          </cell>
          <cell r="S251" t="str">
            <v>50</v>
          </cell>
          <cell r="T251">
            <v>93</v>
          </cell>
          <cell r="U251">
            <v>7</v>
          </cell>
          <cell r="V251">
            <v>93</v>
          </cell>
          <cell r="W251">
            <v>7</v>
          </cell>
          <cell r="X251">
            <v>93</v>
          </cell>
          <cell r="AF251" t="str">
            <v>00</v>
          </cell>
          <cell r="AI251">
            <v>97777778</v>
          </cell>
          <cell r="AJ251">
            <v>43185185.399999999</v>
          </cell>
        </row>
        <row r="252">
          <cell r="A252" t="str">
            <v>02</v>
          </cell>
          <cell r="B252" t="str">
            <v>05</v>
          </cell>
          <cell r="C252" t="str">
            <v>3401</v>
          </cell>
          <cell r="D252" t="str">
            <v>Мотопомпа /бензонасо</v>
          </cell>
          <cell r="E252" t="str">
            <v>с/ с двигателем Друж</v>
          </cell>
          <cell r="F252" t="str">
            <v>ба</v>
          </cell>
          <cell r="G252" t="str">
            <v>01</v>
          </cell>
          <cell r="H252">
            <v>349.41</v>
          </cell>
          <cell r="I252">
            <v>43.68</v>
          </cell>
          <cell r="J252">
            <v>0</v>
          </cell>
          <cell r="K252">
            <v>1.21</v>
          </cell>
          <cell r="L252" t="str">
            <v>20</v>
          </cell>
          <cell r="M252" t="str">
            <v>41502</v>
          </cell>
          <cell r="N252" t="str">
            <v>14 2912000</v>
          </cell>
          <cell r="O252" t="str">
            <v>064</v>
          </cell>
          <cell r="P252">
            <v>12.5</v>
          </cell>
          <cell r="Q252">
            <v>0</v>
          </cell>
          <cell r="R252" t="str">
            <v>1</v>
          </cell>
          <cell r="S252" t="str">
            <v>41</v>
          </cell>
          <cell r="T252">
            <v>92</v>
          </cell>
          <cell r="U252">
            <v>8</v>
          </cell>
          <cell r="V252">
            <v>93</v>
          </cell>
          <cell r="W252">
            <v>8</v>
          </cell>
          <cell r="X252">
            <v>93</v>
          </cell>
          <cell r="AF252" t="str">
            <v>00</v>
          </cell>
          <cell r="AI252">
            <v>288768</v>
          </cell>
          <cell r="AJ252">
            <v>144384</v>
          </cell>
        </row>
        <row r="253">
          <cell r="A253" t="str">
            <v>02</v>
          </cell>
          <cell r="B253" t="str">
            <v>99</v>
          </cell>
          <cell r="C253" t="str">
            <v>3402</v>
          </cell>
          <cell r="D253" t="str">
            <v>Мотопомпа /бензонасо</v>
          </cell>
          <cell r="E253" t="str">
            <v>с/</v>
          </cell>
          <cell r="G253" t="str">
            <v>01</v>
          </cell>
          <cell r="H253">
            <v>349.41</v>
          </cell>
          <cell r="I253">
            <v>58.23</v>
          </cell>
          <cell r="J253">
            <v>0</v>
          </cell>
          <cell r="K253">
            <v>1.21</v>
          </cell>
          <cell r="L253" t="str">
            <v>20</v>
          </cell>
          <cell r="M253" t="str">
            <v>41502</v>
          </cell>
          <cell r="N253" t="str">
            <v>14 3115201</v>
          </cell>
          <cell r="O253" t="str">
            <v>064</v>
          </cell>
          <cell r="P253">
            <v>12.5</v>
          </cell>
          <cell r="Q253">
            <v>0</v>
          </cell>
          <cell r="R253" t="str">
            <v>1</v>
          </cell>
          <cell r="S253" t="str">
            <v>41</v>
          </cell>
          <cell r="T253">
            <v>92</v>
          </cell>
          <cell r="U253">
            <v>8</v>
          </cell>
          <cell r="V253">
            <v>93</v>
          </cell>
          <cell r="W253">
            <v>8</v>
          </cell>
          <cell r="X253">
            <v>93</v>
          </cell>
          <cell r="AF253" t="str">
            <v>00</v>
          </cell>
          <cell r="AI253">
            <v>288768</v>
          </cell>
          <cell r="AJ253">
            <v>156416</v>
          </cell>
        </row>
        <row r="254">
          <cell r="A254" t="str">
            <v>02</v>
          </cell>
          <cell r="B254" t="str">
            <v>71</v>
          </cell>
          <cell r="C254" t="str">
            <v>3404</v>
          </cell>
          <cell r="D254" t="str">
            <v>Дизель генератор ДГА</v>
          </cell>
          <cell r="E254" t="str">
            <v>-315</v>
          </cell>
          <cell r="G254" t="str">
            <v>01</v>
          </cell>
          <cell r="H254">
            <v>19456.11</v>
          </cell>
          <cell r="I254">
            <v>1608.37</v>
          </cell>
          <cell r="J254">
            <v>0</v>
          </cell>
          <cell r="K254">
            <v>1.21</v>
          </cell>
          <cell r="L254" t="str">
            <v>23</v>
          </cell>
          <cell r="M254" t="str">
            <v>40203</v>
          </cell>
          <cell r="N254" t="str">
            <v>14 2911102</v>
          </cell>
          <cell r="O254" t="str">
            <v>063</v>
          </cell>
          <cell r="P254">
            <v>6.2</v>
          </cell>
          <cell r="Q254">
            <v>0</v>
          </cell>
          <cell r="R254" t="str">
            <v>1</v>
          </cell>
          <cell r="S254" t="str">
            <v>40</v>
          </cell>
          <cell r="T254">
            <v>92</v>
          </cell>
          <cell r="U254">
            <v>8</v>
          </cell>
          <cell r="V254">
            <v>93</v>
          </cell>
          <cell r="W254">
            <v>8</v>
          </cell>
          <cell r="X254">
            <v>93</v>
          </cell>
          <cell r="AF254" t="str">
            <v>00</v>
          </cell>
          <cell r="AI254">
            <v>16079429</v>
          </cell>
          <cell r="AJ254">
            <v>4320006.59</v>
          </cell>
        </row>
        <row r="255">
          <cell r="A255" t="str">
            <v>02</v>
          </cell>
          <cell r="B255" t="str">
            <v>02</v>
          </cell>
          <cell r="C255" t="str">
            <v>3456</v>
          </cell>
          <cell r="D255" t="str">
            <v>Кран РДК-25</v>
          </cell>
          <cell r="F255" t="str">
            <v>8821</v>
          </cell>
          <cell r="G255" t="str">
            <v>01</v>
          </cell>
          <cell r="H255">
            <v>194998</v>
          </cell>
          <cell r="I255">
            <v>84287.23</v>
          </cell>
          <cell r="J255">
            <v>0</v>
          </cell>
          <cell r="K255">
            <v>0.94</v>
          </cell>
          <cell r="L255" t="str">
            <v>20</v>
          </cell>
          <cell r="M255" t="str">
            <v>41701</v>
          </cell>
          <cell r="N255" t="str">
            <v>14 2915243</v>
          </cell>
          <cell r="O255" t="str">
            <v>067</v>
          </cell>
          <cell r="P255">
            <v>9.1</v>
          </cell>
          <cell r="Q255">
            <v>0</v>
          </cell>
          <cell r="R255" t="str">
            <v>1</v>
          </cell>
          <cell r="S255" t="str">
            <v>41</v>
          </cell>
          <cell r="T255">
            <v>83</v>
          </cell>
          <cell r="U255">
            <v>3</v>
          </cell>
          <cell r="V255">
            <v>90</v>
          </cell>
          <cell r="W255">
            <v>3</v>
          </cell>
          <cell r="X255">
            <v>90</v>
          </cell>
          <cell r="AB255" t="str">
            <v>14</v>
          </cell>
          <cell r="AC255">
            <v>12</v>
          </cell>
          <cell r="AF255" t="str">
            <v>00</v>
          </cell>
          <cell r="AI255">
            <v>207407407</v>
          </cell>
          <cell r="AJ255">
            <v>146273373.05000001</v>
          </cell>
        </row>
        <row r="256">
          <cell r="A256" t="str">
            <v>02</v>
          </cell>
          <cell r="B256" t="str">
            <v>23</v>
          </cell>
          <cell r="C256" t="str">
            <v>3830</v>
          </cell>
          <cell r="D256" t="str">
            <v>А/м Маз-5551 с/с гру</v>
          </cell>
          <cell r="E256" t="str">
            <v>зовой N 31-77 кшц</v>
          </cell>
          <cell r="F256" t="str">
            <v>дв13809 ш42329</v>
          </cell>
          <cell r="G256" t="str">
            <v>01</v>
          </cell>
          <cell r="H256">
            <v>110740</v>
          </cell>
          <cell r="I256">
            <v>512.30999999999995</v>
          </cell>
          <cell r="J256">
            <v>0</v>
          </cell>
          <cell r="K256">
            <v>0.99</v>
          </cell>
          <cell r="L256" t="str">
            <v>23</v>
          </cell>
          <cell r="M256" t="str">
            <v>50402</v>
          </cell>
          <cell r="N256" t="str">
            <v>15 3410224</v>
          </cell>
          <cell r="O256" t="str">
            <v>075</v>
          </cell>
          <cell r="P256">
            <v>0.37</v>
          </cell>
          <cell r="Q256">
            <v>0</v>
          </cell>
          <cell r="R256" t="str">
            <v>1</v>
          </cell>
          <cell r="S256" t="str">
            <v>50</v>
          </cell>
          <cell r="T256">
            <v>93</v>
          </cell>
          <cell r="U256">
            <v>9</v>
          </cell>
          <cell r="V256">
            <v>93</v>
          </cell>
          <cell r="W256">
            <v>9</v>
          </cell>
          <cell r="X256">
            <v>93</v>
          </cell>
          <cell r="AF256" t="str">
            <v>00</v>
          </cell>
          <cell r="AI256">
            <v>112000000</v>
          </cell>
          <cell r="AJ256">
            <v>32670605.670000002</v>
          </cell>
        </row>
        <row r="257">
          <cell r="A257" t="str">
            <v>02</v>
          </cell>
          <cell r="B257" t="str">
            <v>05</v>
          </cell>
          <cell r="C257" t="str">
            <v>3832</v>
          </cell>
          <cell r="D257" t="str">
            <v>Сварочный агрегат НД</v>
          </cell>
          <cell r="E257" t="str">
            <v>-516 с ВДУ 506</v>
          </cell>
          <cell r="F257" t="str">
            <v>2289</v>
          </cell>
          <cell r="G257" t="str">
            <v>01</v>
          </cell>
          <cell r="H257">
            <v>2337.0700000000002</v>
          </cell>
          <cell r="I257">
            <v>487.86</v>
          </cell>
          <cell r="J257">
            <v>0</v>
          </cell>
          <cell r="K257">
            <v>1.21</v>
          </cell>
          <cell r="L257" t="str">
            <v>20</v>
          </cell>
          <cell r="M257" t="str">
            <v>42502</v>
          </cell>
          <cell r="N257" t="str">
            <v>14 2947193</v>
          </cell>
          <cell r="O257" t="str">
            <v>067</v>
          </cell>
          <cell r="P257">
            <v>16.7</v>
          </cell>
          <cell r="Q257">
            <v>0</v>
          </cell>
          <cell r="R257" t="str">
            <v>1</v>
          </cell>
          <cell r="S257" t="str">
            <v>42</v>
          </cell>
          <cell r="T257">
            <v>91</v>
          </cell>
          <cell r="U257">
            <v>9</v>
          </cell>
          <cell r="V257">
            <v>93</v>
          </cell>
          <cell r="W257">
            <v>9</v>
          </cell>
          <cell r="X257">
            <v>93</v>
          </cell>
          <cell r="AF257" t="str">
            <v>00</v>
          </cell>
          <cell r="AI257">
            <v>1931463</v>
          </cell>
          <cell r="AJ257">
            <v>1370855.96</v>
          </cell>
        </row>
        <row r="258">
          <cell r="A258" t="str">
            <v>02</v>
          </cell>
          <cell r="B258" t="str">
            <v>15</v>
          </cell>
          <cell r="C258" t="str">
            <v>3833</v>
          </cell>
          <cell r="D258" t="str">
            <v>Сварочный агрегат НД</v>
          </cell>
          <cell r="E258" t="str">
            <v>-516 с ВДУ 506</v>
          </cell>
          <cell r="G258" t="str">
            <v>01</v>
          </cell>
          <cell r="H258">
            <v>1848.47</v>
          </cell>
          <cell r="I258">
            <v>385.87</v>
          </cell>
          <cell r="J258">
            <v>0</v>
          </cell>
          <cell r="K258">
            <v>1.21</v>
          </cell>
          <cell r="L258" t="str">
            <v>88/2</v>
          </cell>
          <cell r="M258" t="str">
            <v>42502</v>
          </cell>
          <cell r="N258" t="str">
            <v>14 2947193</v>
          </cell>
          <cell r="O258" t="str">
            <v>067</v>
          </cell>
          <cell r="P258">
            <v>16.7</v>
          </cell>
          <cell r="Q258">
            <v>0</v>
          </cell>
          <cell r="R258" t="str">
            <v>1</v>
          </cell>
          <cell r="S258" t="str">
            <v>42</v>
          </cell>
          <cell r="T258">
            <v>91</v>
          </cell>
          <cell r="U258">
            <v>9</v>
          </cell>
          <cell r="V258">
            <v>93</v>
          </cell>
          <cell r="W258">
            <v>9</v>
          </cell>
          <cell r="X258">
            <v>93</v>
          </cell>
          <cell r="AB258" t="str">
            <v>14</v>
          </cell>
          <cell r="AC258">
            <v>10</v>
          </cell>
          <cell r="AF258" t="str">
            <v>00</v>
          </cell>
          <cell r="AI258">
            <v>1527660</v>
          </cell>
          <cell r="AJ258">
            <v>1084256.6599999999</v>
          </cell>
        </row>
        <row r="259">
          <cell r="A259" t="str">
            <v>02</v>
          </cell>
          <cell r="B259" t="str">
            <v>03</v>
          </cell>
          <cell r="C259" t="str">
            <v>3834</v>
          </cell>
          <cell r="D259" t="str">
            <v>Лодка кефаль</v>
          </cell>
          <cell r="F259" t="str">
            <v>228</v>
          </cell>
          <cell r="G259" t="str">
            <v>01</v>
          </cell>
          <cell r="H259">
            <v>3400</v>
          </cell>
          <cell r="I259">
            <v>807.5</v>
          </cell>
          <cell r="J259">
            <v>0</v>
          </cell>
          <cell r="K259">
            <v>1.1000000000000001</v>
          </cell>
          <cell r="L259" t="str">
            <v>26</v>
          </cell>
          <cell r="M259" t="str">
            <v>50225</v>
          </cell>
          <cell r="N259" t="str">
            <v>15 3512123</v>
          </cell>
          <cell r="O259" t="str">
            <v>075</v>
          </cell>
          <cell r="P259">
            <v>19</v>
          </cell>
          <cell r="Q259">
            <v>0</v>
          </cell>
          <cell r="R259" t="str">
            <v>1</v>
          </cell>
          <cell r="S259" t="str">
            <v>50</v>
          </cell>
          <cell r="T259">
            <v>93</v>
          </cell>
          <cell r="U259">
            <v>9</v>
          </cell>
          <cell r="V259">
            <v>93</v>
          </cell>
          <cell r="W259">
            <v>9</v>
          </cell>
          <cell r="X259">
            <v>93</v>
          </cell>
          <cell r="AA259" t="str">
            <v>1</v>
          </cell>
          <cell r="AB259" t="str">
            <v>14</v>
          </cell>
          <cell r="AC259">
            <v>8</v>
          </cell>
          <cell r="AF259" t="str">
            <v>00</v>
          </cell>
          <cell r="AG259">
            <v>3100000</v>
          </cell>
          <cell r="AI259">
            <v>3100000</v>
          </cell>
          <cell r="AJ259">
            <v>2503250</v>
          </cell>
        </row>
        <row r="260">
          <cell r="A260" t="str">
            <v>02</v>
          </cell>
          <cell r="B260" t="str">
            <v>03</v>
          </cell>
          <cell r="C260" t="str">
            <v>3835</v>
          </cell>
          <cell r="D260" t="str">
            <v>Лодка кефаль</v>
          </cell>
          <cell r="G260" t="str">
            <v>01</v>
          </cell>
          <cell r="H260">
            <v>3400</v>
          </cell>
          <cell r="I260">
            <v>807.5</v>
          </cell>
          <cell r="J260">
            <v>0</v>
          </cell>
          <cell r="K260">
            <v>1.1000000000000001</v>
          </cell>
          <cell r="L260" t="str">
            <v>26</v>
          </cell>
          <cell r="M260" t="str">
            <v>50225</v>
          </cell>
          <cell r="N260" t="str">
            <v>15 3512123</v>
          </cell>
          <cell r="O260" t="str">
            <v>075</v>
          </cell>
          <cell r="P260">
            <v>19</v>
          </cell>
          <cell r="Q260">
            <v>0</v>
          </cell>
          <cell r="R260" t="str">
            <v>1</v>
          </cell>
          <cell r="S260" t="str">
            <v>50</v>
          </cell>
          <cell r="T260">
            <v>93</v>
          </cell>
          <cell r="U260">
            <v>9</v>
          </cell>
          <cell r="V260">
            <v>93</v>
          </cell>
          <cell r="W260">
            <v>9</v>
          </cell>
          <cell r="X260">
            <v>93</v>
          </cell>
          <cell r="AA260" t="str">
            <v>1</v>
          </cell>
          <cell r="AB260" t="str">
            <v>14</v>
          </cell>
          <cell r="AC260">
            <v>8</v>
          </cell>
          <cell r="AF260" t="str">
            <v>00</v>
          </cell>
          <cell r="AG260">
            <v>3100000</v>
          </cell>
          <cell r="AI260">
            <v>3100000</v>
          </cell>
          <cell r="AJ260">
            <v>2503250</v>
          </cell>
        </row>
        <row r="261">
          <cell r="A261" t="str">
            <v>02</v>
          </cell>
          <cell r="B261" t="str">
            <v>03</v>
          </cell>
          <cell r="C261" t="str">
            <v>3836</v>
          </cell>
          <cell r="D261" t="str">
            <v>Лодка кефаль</v>
          </cell>
          <cell r="G261" t="str">
            <v>01</v>
          </cell>
          <cell r="H261">
            <v>3400</v>
          </cell>
          <cell r="I261">
            <v>807.5</v>
          </cell>
          <cell r="J261">
            <v>0</v>
          </cell>
          <cell r="K261">
            <v>1.1000000000000001</v>
          </cell>
          <cell r="L261" t="str">
            <v>26</v>
          </cell>
          <cell r="M261" t="str">
            <v>50225</v>
          </cell>
          <cell r="N261" t="str">
            <v>15 3512123</v>
          </cell>
          <cell r="O261" t="str">
            <v>075</v>
          </cell>
          <cell r="P261">
            <v>19</v>
          </cell>
          <cell r="Q261">
            <v>0</v>
          </cell>
          <cell r="R261" t="str">
            <v>1</v>
          </cell>
          <cell r="S261" t="str">
            <v>50</v>
          </cell>
          <cell r="T261">
            <v>93</v>
          </cell>
          <cell r="U261">
            <v>9</v>
          </cell>
          <cell r="V261">
            <v>93</v>
          </cell>
          <cell r="W261">
            <v>9</v>
          </cell>
          <cell r="X261">
            <v>93</v>
          </cell>
          <cell r="AA261" t="str">
            <v>1</v>
          </cell>
          <cell r="AB261" t="str">
            <v>14</v>
          </cell>
          <cell r="AC261">
            <v>8</v>
          </cell>
          <cell r="AF261" t="str">
            <v>00</v>
          </cell>
          <cell r="AG261">
            <v>3100000</v>
          </cell>
          <cell r="AI261">
            <v>3100000</v>
          </cell>
          <cell r="AJ261">
            <v>2503250</v>
          </cell>
        </row>
        <row r="262">
          <cell r="A262" t="str">
            <v>02</v>
          </cell>
          <cell r="B262" t="str">
            <v>03</v>
          </cell>
          <cell r="C262" t="str">
            <v>3837</v>
          </cell>
          <cell r="D262" t="str">
            <v>Лодка кефаль</v>
          </cell>
          <cell r="G262" t="str">
            <v>01</v>
          </cell>
          <cell r="H262">
            <v>3400</v>
          </cell>
          <cell r="I262">
            <v>807.5</v>
          </cell>
          <cell r="J262">
            <v>0</v>
          </cell>
          <cell r="K262">
            <v>1.1000000000000001</v>
          </cell>
          <cell r="L262" t="str">
            <v>26</v>
          </cell>
          <cell r="M262" t="str">
            <v>50225</v>
          </cell>
          <cell r="N262" t="str">
            <v>15 3512123</v>
          </cell>
          <cell r="O262" t="str">
            <v>075</v>
          </cell>
          <cell r="P262">
            <v>19</v>
          </cell>
          <cell r="Q262">
            <v>0</v>
          </cell>
          <cell r="R262" t="str">
            <v>1</v>
          </cell>
          <cell r="S262" t="str">
            <v>50</v>
          </cell>
          <cell r="T262">
            <v>93</v>
          </cell>
          <cell r="U262">
            <v>9</v>
          </cell>
          <cell r="V262">
            <v>93</v>
          </cell>
          <cell r="W262">
            <v>9</v>
          </cell>
          <cell r="X262">
            <v>93</v>
          </cell>
          <cell r="AA262" t="str">
            <v>1</v>
          </cell>
          <cell r="AB262" t="str">
            <v>14</v>
          </cell>
          <cell r="AC262">
            <v>8</v>
          </cell>
          <cell r="AF262" t="str">
            <v>00</v>
          </cell>
          <cell r="AG262">
            <v>3100000</v>
          </cell>
          <cell r="AI262">
            <v>3100000</v>
          </cell>
          <cell r="AJ262">
            <v>2503250</v>
          </cell>
        </row>
        <row r="263">
          <cell r="A263" t="str">
            <v>02</v>
          </cell>
          <cell r="B263" t="str">
            <v>03</v>
          </cell>
          <cell r="C263" t="str">
            <v>3838</v>
          </cell>
          <cell r="D263" t="str">
            <v>Лодка кефаль</v>
          </cell>
          <cell r="G263" t="str">
            <v>01</v>
          </cell>
          <cell r="H263">
            <v>3400</v>
          </cell>
          <cell r="I263">
            <v>807.5</v>
          </cell>
          <cell r="J263">
            <v>0</v>
          </cell>
          <cell r="K263">
            <v>1.1000000000000001</v>
          </cell>
          <cell r="L263" t="str">
            <v>26</v>
          </cell>
          <cell r="M263" t="str">
            <v>50225</v>
          </cell>
          <cell r="N263" t="str">
            <v>15 3512123</v>
          </cell>
          <cell r="O263" t="str">
            <v>075</v>
          </cell>
          <cell r="P263">
            <v>19</v>
          </cell>
          <cell r="Q263">
            <v>0</v>
          </cell>
          <cell r="R263" t="str">
            <v>1</v>
          </cell>
          <cell r="S263" t="str">
            <v>50</v>
          </cell>
          <cell r="T263">
            <v>93</v>
          </cell>
          <cell r="U263">
            <v>9</v>
          </cell>
          <cell r="V263">
            <v>93</v>
          </cell>
          <cell r="W263">
            <v>9</v>
          </cell>
          <cell r="X263">
            <v>93</v>
          </cell>
          <cell r="AB263" t="str">
            <v>14</v>
          </cell>
          <cell r="AC263">
            <v>8</v>
          </cell>
          <cell r="AF263" t="str">
            <v>00</v>
          </cell>
          <cell r="AG263">
            <v>3100000</v>
          </cell>
          <cell r="AI263">
            <v>3100000</v>
          </cell>
          <cell r="AJ263">
            <v>2503250</v>
          </cell>
        </row>
        <row r="264">
          <cell r="A264" t="str">
            <v>02</v>
          </cell>
          <cell r="B264" t="str">
            <v>03</v>
          </cell>
          <cell r="C264" t="str">
            <v>3839</v>
          </cell>
          <cell r="D264" t="str">
            <v>Лодка кефаль</v>
          </cell>
          <cell r="G264" t="str">
            <v>01</v>
          </cell>
          <cell r="H264">
            <v>3400</v>
          </cell>
          <cell r="I264">
            <v>807.5</v>
          </cell>
          <cell r="J264">
            <v>0</v>
          </cell>
          <cell r="K264">
            <v>1.1000000000000001</v>
          </cell>
          <cell r="L264" t="str">
            <v>26</v>
          </cell>
          <cell r="M264" t="str">
            <v>50225</v>
          </cell>
          <cell r="N264" t="str">
            <v>15 3512123</v>
          </cell>
          <cell r="O264" t="str">
            <v>075</v>
          </cell>
          <cell r="P264">
            <v>19</v>
          </cell>
          <cell r="Q264">
            <v>0</v>
          </cell>
          <cell r="R264" t="str">
            <v>1</v>
          </cell>
          <cell r="S264" t="str">
            <v>50</v>
          </cell>
          <cell r="T264">
            <v>93</v>
          </cell>
          <cell r="U264">
            <v>9</v>
          </cell>
          <cell r="V264">
            <v>93</v>
          </cell>
          <cell r="W264">
            <v>9</v>
          </cell>
          <cell r="X264">
            <v>93</v>
          </cell>
          <cell r="AB264" t="str">
            <v>14</v>
          </cell>
          <cell r="AC264">
            <v>8</v>
          </cell>
          <cell r="AF264" t="str">
            <v>00</v>
          </cell>
          <cell r="AG264">
            <v>3100000</v>
          </cell>
          <cell r="AI264">
            <v>3100000</v>
          </cell>
          <cell r="AJ264">
            <v>2503250</v>
          </cell>
        </row>
        <row r="265">
          <cell r="A265" t="str">
            <v>02</v>
          </cell>
          <cell r="B265" t="str">
            <v>03</v>
          </cell>
          <cell r="C265" t="str">
            <v>3840</v>
          </cell>
          <cell r="D265" t="str">
            <v>Лодка кефаль</v>
          </cell>
          <cell r="G265" t="str">
            <v>01</v>
          </cell>
          <cell r="H265">
            <v>3400</v>
          </cell>
          <cell r="I265">
            <v>807.5</v>
          </cell>
          <cell r="J265">
            <v>0</v>
          </cell>
          <cell r="K265">
            <v>1.1000000000000001</v>
          </cell>
          <cell r="L265" t="str">
            <v>26</v>
          </cell>
          <cell r="M265" t="str">
            <v>50225</v>
          </cell>
          <cell r="N265" t="str">
            <v>15 3512123</v>
          </cell>
          <cell r="O265" t="str">
            <v>075</v>
          </cell>
          <cell r="P265">
            <v>19</v>
          </cell>
          <cell r="Q265">
            <v>0</v>
          </cell>
          <cell r="R265" t="str">
            <v>1</v>
          </cell>
          <cell r="S265" t="str">
            <v>50</v>
          </cell>
          <cell r="T265">
            <v>93</v>
          </cell>
          <cell r="U265">
            <v>9</v>
          </cell>
          <cell r="V265">
            <v>93</v>
          </cell>
          <cell r="W265">
            <v>9</v>
          </cell>
          <cell r="X265">
            <v>93</v>
          </cell>
          <cell r="AB265" t="str">
            <v>14</v>
          </cell>
          <cell r="AC265">
            <v>8</v>
          </cell>
          <cell r="AF265" t="str">
            <v>00</v>
          </cell>
          <cell r="AG265">
            <v>3100000</v>
          </cell>
          <cell r="AI265">
            <v>3100000</v>
          </cell>
          <cell r="AJ265">
            <v>2503250</v>
          </cell>
        </row>
        <row r="266">
          <cell r="A266" t="str">
            <v>02</v>
          </cell>
          <cell r="B266" t="str">
            <v>03</v>
          </cell>
          <cell r="C266" t="str">
            <v>3841</v>
          </cell>
          <cell r="D266" t="str">
            <v>Лодка кефаль</v>
          </cell>
          <cell r="G266" t="str">
            <v>01</v>
          </cell>
          <cell r="H266">
            <v>3400</v>
          </cell>
          <cell r="I266">
            <v>807.5</v>
          </cell>
          <cell r="J266">
            <v>0</v>
          </cell>
          <cell r="K266">
            <v>1.1000000000000001</v>
          </cell>
          <cell r="L266" t="str">
            <v>26</v>
          </cell>
          <cell r="M266" t="str">
            <v>50225</v>
          </cell>
          <cell r="N266" t="str">
            <v>15 3512123</v>
          </cell>
          <cell r="O266" t="str">
            <v>075</v>
          </cell>
          <cell r="P266">
            <v>19</v>
          </cell>
          <cell r="Q266">
            <v>0</v>
          </cell>
          <cell r="R266" t="str">
            <v>1</v>
          </cell>
          <cell r="S266" t="str">
            <v>50</v>
          </cell>
          <cell r="T266">
            <v>93</v>
          </cell>
          <cell r="U266">
            <v>9</v>
          </cell>
          <cell r="V266">
            <v>93</v>
          </cell>
          <cell r="W266">
            <v>9</v>
          </cell>
          <cell r="X266">
            <v>93</v>
          </cell>
          <cell r="AB266" t="str">
            <v>14</v>
          </cell>
          <cell r="AC266">
            <v>8</v>
          </cell>
          <cell r="AF266" t="str">
            <v>00</v>
          </cell>
          <cell r="AG266">
            <v>3100000</v>
          </cell>
          <cell r="AI266">
            <v>3100000</v>
          </cell>
          <cell r="AJ266">
            <v>2503250</v>
          </cell>
        </row>
        <row r="267">
          <cell r="A267" t="str">
            <v>02</v>
          </cell>
          <cell r="B267" t="str">
            <v>03</v>
          </cell>
          <cell r="C267" t="str">
            <v>3844</v>
          </cell>
          <cell r="D267" t="str">
            <v>Холодильник Саратов</v>
          </cell>
          <cell r="G267" t="str">
            <v>01</v>
          </cell>
          <cell r="H267">
            <v>1250</v>
          </cell>
          <cell r="I267">
            <v>156.25</v>
          </cell>
          <cell r="J267">
            <v>0</v>
          </cell>
          <cell r="K267">
            <v>0.52</v>
          </cell>
          <cell r="L267" t="str">
            <v>26</v>
          </cell>
          <cell r="M267" t="str">
            <v>45800</v>
          </cell>
          <cell r="N267" t="str">
            <v>16 2930100</v>
          </cell>
          <cell r="O267" t="str">
            <v>063</v>
          </cell>
          <cell r="P267">
            <v>10</v>
          </cell>
          <cell r="Q267">
            <v>0</v>
          </cell>
          <cell r="R267" t="str">
            <v>1</v>
          </cell>
          <cell r="S267" t="str">
            <v>45</v>
          </cell>
          <cell r="T267">
            <v>93</v>
          </cell>
          <cell r="U267">
            <v>9</v>
          </cell>
          <cell r="V267">
            <v>93</v>
          </cell>
          <cell r="W267">
            <v>9</v>
          </cell>
          <cell r="X267">
            <v>93</v>
          </cell>
          <cell r="AB267" t="str">
            <v>14</v>
          </cell>
          <cell r="AC267">
            <v>8</v>
          </cell>
          <cell r="AF267" t="str">
            <v>00</v>
          </cell>
          <cell r="AI267">
            <v>2415414</v>
          </cell>
          <cell r="AJ267">
            <v>1026550.95</v>
          </cell>
        </row>
        <row r="268">
          <cell r="A268" t="str">
            <v>02</v>
          </cell>
          <cell r="B268" t="str">
            <v>03</v>
          </cell>
          <cell r="C268" t="str">
            <v>3845</v>
          </cell>
          <cell r="D268" t="str">
            <v>Холодильная камера</v>
          </cell>
          <cell r="E268" t="str">
            <v>низкотемпературная</v>
          </cell>
          <cell r="G268" t="str">
            <v>01</v>
          </cell>
          <cell r="H268">
            <v>4604.6099999999997</v>
          </cell>
          <cell r="I268">
            <v>575.58000000000004</v>
          </cell>
          <cell r="J268">
            <v>0</v>
          </cell>
          <cell r="K268">
            <v>0.91</v>
          </cell>
          <cell r="L268" t="str">
            <v>26</v>
          </cell>
          <cell r="M268" t="str">
            <v>45800</v>
          </cell>
          <cell r="N268" t="str">
            <v>16 2930100</v>
          </cell>
          <cell r="O268" t="str">
            <v>063</v>
          </cell>
          <cell r="P268">
            <v>10</v>
          </cell>
          <cell r="Q268">
            <v>0</v>
          </cell>
          <cell r="R268" t="str">
            <v>1</v>
          </cell>
          <cell r="S268" t="str">
            <v>45</v>
          </cell>
          <cell r="T268">
            <v>93</v>
          </cell>
          <cell r="U268">
            <v>9</v>
          </cell>
          <cell r="V268">
            <v>93</v>
          </cell>
          <cell r="W268">
            <v>9</v>
          </cell>
          <cell r="X268">
            <v>93</v>
          </cell>
          <cell r="AB268" t="str">
            <v>14</v>
          </cell>
          <cell r="AC268">
            <v>8</v>
          </cell>
          <cell r="AF268" t="str">
            <v>00</v>
          </cell>
          <cell r="AG268">
            <v>5060012</v>
          </cell>
          <cell r="AI268">
            <v>5060012</v>
          </cell>
          <cell r="AJ268">
            <v>2150504.6</v>
          </cell>
        </row>
        <row r="269">
          <cell r="A269" t="str">
            <v>02</v>
          </cell>
          <cell r="B269" t="str">
            <v>04</v>
          </cell>
          <cell r="C269" t="str">
            <v>3846</v>
          </cell>
          <cell r="D269" t="str">
            <v>Сварочный выпрямител</v>
          </cell>
          <cell r="E269" t="str">
            <v>ьВСБ-101</v>
          </cell>
          <cell r="F269" t="str">
            <v>238</v>
          </cell>
          <cell r="G269" t="str">
            <v>01</v>
          </cell>
          <cell r="H269">
            <v>1463.62</v>
          </cell>
          <cell r="I269">
            <v>305.52999999999997</v>
          </cell>
          <cell r="J269">
            <v>0</v>
          </cell>
          <cell r="K269">
            <v>1.21</v>
          </cell>
          <cell r="L269" t="str">
            <v>23</v>
          </cell>
          <cell r="M269" t="str">
            <v>42502</v>
          </cell>
          <cell r="N269" t="str">
            <v>14 2947193</v>
          </cell>
          <cell r="O269" t="str">
            <v>067</v>
          </cell>
          <cell r="P269">
            <v>16.7</v>
          </cell>
          <cell r="Q269">
            <v>0</v>
          </cell>
          <cell r="R269" t="str">
            <v>1</v>
          </cell>
          <cell r="S269" t="str">
            <v>42</v>
          </cell>
          <cell r="T269">
            <v>93</v>
          </cell>
          <cell r="U269">
            <v>9</v>
          </cell>
          <cell r="V269">
            <v>93</v>
          </cell>
          <cell r="W269">
            <v>9</v>
          </cell>
          <cell r="X269">
            <v>93</v>
          </cell>
          <cell r="AB269" t="str">
            <v>14</v>
          </cell>
          <cell r="AC269">
            <v>2</v>
          </cell>
          <cell r="AF269" t="str">
            <v>00</v>
          </cell>
          <cell r="AI269">
            <v>1209600</v>
          </cell>
          <cell r="AJ269">
            <v>858513.6</v>
          </cell>
        </row>
        <row r="270">
          <cell r="A270" t="str">
            <v>02</v>
          </cell>
          <cell r="B270" t="str">
            <v>03</v>
          </cell>
          <cell r="C270" t="str">
            <v>3847</v>
          </cell>
          <cell r="D270" t="str">
            <v>Музыкальный центр</v>
          </cell>
          <cell r="E270" t="str">
            <v>МЗ 222</v>
          </cell>
          <cell r="G270" t="str">
            <v>01</v>
          </cell>
          <cell r="H270">
            <v>1050</v>
          </cell>
          <cell r="I270">
            <v>137.81</v>
          </cell>
          <cell r="J270">
            <v>0</v>
          </cell>
          <cell r="K270">
            <v>0.54</v>
          </cell>
          <cell r="L270" t="str">
            <v>26</v>
          </cell>
          <cell r="M270" t="str">
            <v>45625</v>
          </cell>
          <cell r="N270" t="str">
            <v>14 3230170</v>
          </cell>
          <cell r="O270" t="str">
            <v>067</v>
          </cell>
          <cell r="P270">
            <v>10.5</v>
          </cell>
          <cell r="Q270">
            <v>0</v>
          </cell>
          <cell r="R270" t="str">
            <v>1</v>
          </cell>
          <cell r="S270" t="str">
            <v>45</v>
          </cell>
          <cell r="T270">
            <v>93</v>
          </cell>
          <cell r="U270">
            <v>9</v>
          </cell>
          <cell r="V270">
            <v>93</v>
          </cell>
          <cell r="W270">
            <v>9</v>
          </cell>
          <cell r="X270">
            <v>93</v>
          </cell>
          <cell r="AB270" t="str">
            <v>14</v>
          </cell>
          <cell r="AC270">
            <v>8</v>
          </cell>
          <cell r="AF270" t="str">
            <v>00</v>
          </cell>
          <cell r="AI270">
            <v>1953202</v>
          </cell>
          <cell r="AJ270">
            <v>871616.63</v>
          </cell>
        </row>
        <row r="271">
          <cell r="A271" t="str">
            <v>02</v>
          </cell>
          <cell r="B271" t="str">
            <v>03</v>
          </cell>
          <cell r="C271" t="str">
            <v>3848</v>
          </cell>
          <cell r="D271" t="str">
            <v>Телевизор Чайка</v>
          </cell>
          <cell r="F271" t="str">
            <v>423 дв</v>
          </cell>
          <cell r="G271" t="str">
            <v>01</v>
          </cell>
          <cell r="H271">
            <v>868.14</v>
          </cell>
          <cell r="I271">
            <v>113.94</v>
          </cell>
          <cell r="J271">
            <v>0</v>
          </cell>
          <cell r="K271">
            <v>0.91</v>
          </cell>
          <cell r="L271" t="str">
            <v>26</v>
          </cell>
          <cell r="M271" t="str">
            <v>42625</v>
          </cell>
          <cell r="N271" t="str">
            <v>14 3230101</v>
          </cell>
          <cell r="O271" t="str">
            <v>067</v>
          </cell>
          <cell r="P271">
            <v>10.5</v>
          </cell>
          <cell r="Q271">
            <v>0</v>
          </cell>
          <cell r="R271" t="str">
            <v>1</v>
          </cell>
          <cell r="S271" t="str">
            <v>42</v>
          </cell>
          <cell r="T271">
            <v>93</v>
          </cell>
          <cell r="U271">
            <v>9</v>
          </cell>
          <cell r="V271">
            <v>93</v>
          </cell>
          <cell r="W271">
            <v>9</v>
          </cell>
          <cell r="X271">
            <v>93</v>
          </cell>
          <cell r="AB271" t="str">
            <v>14</v>
          </cell>
          <cell r="AC271">
            <v>8</v>
          </cell>
          <cell r="AF271" t="str">
            <v>00</v>
          </cell>
          <cell r="AG271">
            <v>954000</v>
          </cell>
          <cell r="AI271">
            <v>954000</v>
          </cell>
          <cell r="AJ271">
            <v>425722</v>
          </cell>
        </row>
        <row r="272">
          <cell r="A272" t="str">
            <v>02</v>
          </cell>
          <cell r="B272" t="str">
            <v>05</v>
          </cell>
          <cell r="C272" t="str">
            <v>3849</v>
          </cell>
          <cell r="D272" t="str">
            <v>Плита газовая 4х кам</v>
          </cell>
          <cell r="E272" t="str">
            <v>Брест</v>
          </cell>
          <cell r="G272" t="str">
            <v>01</v>
          </cell>
          <cell r="H272">
            <v>251.16</v>
          </cell>
          <cell r="I272">
            <v>19.149999999999999</v>
          </cell>
          <cell r="J272">
            <v>0</v>
          </cell>
          <cell r="K272">
            <v>0.91</v>
          </cell>
          <cell r="L272" t="str">
            <v>20</v>
          </cell>
          <cell r="M272" t="str">
            <v>49022</v>
          </cell>
          <cell r="N272" t="str">
            <v>16 2930480</v>
          </cell>
          <cell r="O272" t="str">
            <v>063</v>
          </cell>
          <cell r="P272">
            <v>6.1</v>
          </cell>
          <cell r="Q272">
            <v>0</v>
          </cell>
          <cell r="R272" t="str">
            <v>1</v>
          </cell>
          <cell r="S272" t="str">
            <v>49</v>
          </cell>
          <cell r="T272">
            <v>93</v>
          </cell>
          <cell r="U272">
            <v>9</v>
          </cell>
          <cell r="V272">
            <v>93</v>
          </cell>
          <cell r="W272">
            <v>9</v>
          </cell>
          <cell r="X272">
            <v>93</v>
          </cell>
          <cell r="AF272" t="str">
            <v>00</v>
          </cell>
          <cell r="AI272">
            <v>276000</v>
          </cell>
          <cell r="AJ272">
            <v>71553</v>
          </cell>
        </row>
        <row r="273">
          <cell r="A273" t="str">
            <v>02</v>
          </cell>
          <cell r="B273" t="str">
            <v>02</v>
          </cell>
          <cell r="C273" t="str">
            <v>3850</v>
          </cell>
          <cell r="D273" t="str">
            <v>Сварочная установка</v>
          </cell>
          <cell r="E273" t="str">
            <v>на базе Т-150</v>
          </cell>
          <cell r="G273" t="str">
            <v>01</v>
          </cell>
          <cell r="H273">
            <v>355000</v>
          </cell>
          <cell r="I273">
            <v>55468.75</v>
          </cell>
          <cell r="J273">
            <v>0</v>
          </cell>
          <cell r="K273">
            <v>0.95</v>
          </cell>
          <cell r="L273" t="str">
            <v>20</v>
          </cell>
          <cell r="M273" t="str">
            <v>42503</v>
          </cell>
          <cell r="N273" t="str">
            <v>14 2947193</v>
          </cell>
          <cell r="O273" t="str">
            <v>067</v>
          </cell>
          <cell r="P273">
            <v>12.5</v>
          </cell>
          <cell r="Q273">
            <v>0</v>
          </cell>
          <cell r="R273" t="str">
            <v>1</v>
          </cell>
          <cell r="S273" t="str">
            <v>42</v>
          </cell>
          <cell r="T273">
            <v>93</v>
          </cell>
          <cell r="U273">
            <v>9</v>
          </cell>
          <cell r="V273">
            <v>93</v>
          </cell>
          <cell r="W273">
            <v>9</v>
          </cell>
          <cell r="X273">
            <v>93</v>
          </cell>
          <cell r="AB273" t="str">
            <v>14</v>
          </cell>
          <cell r="AC273">
            <v>6</v>
          </cell>
          <cell r="AF273" t="str">
            <v>00</v>
          </cell>
          <cell r="AI273">
            <v>374826435</v>
          </cell>
          <cell r="AJ273">
            <v>199126543.13</v>
          </cell>
        </row>
        <row r="274">
          <cell r="A274" t="str">
            <v>02</v>
          </cell>
          <cell r="B274" t="str">
            <v>80</v>
          </cell>
          <cell r="C274" t="str">
            <v>3851</v>
          </cell>
          <cell r="D274" t="str">
            <v>Мебель офисная 3шкаф</v>
          </cell>
          <cell r="E274" t="str">
            <v>а стол кресло</v>
          </cell>
          <cell r="G274" t="str">
            <v>01</v>
          </cell>
          <cell r="H274">
            <v>9860</v>
          </cell>
          <cell r="I274">
            <v>825.77</v>
          </cell>
          <cell r="J274">
            <v>0</v>
          </cell>
          <cell r="K274">
            <v>0.21</v>
          </cell>
          <cell r="L274" t="str">
            <v>26</v>
          </cell>
          <cell r="M274" t="str">
            <v>70004</v>
          </cell>
          <cell r="N274" t="str">
            <v>16 3612510</v>
          </cell>
          <cell r="O274" t="str">
            <v>08</v>
          </cell>
          <cell r="P274">
            <v>6.7</v>
          </cell>
          <cell r="Q274">
            <v>0</v>
          </cell>
          <cell r="R274" t="str">
            <v>1</v>
          </cell>
          <cell r="S274" t="str">
            <v>70</v>
          </cell>
          <cell r="T274">
            <v>93</v>
          </cell>
          <cell r="U274">
            <v>9</v>
          </cell>
          <cell r="V274">
            <v>93</v>
          </cell>
          <cell r="W274">
            <v>9</v>
          </cell>
          <cell r="X274">
            <v>93</v>
          </cell>
          <cell r="AF274" t="str">
            <v>00</v>
          </cell>
          <cell r="AI274">
            <v>46403288</v>
          </cell>
          <cell r="AJ274">
            <v>13213335.890000001</v>
          </cell>
        </row>
        <row r="275">
          <cell r="A275" t="str">
            <v>02</v>
          </cell>
          <cell r="B275" t="str">
            <v>02</v>
          </cell>
          <cell r="C275" t="str">
            <v>3852</v>
          </cell>
          <cell r="D275" t="str">
            <v>Морозильник Свияга</v>
          </cell>
          <cell r="G275" t="str">
            <v>01</v>
          </cell>
          <cell r="H275">
            <v>1300</v>
          </cell>
          <cell r="I275">
            <v>162.5</v>
          </cell>
          <cell r="J275">
            <v>0</v>
          </cell>
          <cell r="K275">
            <v>0.15</v>
          </cell>
          <cell r="L275" t="str">
            <v>20</v>
          </cell>
          <cell r="M275" t="str">
            <v>45800</v>
          </cell>
          <cell r="N275" t="str">
            <v>16 2930100</v>
          </cell>
          <cell r="O275" t="str">
            <v>063</v>
          </cell>
          <cell r="P275">
            <v>10</v>
          </cell>
          <cell r="Q275">
            <v>0</v>
          </cell>
          <cell r="R275" t="str">
            <v>1</v>
          </cell>
          <cell r="S275" t="str">
            <v>45</v>
          </cell>
          <cell r="T275">
            <v>93</v>
          </cell>
          <cell r="U275">
            <v>9</v>
          </cell>
          <cell r="V275">
            <v>93</v>
          </cell>
          <cell r="W275">
            <v>9</v>
          </cell>
          <cell r="X275">
            <v>93</v>
          </cell>
          <cell r="AF275" t="str">
            <v>00</v>
          </cell>
          <cell r="AI275">
            <v>8625000</v>
          </cell>
          <cell r="AJ275">
            <v>3665625</v>
          </cell>
        </row>
        <row r="276">
          <cell r="A276" t="str">
            <v>02</v>
          </cell>
          <cell r="B276" t="str">
            <v>02</v>
          </cell>
          <cell r="C276" t="str">
            <v>3853</v>
          </cell>
          <cell r="D276" t="str">
            <v>МорозильникСвияга</v>
          </cell>
          <cell r="G276" t="str">
            <v>01</v>
          </cell>
          <cell r="H276">
            <v>1300</v>
          </cell>
          <cell r="I276">
            <v>162.5</v>
          </cell>
          <cell r="J276">
            <v>0</v>
          </cell>
          <cell r="K276">
            <v>0.15</v>
          </cell>
          <cell r="L276" t="str">
            <v>20</v>
          </cell>
          <cell r="M276" t="str">
            <v>45800</v>
          </cell>
          <cell r="N276" t="str">
            <v>16 2930100</v>
          </cell>
          <cell r="O276" t="str">
            <v>063</v>
          </cell>
          <cell r="P276">
            <v>10</v>
          </cell>
          <cell r="Q276">
            <v>0</v>
          </cell>
          <cell r="R276" t="str">
            <v>1</v>
          </cell>
          <cell r="S276" t="str">
            <v>45</v>
          </cell>
          <cell r="T276">
            <v>93</v>
          </cell>
          <cell r="U276">
            <v>9</v>
          </cell>
          <cell r="V276">
            <v>93</v>
          </cell>
          <cell r="W276">
            <v>9</v>
          </cell>
          <cell r="X276">
            <v>93</v>
          </cell>
          <cell r="AB276" t="str">
            <v>14</v>
          </cell>
          <cell r="AC276">
            <v>2</v>
          </cell>
          <cell r="AF276" t="str">
            <v>00</v>
          </cell>
          <cell r="AI276">
            <v>8625000</v>
          </cell>
          <cell r="AJ276">
            <v>3665625</v>
          </cell>
        </row>
        <row r="277">
          <cell r="A277" t="str">
            <v>02</v>
          </cell>
          <cell r="B277" t="str">
            <v>12</v>
          </cell>
          <cell r="C277" t="str">
            <v>3854</v>
          </cell>
          <cell r="D277" t="str">
            <v>Станок деревообрабат</v>
          </cell>
          <cell r="E277" t="str">
            <v>ывающий</v>
          </cell>
          <cell r="F277" t="str">
            <v>168</v>
          </cell>
          <cell r="G277" t="str">
            <v>01</v>
          </cell>
          <cell r="H277">
            <v>3521</v>
          </cell>
          <cell r="I277">
            <v>365.3</v>
          </cell>
          <cell r="J277">
            <v>0</v>
          </cell>
          <cell r="K277">
            <v>0.56999999999999995</v>
          </cell>
          <cell r="L277" t="str">
            <v>88/4</v>
          </cell>
          <cell r="M277" t="str">
            <v>44502</v>
          </cell>
          <cell r="N277" t="str">
            <v>14 2922620</v>
          </cell>
          <cell r="O277" t="str">
            <v>067</v>
          </cell>
          <cell r="P277">
            <v>8.3000000000000007</v>
          </cell>
          <cell r="Q277">
            <v>0</v>
          </cell>
          <cell r="R277" t="str">
            <v>1</v>
          </cell>
          <cell r="S277" t="str">
            <v>44</v>
          </cell>
          <cell r="T277">
            <v>93</v>
          </cell>
          <cell r="U277">
            <v>9</v>
          </cell>
          <cell r="V277">
            <v>93</v>
          </cell>
          <cell r="W277">
            <v>9</v>
          </cell>
          <cell r="X277">
            <v>93</v>
          </cell>
          <cell r="AB277" t="str">
            <v>14</v>
          </cell>
          <cell r="AC277">
            <v>12</v>
          </cell>
          <cell r="AF277" t="str">
            <v>00</v>
          </cell>
          <cell r="AI277">
            <v>6192001</v>
          </cell>
          <cell r="AJ277">
            <v>2184228.25</v>
          </cell>
        </row>
        <row r="278">
          <cell r="A278" t="str">
            <v>02</v>
          </cell>
          <cell r="B278" t="str">
            <v>12</v>
          </cell>
          <cell r="C278" t="str">
            <v>3855</v>
          </cell>
          <cell r="D278" t="str">
            <v>Культиватор КПС-4</v>
          </cell>
          <cell r="F278" t="str">
            <v>2032</v>
          </cell>
          <cell r="G278" t="str">
            <v>01</v>
          </cell>
          <cell r="H278">
            <v>7443.53</v>
          </cell>
          <cell r="I278">
            <v>1163.05</v>
          </cell>
          <cell r="J278">
            <v>0</v>
          </cell>
          <cell r="K278">
            <v>1.21</v>
          </cell>
          <cell r="L278" t="str">
            <v>88/4</v>
          </cell>
          <cell r="M278" t="str">
            <v>45720</v>
          </cell>
          <cell r="N278" t="str">
            <v>14 2921000</v>
          </cell>
          <cell r="O278" t="str">
            <v>064</v>
          </cell>
          <cell r="P278">
            <v>12.5</v>
          </cell>
          <cell r="Q278">
            <v>0</v>
          </cell>
          <cell r="R278" t="str">
            <v>1</v>
          </cell>
          <cell r="S278" t="str">
            <v>45</v>
          </cell>
          <cell r="T278">
            <v>93</v>
          </cell>
          <cell r="U278">
            <v>9</v>
          </cell>
          <cell r="V278">
            <v>93</v>
          </cell>
          <cell r="W278">
            <v>9</v>
          </cell>
          <cell r="X278">
            <v>93</v>
          </cell>
          <cell r="AF278" t="str">
            <v>00</v>
          </cell>
          <cell r="AI278">
            <v>6151680</v>
          </cell>
          <cell r="AJ278">
            <v>3268080</v>
          </cell>
        </row>
        <row r="279">
          <cell r="A279" t="str">
            <v>02</v>
          </cell>
          <cell r="B279" t="str">
            <v>12</v>
          </cell>
          <cell r="C279" t="str">
            <v>3856</v>
          </cell>
          <cell r="D279" t="str">
            <v>Культиватор КАС 4</v>
          </cell>
          <cell r="G279" t="str">
            <v>01</v>
          </cell>
          <cell r="H279">
            <v>7443.53</v>
          </cell>
          <cell r="I279">
            <v>1163.05</v>
          </cell>
          <cell r="J279">
            <v>0</v>
          </cell>
          <cell r="K279">
            <v>1.21</v>
          </cell>
          <cell r="L279" t="str">
            <v>88/4</v>
          </cell>
          <cell r="M279" t="str">
            <v>45720</v>
          </cell>
          <cell r="N279" t="str">
            <v>14 2921000</v>
          </cell>
          <cell r="O279" t="str">
            <v>064</v>
          </cell>
          <cell r="P279">
            <v>12.5</v>
          </cell>
          <cell r="Q279">
            <v>0</v>
          </cell>
          <cell r="R279" t="str">
            <v>1</v>
          </cell>
          <cell r="S279" t="str">
            <v>45</v>
          </cell>
          <cell r="T279">
            <v>93</v>
          </cell>
          <cell r="U279">
            <v>9</v>
          </cell>
          <cell r="V279">
            <v>93</v>
          </cell>
          <cell r="W279">
            <v>9</v>
          </cell>
          <cell r="X279">
            <v>93</v>
          </cell>
          <cell r="AF279" t="str">
            <v>00</v>
          </cell>
          <cell r="AI279">
            <v>6151680</v>
          </cell>
          <cell r="AJ279">
            <v>3268080</v>
          </cell>
        </row>
        <row r="280">
          <cell r="A280" t="str">
            <v>02</v>
          </cell>
          <cell r="B280" t="str">
            <v>12</v>
          </cell>
          <cell r="C280" t="str">
            <v>3858</v>
          </cell>
          <cell r="D280" t="str">
            <v>Трактор ДТ -75</v>
          </cell>
          <cell r="F280" t="str">
            <v>696112</v>
          </cell>
          <cell r="G280" t="str">
            <v>01</v>
          </cell>
          <cell r="H280">
            <v>85123</v>
          </cell>
          <cell r="I280">
            <v>13301.22</v>
          </cell>
          <cell r="J280">
            <v>0</v>
          </cell>
          <cell r="K280">
            <v>0.96</v>
          </cell>
          <cell r="L280" t="str">
            <v>88/4</v>
          </cell>
          <cell r="M280" t="str">
            <v>40603</v>
          </cell>
          <cell r="N280" t="str">
            <v>14 2918103</v>
          </cell>
          <cell r="O280" t="str">
            <v>065</v>
          </cell>
          <cell r="P280">
            <v>12.5</v>
          </cell>
          <cell r="Q280">
            <v>0</v>
          </cell>
          <cell r="R280" t="str">
            <v>1</v>
          </cell>
          <cell r="S280" t="str">
            <v>40</v>
          </cell>
          <cell r="T280">
            <v>93</v>
          </cell>
          <cell r="U280">
            <v>9</v>
          </cell>
          <cell r="V280">
            <v>93</v>
          </cell>
          <cell r="W280">
            <v>9</v>
          </cell>
          <cell r="X280">
            <v>93</v>
          </cell>
          <cell r="AF280" t="str">
            <v>00</v>
          </cell>
          <cell r="AI280">
            <v>88888889</v>
          </cell>
          <cell r="AJ280">
            <v>47223009.630000003</v>
          </cell>
        </row>
        <row r="281">
          <cell r="A281" t="str">
            <v>02</v>
          </cell>
          <cell r="B281" t="str">
            <v>05</v>
          </cell>
          <cell r="C281" t="str">
            <v>3859</v>
          </cell>
          <cell r="D281" t="str">
            <v>Катер патрульный КС</v>
          </cell>
          <cell r="E281" t="str">
            <v>100Д</v>
          </cell>
          <cell r="F281" t="str">
            <v>230401</v>
          </cell>
          <cell r="G281" t="str">
            <v>01</v>
          </cell>
          <cell r="H281">
            <v>259369.06</v>
          </cell>
          <cell r="I281">
            <v>12644.27</v>
          </cell>
          <cell r="J281">
            <v>0</v>
          </cell>
          <cell r="K281">
            <v>1.31</v>
          </cell>
          <cell r="L281" t="str">
            <v>20</v>
          </cell>
          <cell r="M281" t="str">
            <v>50133</v>
          </cell>
          <cell r="N281" t="str">
            <v>15 3511230</v>
          </cell>
          <cell r="O281" t="str">
            <v>075</v>
          </cell>
          <cell r="P281">
            <v>3.9</v>
          </cell>
          <cell r="Q281">
            <v>0</v>
          </cell>
          <cell r="R281" t="str">
            <v>1</v>
          </cell>
          <cell r="S281" t="str">
            <v>50</v>
          </cell>
          <cell r="T281">
            <v>93</v>
          </cell>
          <cell r="U281">
            <v>9</v>
          </cell>
          <cell r="V281">
            <v>93</v>
          </cell>
          <cell r="W281">
            <v>9</v>
          </cell>
          <cell r="X281">
            <v>93</v>
          </cell>
          <cell r="AF281" t="str">
            <v>00</v>
          </cell>
          <cell r="AI281">
            <v>197991648</v>
          </cell>
          <cell r="AJ281">
            <v>32817136.82</v>
          </cell>
        </row>
        <row r="282">
          <cell r="A282" t="str">
            <v>02</v>
          </cell>
          <cell r="B282" t="str">
            <v>23</v>
          </cell>
          <cell r="C282" t="str">
            <v>3860</v>
          </cell>
          <cell r="D282" t="str">
            <v>Автобус КАРОСА</v>
          </cell>
          <cell r="E282" t="str">
            <v>Nо12-94 КШШ</v>
          </cell>
          <cell r="F282" t="str">
            <v>дв416090193 ш32079</v>
          </cell>
          <cell r="G282" t="str">
            <v>01</v>
          </cell>
          <cell r="H282">
            <v>183060</v>
          </cell>
          <cell r="I282">
            <v>20823.07</v>
          </cell>
          <cell r="J282">
            <v>0</v>
          </cell>
          <cell r="K282">
            <v>0.66</v>
          </cell>
          <cell r="L282" t="str">
            <v>23</v>
          </cell>
          <cell r="M282" t="str">
            <v>50425</v>
          </cell>
          <cell r="N282" t="str">
            <v>15 3410280</v>
          </cell>
          <cell r="O282" t="str">
            <v>072</v>
          </cell>
          <cell r="P282">
            <v>9.1</v>
          </cell>
          <cell r="Q282">
            <v>0</v>
          </cell>
          <cell r="R282" t="str">
            <v>1</v>
          </cell>
          <cell r="S282" t="str">
            <v>50</v>
          </cell>
          <cell r="T282">
            <v>93</v>
          </cell>
          <cell r="U282">
            <v>9</v>
          </cell>
          <cell r="V282">
            <v>93</v>
          </cell>
          <cell r="W282">
            <v>9</v>
          </cell>
          <cell r="X282">
            <v>93</v>
          </cell>
          <cell r="AF282" t="str">
            <v>00</v>
          </cell>
          <cell r="AI282">
            <v>276467688</v>
          </cell>
          <cell r="AJ282">
            <v>106923878.31999999</v>
          </cell>
        </row>
        <row r="283">
          <cell r="A283" t="str">
            <v>02</v>
          </cell>
          <cell r="B283" t="str">
            <v>12</v>
          </cell>
          <cell r="C283" t="str">
            <v>3865</v>
          </cell>
          <cell r="D283" t="str">
            <v>Подборщик ДПТ-3А</v>
          </cell>
          <cell r="G283" t="str">
            <v>01</v>
          </cell>
          <cell r="H283">
            <v>5120</v>
          </cell>
          <cell r="I283">
            <v>704</v>
          </cell>
          <cell r="J283">
            <v>0</v>
          </cell>
          <cell r="K283">
            <v>1.1000000000000001</v>
          </cell>
          <cell r="L283" t="str">
            <v>88/4</v>
          </cell>
          <cell r="M283" t="str">
            <v>45702</v>
          </cell>
          <cell r="N283" t="str">
            <v>14 2921000</v>
          </cell>
          <cell r="O283" t="str">
            <v>067</v>
          </cell>
          <cell r="P283">
            <v>11</v>
          </cell>
          <cell r="Q283">
            <v>0</v>
          </cell>
          <cell r="R283" t="str">
            <v>1</v>
          </cell>
          <cell r="S283" t="str">
            <v>45</v>
          </cell>
          <cell r="T283">
            <v>93</v>
          </cell>
          <cell r="U283">
            <v>9</v>
          </cell>
          <cell r="V283">
            <v>93</v>
          </cell>
          <cell r="W283">
            <v>9</v>
          </cell>
          <cell r="X283">
            <v>93</v>
          </cell>
          <cell r="AF283" t="str">
            <v>00</v>
          </cell>
          <cell r="AI283">
            <v>4650588</v>
          </cell>
          <cell r="AJ283">
            <v>2174150.04</v>
          </cell>
        </row>
        <row r="284">
          <cell r="A284" t="str">
            <v>02</v>
          </cell>
          <cell r="B284" t="str">
            <v>12</v>
          </cell>
          <cell r="C284" t="str">
            <v>3866</v>
          </cell>
          <cell r="D284" t="str">
            <v>Подборщик ДПТ-3А</v>
          </cell>
          <cell r="G284" t="str">
            <v>01</v>
          </cell>
          <cell r="H284">
            <v>5120</v>
          </cell>
          <cell r="I284">
            <v>704</v>
          </cell>
          <cell r="J284">
            <v>0</v>
          </cell>
          <cell r="K284">
            <v>1.1000000000000001</v>
          </cell>
          <cell r="L284" t="str">
            <v>88/4</v>
          </cell>
          <cell r="M284" t="str">
            <v>45702</v>
          </cell>
          <cell r="N284" t="str">
            <v>14 2921000</v>
          </cell>
          <cell r="O284" t="str">
            <v>067</v>
          </cell>
          <cell r="P284">
            <v>11</v>
          </cell>
          <cell r="Q284">
            <v>0</v>
          </cell>
          <cell r="R284" t="str">
            <v>1</v>
          </cell>
          <cell r="S284" t="str">
            <v>45</v>
          </cell>
          <cell r="T284">
            <v>93</v>
          </cell>
          <cell r="U284">
            <v>9</v>
          </cell>
          <cell r="V284">
            <v>93</v>
          </cell>
          <cell r="W284">
            <v>9</v>
          </cell>
          <cell r="X284">
            <v>93</v>
          </cell>
          <cell r="AF284" t="str">
            <v>00</v>
          </cell>
          <cell r="AI284">
            <v>4650588</v>
          </cell>
          <cell r="AJ284">
            <v>2174150.04</v>
          </cell>
        </row>
        <row r="285">
          <cell r="A285" t="str">
            <v>02</v>
          </cell>
          <cell r="B285" t="str">
            <v>12</v>
          </cell>
          <cell r="C285" t="str">
            <v>3867</v>
          </cell>
          <cell r="D285" t="str">
            <v>Трактор Т-4</v>
          </cell>
          <cell r="G285" t="str">
            <v>01</v>
          </cell>
          <cell r="H285">
            <v>133650</v>
          </cell>
          <cell r="I285">
            <v>27379.69</v>
          </cell>
          <cell r="J285">
            <v>0</v>
          </cell>
          <cell r="K285">
            <v>0.85</v>
          </cell>
          <cell r="L285" t="str">
            <v>88/4</v>
          </cell>
          <cell r="M285" t="str">
            <v>40601</v>
          </cell>
          <cell r="N285" t="str">
            <v>14 2918103</v>
          </cell>
          <cell r="O285" t="str">
            <v>065</v>
          </cell>
          <cell r="P285">
            <v>12.5</v>
          </cell>
          <cell r="Q285">
            <v>0</v>
          </cell>
          <cell r="R285" t="str">
            <v>1</v>
          </cell>
          <cell r="S285" t="str">
            <v>40</v>
          </cell>
          <cell r="T285">
            <v>93</v>
          </cell>
          <cell r="U285">
            <v>9</v>
          </cell>
          <cell r="V285">
            <v>93</v>
          </cell>
          <cell r="W285">
            <v>9</v>
          </cell>
          <cell r="X285">
            <v>93</v>
          </cell>
          <cell r="AF285" t="str">
            <v>00</v>
          </cell>
          <cell r="AI285">
            <v>158024691</v>
          </cell>
          <cell r="AJ285">
            <v>91632372.900000006</v>
          </cell>
        </row>
        <row r="286">
          <cell r="A286" t="str">
            <v>02</v>
          </cell>
          <cell r="B286" t="str">
            <v>12</v>
          </cell>
          <cell r="C286" t="str">
            <v>3868</v>
          </cell>
          <cell r="D286" t="str">
            <v>Плуг ПЛН-4-35</v>
          </cell>
          <cell r="G286" t="str">
            <v>01</v>
          </cell>
          <cell r="H286">
            <v>4623</v>
          </cell>
          <cell r="I286">
            <v>635.66</v>
          </cell>
          <cell r="J286">
            <v>0</v>
          </cell>
          <cell r="K286">
            <v>0.42</v>
          </cell>
          <cell r="L286" t="str">
            <v>88/4</v>
          </cell>
          <cell r="M286" t="str">
            <v>45717</v>
          </cell>
          <cell r="N286" t="str">
            <v>14 2921000</v>
          </cell>
          <cell r="O286" t="str">
            <v>065</v>
          </cell>
          <cell r="P286">
            <v>11</v>
          </cell>
          <cell r="Q286">
            <v>0</v>
          </cell>
          <cell r="R286" t="str">
            <v>1</v>
          </cell>
          <cell r="S286" t="str">
            <v>45</v>
          </cell>
          <cell r="T286">
            <v>93</v>
          </cell>
          <cell r="U286">
            <v>9</v>
          </cell>
          <cell r="V286">
            <v>93</v>
          </cell>
          <cell r="W286">
            <v>9</v>
          </cell>
          <cell r="X286">
            <v>93</v>
          </cell>
          <cell r="AF286" t="str">
            <v>00</v>
          </cell>
          <cell r="AI286">
            <v>10913217</v>
          </cell>
          <cell r="AJ286">
            <v>5101928.6100000003</v>
          </cell>
        </row>
        <row r="287">
          <cell r="A287" t="str">
            <v>02</v>
          </cell>
          <cell r="B287" t="str">
            <v>12</v>
          </cell>
          <cell r="C287" t="str">
            <v>3869</v>
          </cell>
          <cell r="D287" t="str">
            <v>Плуг ПЛН-5-35</v>
          </cell>
          <cell r="G287" t="str">
            <v>01</v>
          </cell>
          <cell r="H287">
            <v>4623</v>
          </cell>
          <cell r="I287">
            <v>635.66</v>
          </cell>
          <cell r="J287">
            <v>0</v>
          </cell>
          <cell r="K287">
            <v>0.42</v>
          </cell>
          <cell r="L287" t="str">
            <v>88/4</v>
          </cell>
          <cell r="M287" t="str">
            <v>45717</v>
          </cell>
          <cell r="N287" t="str">
            <v>14 2921000</v>
          </cell>
          <cell r="O287" t="str">
            <v>065</v>
          </cell>
          <cell r="P287">
            <v>11</v>
          </cell>
          <cell r="Q287">
            <v>0</v>
          </cell>
          <cell r="R287" t="str">
            <v>1</v>
          </cell>
          <cell r="S287" t="str">
            <v>45</v>
          </cell>
          <cell r="T287">
            <v>93</v>
          </cell>
          <cell r="U287">
            <v>9</v>
          </cell>
          <cell r="V287">
            <v>93</v>
          </cell>
          <cell r="W287">
            <v>9</v>
          </cell>
          <cell r="X287">
            <v>93</v>
          </cell>
          <cell r="AF287" t="str">
            <v>00</v>
          </cell>
          <cell r="AI287">
            <v>10913217</v>
          </cell>
          <cell r="AJ287">
            <v>5101928.6100000003</v>
          </cell>
        </row>
        <row r="288">
          <cell r="A288" t="str">
            <v>02</v>
          </cell>
          <cell r="B288" t="str">
            <v>12</v>
          </cell>
          <cell r="C288" t="str">
            <v>3870</v>
          </cell>
          <cell r="D288" t="str">
            <v>Плуг ПЛН-5-35</v>
          </cell>
          <cell r="G288" t="str">
            <v>01</v>
          </cell>
          <cell r="H288">
            <v>4623</v>
          </cell>
          <cell r="I288">
            <v>635.66</v>
          </cell>
          <cell r="J288">
            <v>0</v>
          </cell>
          <cell r="K288">
            <v>0.42</v>
          </cell>
          <cell r="L288" t="str">
            <v>88/4</v>
          </cell>
          <cell r="M288" t="str">
            <v>45717</v>
          </cell>
          <cell r="N288" t="str">
            <v>14 2921000</v>
          </cell>
          <cell r="O288" t="str">
            <v>065</v>
          </cell>
          <cell r="P288">
            <v>11</v>
          </cell>
          <cell r="Q288">
            <v>0</v>
          </cell>
          <cell r="R288" t="str">
            <v>1</v>
          </cell>
          <cell r="S288" t="str">
            <v>45</v>
          </cell>
          <cell r="T288">
            <v>93</v>
          </cell>
          <cell r="U288">
            <v>9</v>
          </cell>
          <cell r="V288">
            <v>93</v>
          </cell>
          <cell r="W288">
            <v>9</v>
          </cell>
          <cell r="X288">
            <v>93</v>
          </cell>
          <cell r="AF288" t="str">
            <v>00</v>
          </cell>
          <cell r="AI288">
            <v>10913217</v>
          </cell>
          <cell r="AJ288">
            <v>5101926.6100000003</v>
          </cell>
        </row>
        <row r="289">
          <cell r="A289" t="str">
            <v>15</v>
          </cell>
          <cell r="B289" t="str">
            <v>81</v>
          </cell>
          <cell r="C289" t="str">
            <v>3871</v>
          </cell>
          <cell r="D289" t="str">
            <v>Мягкая мебель СИРИЯ</v>
          </cell>
          <cell r="G289" t="str">
            <v>01</v>
          </cell>
          <cell r="H289">
            <v>3620</v>
          </cell>
          <cell r="I289">
            <v>303.18</v>
          </cell>
          <cell r="J289">
            <v>0</v>
          </cell>
          <cell r="K289">
            <v>0.09</v>
          </cell>
          <cell r="L289" t="str">
            <v>88/2</v>
          </cell>
          <cell r="M289" t="str">
            <v>70004</v>
          </cell>
          <cell r="N289" t="str">
            <v>16 3612510</v>
          </cell>
          <cell r="O289" t="str">
            <v>08</v>
          </cell>
          <cell r="P289">
            <v>6.7</v>
          </cell>
          <cell r="Q289">
            <v>0</v>
          </cell>
          <cell r="R289" t="str">
            <v>1</v>
          </cell>
          <cell r="S289" t="str">
            <v>70</v>
          </cell>
          <cell r="T289">
            <v>93</v>
          </cell>
          <cell r="U289">
            <v>9</v>
          </cell>
          <cell r="V289">
            <v>93</v>
          </cell>
          <cell r="W289">
            <v>9</v>
          </cell>
          <cell r="X289">
            <v>93</v>
          </cell>
          <cell r="AB289" t="str">
            <v>14</v>
          </cell>
          <cell r="AC289">
            <v>2</v>
          </cell>
          <cell r="AF289" t="str">
            <v>15</v>
          </cell>
          <cell r="AI289">
            <v>39774240</v>
          </cell>
          <cell r="AJ289">
            <v>11325715.24</v>
          </cell>
        </row>
        <row r="290">
          <cell r="A290" t="str">
            <v>02</v>
          </cell>
          <cell r="B290" t="str">
            <v>03</v>
          </cell>
          <cell r="C290" t="str">
            <v>3872</v>
          </cell>
          <cell r="D290" t="str">
            <v>Плоскошлифовальный с</v>
          </cell>
          <cell r="E290" t="str">
            <v>танок ПШС-028</v>
          </cell>
          <cell r="G290" t="str">
            <v>01</v>
          </cell>
          <cell r="H290">
            <v>7435</v>
          </cell>
          <cell r="I290">
            <v>771.38</v>
          </cell>
          <cell r="J290">
            <v>0</v>
          </cell>
          <cell r="K290">
            <v>0.65</v>
          </cell>
          <cell r="L290" t="str">
            <v>26</v>
          </cell>
          <cell r="M290" t="str">
            <v>44502</v>
          </cell>
          <cell r="N290" t="str">
            <v>14 2922623</v>
          </cell>
          <cell r="O290" t="str">
            <v>067</v>
          </cell>
          <cell r="P290">
            <v>8.3000000000000007</v>
          </cell>
          <cell r="Q290">
            <v>0</v>
          </cell>
          <cell r="R290" t="str">
            <v>1</v>
          </cell>
          <cell r="S290" t="str">
            <v>44</v>
          </cell>
          <cell r="T290">
            <v>93</v>
          </cell>
          <cell r="U290">
            <v>9</v>
          </cell>
          <cell r="V290">
            <v>93</v>
          </cell>
          <cell r="W290">
            <v>9</v>
          </cell>
          <cell r="X290">
            <v>93</v>
          </cell>
          <cell r="AF290" t="str">
            <v>00</v>
          </cell>
          <cell r="AI290">
            <v>11491200</v>
          </cell>
          <cell r="AJ290">
            <v>4053520.8</v>
          </cell>
        </row>
        <row r="291">
          <cell r="A291" t="str">
            <v>02</v>
          </cell>
          <cell r="B291" t="str">
            <v>12</v>
          </cell>
          <cell r="C291" t="str">
            <v>3873</v>
          </cell>
          <cell r="D291" t="str">
            <v>Подборшик ДПТ-3А</v>
          </cell>
          <cell r="G291" t="str">
            <v>01</v>
          </cell>
          <cell r="H291">
            <v>5120</v>
          </cell>
          <cell r="I291">
            <v>800</v>
          </cell>
          <cell r="J291">
            <v>0</v>
          </cell>
          <cell r="K291">
            <v>0.85</v>
          </cell>
          <cell r="L291" t="str">
            <v>88/4</v>
          </cell>
          <cell r="M291" t="str">
            <v>45701</v>
          </cell>
          <cell r="N291" t="str">
            <v>14 2921000</v>
          </cell>
          <cell r="O291" t="str">
            <v>062</v>
          </cell>
          <cell r="P291">
            <v>12.5</v>
          </cell>
          <cell r="Q291">
            <v>0</v>
          </cell>
          <cell r="R291" t="str">
            <v>1</v>
          </cell>
          <cell r="S291" t="str">
            <v>45</v>
          </cell>
          <cell r="T291">
            <v>93</v>
          </cell>
          <cell r="U291">
            <v>9</v>
          </cell>
          <cell r="V291">
            <v>93</v>
          </cell>
          <cell r="W291">
            <v>9</v>
          </cell>
          <cell r="X291">
            <v>93</v>
          </cell>
          <cell r="AF291" t="str">
            <v>00</v>
          </cell>
          <cell r="AI291">
            <v>6000001</v>
          </cell>
          <cell r="AJ291">
            <v>3187500.38</v>
          </cell>
        </row>
        <row r="292">
          <cell r="A292" t="str">
            <v>02</v>
          </cell>
          <cell r="B292" t="str">
            <v>02</v>
          </cell>
          <cell r="C292" t="str">
            <v>3876</v>
          </cell>
          <cell r="D292" t="str">
            <v>Холодильнаякамера</v>
          </cell>
          <cell r="E292" t="str">
            <v>ШХ-1</v>
          </cell>
          <cell r="G292" t="str">
            <v>01</v>
          </cell>
          <cell r="H292">
            <v>4186</v>
          </cell>
          <cell r="I292">
            <v>523.25</v>
          </cell>
          <cell r="J292">
            <v>0</v>
          </cell>
          <cell r="K292">
            <v>0.91</v>
          </cell>
          <cell r="L292" t="str">
            <v>20</v>
          </cell>
          <cell r="M292" t="str">
            <v>45800</v>
          </cell>
          <cell r="N292" t="str">
            <v>16 2930100</v>
          </cell>
          <cell r="O292" t="str">
            <v>063</v>
          </cell>
          <cell r="P292">
            <v>10</v>
          </cell>
          <cell r="Q292">
            <v>0</v>
          </cell>
          <cell r="R292" t="str">
            <v>1</v>
          </cell>
          <cell r="S292" t="str">
            <v>45</v>
          </cell>
          <cell r="T292">
            <v>93</v>
          </cell>
          <cell r="U292">
            <v>9</v>
          </cell>
          <cell r="V292">
            <v>93</v>
          </cell>
          <cell r="W292">
            <v>9</v>
          </cell>
          <cell r="X292">
            <v>93</v>
          </cell>
          <cell r="AB292" t="str">
            <v>14</v>
          </cell>
          <cell r="AC292">
            <v>2</v>
          </cell>
          <cell r="AF292" t="str">
            <v>00</v>
          </cell>
          <cell r="AI292">
            <v>4599999</v>
          </cell>
          <cell r="AJ292">
            <v>1954999.7</v>
          </cell>
        </row>
        <row r="293">
          <cell r="A293" t="str">
            <v>02</v>
          </cell>
          <cell r="B293" t="str">
            <v>11</v>
          </cell>
          <cell r="C293" t="str">
            <v>3901</v>
          </cell>
          <cell r="D293" t="str">
            <v>Погрузчик ТО-18Б</v>
          </cell>
          <cell r="G293" t="str">
            <v>01</v>
          </cell>
          <cell r="H293">
            <v>195000</v>
          </cell>
          <cell r="I293">
            <v>32565</v>
          </cell>
          <cell r="J293">
            <v>0</v>
          </cell>
          <cell r="K293">
            <v>1.02</v>
          </cell>
          <cell r="L293" t="str">
            <v>20</v>
          </cell>
          <cell r="M293" t="str">
            <v>41718</v>
          </cell>
          <cell r="N293" t="str">
            <v>14 2915541</v>
          </cell>
          <cell r="O293" t="str">
            <v>067</v>
          </cell>
          <cell r="P293">
            <v>16.7</v>
          </cell>
          <cell r="Q293">
            <v>0</v>
          </cell>
          <cell r="R293" t="str">
            <v>1</v>
          </cell>
          <cell r="S293" t="str">
            <v>41</v>
          </cell>
          <cell r="T293">
            <v>93</v>
          </cell>
          <cell r="U293">
            <v>10</v>
          </cell>
          <cell r="V293">
            <v>93</v>
          </cell>
          <cell r="W293">
            <v>10</v>
          </cell>
          <cell r="X293">
            <v>93</v>
          </cell>
          <cell r="AB293" t="str">
            <v>14</v>
          </cell>
          <cell r="AC293">
            <v>9</v>
          </cell>
          <cell r="AD293" t="str">
            <v>2</v>
          </cell>
          <cell r="AF293" t="str">
            <v>00</v>
          </cell>
          <cell r="AG293">
            <v>190765000</v>
          </cell>
          <cell r="AI293">
            <v>190765000</v>
          </cell>
          <cell r="AJ293">
            <v>127431020</v>
          </cell>
        </row>
        <row r="294">
          <cell r="A294" t="str">
            <v>02</v>
          </cell>
          <cell r="B294" t="str">
            <v>23</v>
          </cell>
          <cell r="C294" t="str">
            <v>3902</v>
          </cell>
          <cell r="D294" t="str">
            <v>А/м ЗИЛ-131ВМ вахта</v>
          </cell>
          <cell r="E294" t="str">
            <v>пассажир.Nо31-79кшц</v>
          </cell>
          <cell r="F294" t="str">
            <v>дв012221 ш027257</v>
          </cell>
          <cell r="G294" t="str">
            <v>01</v>
          </cell>
          <cell r="H294">
            <v>62150</v>
          </cell>
          <cell r="I294">
            <v>7250.83</v>
          </cell>
          <cell r="J294">
            <v>0</v>
          </cell>
          <cell r="K294">
            <v>0.7</v>
          </cell>
          <cell r="L294" t="str">
            <v>23</v>
          </cell>
          <cell r="M294" t="str">
            <v>50423</v>
          </cell>
          <cell r="N294" t="str">
            <v>15 3410359</v>
          </cell>
          <cell r="O294" t="str">
            <v>072</v>
          </cell>
          <cell r="P294">
            <v>10</v>
          </cell>
          <cell r="Q294">
            <v>0</v>
          </cell>
          <cell r="R294" t="str">
            <v>1</v>
          </cell>
          <cell r="S294" t="str">
            <v>50</v>
          </cell>
          <cell r="T294">
            <v>93</v>
          </cell>
          <cell r="U294">
            <v>10</v>
          </cell>
          <cell r="V294">
            <v>93</v>
          </cell>
          <cell r="W294">
            <v>10</v>
          </cell>
          <cell r="X294">
            <v>93</v>
          </cell>
          <cell r="AF294" t="str">
            <v>00</v>
          </cell>
          <cell r="AI294">
            <v>88493827</v>
          </cell>
          <cell r="AJ294">
            <v>36872427.799999997</v>
          </cell>
        </row>
        <row r="295">
          <cell r="A295" t="str">
            <v>02</v>
          </cell>
          <cell r="B295" t="str">
            <v>23</v>
          </cell>
          <cell r="C295" t="str">
            <v>3904</v>
          </cell>
          <cell r="D295" t="str">
            <v>А/м КАМАЗ-53212 груз</v>
          </cell>
          <cell r="E295" t="str">
            <v>фургон-контейнер Nо</v>
          </cell>
          <cell r="F295" t="str">
            <v>В803РА д065574ш10441</v>
          </cell>
          <cell r="G295" t="str">
            <v>01</v>
          </cell>
          <cell r="H295">
            <v>141800</v>
          </cell>
          <cell r="I295">
            <v>612.30999999999995</v>
          </cell>
          <cell r="J295">
            <v>0</v>
          </cell>
          <cell r="K295">
            <v>0.59</v>
          </cell>
          <cell r="L295" t="str">
            <v>23</v>
          </cell>
          <cell r="M295" t="str">
            <v>50402</v>
          </cell>
          <cell r="N295" t="str">
            <v>15 3410349</v>
          </cell>
          <cell r="O295" t="str">
            <v>075</v>
          </cell>
          <cell r="P295">
            <v>0.37</v>
          </cell>
          <cell r="Q295">
            <v>0</v>
          </cell>
          <cell r="R295" t="str">
            <v>1</v>
          </cell>
          <cell r="S295" t="str">
            <v>50</v>
          </cell>
          <cell r="T295">
            <v>93</v>
          </cell>
          <cell r="U295">
            <v>10</v>
          </cell>
          <cell r="V295">
            <v>93</v>
          </cell>
          <cell r="W295">
            <v>10</v>
          </cell>
          <cell r="X295">
            <v>93</v>
          </cell>
          <cell r="AF295" t="str">
            <v>00</v>
          </cell>
          <cell r="AI295">
            <v>240000000</v>
          </cell>
          <cell r="AJ295">
            <v>84367153.689999998</v>
          </cell>
        </row>
        <row r="296">
          <cell r="A296" t="str">
            <v>02</v>
          </cell>
          <cell r="B296" t="str">
            <v>70</v>
          </cell>
          <cell r="C296" t="str">
            <v>3922</v>
          </cell>
          <cell r="D296" t="str">
            <v>Электронный калькуля</v>
          </cell>
          <cell r="E296" t="str">
            <v>тор</v>
          </cell>
          <cell r="G296" t="str">
            <v>01</v>
          </cell>
          <cell r="H296">
            <v>96</v>
          </cell>
          <cell r="I296">
            <v>34.630000000000003</v>
          </cell>
          <cell r="J296">
            <v>0</v>
          </cell>
          <cell r="K296">
            <v>0.14000000000000001</v>
          </cell>
          <cell r="L296" t="str">
            <v>20</v>
          </cell>
          <cell r="M296" t="str">
            <v>48009</v>
          </cell>
          <cell r="N296" t="str">
            <v>14 3020201</v>
          </cell>
          <cell r="O296" t="str">
            <v>063</v>
          </cell>
          <cell r="P296">
            <v>11.1</v>
          </cell>
          <cell r="Q296">
            <v>0</v>
          </cell>
          <cell r="R296" t="str">
            <v>1</v>
          </cell>
          <cell r="S296" t="str">
            <v>48</v>
          </cell>
          <cell r="T296">
            <v>91</v>
          </cell>
          <cell r="U296">
            <v>9</v>
          </cell>
          <cell r="V296">
            <v>91</v>
          </cell>
          <cell r="W296">
            <v>9</v>
          </cell>
          <cell r="X296">
            <v>91</v>
          </cell>
          <cell r="AF296" t="str">
            <v>00</v>
          </cell>
          <cell r="AI296">
            <v>681720</v>
          </cell>
          <cell r="AJ296">
            <v>472942.76</v>
          </cell>
        </row>
        <row r="297">
          <cell r="A297" t="str">
            <v>02</v>
          </cell>
          <cell r="B297" t="str">
            <v>23</v>
          </cell>
          <cell r="C297" t="str">
            <v>3924</v>
          </cell>
          <cell r="D297" t="str">
            <v>А/м УАЗ-3303 грузов.</v>
          </cell>
          <cell r="E297" t="str">
            <v>бортовая NоС 672 УС</v>
          </cell>
          <cell r="F297" t="str">
            <v>дв б/н ш0170647</v>
          </cell>
          <cell r="G297" t="str">
            <v>01</v>
          </cell>
          <cell r="H297">
            <v>30000</v>
          </cell>
          <cell r="I297">
            <v>4290</v>
          </cell>
          <cell r="J297">
            <v>0</v>
          </cell>
          <cell r="K297">
            <v>0.54</v>
          </cell>
          <cell r="L297" t="str">
            <v>23</v>
          </cell>
          <cell r="M297" t="str">
            <v>50401</v>
          </cell>
          <cell r="N297" t="str">
            <v>15 3410192</v>
          </cell>
          <cell r="O297" t="str">
            <v>075</v>
          </cell>
          <cell r="P297">
            <v>14.3</v>
          </cell>
          <cell r="Q297">
            <v>0</v>
          </cell>
          <cell r="R297" t="str">
            <v>1</v>
          </cell>
          <cell r="S297" t="str">
            <v>50</v>
          </cell>
          <cell r="T297">
            <v>92</v>
          </cell>
          <cell r="U297">
            <v>12</v>
          </cell>
          <cell r="V297">
            <v>93</v>
          </cell>
          <cell r="W297">
            <v>12</v>
          </cell>
          <cell r="X297">
            <v>93</v>
          </cell>
          <cell r="AF297" t="str">
            <v>00</v>
          </cell>
          <cell r="AI297">
            <v>55308542</v>
          </cell>
          <cell r="AJ297">
            <v>31636486.170000002</v>
          </cell>
        </row>
        <row r="298">
          <cell r="A298" t="str">
            <v>02</v>
          </cell>
          <cell r="B298" t="str">
            <v>02</v>
          </cell>
          <cell r="C298" t="str">
            <v>3926</v>
          </cell>
          <cell r="D298" t="str">
            <v>Эксковатор КАТО 0.7</v>
          </cell>
          <cell r="G298" t="str">
            <v>01</v>
          </cell>
          <cell r="H298">
            <v>760000</v>
          </cell>
          <cell r="I298">
            <v>69160</v>
          </cell>
          <cell r="J298">
            <v>0</v>
          </cell>
          <cell r="K298">
            <v>0.64</v>
          </cell>
          <cell r="L298" t="str">
            <v>20</v>
          </cell>
          <cell r="M298" t="str">
            <v>41803</v>
          </cell>
          <cell r="N298" t="str">
            <v>14 2924331</v>
          </cell>
          <cell r="O298" t="str">
            <v>064</v>
          </cell>
          <cell r="P298">
            <v>9.1</v>
          </cell>
          <cell r="Q298">
            <v>0</v>
          </cell>
          <cell r="R298" t="str">
            <v>1</v>
          </cell>
          <cell r="S298" t="str">
            <v>41</v>
          </cell>
          <cell r="T298">
            <v>93</v>
          </cell>
          <cell r="U298">
            <v>12</v>
          </cell>
          <cell r="V298">
            <v>93</v>
          </cell>
          <cell r="W298">
            <v>12</v>
          </cell>
          <cell r="X298">
            <v>93</v>
          </cell>
          <cell r="AB298" t="str">
            <v>14</v>
          </cell>
          <cell r="AC298">
            <v>9</v>
          </cell>
          <cell r="AF298" t="str">
            <v>00</v>
          </cell>
          <cell r="AI298">
            <v>1188850805</v>
          </cell>
          <cell r="AJ298">
            <v>432741692.76999998</v>
          </cell>
        </row>
        <row r="299">
          <cell r="A299" t="str">
            <v>02</v>
          </cell>
          <cell r="B299" t="str">
            <v>71</v>
          </cell>
          <cell r="C299" t="str">
            <v>3927</v>
          </cell>
          <cell r="D299" t="str">
            <v>Эксковатор КАТО</v>
          </cell>
          <cell r="E299" t="str">
            <v>Япония</v>
          </cell>
          <cell r="G299" t="str">
            <v>01</v>
          </cell>
          <cell r="H299">
            <v>760000</v>
          </cell>
          <cell r="I299">
            <v>69160</v>
          </cell>
          <cell r="J299">
            <v>0</v>
          </cell>
          <cell r="K299">
            <v>0.64</v>
          </cell>
          <cell r="L299" t="str">
            <v>23</v>
          </cell>
          <cell r="M299" t="str">
            <v>41803</v>
          </cell>
          <cell r="N299" t="str">
            <v>14 2924331</v>
          </cell>
          <cell r="O299" t="str">
            <v>064</v>
          </cell>
          <cell r="P299">
            <v>9.1</v>
          </cell>
          <cell r="Q299">
            <v>0</v>
          </cell>
          <cell r="R299" t="str">
            <v>1</v>
          </cell>
          <cell r="S299" t="str">
            <v>41</v>
          </cell>
          <cell r="T299">
            <v>93</v>
          </cell>
          <cell r="U299">
            <v>12</v>
          </cell>
          <cell r="V299">
            <v>93</v>
          </cell>
          <cell r="W299">
            <v>12</v>
          </cell>
          <cell r="X299">
            <v>93</v>
          </cell>
          <cell r="AB299" t="str">
            <v>14</v>
          </cell>
          <cell r="AC299">
            <v>6</v>
          </cell>
          <cell r="AF299" t="str">
            <v>00</v>
          </cell>
          <cell r="AI299">
            <v>1188850805</v>
          </cell>
          <cell r="AJ299">
            <v>432741692.76999998</v>
          </cell>
        </row>
        <row r="300">
          <cell r="A300" t="str">
            <v>02</v>
          </cell>
          <cell r="B300" t="str">
            <v>02</v>
          </cell>
          <cell r="C300" t="str">
            <v>3928</v>
          </cell>
          <cell r="D300" t="str">
            <v>Эксковатор КАТО</v>
          </cell>
          <cell r="G300" t="str">
            <v>01</v>
          </cell>
          <cell r="H300">
            <v>760000</v>
          </cell>
          <cell r="I300">
            <v>69160</v>
          </cell>
          <cell r="J300">
            <v>0</v>
          </cell>
          <cell r="K300">
            <v>0.64</v>
          </cell>
          <cell r="L300" t="str">
            <v>20</v>
          </cell>
          <cell r="M300" t="str">
            <v>41803</v>
          </cell>
          <cell r="N300" t="str">
            <v>14 2924331</v>
          </cell>
          <cell r="O300" t="str">
            <v>064</v>
          </cell>
          <cell r="P300">
            <v>9.1</v>
          </cell>
          <cell r="Q300">
            <v>0</v>
          </cell>
          <cell r="R300" t="str">
            <v>1</v>
          </cell>
          <cell r="S300" t="str">
            <v>41</v>
          </cell>
          <cell r="T300">
            <v>93</v>
          </cell>
          <cell r="U300">
            <v>12</v>
          </cell>
          <cell r="V300">
            <v>93</v>
          </cell>
          <cell r="W300">
            <v>12</v>
          </cell>
          <cell r="X300">
            <v>93</v>
          </cell>
          <cell r="AB300" t="str">
            <v>14</v>
          </cell>
          <cell r="AC300">
            <v>6</v>
          </cell>
          <cell r="AF300" t="str">
            <v>00</v>
          </cell>
          <cell r="AI300">
            <v>1188850805</v>
          </cell>
          <cell r="AJ300">
            <v>432741693.08999997</v>
          </cell>
        </row>
        <row r="301">
          <cell r="A301" t="str">
            <v>02</v>
          </cell>
          <cell r="B301" t="str">
            <v>99</v>
          </cell>
          <cell r="C301" t="str">
            <v>3929</v>
          </cell>
          <cell r="D301" t="str">
            <v>Эксковатор КАТО</v>
          </cell>
          <cell r="E301" t="str">
            <v>Япония</v>
          </cell>
          <cell r="G301" t="str">
            <v>01</v>
          </cell>
          <cell r="H301">
            <v>760000</v>
          </cell>
          <cell r="I301">
            <v>69160</v>
          </cell>
          <cell r="J301">
            <v>0</v>
          </cell>
          <cell r="K301">
            <v>0.64</v>
          </cell>
          <cell r="L301" t="str">
            <v>20</v>
          </cell>
          <cell r="M301" t="str">
            <v>41803</v>
          </cell>
          <cell r="N301" t="str">
            <v>14 2924331</v>
          </cell>
          <cell r="O301" t="str">
            <v>064</v>
          </cell>
          <cell r="P301">
            <v>9.1</v>
          </cell>
          <cell r="Q301">
            <v>0</v>
          </cell>
          <cell r="R301" t="str">
            <v>1</v>
          </cell>
          <cell r="S301" t="str">
            <v>41</v>
          </cell>
          <cell r="T301">
            <v>93</v>
          </cell>
          <cell r="U301">
            <v>12</v>
          </cell>
          <cell r="V301">
            <v>93</v>
          </cell>
          <cell r="W301">
            <v>12</v>
          </cell>
          <cell r="X301">
            <v>93</v>
          </cell>
          <cell r="AB301" t="str">
            <v>14</v>
          </cell>
          <cell r="AC301">
            <v>10</v>
          </cell>
          <cell r="AF301" t="str">
            <v>00</v>
          </cell>
          <cell r="AI301">
            <v>1188850805</v>
          </cell>
          <cell r="AJ301">
            <v>432741692.76999998</v>
          </cell>
        </row>
        <row r="302">
          <cell r="A302" t="str">
            <v>02</v>
          </cell>
          <cell r="B302" t="str">
            <v>02</v>
          </cell>
          <cell r="C302" t="str">
            <v>3930</v>
          </cell>
          <cell r="D302" t="str">
            <v>Бульдозер д 155а-1</v>
          </cell>
          <cell r="E302" t="str">
            <v>КОМАТЦУ</v>
          </cell>
          <cell r="G302" t="str">
            <v>01</v>
          </cell>
          <cell r="H302">
            <v>1800000</v>
          </cell>
          <cell r="I302">
            <v>257400</v>
          </cell>
          <cell r="J302">
            <v>0</v>
          </cell>
          <cell r="K302">
            <v>0.52</v>
          </cell>
          <cell r="L302" t="str">
            <v>20</v>
          </cell>
          <cell r="M302" t="str">
            <v>41814</v>
          </cell>
          <cell r="N302" t="str">
            <v>14 2924340</v>
          </cell>
          <cell r="O302" t="str">
            <v>067</v>
          </cell>
          <cell r="P302">
            <v>14.3</v>
          </cell>
          <cell r="Q302">
            <v>0</v>
          </cell>
          <cell r="R302" t="str">
            <v>1</v>
          </cell>
          <cell r="S302" t="str">
            <v>41</v>
          </cell>
          <cell r="T302">
            <v>93</v>
          </cell>
          <cell r="U302">
            <v>12</v>
          </cell>
          <cell r="V302">
            <v>93</v>
          </cell>
          <cell r="W302">
            <v>12</v>
          </cell>
          <cell r="X302">
            <v>93</v>
          </cell>
          <cell r="AB302" t="str">
            <v>14</v>
          </cell>
          <cell r="AC302">
            <v>3</v>
          </cell>
          <cell r="AF302" t="str">
            <v>00</v>
          </cell>
          <cell r="AI302">
            <v>3453919056</v>
          </cell>
          <cell r="AJ302">
            <v>1975641699.9100001</v>
          </cell>
        </row>
        <row r="303">
          <cell r="A303" t="str">
            <v>02</v>
          </cell>
          <cell r="B303" t="str">
            <v>02</v>
          </cell>
          <cell r="C303" t="str">
            <v>3931</v>
          </cell>
          <cell r="D303" t="str">
            <v>Бульдозер д-155-1</v>
          </cell>
          <cell r="E303" t="str">
            <v>КОМАТЦУ</v>
          </cell>
          <cell r="G303" t="str">
            <v>01</v>
          </cell>
          <cell r="H303">
            <v>1800000</v>
          </cell>
          <cell r="I303">
            <v>252540</v>
          </cell>
          <cell r="J303">
            <v>0</v>
          </cell>
          <cell r="K303">
            <v>0.52</v>
          </cell>
          <cell r="L303" t="str">
            <v>20</v>
          </cell>
          <cell r="M303" t="str">
            <v>41814</v>
          </cell>
          <cell r="N303" t="str">
            <v>14 2924340</v>
          </cell>
          <cell r="O303" t="str">
            <v>067</v>
          </cell>
          <cell r="P303">
            <v>14.03</v>
          </cell>
          <cell r="Q303">
            <v>0</v>
          </cell>
          <cell r="R303" t="str">
            <v>1</v>
          </cell>
          <cell r="S303" t="str">
            <v>41</v>
          </cell>
          <cell r="T303">
            <v>93</v>
          </cell>
          <cell r="U303">
            <v>12</v>
          </cell>
          <cell r="V303">
            <v>93</v>
          </cell>
          <cell r="W303">
            <v>12</v>
          </cell>
          <cell r="X303">
            <v>93</v>
          </cell>
          <cell r="AF303" t="str">
            <v>00</v>
          </cell>
          <cell r="AI303">
            <v>3453919056</v>
          </cell>
          <cell r="AJ303">
            <v>1938339374.3299999</v>
          </cell>
        </row>
        <row r="304">
          <cell r="A304" t="str">
            <v>02</v>
          </cell>
          <cell r="B304" t="str">
            <v>70</v>
          </cell>
          <cell r="C304" t="str">
            <v>3933</v>
          </cell>
          <cell r="D304" t="str">
            <v>Трубоукладчик КОМАТЦ</v>
          </cell>
          <cell r="E304" t="str">
            <v>У D-155С</v>
          </cell>
          <cell r="F304" t="str">
            <v>Япония</v>
          </cell>
          <cell r="G304" t="str">
            <v>01</v>
          </cell>
          <cell r="H304">
            <v>1250000</v>
          </cell>
          <cell r="I304">
            <v>125000</v>
          </cell>
          <cell r="J304">
            <v>0</v>
          </cell>
          <cell r="K304">
            <v>0.43</v>
          </cell>
          <cell r="L304" t="str">
            <v>20</v>
          </cell>
          <cell r="M304" t="str">
            <v>41723</v>
          </cell>
          <cell r="N304" t="str">
            <v>14 2915246</v>
          </cell>
          <cell r="O304" t="str">
            <v>067</v>
          </cell>
          <cell r="P304">
            <v>10</v>
          </cell>
          <cell r="Q304">
            <v>0</v>
          </cell>
          <cell r="R304" t="str">
            <v>1</v>
          </cell>
          <cell r="S304" t="str">
            <v>41</v>
          </cell>
          <cell r="T304">
            <v>93</v>
          </cell>
          <cell r="U304">
            <v>12</v>
          </cell>
          <cell r="V304">
            <v>93</v>
          </cell>
          <cell r="W304">
            <v>12</v>
          </cell>
          <cell r="X304">
            <v>93</v>
          </cell>
          <cell r="AB304" t="str">
            <v>14</v>
          </cell>
          <cell r="AC304">
            <v>12</v>
          </cell>
          <cell r="AF304" t="str">
            <v>00</v>
          </cell>
          <cell r="AI304">
            <v>2897474328</v>
          </cell>
          <cell r="AJ304">
            <v>1158989731.2</v>
          </cell>
        </row>
        <row r="305">
          <cell r="A305" t="str">
            <v>02</v>
          </cell>
          <cell r="B305" t="str">
            <v>99</v>
          </cell>
          <cell r="C305" t="str">
            <v>3935</v>
          </cell>
          <cell r="D305" t="str">
            <v>Трубоукладчик D-155с</v>
          </cell>
          <cell r="E305" t="str">
            <v>КОМАТЦУ</v>
          </cell>
          <cell r="G305" t="str">
            <v>01</v>
          </cell>
          <cell r="H305">
            <v>1250000</v>
          </cell>
          <cell r="I305">
            <v>125000</v>
          </cell>
          <cell r="J305">
            <v>0</v>
          </cell>
          <cell r="K305">
            <v>0.43</v>
          </cell>
          <cell r="L305" t="str">
            <v>20</v>
          </cell>
          <cell r="M305" t="str">
            <v>41723</v>
          </cell>
          <cell r="N305" t="str">
            <v>14 2915246</v>
          </cell>
          <cell r="O305" t="str">
            <v>067</v>
          </cell>
          <cell r="P305">
            <v>10</v>
          </cell>
          <cell r="Q305">
            <v>0</v>
          </cell>
          <cell r="R305" t="str">
            <v>1</v>
          </cell>
          <cell r="S305" t="str">
            <v>41</v>
          </cell>
          <cell r="T305">
            <v>93</v>
          </cell>
          <cell r="U305">
            <v>12</v>
          </cell>
          <cell r="V305">
            <v>93</v>
          </cell>
          <cell r="W305">
            <v>12</v>
          </cell>
          <cell r="X305">
            <v>93</v>
          </cell>
          <cell r="AB305" t="str">
            <v>14</v>
          </cell>
          <cell r="AC305">
            <v>9</v>
          </cell>
          <cell r="AF305" t="str">
            <v>00</v>
          </cell>
          <cell r="AI305">
            <v>2897474328</v>
          </cell>
          <cell r="AJ305">
            <v>1158989731.2</v>
          </cell>
        </row>
        <row r="306">
          <cell r="A306" t="str">
            <v>02</v>
          </cell>
          <cell r="B306" t="str">
            <v>70</v>
          </cell>
          <cell r="C306" t="str">
            <v>3936</v>
          </cell>
          <cell r="D306" t="str">
            <v>Трубоукладчик D-155С</v>
          </cell>
          <cell r="E306" t="str">
            <v>КОМАТЦУ</v>
          </cell>
          <cell r="G306" t="str">
            <v>01</v>
          </cell>
          <cell r="H306">
            <v>1250000</v>
          </cell>
          <cell r="I306">
            <v>125000</v>
          </cell>
          <cell r="J306">
            <v>0</v>
          </cell>
          <cell r="K306">
            <v>0.43</v>
          </cell>
          <cell r="L306" t="str">
            <v>20</v>
          </cell>
          <cell r="M306" t="str">
            <v>41723</v>
          </cell>
          <cell r="N306" t="str">
            <v>14 2915246</v>
          </cell>
          <cell r="O306" t="str">
            <v>067</v>
          </cell>
          <cell r="P306">
            <v>10</v>
          </cell>
          <cell r="Q306">
            <v>0</v>
          </cell>
          <cell r="R306" t="str">
            <v>1</v>
          </cell>
          <cell r="S306" t="str">
            <v>41</v>
          </cell>
          <cell r="T306">
            <v>93</v>
          </cell>
          <cell r="U306">
            <v>12</v>
          </cell>
          <cell r="V306">
            <v>93</v>
          </cell>
          <cell r="W306">
            <v>12</v>
          </cell>
          <cell r="X306">
            <v>93</v>
          </cell>
          <cell r="AB306" t="str">
            <v>14</v>
          </cell>
          <cell r="AC306">
            <v>9</v>
          </cell>
          <cell r="AF306" t="str">
            <v>00</v>
          </cell>
          <cell r="AI306">
            <v>2897474328</v>
          </cell>
          <cell r="AJ306">
            <v>1158989731.2</v>
          </cell>
        </row>
        <row r="307">
          <cell r="A307" t="str">
            <v>02</v>
          </cell>
          <cell r="B307" t="str">
            <v>02</v>
          </cell>
          <cell r="C307" t="str">
            <v>3938</v>
          </cell>
          <cell r="D307" t="str">
            <v>Трубоукладчик D-355с</v>
          </cell>
          <cell r="E307" t="str">
            <v>КОМАТЦУ</v>
          </cell>
          <cell r="G307" t="str">
            <v>01</v>
          </cell>
          <cell r="H307">
            <v>1250000</v>
          </cell>
          <cell r="I307">
            <v>125000</v>
          </cell>
          <cell r="J307">
            <v>0</v>
          </cell>
          <cell r="K307">
            <v>0.43</v>
          </cell>
          <cell r="L307" t="str">
            <v>20</v>
          </cell>
          <cell r="M307" t="str">
            <v>41723</v>
          </cell>
          <cell r="N307" t="str">
            <v>14 2915246</v>
          </cell>
          <cell r="O307" t="str">
            <v>067</v>
          </cell>
          <cell r="P307">
            <v>10</v>
          </cell>
          <cell r="Q307">
            <v>0</v>
          </cell>
          <cell r="R307" t="str">
            <v>1</v>
          </cell>
          <cell r="S307" t="str">
            <v>41</v>
          </cell>
          <cell r="T307">
            <v>93</v>
          </cell>
          <cell r="U307">
            <v>12</v>
          </cell>
          <cell r="V307">
            <v>93</v>
          </cell>
          <cell r="W307">
            <v>12</v>
          </cell>
          <cell r="X307">
            <v>93</v>
          </cell>
          <cell r="AB307" t="str">
            <v>14</v>
          </cell>
          <cell r="AC307">
            <v>3</v>
          </cell>
          <cell r="AF307" t="str">
            <v>00</v>
          </cell>
          <cell r="AI307">
            <v>2897474328</v>
          </cell>
          <cell r="AJ307">
            <v>1158989731.4000001</v>
          </cell>
        </row>
        <row r="308">
          <cell r="A308" t="str">
            <v>02</v>
          </cell>
          <cell r="B308" t="str">
            <v>05</v>
          </cell>
          <cell r="C308" t="str">
            <v>3940</v>
          </cell>
          <cell r="D308" t="str">
            <v>Лодочный мотор ВИХРЬ</v>
          </cell>
          <cell r="E308" t="str">
            <v>30 л с /Куйбышев/</v>
          </cell>
          <cell r="G308" t="str">
            <v>01</v>
          </cell>
          <cell r="H308">
            <v>4155.96</v>
          </cell>
          <cell r="I308">
            <v>594.29999999999995</v>
          </cell>
          <cell r="J308">
            <v>0</v>
          </cell>
          <cell r="K308">
            <v>1.21</v>
          </cell>
          <cell r="L308" t="str">
            <v>20</v>
          </cell>
          <cell r="M308" t="str">
            <v>40404</v>
          </cell>
          <cell r="N308" t="str">
            <v>14 2911110</v>
          </cell>
          <cell r="O308" t="str">
            <v>063</v>
          </cell>
          <cell r="P308">
            <v>14.3</v>
          </cell>
          <cell r="Q308">
            <v>0</v>
          </cell>
          <cell r="R308" t="str">
            <v>1</v>
          </cell>
          <cell r="S308" t="str">
            <v>40</v>
          </cell>
          <cell r="T308">
            <v>93</v>
          </cell>
          <cell r="U308">
            <v>12</v>
          </cell>
          <cell r="V308">
            <v>93</v>
          </cell>
          <cell r="W308">
            <v>12</v>
          </cell>
          <cell r="X308">
            <v>93</v>
          </cell>
          <cell r="AF308" t="str">
            <v>00</v>
          </cell>
          <cell r="AI308">
            <v>3434674</v>
          </cell>
          <cell r="AJ308">
            <v>1964633.15</v>
          </cell>
        </row>
        <row r="309">
          <cell r="A309" t="str">
            <v>02</v>
          </cell>
          <cell r="B309" t="str">
            <v>61</v>
          </cell>
          <cell r="C309" t="str">
            <v>3941</v>
          </cell>
          <cell r="D309" t="str">
            <v>ВАГОН -фургон 3 х 9</v>
          </cell>
          <cell r="E309" t="str">
            <v>дерево-металлич.</v>
          </cell>
          <cell r="F309" t="str">
            <v>1202</v>
          </cell>
          <cell r="G309" t="str">
            <v>01</v>
          </cell>
          <cell r="H309">
            <v>40076.400000000001</v>
          </cell>
          <cell r="I309">
            <v>5009.55</v>
          </cell>
          <cell r="J309">
            <v>0</v>
          </cell>
          <cell r="K309">
            <v>1.5</v>
          </cell>
          <cell r="L309" t="str">
            <v>23</v>
          </cell>
          <cell r="M309" t="str">
            <v>10010</v>
          </cell>
          <cell r="N309" t="str">
            <v>13 2022261</v>
          </cell>
          <cell r="O309" t="str">
            <v>01</v>
          </cell>
          <cell r="P309">
            <v>12.5</v>
          </cell>
          <cell r="Q309">
            <v>0</v>
          </cell>
          <cell r="R309" t="str">
            <v>1</v>
          </cell>
          <cell r="S309" t="str">
            <v>10</v>
          </cell>
          <cell r="T309">
            <v>93</v>
          </cell>
          <cell r="U309">
            <v>12</v>
          </cell>
          <cell r="V309">
            <v>93</v>
          </cell>
          <cell r="W309">
            <v>12</v>
          </cell>
          <cell r="X309">
            <v>93</v>
          </cell>
          <cell r="AF309" t="str">
            <v>00</v>
          </cell>
          <cell r="AI309">
            <v>26717600</v>
          </cell>
          <cell r="AJ309">
            <v>13358799.9</v>
          </cell>
        </row>
        <row r="310">
          <cell r="A310" t="str">
            <v>02</v>
          </cell>
          <cell r="B310" t="str">
            <v>15</v>
          </cell>
          <cell r="C310" t="str">
            <v>3942</v>
          </cell>
          <cell r="D310" t="str">
            <v>Законченное стр-во б</v>
          </cell>
          <cell r="E310" t="str">
            <v>лагоустройство автод</v>
          </cell>
          <cell r="G310" t="str">
            <v>01</v>
          </cell>
          <cell r="H310">
            <v>429598.18</v>
          </cell>
          <cell r="I310">
            <v>13747.14</v>
          </cell>
          <cell r="J310">
            <v>0</v>
          </cell>
          <cell r="K310">
            <v>1.43</v>
          </cell>
          <cell r="L310" t="str">
            <v>88/2</v>
          </cell>
          <cell r="M310" t="str">
            <v>20223</v>
          </cell>
          <cell r="N310" t="str">
            <v>12 4526372</v>
          </cell>
          <cell r="O310" t="str">
            <v>03</v>
          </cell>
          <cell r="P310">
            <v>3.2</v>
          </cell>
          <cell r="Q310">
            <v>0</v>
          </cell>
          <cell r="R310" t="str">
            <v>1</v>
          </cell>
          <cell r="S310" t="str">
            <v>20</v>
          </cell>
          <cell r="T310">
            <v>93</v>
          </cell>
          <cell r="U310">
            <v>12</v>
          </cell>
          <cell r="V310">
            <v>93</v>
          </cell>
          <cell r="W310">
            <v>12</v>
          </cell>
          <cell r="X310">
            <v>93</v>
          </cell>
          <cell r="AB310" t="str">
            <v>14</v>
          </cell>
          <cell r="AC310">
            <v>10</v>
          </cell>
          <cell r="AF310" t="str">
            <v>00</v>
          </cell>
          <cell r="AG310">
            <v>300418306</v>
          </cell>
          <cell r="AI310">
            <v>300418306</v>
          </cell>
          <cell r="AJ310">
            <v>38453543.380000003</v>
          </cell>
        </row>
        <row r="311">
          <cell r="A311" t="str">
            <v>02</v>
          </cell>
          <cell r="B311" t="str">
            <v>71</v>
          </cell>
          <cell r="C311" t="str">
            <v>3945</v>
          </cell>
          <cell r="D311" t="str">
            <v>Прицеп ЧМЗАП-83992</v>
          </cell>
          <cell r="E311" t="str">
            <v>гос N АВ7688 ш000003</v>
          </cell>
          <cell r="F311" t="str">
            <v>8</v>
          </cell>
          <cell r="G311" t="str">
            <v>01</v>
          </cell>
          <cell r="H311">
            <v>75000</v>
          </cell>
          <cell r="I311">
            <v>6225</v>
          </cell>
          <cell r="J311">
            <v>0</v>
          </cell>
          <cell r="K311">
            <v>1.02</v>
          </cell>
          <cell r="L311" t="str">
            <v>23</v>
          </cell>
          <cell r="M311" t="str">
            <v>50413</v>
          </cell>
          <cell r="N311" t="str">
            <v>15 3420208</v>
          </cell>
          <cell r="O311" t="str">
            <v>073</v>
          </cell>
          <cell r="P311">
            <v>8.3000000000000007</v>
          </cell>
          <cell r="Q311">
            <v>0</v>
          </cell>
          <cell r="R311" t="str">
            <v>1</v>
          </cell>
          <cell r="S311" t="str">
            <v>50</v>
          </cell>
          <cell r="T311">
            <v>93</v>
          </cell>
          <cell r="U311">
            <v>12</v>
          </cell>
          <cell r="V311">
            <v>93</v>
          </cell>
          <cell r="W311">
            <v>12</v>
          </cell>
          <cell r="X311">
            <v>93</v>
          </cell>
          <cell r="AF311" t="str">
            <v>00</v>
          </cell>
          <cell r="AI311">
            <v>73600000</v>
          </cell>
          <cell r="AJ311">
            <v>24435200.100000001</v>
          </cell>
        </row>
        <row r="312">
          <cell r="A312" t="str">
            <v>02</v>
          </cell>
          <cell r="B312" t="str">
            <v>51</v>
          </cell>
          <cell r="C312" t="str">
            <v>3946</v>
          </cell>
          <cell r="D312" t="str">
            <v>1рактор МТЗ-80</v>
          </cell>
          <cell r="G312" t="str">
            <v>01</v>
          </cell>
          <cell r="H312">
            <v>49500</v>
          </cell>
          <cell r="I312">
            <v>4504.5</v>
          </cell>
          <cell r="J312">
            <v>0</v>
          </cell>
          <cell r="K312">
            <v>0.88</v>
          </cell>
          <cell r="L312" t="str">
            <v>20</v>
          </cell>
          <cell r="M312" t="str">
            <v>40609</v>
          </cell>
          <cell r="N312" t="str">
            <v>14 2918103</v>
          </cell>
          <cell r="O312" t="str">
            <v>064</v>
          </cell>
          <cell r="P312">
            <v>9.1</v>
          </cell>
          <cell r="Q312">
            <v>0</v>
          </cell>
          <cell r="R312" t="str">
            <v>1</v>
          </cell>
          <cell r="S312" t="str">
            <v>40</v>
          </cell>
          <cell r="T312">
            <v>93</v>
          </cell>
          <cell r="U312">
            <v>12</v>
          </cell>
          <cell r="V312">
            <v>93</v>
          </cell>
          <cell r="W312">
            <v>12</v>
          </cell>
          <cell r="X312">
            <v>93</v>
          </cell>
          <cell r="AF312" t="str">
            <v>00</v>
          </cell>
          <cell r="AI312">
            <v>55967078</v>
          </cell>
          <cell r="AJ312">
            <v>20372016.379999999</v>
          </cell>
        </row>
        <row r="313">
          <cell r="A313" t="str">
            <v>02</v>
          </cell>
          <cell r="B313" t="str">
            <v>03</v>
          </cell>
          <cell r="C313" t="str">
            <v>3949</v>
          </cell>
          <cell r="D313" t="str">
            <v>Биллиард</v>
          </cell>
          <cell r="G313" t="str">
            <v>01</v>
          </cell>
          <cell r="H313">
            <v>3483.65</v>
          </cell>
          <cell r="I313">
            <v>348.36</v>
          </cell>
          <cell r="J313">
            <v>0</v>
          </cell>
          <cell r="K313">
            <v>0.96</v>
          </cell>
          <cell r="L313" t="str">
            <v>26</v>
          </cell>
          <cell r="M313" t="str">
            <v>49110</v>
          </cell>
          <cell r="N313" t="str">
            <v>16 3693572</v>
          </cell>
          <cell r="O313" t="str">
            <v>067</v>
          </cell>
          <cell r="P313">
            <v>10</v>
          </cell>
          <cell r="Q313">
            <v>0</v>
          </cell>
          <cell r="R313" t="str">
            <v>1</v>
          </cell>
          <cell r="S313" t="str">
            <v>49</v>
          </cell>
          <cell r="T313">
            <v>93</v>
          </cell>
          <cell r="U313">
            <v>12</v>
          </cell>
          <cell r="V313">
            <v>93</v>
          </cell>
          <cell r="W313">
            <v>12</v>
          </cell>
          <cell r="X313">
            <v>93</v>
          </cell>
          <cell r="AB313" t="str">
            <v>14</v>
          </cell>
          <cell r="AC313">
            <v>8</v>
          </cell>
          <cell r="AF313" t="str">
            <v>00</v>
          </cell>
          <cell r="AI313">
            <v>3628800</v>
          </cell>
          <cell r="AJ313">
            <v>1451520</v>
          </cell>
        </row>
        <row r="314">
          <cell r="A314" t="str">
            <v>02</v>
          </cell>
          <cell r="B314" t="str">
            <v>71</v>
          </cell>
          <cell r="C314" t="str">
            <v>3950</v>
          </cell>
          <cell r="D314" t="str">
            <v>АВТОПОГРУЗЧИК</v>
          </cell>
          <cell r="G314" t="str">
            <v>01</v>
          </cell>
          <cell r="H314">
            <v>235040</v>
          </cell>
          <cell r="I314">
            <v>29380</v>
          </cell>
          <cell r="J314">
            <v>0</v>
          </cell>
          <cell r="K314">
            <v>0.97</v>
          </cell>
          <cell r="L314" t="str">
            <v>23</v>
          </cell>
          <cell r="M314" t="str">
            <v>41719</v>
          </cell>
          <cell r="N314" t="str">
            <v>14 2915541</v>
          </cell>
          <cell r="O314" t="str">
            <v>067</v>
          </cell>
          <cell r="P314">
            <v>12.5</v>
          </cell>
          <cell r="Q314">
            <v>0</v>
          </cell>
          <cell r="R314" t="str">
            <v>1</v>
          </cell>
          <cell r="S314" t="str">
            <v>41</v>
          </cell>
          <cell r="T314">
            <v>93</v>
          </cell>
          <cell r="U314">
            <v>12</v>
          </cell>
          <cell r="V314">
            <v>93</v>
          </cell>
          <cell r="W314">
            <v>12</v>
          </cell>
          <cell r="X314">
            <v>93</v>
          </cell>
          <cell r="AB314" t="str">
            <v>14</v>
          </cell>
          <cell r="AC314">
            <v>9</v>
          </cell>
          <cell r="AF314" t="str">
            <v>00</v>
          </cell>
          <cell r="AI314">
            <v>242373095</v>
          </cell>
          <cell r="AJ314">
            <v>121186547.63</v>
          </cell>
        </row>
        <row r="315">
          <cell r="A315" t="str">
            <v>02</v>
          </cell>
          <cell r="B315" t="str">
            <v>23</v>
          </cell>
          <cell r="C315" t="str">
            <v>4002</v>
          </cell>
          <cell r="D315" t="str">
            <v>ГАЗ-66 спец.лаборат.</v>
          </cell>
          <cell r="E315" t="str">
            <v>ЛКС-10Ц Nо21-56 КШФ</v>
          </cell>
          <cell r="F315" t="str">
            <v>дв0086090 ш0661495</v>
          </cell>
          <cell r="G315" t="str">
            <v>01</v>
          </cell>
          <cell r="H315">
            <v>138000</v>
          </cell>
          <cell r="I315">
            <v>41400</v>
          </cell>
          <cell r="J315">
            <v>0</v>
          </cell>
          <cell r="K315">
            <v>1.19</v>
          </cell>
          <cell r="L315" t="str">
            <v>23</v>
          </cell>
          <cell r="M315" t="str">
            <v>50426</v>
          </cell>
          <cell r="N315" t="str">
            <v>15 3410359</v>
          </cell>
          <cell r="O315" t="str">
            <v>073</v>
          </cell>
          <cell r="P315">
            <v>10</v>
          </cell>
          <cell r="Q315">
            <v>0</v>
          </cell>
          <cell r="R315" t="str">
            <v>1</v>
          </cell>
          <cell r="S315" t="str">
            <v>50</v>
          </cell>
          <cell r="T315">
            <v>91</v>
          </cell>
          <cell r="U315">
            <v>12</v>
          </cell>
          <cell r="V315">
            <v>91</v>
          </cell>
          <cell r="W315">
            <v>12</v>
          </cell>
          <cell r="X315">
            <v>91</v>
          </cell>
          <cell r="AF315" t="str">
            <v>00</v>
          </cell>
          <cell r="AI315">
            <v>115555556</v>
          </cell>
          <cell r="AJ315">
            <v>69333333.780000001</v>
          </cell>
        </row>
        <row r="316">
          <cell r="A316" t="str">
            <v>02</v>
          </cell>
          <cell r="B316" t="str">
            <v>05</v>
          </cell>
          <cell r="C316" t="str">
            <v>4008</v>
          </cell>
          <cell r="D316" t="str">
            <v>Трубоукладчик ТГ-124</v>
          </cell>
          <cell r="G316" t="str">
            <v>01</v>
          </cell>
          <cell r="H316">
            <v>287020</v>
          </cell>
          <cell r="I316">
            <v>86106</v>
          </cell>
          <cell r="J316">
            <v>0</v>
          </cell>
          <cell r="K316">
            <v>1.06</v>
          </cell>
          <cell r="L316" t="str">
            <v>20</v>
          </cell>
          <cell r="M316" t="str">
            <v>41723</v>
          </cell>
          <cell r="N316" t="str">
            <v>14 2915246</v>
          </cell>
          <cell r="O316" t="str">
            <v>067</v>
          </cell>
          <cell r="P316">
            <v>10</v>
          </cell>
          <cell r="Q316">
            <v>0</v>
          </cell>
          <cell r="R316" t="str">
            <v>1</v>
          </cell>
          <cell r="S316" t="str">
            <v>41</v>
          </cell>
          <cell r="T316">
            <v>91</v>
          </cell>
          <cell r="U316">
            <v>12</v>
          </cell>
          <cell r="V316">
            <v>91</v>
          </cell>
          <cell r="W316">
            <v>12</v>
          </cell>
          <cell r="X316">
            <v>91</v>
          </cell>
          <cell r="AB316" t="str">
            <v>14</v>
          </cell>
          <cell r="AC316">
            <v>9</v>
          </cell>
          <cell r="AF316" t="str">
            <v>00</v>
          </cell>
          <cell r="AI316">
            <v>271111111</v>
          </cell>
          <cell r="AJ316">
            <v>162666666.59999999</v>
          </cell>
        </row>
        <row r="317">
          <cell r="A317" t="str">
            <v>02</v>
          </cell>
          <cell r="B317" t="str">
            <v>02</v>
          </cell>
          <cell r="C317" t="str">
            <v>4009</v>
          </cell>
          <cell r="D317" t="str">
            <v>ЭТР 223 экскаватор</v>
          </cell>
          <cell r="E317" t="str">
            <v>роторный</v>
          </cell>
          <cell r="G317" t="str">
            <v>01</v>
          </cell>
          <cell r="H317">
            <v>278050</v>
          </cell>
          <cell r="I317">
            <v>67195.42</v>
          </cell>
          <cell r="J317">
            <v>0</v>
          </cell>
          <cell r="K317">
            <v>1</v>
          </cell>
          <cell r="L317" t="str">
            <v>20</v>
          </cell>
          <cell r="M317" t="str">
            <v>41802</v>
          </cell>
          <cell r="N317" t="str">
            <v>14 2924335</v>
          </cell>
          <cell r="O317" t="str">
            <v>064</v>
          </cell>
          <cell r="P317">
            <v>10</v>
          </cell>
          <cell r="Q317">
            <v>0</v>
          </cell>
          <cell r="R317" t="str">
            <v>1</v>
          </cell>
          <cell r="S317" t="str">
            <v>41</v>
          </cell>
          <cell r="T317">
            <v>0</v>
          </cell>
          <cell r="U317">
            <v>7</v>
          </cell>
          <cell r="V317">
            <v>92</v>
          </cell>
          <cell r="W317">
            <v>7</v>
          </cell>
          <cell r="X317">
            <v>92</v>
          </cell>
          <cell r="AF317" t="str">
            <v>00</v>
          </cell>
          <cell r="AI317">
            <v>278376284</v>
          </cell>
          <cell r="AJ317">
            <v>150787154.19999999</v>
          </cell>
        </row>
        <row r="318">
          <cell r="A318" t="str">
            <v>02</v>
          </cell>
          <cell r="B318" t="str">
            <v>11</v>
          </cell>
          <cell r="C318" t="str">
            <v>4009/1</v>
          </cell>
          <cell r="D318" t="str">
            <v>Бетонный з-д/емкость</v>
          </cell>
          <cell r="E318" t="str">
            <v xml:space="preserve"> для смешивания 2 шт</v>
          </cell>
          <cell r="G318" t="str">
            <v>01</v>
          </cell>
          <cell r="H318">
            <v>152666.79999999999</v>
          </cell>
          <cell r="I318">
            <v>76486.070000000007</v>
          </cell>
          <cell r="J318">
            <v>0</v>
          </cell>
          <cell r="K318">
            <v>1.22</v>
          </cell>
          <cell r="L318" t="str">
            <v>20</v>
          </cell>
          <cell r="M318" t="str">
            <v>44166</v>
          </cell>
          <cell r="N318" t="str">
            <v>12 2812000</v>
          </cell>
          <cell r="O318" t="str">
            <v>067</v>
          </cell>
          <cell r="P318">
            <v>16.7</v>
          </cell>
          <cell r="Q318">
            <v>0</v>
          </cell>
          <cell r="R318" t="str">
            <v>1</v>
          </cell>
          <cell r="S318" t="str">
            <v>44</v>
          </cell>
          <cell r="T318">
            <v>91</v>
          </cell>
          <cell r="U318">
            <v>12</v>
          </cell>
          <cell r="V318">
            <v>91</v>
          </cell>
          <cell r="W318">
            <v>12</v>
          </cell>
          <cell r="X318">
            <v>91</v>
          </cell>
          <cell r="AB318" t="str">
            <v>14</v>
          </cell>
          <cell r="AC318">
            <v>9</v>
          </cell>
          <cell r="AF318" t="str">
            <v>00</v>
          </cell>
          <cell r="AG318">
            <v>125600000</v>
          </cell>
          <cell r="AI318">
            <v>125600000</v>
          </cell>
          <cell r="AJ318">
            <v>125600000</v>
          </cell>
        </row>
        <row r="319">
          <cell r="A319" t="str">
            <v>02</v>
          </cell>
          <cell r="B319" t="str">
            <v>11</v>
          </cell>
          <cell r="C319" t="str">
            <v>4010</v>
          </cell>
          <cell r="D319" t="str">
            <v>Полигон жби/кран коз</v>
          </cell>
          <cell r="E319" t="str">
            <v>ловой грузоподьем.5</v>
          </cell>
          <cell r="G319" t="str">
            <v>01</v>
          </cell>
          <cell r="H319">
            <v>41808.230000000003</v>
          </cell>
          <cell r="I319">
            <v>6271.23</v>
          </cell>
          <cell r="J319">
            <v>0</v>
          </cell>
          <cell r="K319">
            <v>1.51</v>
          </cell>
          <cell r="L319" t="str">
            <v>20</v>
          </cell>
          <cell r="M319" t="str">
            <v>41704</v>
          </cell>
          <cell r="N319" t="str">
            <v>14 2915161</v>
          </cell>
          <cell r="O319" t="str">
            <v>064</v>
          </cell>
          <cell r="P319">
            <v>5</v>
          </cell>
          <cell r="Q319">
            <v>0</v>
          </cell>
          <cell r="R319" t="str">
            <v>1</v>
          </cell>
          <cell r="S319" t="str">
            <v>41</v>
          </cell>
          <cell r="T319">
            <v>91</v>
          </cell>
          <cell r="U319">
            <v>12</v>
          </cell>
          <cell r="V319">
            <v>91</v>
          </cell>
          <cell r="W319">
            <v>12</v>
          </cell>
          <cell r="X319">
            <v>91</v>
          </cell>
          <cell r="AB319" t="str">
            <v>14</v>
          </cell>
          <cell r="AC319">
            <v>2</v>
          </cell>
          <cell r="AD319" t="str">
            <v>2</v>
          </cell>
          <cell r="AF319" t="str">
            <v>00</v>
          </cell>
          <cell r="AI319">
            <v>27687569</v>
          </cell>
          <cell r="AJ319">
            <v>8306270.3499999996</v>
          </cell>
        </row>
        <row r="320">
          <cell r="A320" t="str">
            <v>02</v>
          </cell>
          <cell r="B320" t="str">
            <v>11</v>
          </cell>
          <cell r="C320" t="str">
            <v>4012</v>
          </cell>
          <cell r="D320" t="str">
            <v>Полигон жби/трансфор</v>
          </cell>
          <cell r="E320" t="str">
            <v>матор тдм 400-6</v>
          </cell>
          <cell r="G320" t="str">
            <v>01</v>
          </cell>
          <cell r="H320">
            <v>23278</v>
          </cell>
          <cell r="I320">
            <v>3072.7</v>
          </cell>
          <cell r="J320">
            <v>0</v>
          </cell>
          <cell r="K320">
            <v>0.56999999999999995</v>
          </cell>
          <cell r="L320" t="str">
            <v>20</v>
          </cell>
          <cell r="M320" t="str">
            <v>40701</v>
          </cell>
          <cell r="N320" t="str">
            <v>14 2922805</v>
          </cell>
          <cell r="O320" t="str">
            <v>067</v>
          </cell>
          <cell r="P320">
            <v>4.4000000000000004</v>
          </cell>
          <cell r="Q320">
            <v>0</v>
          </cell>
          <cell r="R320" t="str">
            <v>1</v>
          </cell>
          <cell r="S320" t="str">
            <v>40</v>
          </cell>
          <cell r="T320">
            <v>91</v>
          </cell>
          <cell r="U320">
            <v>12</v>
          </cell>
          <cell r="V320">
            <v>91</v>
          </cell>
          <cell r="W320">
            <v>12</v>
          </cell>
          <cell r="X320">
            <v>91</v>
          </cell>
          <cell r="AB320" t="str">
            <v>14</v>
          </cell>
          <cell r="AC320">
            <v>2</v>
          </cell>
          <cell r="AD320" t="str">
            <v>2</v>
          </cell>
          <cell r="AF320" t="str">
            <v>00</v>
          </cell>
          <cell r="AI320">
            <v>40537488</v>
          </cell>
          <cell r="AJ320">
            <v>10701896.42</v>
          </cell>
        </row>
        <row r="321">
          <cell r="A321" t="str">
            <v>02</v>
          </cell>
          <cell r="B321" t="str">
            <v>02</v>
          </cell>
          <cell r="C321" t="str">
            <v>4013</v>
          </cell>
          <cell r="D321" t="str">
            <v>Бульдозер т-170</v>
          </cell>
          <cell r="G321" t="str">
            <v>01</v>
          </cell>
          <cell r="H321">
            <v>250000</v>
          </cell>
          <cell r="I321">
            <v>93750</v>
          </cell>
          <cell r="J321">
            <v>0</v>
          </cell>
          <cell r="K321">
            <v>1.24</v>
          </cell>
          <cell r="L321" t="str">
            <v>20</v>
          </cell>
          <cell r="M321" t="str">
            <v>41815</v>
          </cell>
          <cell r="N321" t="str">
            <v>14 2924340</v>
          </cell>
          <cell r="O321" t="str">
            <v>067</v>
          </cell>
          <cell r="P321">
            <v>12.5</v>
          </cell>
          <cell r="Q321">
            <v>0</v>
          </cell>
          <cell r="R321" t="str">
            <v>1</v>
          </cell>
          <cell r="S321" t="str">
            <v>41</v>
          </cell>
          <cell r="T321">
            <v>91</v>
          </cell>
          <cell r="U321">
            <v>12</v>
          </cell>
          <cell r="V321">
            <v>91</v>
          </cell>
          <cell r="W321">
            <v>12</v>
          </cell>
          <cell r="X321">
            <v>91</v>
          </cell>
          <cell r="AB321" t="str">
            <v>14</v>
          </cell>
          <cell r="AC321">
            <v>12</v>
          </cell>
          <cell r="AF321" t="str">
            <v>00</v>
          </cell>
          <cell r="AI321">
            <v>201481481</v>
          </cell>
          <cell r="AJ321">
            <v>151111110.75</v>
          </cell>
        </row>
        <row r="322">
          <cell r="A322" t="str">
            <v>02</v>
          </cell>
          <cell r="B322" t="str">
            <v>71</v>
          </cell>
          <cell r="C322" t="str">
            <v>4014</v>
          </cell>
          <cell r="D322" t="str">
            <v>Эксковатор емкость к</v>
          </cell>
          <cell r="E322" t="str">
            <v>овша 1м3</v>
          </cell>
          <cell r="F322" t="str">
            <v>26583</v>
          </cell>
          <cell r="G322" t="str">
            <v>01</v>
          </cell>
          <cell r="H322">
            <v>136080</v>
          </cell>
          <cell r="I322">
            <v>51030</v>
          </cell>
          <cell r="J322">
            <v>0</v>
          </cell>
          <cell r="K322">
            <v>1.45</v>
          </cell>
          <cell r="L322" t="str">
            <v>23</v>
          </cell>
          <cell r="M322" t="str">
            <v>41800</v>
          </cell>
          <cell r="N322" t="str">
            <v>14 2924331</v>
          </cell>
          <cell r="O322" t="str">
            <v>064</v>
          </cell>
          <cell r="P322">
            <v>12.5</v>
          </cell>
          <cell r="Q322">
            <v>0</v>
          </cell>
          <cell r="R322" t="str">
            <v>1</v>
          </cell>
          <cell r="S322" t="str">
            <v>41</v>
          </cell>
          <cell r="T322">
            <v>83</v>
          </cell>
          <cell r="U322">
            <v>12</v>
          </cell>
          <cell r="V322">
            <v>91</v>
          </cell>
          <cell r="W322">
            <v>12</v>
          </cell>
          <cell r="X322">
            <v>91</v>
          </cell>
          <cell r="AF322" t="str">
            <v>00</v>
          </cell>
          <cell r="AI322">
            <v>93849600</v>
          </cell>
          <cell r="AJ322">
            <v>70387200</v>
          </cell>
        </row>
        <row r="323">
          <cell r="A323" t="str">
            <v>02</v>
          </cell>
          <cell r="B323" t="str">
            <v>05</v>
          </cell>
          <cell r="C323" t="str">
            <v>4015</v>
          </cell>
          <cell r="D323" t="str">
            <v>Трубоукладчик на т-1</v>
          </cell>
          <cell r="E323" t="str">
            <v>70</v>
          </cell>
          <cell r="F323" t="str">
            <v>92999</v>
          </cell>
          <cell r="G323" t="str">
            <v>01</v>
          </cell>
          <cell r="H323">
            <v>43684.57</v>
          </cell>
          <cell r="I323">
            <v>13105.37</v>
          </cell>
          <cell r="J323">
            <v>0</v>
          </cell>
          <cell r="K323">
            <v>1.21</v>
          </cell>
          <cell r="L323" t="str">
            <v>20</v>
          </cell>
          <cell r="M323" t="str">
            <v>41723</v>
          </cell>
          <cell r="N323" t="str">
            <v>14 2915246</v>
          </cell>
          <cell r="O323" t="str">
            <v>067</v>
          </cell>
          <cell r="P323">
            <v>10</v>
          </cell>
          <cell r="Q323">
            <v>0</v>
          </cell>
          <cell r="R323" t="str">
            <v>1</v>
          </cell>
          <cell r="S323" t="str">
            <v>41</v>
          </cell>
          <cell r="T323">
            <v>91</v>
          </cell>
          <cell r="U323">
            <v>12</v>
          </cell>
          <cell r="V323">
            <v>91</v>
          </cell>
          <cell r="W323">
            <v>12</v>
          </cell>
          <cell r="X323">
            <v>91</v>
          </cell>
          <cell r="AB323" t="str">
            <v>14</v>
          </cell>
          <cell r="AC323">
            <v>12</v>
          </cell>
          <cell r="AF323" t="str">
            <v>00</v>
          </cell>
          <cell r="AI323">
            <v>36102947</v>
          </cell>
          <cell r="AJ323">
            <v>21661768.100000001</v>
          </cell>
        </row>
        <row r="324">
          <cell r="A324" t="str">
            <v>02</v>
          </cell>
          <cell r="B324" t="str">
            <v>80</v>
          </cell>
          <cell r="C324" t="str">
            <v>4018</v>
          </cell>
          <cell r="D324" t="str">
            <v>Персональный компьют</v>
          </cell>
          <cell r="E324" t="str">
            <v>ер</v>
          </cell>
          <cell r="G324" t="str">
            <v>01</v>
          </cell>
          <cell r="H324">
            <v>2800</v>
          </cell>
          <cell r="I324">
            <v>840</v>
          </cell>
          <cell r="J324">
            <v>10128.4</v>
          </cell>
          <cell r="K324">
            <v>0.17</v>
          </cell>
          <cell r="L324" t="str">
            <v>26</v>
          </cell>
          <cell r="M324" t="str">
            <v>48008</v>
          </cell>
          <cell r="N324" t="str">
            <v>14 3020203</v>
          </cell>
          <cell r="O324" t="str">
            <v>063</v>
          </cell>
          <cell r="P324">
            <v>10</v>
          </cell>
          <cell r="Q324">
            <v>0</v>
          </cell>
          <cell r="R324" t="str">
            <v>1</v>
          </cell>
          <cell r="S324" t="str">
            <v>48</v>
          </cell>
          <cell r="T324">
            <v>91</v>
          </cell>
          <cell r="U324">
            <v>12</v>
          </cell>
          <cell r="V324">
            <v>91</v>
          </cell>
          <cell r="W324">
            <v>12</v>
          </cell>
          <cell r="X324">
            <v>91</v>
          </cell>
          <cell r="Y324">
            <v>6</v>
          </cell>
          <cell r="Z324">
            <v>99</v>
          </cell>
          <cell r="AF324" t="str">
            <v>00</v>
          </cell>
          <cell r="AI324">
            <v>16565796</v>
          </cell>
          <cell r="AJ324">
            <v>9939477.8000000007</v>
          </cell>
        </row>
        <row r="325">
          <cell r="A325" t="str">
            <v>02</v>
          </cell>
          <cell r="B325" t="str">
            <v>99</v>
          </cell>
          <cell r="C325" t="str">
            <v>4023</v>
          </cell>
          <cell r="D325" t="str">
            <v>Холодильник "Орск"</v>
          </cell>
          <cell r="G325" t="str">
            <v>01</v>
          </cell>
          <cell r="H325">
            <v>1250</v>
          </cell>
          <cell r="I325">
            <v>708.33</v>
          </cell>
          <cell r="J325">
            <v>0</v>
          </cell>
          <cell r="K325">
            <v>0.3</v>
          </cell>
          <cell r="L325" t="str">
            <v>20</v>
          </cell>
          <cell r="M325" t="str">
            <v>45800</v>
          </cell>
          <cell r="N325" t="str">
            <v>16 2930100</v>
          </cell>
          <cell r="O325" t="str">
            <v>063</v>
          </cell>
          <cell r="P325">
            <v>10</v>
          </cell>
          <cell r="Q325">
            <v>0</v>
          </cell>
          <cell r="R325" t="str">
            <v>1</v>
          </cell>
          <cell r="S325" t="str">
            <v>45</v>
          </cell>
          <cell r="T325">
            <v>0</v>
          </cell>
          <cell r="U325">
            <v>4</v>
          </cell>
          <cell r="V325">
            <v>89</v>
          </cell>
          <cell r="W325">
            <v>4</v>
          </cell>
          <cell r="X325">
            <v>89</v>
          </cell>
          <cell r="AF325" t="str">
            <v>00</v>
          </cell>
          <cell r="AI325">
            <v>4133376</v>
          </cell>
          <cell r="AJ325">
            <v>3582259.2000000002</v>
          </cell>
        </row>
        <row r="326">
          <cell r="A326" t="str">
            <v>02</v>
          </cell>
          <cell r="B326" t="str">
            <v>04</v>
          </cell>
          <cell r="C326" t="str">
            <v>4024</v>
          </cell>
          <cell r="D326" t="str">
            <v>Кресло</v>
          </cell>
          <cell r="G326" t="str">
            <v>01</v>
          </cell>
          <cell r="H326">
            <v>450</v>
          </cell>
          <cell r="I326">
            <v>135</v>
          </cell>
          <cell r="J326">
            <v>0</v>
          </cell>
          <cell r="K326">
            <v>0.64</v>
          </cell>
          <cell r="L326" t="str">
            <v>23</v>
          </cell>
          <cell r="M326" t="str">
            <v>70003</v>
          </cell>
          <cell r="N326" t="str">
            <v>16 3612395</v>
          </cell>
          <cell r="O326" t="str">
            <v>08</v>
          </cell>
          <cell r="P326">
            <v>10</v>
          </cell>
          <cell r="Q326">
            <v>0</v>
          </cell>
          <cell r="R326" t="str">
            <v>1</v>
          </cell>
          <cell r="S326" t="str">
            <v>70</v>
          </cell>
          <cell r="T326">
            <v>91</v>
          </cell>
          <cell r="U326">
            <v>12</v>
          </cell>
          <cell r="V326">
            <v>91</v>
          </cell>
          <cell r="W326">
            <v>12</v>
          </cell>
          <cell r="X326">
            <v>91</v>
          </cell>
          <cell r="AB326" t="str">
            <v>14</v>
          </cell>
          <cell r="AC326">
            <v>5</v>
          </cell>
          <cell r="AF326" t="str">
            <v>00</v>
          </cell>
          <cell r="AI326">
            <v>701568</v>
          </cell>
          <cell r="AJ326">
            <v>420940.4</v>
          </cell>
        </row>
        <row r="327">
          <cell r="A327" t="str">
            <v>02</v>
          </cell>
          <cell r="B327" t="str">
            <v>04</v>
          </cell>
          <cell r="C327" t="str">
            <v>4025</v>
          </cell>
          <cell r="D327" t="str">
            <v>Кресло</v>
          </cell>
          <cell r="G327" t="str">
            <v>01</v>
          </cell>
          <cell r="H327">
            <v>450</v>
          </cell>
          <cell r="I327">
            <v>135</v>
          </cell>
          <cell r="J327">
            <v>0</v>
          </cell>
          <cell r="K327">
            <v>0.64</v>
          </cell>
          <cell r="L327" t="str">
            <v>23</v>
          </cell>
          <cell r="M327" t="str">
            <v>70003</v>
          </cell>
          <cell r="N327" t="str">
            <v>16 3612395</v>
          </cell>
          <cell r="O327" t="str">
            <v>08</v>
          </cell>
          <cell r="P327">
            <v>10</v>
          </cell>
          <cell r="Q327">
            <v>0</v>
          </cell>
          <cell r="R327" t="str">
            <v>1</v>
          </cell>
          <cell r="S327" t="str">
            <v>70</v>
          </cell>
          <cell r="T327">
            <v>91</v>
          </cell>
          <cell r="U327">
            <v>12</v>
          </cell>
          <cell r="V327">
            <v>91</v>
          </cell>
          <cell r="W327">
            <v>12</v>
          </cell>
          <cell r="X327">
            <v>91</v>
          </cell>
          <cell r="AB327" t="str">
            <v>14</v>
          </cell>
          <cell r="AC327">
            <v>5</v>
          </cell>
          <cell r="AF327" t="str">
            <v>00</v>
          </cell>
          <cell r="AI327">
            <v>701568</v>
          </cell>
          <cell r="AJ327">
            <v>420940.4</v>
          </cell>
        </row>
        <row r="328">
          <cell r="A328" t="str">
            <v>02</v>
          </cell>
          <cell r="B328" t="str">
            <v>04</v>
          </cell>
          <cell r="C328" t="str">
            <v>4026</v>
          </cell>
          <cell r="D328" t="str">
            <v>Кресло</v>
          </cell>
          <cell r="G328" t="str">
            <v>01</v>
          </cell>
          <cell r="H328">
            <v>450</v>
          </cell>
          <cell r="I328">
            <v>135</v>
          </cell>
          <cell r="J328">
            <v>0</v>
          </cell>
          <cell r="K328">
            <v>0.64</v>
          </cell>
          <cell r="L328" t="str">
            <v>23</v>
          </cell>
          <cell r="M328" t="str">
            <v>70003</v>
          </cell>
          <cell r="N328" t="str">
            <v>16 3612395</v>
          </cell>
          <cell r="O328" t="str">
            <v>08</v>
          </cell>
          <cell r="P328">
            <v>10</v>
          </cell>
          <cell r="Q328">
            <v>0</v>
          </cell>
          <cell r="R328" t="str">
            <v>1</v>
          </cell>
          <cell r="S328" t="str">
            <v>70</v>
          </cell>
          <cell r="T328">
            <v>91</v>
          </cell>
          <cell r="U328">
            <v>12</v>
          </cell>
          <cell r="V328">
            <v>91</v>
          </cell>
          <cell r="W328">
            <v>12</v>
          </cell>
          <cell r="X328">
            <v>91</v>
          </cell>
          <cell r="AB328" t="str">
            <v>14</v>
          </cell>
          <cell r="AC328">
            <v>5</v>
          </cell>
          <cell r="AF328" t="str">
            <v>00</v>
          </cell>
          <cell r="AI328">
            <v>701568</v>
          </cell>
          <cell r="AJ328">
            <v>420940.4</v>
          </cell>
        </row>
        <row r="329">
          <cell r="A329" t="str">
            <v>02</v>
          </cell>
          <cell r="B329" t="str">
            <v>03</v>
          </cell>
          <cell r="C329" t="str">
            <v>4027</v>
          </cell>
          <cell r="D329" t="str">
            <v>Ванна двухсекционная</v>
          </cell>
          <cell r="G329" t="str">
            <v>01</v>
          </cell>
          <cell r="H329">
            <v>785</v>
          </cell>
          <cell r="I329">
            <v>131.88</v>
          </cell>
          <cell r="J329">
            <v>0</v>
          </cell>
          <cell r="K329">
            <v>0.9</v>
          </cell>
          <cell r="L329" t="str">
            <v>26</v>
          </cell>
          <cell r="M329" t="str">
            <v>70010</v>
          </cell>
          <cell r="N329" t="str">
            <v>14 2945112</v>
          </cell>
          <cell r="O329" t="str">
            <v>08</v>
          </cell>
          <cell r="P329">
            <v>5.6</v>
          </cell>
          <cell r="Q329">
            <v>0</v>
          </cell>
          <cell r="R329" t="str">
            <v>1</v>
          </cell>
          <cell r="S329" t="str">
            <v>70</v>
          </cell>
          <cell r="T329">
            <v>91</v>
          </cell>
          <cell r="U329">
            <v>12</v>
          </cell>
          <cell r="V329">
            <v>91</v>
          </cell>
          <cell r="W329">
            <v>12</v>
          </cell>
          <cell r="X329">
            <v>91</v>
          </cell>
          <cell r="AB329" t="str">
            <v>14</v>
          </cell>
          <cell r="AC329">
            <v>8</v>
          </cell>
          <cell r="AF329" t="str">
            <v>00</v>
          </cell>
          <cell r="AI329">
            <v>871949</v>
          </cell>
          <cell r="AJ329">
            <v>292974.43</v>
          </cell>
        </row>
        <row r="330">
          <cell r="A330" t="str">
            <v>02</v>
          </cell>
          <cell r="B330" t="str">
            <v>11</v>
          </cell>
          <cell r="C330" t="str">
            <v>4028</v>
          </cell>
          <cell r="D330" t="str">
            <v>Полигон жби растворо</v>
          </cell>
          <cell r="E330" t="str">
            <v>-бетонный з-д</v>
          </cell>
          <cell r="G330" t="str">
            <v>01</v>
          </cell>
          <cell r="H330">
            <v>647400</v>
          </cell>
          <cell r="I330">
            <v>242775</v>
          </cell>
          <cell r="J330">
            <v>0</v>
          </cell>
          <cell r="K330">
            <v>0.98</v>
          </cell>
          <cell r="L330" t="str">
            <v>20</v>
          </cell>
          <cell r="M330" t="str">
            <v>42500</v>
          </cell>
          <cell r="N330" t="str">
            <v>14 2924625</v>
          </cell>
          <cell r="O330" t="str">
            <v>067</v>
          </cell>
          <cell r="P330">
            <v>12.5</v>
          </cell>
          <cell r="Q330">
            <v>0</v>
          </cell>
          <cell r="R330" t="str">
            <v>1</v>
          </cell>
          <cell r="S330" t="str">
            <v>42</v>
          </cell>
          <cell r="T330">
            <v>91</v>
          </cell>
          <cell r="U330">
            <v>12</v>
          </cell>
          <cell r="V330">
            <v>91</v>
          </cell>
          <cell r="W330">
            <v>12</v>
          </cell>
          <cell r="X330">
            <v>91</v>
          </cell>
          <cell r="AB330" t="str">
            <v>14</v>
          </cell>
          <cell r="AC330">
            <v>9</v>
          </cell>
          <cell r="AD330" t="str">
            <v>2</v>
          </cell>
          <cell r="AF330" t="str">
            <v>00</v>
          </cell>
          <cell r="AI330">
            <v>662563505</v>
          </cell>
          <cell r="AJ330">
            <v>496922628.38</v>
          </cell>
        </row>
        <row r="331">
          <cell r="A331" t="str">
            <v>02</v>
          </cell>
          <cell r="B331" t="str">
            <v>03</v>
          </cell>
          <cell r="C331" t="str">
            <v>4028/1</v>
          </cell>
          <cell r="D331" t="str">
            <v>Ванна з-х секционная</v>
          </cell>
          <cell r="G331" t="str">
            <v>01</v>
          </cell>
          <cell r="H331">
            <v>1237</v>
          </cell>
          <cell r="I331">
            <v>207.82</v>
          </cell>
          <cell r="J331">
            <v>0</v>
          </cell>
          <cell r="K331">
            <v>1.08</v>
          </cell>
          <cell r="L331" t="str">
            <v>26</v>
          </cell>
          <cell r="M331" t="str">
            <v>70010</v>
          </cell>
          <cell r="N331" t="str">
            <v>14 2945112</v>
          </cell>
          <cell r="O331" t="str">
            <v>08</v>
          </cell>
          <cell r="P331">
            <v>5.6</v>
          </cell>
          <cell r="Q331">
            <v>0</v>
          </cell>
          <cell r="R331" t="str">
            <v>1</v>
          </cell>
          <cell r="S331" t="str">
            <v>70</v>
          </cell>
          <cell r="T331">
            <v>91</v>
          </cell>
          <cell r="U331">
            <v>12</v>
          </cell>
          <cell r="V331">
            <v>91</v>
          </cell>
          <cell r="W331">
            <v>12</v>
          </cell>
          <cell r="X331">
            <v>91</v>
          </cell>
          <cell r="AB331" t="str">
            <v>14</v>
          </cell>
          <cell r="AC331">
            <v>8</v>
          </cell>
          <cell r="AF331" t="str">
            <v>00</v>
          </cell>
          <cell r="AI331">
            <v>1140549</v>
          </cell>
          <cell r="AJ331">
            <v>383224.23</v>
          </cell>
        </row>
        <row r="332">
          <cell r="A332" t="str">
            <v>17</v>
          </cell>
          <cell r="B332" t="str">
            <v>82</v>
          </cell>
          <cell r="C332" t="str">
            <v>4029</v>
          </cell>
          <cell r="D332" t="str">
            <v>Стеллаж под тарелки</v>
          </cell>
          <cell r="G332" t="str">
            <v>01</v>
          </cell>
          <cell r="H332">
            <v>1050</v>
          </cell>
          <cell r="I332">
            <v>176.4</v>
          </cell>
          <cell r="J332">
            <v>0</v>
          </cell>
          <cell r="K332">
            <v>0.85</v>
          </cell>
          <cell r="L332" t="str">
            <v>29</v>
          </cell>
          <cell r="M332" t="str">
            <v>70010</v>
          </cell>
          <cell r="N332" t="str">
            <v>14 2945117</v>
          </cell>
          <cell r="O332" t="str">
            <v>08</v>
          </cell>
          <cell r="P332">
            <v>5.6</v>
          </cell>
          <cell r="Q332">
            <v>0</v>
          </cell>
          <cell r="R332" t="str">
            <v>1</v>
          </cell>
          <cell r="S332" t="str">
            <v>70</v>
          </cell>
          <cell r="T332">
            <v>91</v>
          </cell>
          <cell r="U332">
            <v>12</v>
          </cell>
          <cell r="V332">
            <v>91</v>
          </cell>
          <cell r="W332">
            <v>12</v>
          </cell>
          <cell r="X332">
            <v>91</v>
          </cell>
          <cell r="AB332" t="str">
            <v>14</v>
          </cell>
          <cell r="AC332">
            <v>8</v>
          </cell>
          <cell r="AF332" t="str">
            <v>17</v>
          </cell>
          <cell r="AI332">
            <v>1228746</v>
          </cell>
          <cell r="AJ332">
            <v>412858.33</v>
          </cell>
        </row>
        <row r="333">
          <cell r="A333" t="str">
            <v>16</v>
          </cell>
          <cell r="B333" t="str">
            <v>06</v>
          </cell>
          <cell r="C333" t="str">
            <v>4030/2</v>
          </cell>
          <cell r="D333" t="str">
            <v>Спорткомплекс для Ту</v>
          </cell>
          <cell r="E333" t="str">
            <v>р.Базы</v>
          </cell>
          <cell r="G333" t="str">
            <v>01</v>
          </cell>
          <cell r="H333">
            <v>4198.1400000000003</v>
          </cell>
          <cell r="I333">
            <v>1259.44</v>
          </cell>
          <cell r="J333">
            <v>0</v>
          </cell>
          <cell r="K333">
            <v>1.22</v>
          </cell>
          <cell r="L333" t="str">
            <v>88/1</v>
          </cell>
          <cell r="M333" t="str">
            <v>49110</v>
          </cell>
          <cell r="N333" t="str">
            <v>12 4528471</v>
          </cell>
          <cell r="O333" t="str">
            <v>067</v>
          </cell>
          <cell r="P333">
            <v>10</v>
          </cell>
          <cell r="Q333">
            <v>0</v>
          </cell>
          <cell r="R333" t="str">
            <v>1</v>
          </cell>
          <cell r="S333" t="str">
            <v>49</v>
          </cell>
          <cell r="T333">
            <v>91</v>
          </cell>
          <cell r="U333">
            <v>12</v>
          </cell>
          <cell r="V333">
            <v>91</v>
          </cell>
          <cell r="W333">
            <v>12</v>
          </cell>
          <cell r="X333">
            <v>91</v>
          </cell>
          <cell r="AF333" t="str">
            <v>16</v>
          </cell>
          <cell r="AI333">
            <v>3453840</v>
          </cell>
          <cell r="AJ333">
            <v>2072304</v>
          </cell>
        </row>
        <row r="334">
          <cell r="A334" t="str">
            <v>17</v>
          </cell>
          <cell r="B334" t="str">
            <v>82</v>
          </cell>
          <cell r="C334" t="str">
            <v>4031</v>
          </cell>
          <cell r="D334" t="str">
            <v>Стол разделочный</v>
          </cell>
          <cell r="G334" t="str">
            <v>01</v>
          </cell>
          <cell r="H334">
            <v>400</v>
          </cell>
          <cell r="I334">
            <v>67.2</v>
          </cell>
          <cell r="J334">
            <v>0</v>
          </cell>
          <cell r="K334">
            <v>0.45</v>
          </cell>
          <cell r="L334" t="str">
            <v>29</v>
          </cell>
          <cell r="M334" t="str">
            <v>70010</v>
          </cell>
          <cell r="N334" t="str">
            <v>14 2945117</v>
          </cell>
          <cell r="O334" t="str">
            <v>08</v>
          </cell>
          <cell r="P334">
            <v>5.6</v>
          </cell>
          <cell r="Q334">
            <v>0</v>
          </cell>
          <cell r="R334" t="str">
            <v>1</v>
          </cell>
          <cell r="S334" t="str">
            <v>70</v>
          </cell>
          <cell r="T334">
            <v>91</v>
          </cell>
          <cell r="U334">
            <v>12</v>
          </cell>
          <cell r="V334">
            <v>91</v>
          </cell>
          <cell r="W334">
            <v>12</v>
          </cell>
          <cell r="X334">
            <v>91</v>
          </cell>
          <cell r="AB334" t="str">
            <v>14</v>
          </cell>
          <cell r="AC334">
            <v>8</v>
          </cell>
          <cell r="AF334" t="str">
            <v>17</v>
          </cell>
          <cell r="AI334">
            <v>887985</v>
          </cell>
          <cell r="AJ334">
            <v>298362.48</v>
          </cell>
        </row>
        <row r="335">
          <cell r="A335" t="str">
            <v>02</v>
          </cell>
          <cell r="B335" t="str">
            <v>90</v>
          </cell>
          <cell r="C335" t="str">
            <v>4033</v>
          </cell>
          <cell r="D335" t="str">
            <v>Телевизор Рекорд-гор</v>
          </cell>
          <cell r="E335" t="str">
            <v>изонт селена</v>
          </cell>
          <cell r="F335" t="str">
            <v>07106734</v>
          </cell>
          <cell r="G335" t="str">
            <v>01</v>
          </cell>
          <cell r="H335">
            <v>640</v>
          </cell>
          <cell r="I335">
            <v>201.6</v>
          </cell>
          <cell r="J335">
            <v>0</v>
          </cell>
          <cell r="K335">
            <v>0.03</v>
          </cell>
          <cell r="L335" t="str">
            <v>23</v>
          </cell>
          <cell r="M335" t="str">
            <v>45625</v>
          </cell>
          <cell r="N335" t="str">
            <v>14 3230100</v>
          </cell>
          <cell r="O335" t="str">
            <v>067</v>
          </cell>
          <cell r="P335">
            <v>10.5</v>
          </cell>
          <cell r="Q335">
            <v>0</v>
          </cell>
          <cell r="R335" t="str">
            <v>1</v>
          </cell>
          <cell r="S335" t="str">
            <v>45</v>
          </cell>
          <cell r="T335">
            <v>91</v>
          </cell>
          <cell r="U335">
            <v>12</v>
          </cell>
          <cell r="V335">
            <v>91</v>
          </cell>
          <cell r="W335">
            <v>12</v>
          </cell>
          <cell r="X335">
            <v>91</v>
          </cell>
          <cell r="AF335" t="str">
            <v>00</v>
          </cell>
          <cell r="AI335">
            <v>19408896</v>
          </cell>
          <cell r="AJ335">
            <v>12227604.24</v>
          </cell>
        </row>
        <row r="336">
          <cell r="A336" t="str">
            <v>02</v>
          </cell>
          <cell r="B336" t="str">
            <v>70</v>
          </cell>
          <cell r="C336" t="str">
            <v>4037</v>
          </cell>
          <cell r="D336" t="str">
            <v>Вагон жилой</v>
          </cell>
          <cell r="E336" t="str">
            <v>дерево-мет. 3 х 6</v>
          </cell>
          <cell r="G336" t="str">
            <v>01</v>
          </cell>
          <cell r="H336">
            <v>28800</v>
          </cell>
          <cell r="I336">
            <v>19800</v>
          </cell>
          <cell r="J336">
            <v>0</v>
          </cell>
          <cell r="K336">
            <v>0.39</v>
          </cell>
          <cell r="L336" t="str">
            <v>20</v>
          </cell>
          <cell r="M336" t="str">
            <v>10010</v>
          </cell>
          <cell r="N336" t="str">
            <v>13 2022261</v>
          </cell>
          <cell r="O336" t="str">
            <v>01</v>
          </cell>
          <cell r="P336">
            <v>12.5</v>
          </cell>
          <cell r="Q336">
            <v>0</v>
          </cell>
          <cell r="R336" t="str">
            <v>1</v>
          </cell>
          <cell r="S336" t="str">
            <v>10</v>
          </cell>
          <cell r="T336">
            <v>89</v>
          </cell>
          <cell r="U336">
            <v>6</v>
          </cell>
          <cell r="V336">
            <v>89</v>
          </cell>
          <cell r="W336">
            <v>6</v>
          </cell>
          <cell r="X336">
            <v>89</v>
          </cell>
          <cell r="AF336" t="str">
            <v>00</v>
          </cell>
          <cell r="AI336">
            <v>73472000</v>
          </cell>
          <cell r="AJ336">
            <v>73472000</v>
          </cell>
        </row>
        <row r="337">
          <cell r="A337" t="str">
            <v>02</v>
          </cell>
          <cell r="B337" t="str">
            <v>41</v>
          </cell>
          <cell r="C337" t="str">
            <v>4040</v>
          </cell>
          <cell r="D337" t="str">
            <v>Станция питания СПП-</v>
          </cell>
          <cell r="E337" t="str">
            <v>1</v>
          </cell>
          <cell r="G337" t="str">
            <v>01</v>
          </cell>
          <cell r="H337">
            <v>4712</v>
          </cell>
          <cell r="I337">
            <v>1767</v>
          </cell>
          <cell r="J337">
            <v>0</v>
          </cell>
          <cell r="K337">
            <v>1.01</v>
          </cell>
          <cell r="L337" t="str">
            <v>20</v>
          </cell>
          <cell r="M337" t="str">
            <v>42500</v>
          </cell>
          <cell r="N337" t="str">
            <v>14 3120000</v>
          </cell>
          <cell r="O337" t="str">
            <v>067</v>
          </cell>
          <cell r="P337">
            <v>12.5</v>
          </cell>
          <cell r="Q337">
            <v>0</v>
          </cell>
          <cell r="R337" t="str">
            <v>1</v>
          </cell>
          <cell r="S337" t="str">
            <v>42</v>
          </cell>
          <cell r="T337">
            <v>91</v>
          </cell>
          <cell r="U337">
            <v>12</v>
          </cell>
          <cell r="V337">
            <v>91</v>
          </cell>
          <cell r="W337">
            <v>12</v>
          </cell>
          <cell r="X337">
            <v>91</v>
          </cell>
          <cell r="AB337" t="str">
            <v>14</v>
          </cell>
          <cell r="AC337">
            <v>9</v>
          </cell>
          <cell r="AF337" t="str">
            <v>00</v>
          </cell>
          <cell r="AI337">
            <v>4650048</v>
          </cell>
          <cell r="AJ337">
            <v>3487536</v>
          </cell>
        </row>
        <row r="338">
          <cell r="A338" t="str">
            <v>02</v>
          </cell>
          <cell r="B338" t="str">
            <v>41</v>
          </cell>
          <cell r="C338" t="str">
            <v>4041</v>
          </cell>
          <cell r="D338" t="str">
            <v>Станция питания СПП-</v>
          </cell>
          <cell r="E338" t="str">
            <v>1</v>
          </cell>
          <cell r="G338" t="str">
            <v>01</v>
          </cell>
          <cell r="H338">
            <v>4712</v>
          </cell>
          <cell r="I338">
            <v>1767</v>
          </cell>
          <cell r="J338">
            <v>0</v>
          </cell>
          <cell r="K338">
            <v>1.01</v>
          </cell>
          <cell r="L338" t="str">
            <v>20</v>
          </cell>
          <cell r="M338" t="str">
            <v>42500</v>
          </cell>
          <cell r="N338" t="str">
            <v>14 3120000</v>
          </cell>
          <cell r="O338" t="str">
            <v>067</v>
          </cell>
          <cell r="P338">
            <v>12.5</v>
          </cell>
          <cell r="Q338">
            <v>0</v>
          </cell>
          <cell r="R338" t="str">
            <v>1</v>
          </cell>
          <cell r="S338" t="str">
            <v>42</v>
          </cell>
          <cell r="T338">
            <v>91</v>
          </cell>
          <cell r="U338">
            <v>12</v>
          </cell>
          <cell r="V338">
            <v>91</v>
          </cell>
          <cell r="W338">
            <v>12</v>
          </cell>
          <cell r="X338">
            <v>91</v>
          </cell>
          <cell r="AB338" t="str">
            <v>14</v>
          </cell>
          <cell r="AC338">
            <v>9</v>
          </cell>
          <cell r="AF338" t="str">
            <v>00</v>
          </cell>
          <cell r="AI338">
            <v>4650048</v>
          </cell>
          <cell r="AJ338">
            <v>3487536</v>
          </cell>
        </row>
        <row r="339">
          <cell r="A339" t="str">
            <v>02</v>
          </cell>
          <cell r="B339" t="str">
            <v>71</v>
          </cell>
          <cell r="C339" t="str">
            <v>4041/1</v>
          </cell>
          <cell r="D339" t="str">
            <v>ЧМЗАП 9990 п/прицеп</v>
          </cell>
          <cell r="F339" t="str">
            <v>М0003879</v>
          </cell>
          <cell r="G339" t="str">
            <v>01</v>
          </cell>
          <cell r="H339">
            <v>75000</v>
          </cell>
          <cell r="I339">
            <v>18675</v>
          </cell>
          <cell r="J339">
            <v>0</v>
          </cell>
          <cell r="K339">
            <v>0.94</v>
          </cell>
          <cell r="L339" t="str">
            <v>23</v>
          </cell>
          <cell r="M339" t="str">
            <v>50413</v>
          </cell>
          <cell r="N339" t="str">
            <v>15 3420209</v>
          </cell>
          <cell r="O339" t="str">
            <v>073</v>
          </cell>
          <cell r="P339">
            <v>8.3000000000000007</v>
          </cell>
          <cell r="Q339">
            <v>0</v>
          </cell>
          <cell r="R339" t="str">
            <v>1</v>
          </cell>
          <cell r="S339" t="str">
            <v>50</v>
          </cell>
          <cell r="T339">
            <v>91</v>
          </cell>
          <cell r="U339">
            <v>12</v>
          </cell>
          <cell r="V339">
            <v>91</v>
          </cell>
          <cell r="W339">
            <v>12</v>
          </cell>
          <cell r="X339">
            <v>91</v>
          </cell>
          <cell r="AB339" t="str">
            <v>14</v>
          </cell>
          <cell r="AC339">
            <v>11</v>
          </cell>
          <cell r="AF339" t="str">
            <v>00</v>
          </cell>
          <cell r="AI339">
            <v>79506173</v>
          </cell>
          <cell r="AJ339">
            <v>39594074.340000004</v>
          </cell>
        </row>
        <row r="340">
          <cell r="A340" t="str">
            <v>02</v>
          </cell>
          <cell r="B340" t="str">
            <v>41</v>
          </cell>
          <cell r="C340" t="str">
            <v>4042</v>
          </cell>
          <cell r="D340" t="str">
            <v>Станция питания СПП-</v>
          </cell>
          <cell r="E340" t="str">
            <v>1</v>
          </cell>
          <cell r="G340" t="str">
            <v>01</v>
          </cell>
          <cell r="H340">
            <v>4712</v>
          </cell>
          <cell r="I340">
            <v>1767</v>
          </cell>
          <cell r="J340">
            <v>0</v>
          </cell>
          <cell r="K340">
            <v>1.01</v>
          </cell>
          <cell r="L340" t="str">
            <v>20</v>
          </cell>
          <cell r="M340" t="str">
            <v>42500</v>
          </cell>
          <cell r="N340" t="str">
            <v>14 3120000</v>
          </cell>
          <cell r="O340" t="str">
            <v>067</v>
          </cell>
          <cell r="P340">
            <v>12.5</v>
          </cell>
          <cell r="Q340">
            <v>0</v>
          </cell>
          <cell r="R340" t="str">
            <v>1</v>
          </cell>
          <cell r="S340" t="str">
            <v>42</v>
          </cell>
          <cell r="T340">
            <v>91</v>
          </cell>
          <cell r="U340">
            <v>12</v>
          </cell>
          <cell r="V340">
            <v>91</v>
          </cell>
          <cell r="W340">
            <v>12</v>
          </cell>
          <cell r="X340">
            <v>91</v>
          </cell>
          <cell r="AB340" t="str">
            <v>14</v>
          </cell>
          <cell r="AC340">
            <v>9</v>
          </cell>
          <cell r="AF340" t="str">
            <v>00</v>
          </cell>
          <cell r="AI340">
            <v>4650048</v>
          </cell>
          <cell r="AJ340">
            <v>3487536</v>
          </cell>
        </row>
        <row r="341">
          <cell r="A341" t="str">
            <v>02</v>
          </cell>
          <cell r="B341" t="str">
            <v>71</v>
          </cell>
          <cell r="C341" t="str">
            <v>4042/1</v>
          </cell>
          <cell r="D341" t="str">
            <v>МАЗ-537 No 44-53КШЧ</v>
          </cell>
          <cell r="E341" t="str">
            <v>тягач дв9104К12679</v>
          </cell>
          <cell r="F341" t="str">
            <v>ОМО62775 ш91052757</v>
          </cell>
          <cell r="G341" t="str">
            <v>01</v>
          </cell>
          <cell r="H341">
            <v>100000</v>
          </cell>
          <cell r="I341">
            <v>24900</v>
          </cell>
          <cell r="J341">
            <v>0</v>
          </cell>
          <cell r="K341">
            <v>0.45</v>
          </cell>
          <cell r="L341" t="str">
            <v>23</v>
          </cell>
          <cell r="M341" t="str">
            <v>50413</v>
          </cell>
          <cell r="N341" t="str">
            <v>15 3410213</v>
          </cell>
          <cell r="O341" t="str">
            <v>073</v>
          </cell>
          <cell r="P341">
            <v>8.3000000000000007</v>
          </cell>
          <cell r="Q341">
            <v>0</v>
          </cell>
          <cell r="R341" t="str">
            <v>1</v>
          </cell>
          <cell r="S341" t="str">
            <v>50</v>
          </cell>
          <cell r="T341">
            <v>91</v>
          </cell>
          <cell r="U341">
            <v>12</v>
          </cell>
          <cell r="V341">
            <v>91</v>
          </cell>
          <cell r="W341">
            <v>12</v>
          </cell>
          <cell r="X341">
            <v>91</v>
          </cell>
          <cell r="AB341" t="str">
            <v>14</v>
          </cell>
          <cell r="AC341">
            <v>11</v>
          </cell>
          <cell r="AF341" t="str">
            <v>00</v>
          </cell>
          <cell r="AI341">
            <v>221234568</v>
          </cell>
          <cell r="AJ341">
            <v>110174814.92</v>
          </cell>
        </row>
        <row r="342">
          <cell r="A342" t="str">
            <v>02</v>
          </cell>
          <cell r="B342" t="str">
            <v>41</v>
          </cell>
          <cell r="C342" t="str">
            <v>4043/1</v>
          </cell>
          <cell r="D342" t="str">
            <v>Станция питания СПП-</v>
          </cell>
          <cell r="E342" t="str">
            <v>1</v>
          </cell>
          <cell r="G342" t="str">
            <v>01</v>
          </cell>
          <cell r="H342">
            <v>4712</v>
          </cell>
          <cell r="I342">
            <v>1767</v>
          </cell>
          <cell r="J342">
            <v>0</v>
          </cell>
          <cell r="K342">
            <v>1.01</v>
          </cell>
          <cell r="L342" t="str">
            <v>20</v>
          </cell>
          <cell r="M342" t="str">
            <v>42500</v>
          </cell>
          <cell r="N342" t="str">
            <v>14 3120000</v>
          </cell>
          <cell r="O342" t="str">
            <v>067</v>
          </cell>
          <cell r="P342">
            <v>12.5</v>
          </cell>
          <cell r="Q342">
            <v>0</v>
          </cell>
          <cell r="R342" t="str">
            <v>1</v>
          </cell>
          <cell r="S342" t="str">
            <v>42</v>
          </cell>
          <cell r="T342">
            <v>91</v>
          </cell>
          <cell r="U342">
            <v>12</v>
          </cell>
          <cell r="V342">
            <v>91</v>
          </cell>
          <cell r="W342">
            <v>12</v>
          </cell>
          <cell r="X342">
            <v>91</v>
          </cell>
          <cell r="AB342" t="str">
            <v>14</v>
          </cell>
          <cell r="AC342">
            <v>9</v>
          </cell>
          <cell r="AF342" t="str">
            <v>00</v>
          </cell>
          <cell r="AI342">
            <v>4650048</v>
          </cell>
          <cell r="AJ342">
            <v>3487536</v>
          </cell>
        </row>
        <row r="343">
          <cell r="A343" t="str">
            <v>02</v>
          </cell>
          <cell r="B343" t="str">
            <v>11</v>
          </cell>
          <cell r="C343" t="str">
            <v>4044/1</v>
          </cell>
          <cell r="D343" t="str">
            <v>Полигон ЖБИ кран коз</v>
          </cell>
          <cell r="E343" t="str">
            <v>ловой грузоподьемнос</v>
          </cell>
          <cell r="G343" t="str">
            <v>01</v>
          </cell>
          <cell r="H343">
            <v>28795.07</v>
          </cell>
          <cell r="I343">
            <v>4319.26</v>
          </cell>
          <cell r="J343">
            <v>0</v>
          </cell>
          <cell r="K343">
            <v>1.04</v>
          </cell>
          <cell r="L343" t="str">
            <v>20</v>
          </cell>
          <cell r="M343" t="str">
            <v>41704</v>
          </cell>
          <cell r="N343" t="str">
            <v>14 2915161</v>
          </cell>
          <cell r="O343" t="str">
            <v>064</v>
          </cell>
          <cell r="P343">
            <v>5</v>
          </cell>
          <cell r="Q343">
            <v>0</v>
          </cell>
          <cell r="R343" t="str">
            <v>1</v>
          </cell>
          <cell r="S343" t="str">
            <v>41</v>
          </cell>
          <cell r="T343">
            <v>91</v>
          </cell>
          <cell r="U343">
            <v>12</v>
          </cell>
          <cell r="V343">
            <v>91</v>
          </cell>
          <cell r="W343">
            <v>12</v>
          </cell>
          <cell r="X343">
            <v>91</v>
          </cell>
          <cell r="AB343" t="str">
            <v>14</v>
          </cell>
          <cell r="AC343">
            <v>9</v>
          </cell>
          <cell r="AD343" t="str">
            <v>2</v>
          </cell>
          <cell r="AF343" t="str">
            <v>00</v>
          </cell>
          <cell r="AG343">
            <v>27687569</v>
          </cell>
          <cell r="AI343">
            <v>27687569</v>
          </cell>
          <cell r="AJ343">
            <v>8306270.3499999996</v>
          </cell>
        </row>
        <row r="344">
          <cell r="A344" t="str">
            <v>02</v>
          </cell>
          <cell r="B344" t="str">
            <v>11</v>
          </cell>
          <cell r="C344" t="str">
            <v>4045/1</v>
          </cell>
          <cell r="D344" t="str">
            <v>Полигон ЖБИ трансфор</v>
          </cell>
          <cell r="E344" t="str">
            <v>матор ТДМ 400/6</v>
          </cell>
          <cell r="G344" t="str">
            <v>01</v>
          </cell>
          <cell r="H344">
            <v>23278</v>
          </cell>
          <cell r="I344">
            <v>3072.7</v>
          </cell>
          <cell r="J344">
            <v>0</v>
          </cell>
          <cell r="K344">
            <v>0.56999999999999995</v>
          </cell>
          <cell r="L344" t="str">
            <v>20</v>
          </cell>
          <cell r="M344" t="str">
            <v>40701</v>
          </cell>
          <cell r="N344" t="str">
            <v>14 2922805</v>
          </cell>
          <cell r="O344" t="str">
            <v>067</v>
          </cell>
          <cell r="P344">
            <v>4.4000000000000004</v>
          </cell>
          <cell r="Q344">
            <v>0</v>
          </cell>
          <cell r="R344" t="str">
            <v>1</v>
          </cell>
          <cell r="S344" t="str">
            <v>40</v>
          </cell>
          <cell r="T344">
            <v>91</v>
          </cell>
          <cell r="U344">
            <v>12</v>
          </cell>
          <cell r="V344">
            <v>91</v>
          </cell>
          <cell r="W344">
            <v>12</v>
          </cell>
          <cell r="X344">
            <v>91</v>
          </cell>
          <cell r="AB344" t="str">
            <v>14</v>
          </cell>
          <cell r="AC344">
            <v>2</v>
          </cell>
          <cell r="AD344" t="str">
            <v>2</v>
          </cell>
          <cell r="AF344" t="str">
            <v>00</v>
          </cell>
          <cell r="AI344">
            <v>40537488</v>
          </cell>
          <cell r="AJ344">
            <v>10701896.42</v>
          </cell>
        </row>
        <row r="345">
          <cell r="A345" t="str">
            <v>02</v>
          </cell>
          <cell r="B345" t="str">
            <v>23</v>
          </cell>
          <cell r="C345" t="str">
            <v>4047</v>
          </cell>
          <cell r="D345" t="str">
            <v>КРАЗ-255Б1А спец.пле</v>
          </cell>
          <cell r="E345" t="str">
            <v>тевоз ПВ-204 N 22-99</v>
          </cell>
          <cell r="F345" t="str">
            <v>КШФ дв24224 ш709847</v>
          </cell>
          <cell r="G345" t="str">
            <v>01</v>
          </cell>
          <cell r="H345">
            <v>129605</v>
          </cell>
          <cell r="I345">
            <v>47554.87</v>
          </cell>
          <cell r="J345">
            <v>0</v>
          </cell>
          <cell r="K345">
            <v>0.71</v>
          </cell>
          <cell r="L345" t="str">
            <v>23</v>
          </cell>
          <cell r="M345" t="str">
            <v>50403</v>
          </cell>
          <cell r="N345" t="str">
            <v>14 2928262</v>
          </cell>
          <cell r="O345" t="str">
            <v>075</v>
          </cell>
          <cell r="P345">
            <v>0.37</v>
          </cell>
          <cell r="Q345">
            <v>0</v>
          </cell>
          <cell r="R345" t="str">
            <v>1</v>
          </cell>
          <cell r="S345" t="str">
            <v>50</v>
          </cell>
          <cell r="T345">
            <v>91</v>
          </cell>
          <cell r="U345">
            <v>12</v>
          </cell>
          <cell r="V345">
            <v>91</v>
          </cell>
          <cell r="W345">
            <v>12</v>
          </cell>
          <cell r="X345">
            <v>91</v>
          </cell>
          <cell r="AF345" t="str">
            <v>00</v>
          </cell>
          <cell r="AI345">
            <v>183703704</v>
          </cell>
          <cell r="AJ345">
            <v>118988250.84999999</v>
          </cell>
        </row>
        <row r="346">
          <cell r="A346" t="str">
            <v>02</v>
          </cell>
          <cell r="B346" t="str">
            <v>23</v>
          </cell>
          <cell r="C346" t="str">
            <v>4048</v>
          </cell>
          <cell r="D346" t="str">
            <v>ЗИЛ-131 спец.лаборат</v>
          </cell>
          <cell r="E346" t="str">
            <v>ория ППЛ Nо24-05 КШХ</v>
          </cell>
          <cell r="F346" t="str">
            <v>дв862974 ш0945300</v>
          </cell>
          <cell r="G346" t="str">
            <v>01</v>
          </cell>
          <cell r="H346">
            <v>122000</v>
          </cell>
          <cell r="I346">
            <v>36600</v>
          </cell>
          <cell r="J346">
            <v>0</v>
          </cell>
          <cell r="K346">
            <v>1.02</v>
          </cell>
          <cell r="L346" t="str">
            <v>23</v>
          </cell>
          <cell r="M346" t="str">
            <v>50426</v>
          </cell>
          <cell r="N346" t="str">
            <v>15 3410359</v>
          </cell>
          <cell r="O346" t="str">
            <v>073</v>
          </cell>
          <cell r="P346">
            <v>10</v>
          </cell>
          <cell r="Q346">
            <v>0</v>
          </cell>
          <cell r="R346" t="str">
            <v>1</v>
          </cell>
          <cell r="S346" t="str">
            <v>50</v>
          </cell>
          <cell r="T346">
            <v>91</v>
          </cell>
          <cell r="U346">
            <v>12</v>
          </cell>
          <cell r="V346">
            <v>91</v>
          </cell>
          <cell r="W346">
            <v>12</v>
          </cell>
          <cell r="X346">
            <v>91</v>
          </cell>
          <cell r="AF346" t="str">
            <v>00</v>
          </cell>
          <cell r="AI346">
            <v>120000000</v>
          </cell>
          <cell r="AJ346">
            <v>72000000</v>
          </cell>
        </row>
        <row r="347">
          <cell r="A347" t="str">
            <v>02</v>
          </cell>
          <cell r="B347" t="str">
            <v>10</v>
          </cell>
          <cell r="C347" t="str">
            <v>4048/1</v>
          </cell>
          <cell r="D347" t="str">
            <v>Агрегат резервного п</v>
          </cell>
          <cell r="E347" t="str">
            <v>итания и эл.сварки</v>
          </cell>
          <cell r="G347" t="str">
            <v>01</v>
          </cell>
          <cell r="H347">
            <v>511863</v>
          </cell>
          <cell r="I347">
            <v>239920.43</v>
          </cell>
          <cell r="J347">
            <v>0</v>
          </cell>
          <cell r="K347">
            <v>1.01</v>
          </cell>
          <cell r="L347" t="str">
            <v>20</v>
          </cell>
          <cell r="M347" t="str">
            <v>42500</v>
          </cell>
          <cell r="N347" t="str">
            <v>14 3114160</v>
          </cell>
          <cell r="O347" t="str">
            <v>067</v>
          </cell>
          <cell r="P347">
            <v>15.62</v>
          </cell>
          <cell r="Q347">
            <v>0</v>
          </cell>
          <cell r="R347" t="str">
            <v>1</v>
          </cell>
          <cell r="S347" t="str">
            <v>42</v>
          </cell>
          <cell r="T347">
            <v>91</v>
          </cell>
          <cell r="U347">
            <v>12</v>
          </cell>
          <cell r="V347">
            <v>91</v>
          </cell>
          <cell r="W347">
            <v>12</v>
          </cell>
          <cell r="X347">
            <v>91</v>
          </cell>
          <cell r="AF347" t="str">
            <v>00</v>
          </cell>
          <cell r="AI347">
            <v>505440000</v>
          </cell>
          <cell r="AJ347">
            <v>473759021</v>
          </cell>
        </row>
        <row r="348">
          <cell r="A348" t="str">
            <v>02</v>
          </cell>
          <cell r="B348" t="str">
            <v>11</v>
          </cell>
          <cell r="C348" t="str">
            <v>4049</v>
          </cell>
          <cell r="D348" t="str">
            <v>Агрегат приемораздат</v>
          </cell>
          <cell r="E348" t="str">
            <v>очный</v>
          </cell>
          <cell r="G348" t="str">
            <v>01</v>
          </cell>
          <cell r="H348">
            <v>4000</v>
          </cell>
          <cell r="I348">
            <v>1500</v>
          </cell>
          <cell r="J348">
            <v>0</v>
          </cell>
          <cell r="K348">
            <v>1.03</v>
          </cell>
          <cell r="L348" t="str">
            <v>20</v>
          </cell>
          <cell r="M348" t="str">
            <v>42500</v>
          </cell>
          <cell r="N348" t="str">
            <v>14 2924540</v>
          </cell>
          <cell r="O348" t="str">
            <v>067</v>
          </cell>
          <cell r="P348">
            <v>12.5</v>
          </cell>
          <cell r="Q348">
            <v>0</v>
          </cell>
          <cell r="R348" t="str">
            <v>1</v>
          </cell>
          <cell r="S348" t="str">
            <v>42</v>
          </cell>
          <cell r="T348">
            <v>91</v>
          </cell>
          <cell r="U348">
            <v>12</v>
          </cell>
          <cell r="V348">
            <v>91</v>
          </cell>
          <cell r="W348">
            <v>12</v>
          </cell>
          <cell r="X348">
            <v>91</v>
          </cell>
          <cell r="AB348" t="str">
            <v>14</v>
          </cell>
          <cell r="AC348">
            <v>2</v>
          </cell>
          <cell r="AD348" t="str">
            <v>2</v>
          </cell>
          <cell r="AF348" t="str">
            <v>00</v>
          </cell>
          <cell r="AI348">
            <v>3900070</v>
          </cell>
          <cell r="AJ348">
            <v>2925055.25</v>
          </cell>
        </row>
        <row r="349">
          <cell r="A349" t="str">
            <v>02</v>
          </cell>
          <cell r="B349" t="str">
            <v>05</v>
          </cell>
          <cell r="C349" t="str">
            <v>4100</v>
          </cell>
          <cell r="D349" t="str">
            <v>Индукционный трубока</v>
          </cell>
          <cell r="E349" t="str">
            <v>белеискатель УПИК-1</v>
          </cell>
          <cell r="F349" t="str">
            <v>Ленинград</v>
          </cell>
          <cell r="G349" t="str">
            <v>01</v>
          </cell>
          <cell r="H349">
            <v>1173.56</v>
          </cell>
          <cell r="I349">
            <v>325.47000000000003</v>
          </cell>
          <cell r="J349">
            <v>0</v>
          </cell>
          <cell r="K349">
            <v>1.21</v>
          </cell>
          <cell r="L349" t="str">
            <v>20</v>
          </cell>
          <cell r="M349" t="str">
            <v>47024</v>
          </cell>
          <cell r="N349" t="str">
            <v>14 3915230</v>
          </cell>
          <cell r="O349" t="str">
            <v>063</v>
          </cell>
          <cell r="P349">
            <v>10.4</v>
          </cell>
          <cell r="Q349">
            <v>0</v>
          </cell>
          <cell r="R349" t="str">
            <v>1</v>
          </cell>
          <cell r="S349" t="str">
            <v>47</v>
          </cell>
          <cell r="T349">
            <v>92</v>
          </cell>
          <cell r="U349">
            <v>4</v>
          </cell>
          <cell r="V349">
            <v>92</v>
          </cell>
          <cell r="W349">
            <v>4</v>
          </cell>
          <cell r="X349">
            <v>92</v>
          </cell>
          <cell r="AF349" t="str">
            <v>00</v>
          </cell>
          <cell r="AI349">
            <v>969884</v>
          </cell>
          <cell r="AJ349">
            <v>571584.81000000006</v>
          </cell>
        </row>
        <row r="350">
          <cell r="A350" t="str">
            <v>02</v>
          </cell>
          <cell r="B350" t="str">
            <v>80</v>
          </cell>
          <cell r="C350" t="str">
            <v>4102</v>
          </cell>
          <cell r="D350" t="str">
            <v>Видеокамера PANASONI</v>
          </cell>
          <cell r="E350" t="str">
            <v>C</v>
          </cell>
          <cell r="G350" t="str">
            <v>01</v>
          </cell>
          <cell r="H350">
            <v>8500</v>
          </cell>
          <cell r="I350">
            <v>2744.79</v>
          </cell>
          <cell r="J350">
            <v>0</v>
          </cell>
          <cell r="K350">
            <v>0.09</v>
          </cell>
          <cell r="L350" t="str">
            <v>88/2</v>
          </cell>
          <cell r="M350" t="str">
            <v>45620</v>
          </cell>
          <cell r="N350" t="str">
            <v>14 3290154</v>
          </cell>
          <cell r="O350" t="str">
            <v>067</v>
          </cell>
          <cell r="P350">
            <v>12.5</v>
          </cell>
          <cell r="Q350">
            <v>0</v>
          </cell>
          <cell r="R350" t="str">
            <v>1</v>
          </cell>
          <cell r="S350" t="str">
            <v>45</v>
          </cell>
          <cell r="T350">
            <v>92</v>
          </cell>
          <cell r="U350">
            <v>5</v>
          </cell>
          <cell r="V350">
            <v>92</v>
          </cell>
          <cell r="W350">
            <v>5</v>
          </cell>
          <cell r="X350">
            <v>92</v>
          </cell>
          <cell r="AF350" t="str">
            <v>00</v>
          </cell>
          <cell r="AI350">
            <v>92587622</v>
          </cell>
          <cell r="AJ350">
            <v>64618444.25</v>
          </cell>
        </row>
        <row r="351">
          <cell r="A351" t="str">
            <v>17</v>
          </cell>
          <cell r="B351" t="str">
            <v>82</v>
          </cell>
          <cell r="C351" t="str">
            <v>4103</v>
          </cell>
          <cell r="D351" t="str">
            <v>Мясорубка</v>
          </cell>
          <cell r="F351" t="str">
            <v>3510</v>
          </cell>
          <cell r="G351" t="str">
            <v>01</v>
          </cell>
          <cell r="H351">
            <v>3490</v>
          </cell>
          <cell r="I351">
            <v>1289.26</v>
          </cell>
          <cell r="J351">
            <v>0</v>
          </cell>
          <cell r="K351">
            <v>0.97</v>
          </cell>
          <cell r="L351" t="str">
            <v>29</v>
          </cell>
          <cell r="M351" t="str">
            <v>45803</v>
          </cell>
          <cell r="N351" t="str">
            <v>14 2945102</v>
          </cell>
          <cell r="O351" t="str">
            <v>067</v>
          </cell>
          <cell r="P351">
            <v>14.3</v>
          </cell>
          <cell r="Q351">
            <v>0</v>
          </cell>
          <cell r="R351" t="str">
            <v>1</v>
          </cell>
          <cell r="S351" t="str">
            <v>45</v>
          </cell>
          <cell r="T351">
            <v>92</v>
          </cell>
          <cell r="U351">
            <v>5</v>
          </cell>
          <cell r="V351">
            <v>92</v>
          </cell>
          <cell r="W351">
            <v>5</v>
          </cell>
          <cell r="X351">
            <v>92</v>
          </cell>
          <cell r="AB351" t="str">
            <v>14</v>
          </cell>
          <cell r="AC351">
            <v>8</v>
          </cell>
          <cell r="AF351" t="str">
            <v>17</v>
          </cell>
          <cell r="AI351">
            <v>3597048</v>
          </cell>
          <cell r="AJ351">
            <v>2871943.59</v>
          </cell>
        </row>
        <row r="352">
          <cell r="A352" t="str">
            <v>17</v>
          </cell>
          <cell r="B352" t="str">
            <v>82</v>
          </cell>
          <cell r="C352" t="str">
            <v>4104</v>
          </cell>
          <cell r="D352" t="str">
            <v>Картофелечистка</v>
          </cell>
          <cell r="F352" t="str">
            <v>9599</v>
          </cell>
          <cell r="G352" t="str">
            <v>01</v>
          </cell>
          <cell r="H352">
            <v>3145</v>
          </cell>
          <cell r="I352">
            <v>1161.82</v>
          </cell>
          <cell r="J352">
            <v>0</v>
          </cell>
          <cell r="K352">
            <v>0.72</v>
          </cell>
          <cell r="L352" t="str">
            <v>29</v>
          </cell>
          <cell r="M352" t="str">
            <v>45803</v>
          </cell>
          <cell r="N352" t="str">
            <v>14 2945101</v>
          </cell>
          <cell r="O352" t="str">
            <v>067</v>
          </cell>
          <cell r="P352">
            <v>14.3</v>
          </cell>
          <cell r="Q352">
            <v>0</v>
          </cell>
          <cell r="R352" t="str">
            <v>1</v>
          </cell>
          <cell r="S352" t="str">
            <v>45</v>
          </cell>
          <cell r="T352">
            <v>91</v>
          </cell>
          <cell r="U352">
            <v>5</v>
          </cell>
          <cell r="V352">
            <v>92</v>
          </cell>
          <cell r="W352">
            <v>5</v>
          </cell>
          <cell r="X352">
            <v>92</v>
          </cell>
          <cell r="AB352" t="str">
            <v>14</v>
          </cell>
          <cell r="AC352">
            <v>8</v>
          </cell>
          <cell r="AF352" t="str">
            <v>17</v>
          </cell>
          <cell r="AI352">
            <v>4342993</v>
          </cell>
          <cell r="AJ352">
            <v>3467518</v>
          </cell>
        </row>
        <row r="353">
          <cell r="A353" t="str">
            <v>02</v>
          </cell>
          <cell r="B353" t="str">
            <v>23</v>
          </cell>
          <cell r="C353" t="str">
            <v>4105</v>
          </cell>
          <cell r="D353" t="str">
            <v>ГАЗ-53-12-01 NoВ640Х</v>
          </cell>
          <cell r="E353" t="str">
            <v>О спец.бензовоз</v>
          </cell>
          <cell r="F353" t="str">
            <v>ш1399127 дв б/н</v>
          </cell>
          <cell r="G353" t="str">
            <v>01</v>
          </cell>
          <cell r="H353">
            <v>75688.89</v>
          </cell>
          <cell r="I353">
            <v>19552.96</v>
          </cell>
          <cell r="J353">
            <v>0</v>
          </cell>
          <cell r="K353">
            <v>1.31</v>
          </cell>
          <cell r="L353" t="str">
            <v>23</v>
          </cell>
          <cell r="M353" t="str">
            <v>50426</v>
          </cell>
          <cell r="N353" t="str">
            <v>15 3410361</v>
          </cell>
          <cell r="O353" t="str">
            <v>073</v>
          </cell>
          <cell r="P353">
            <v>10</v>
          </cell>
          <cell r="Q353">
            <v>0</v>
          </cell>
          <cell r="R353" t="str">
            <v>1</v>
          </cell>
          <cell r="S353" t="str">
            <v>50</v>
          </cell>
          <cell r="T353">
            <v>91</v>
          </cell>
          <cell r="U353">
            <v>5</v>
          </cell>
          <cell r="V353">
            <v>92</v>
          </cell>
          <cell r="W353">
            <v>5</v>
          </cell>
          <cell r="X353">
            <v>92</v>
          </cell>
          <cell r="AF353" t="str">
            <v>00</v>
          </cell>
          <cell r="AI353">
            <v>57777778</v>
          </cell>
          <cell r="AJ353">
            <v>32259258.920000002</v>
          </cell>
        </row>
        <row r="354">
          <cell r="A354" t="str">
            <v>02</v>
          </cell>
          <cell r="B354" t="str">
            <v>02</v>
          </cell>
          <cell r="C354" t="str">
            <v>4111</v>
          </cell>
          <cell r="D354" t="str">
            <v>Емкость под топливо</v>
          </cell>
          <cell r="E354" t="str">
            <v>10 м куб труба 1020</v>
          </cell>
          <cell r="G354" t="str">
            <v>01</v>
          </cell>
          <cell r="H354">
            <v>5289.9</v>
          </cell>
          <cell r="I354">
            <v>2115.96</v>
          </cell>
          <cell r="J354">
            <v>0</v>
          </cell>
          <cell r="K354">
            <v>1.17</v>
          </cell>
          <cell r="L354" t="str">
            <v>20</v>
          </cell>
          <cell r="M354" t="str">
            <v>20238</v>
          </cell>
          <cell r="N354" t="str">
            <v>14 2918512</v>
          </cell>
          <cell r="O354" t="str">
            <v>03</v>
          </cell>
          <cell r="P354">
            <v>5</v>
          </cell>
          <cell r="Q354">
            <v>0</v>
          </cell>
          <cell r="R354" t="str">
            <v>1</v>
          </cell>
          <cell r="S354" t="str">
            <v>20</v>
          </cell>
          <cell r="T354">
            <v>81</v>
          </cell>
          <cell r="U354">
            <v>3</v>
          </cell>
          <cell r="V354">
            <v>81</v>
          </cell>
          <cell r="W354">
            <v>3</v>
          </cell>
          <cell r="X354">
            <v>81</v>
          </cell>
          <cell r="AF354" t="str">
            <v>00</v>
          </cell>
          <cell r="AI354">
            <v>4521283</v>
          </cell>
          <cell r="AJ354">
            <v>2486705.7400000002</v>
          </cell>
        </row>
        <row r="355">
          <cell r="A355" t="str">
            <v>02</v>
          </cell>
          <cell r="B355" t="str">
            <v>23</v>
          </cell>
          <cell r="C355" t="str">
            <v>4111/2</v>
          </cell>
          <cell r="D355" t="str">
            <v>Насос к 90/85 с эл.д</v>
          </cell>
          <cell r="E355" t="str">
            <v>вигателем</v>
          </cell>
          <cell r="G355" t="str">
            <v>01</v>
          </cell>
          <cell r="H355">
            <v>130.97</v>
          </cell>
          <cell r="I355">
            <v>12.11</v>
          </cell>
          <cell r="J355">
            <v>0</v>
          </cell>
          <cell r="K355">
            <v>1.06</v>
          </cell>
          <cell r="L355" t="str">
            <v>23</v>
          </cell>
          <cell r="M355" t="str">
            <v>40700</v>
          </cell>
          <cell r="N355" t="str">
            <v>14 2912100</v>
          </cell>
          <cell r="O355" t="str">
            <v>067</v>
          </cell>
          <cell r="P355">
            <v>3.7</v>
          </cell>
          <cell r="Q355">
            <v>0</v>
          </cell>
          <cell r="R355" t="str">
            <v>1</v>
          </cell>
          <cell r="S355" t="str">
            <v>40</v>
          </cell>
          <cell r="T355">
            <v>92</v>
          </cell>
          <cell r="U355">
            <v>6</v>
          </cell>
          <cell r="V355">
            <v>92</v>
          </cell>
          <cell r="W355">
            <v>6</v>
          </cell>
          <cell r="X355">
            <v>92</v>
          </cell>
          <cell r="AF355" t="str">
            <v>00</v>
          </cell>
          <cell r="AI355">
            <v>123552</v>
          </cell>
          <cell r="AJ355">
            <v>25142.73</v>
          </cell>
        </row>
        <row r="356">
          <cell r="A356" t="str">
            <v>02</v>
          </cell>
          <cell r="B356" t="str">
            <v>71</v>
          </cell>
          <cell r="C356" t="str">
            <v>4112/1</v>
          </cell>
          <cell r="D356" t="str">
            <v>Внутриплощадочные эл</v>
          </cell>
          <cell r="E356" t="str">
            <v>.сети</v>
          </cell>
          <cell r="G356" t="str">
            <v>01</v>
          </cell>
          <cell r="H356">
            <v>49820.58</v>
          </cell>
          <cell r="I356">
            <v>16523.82</v>
          </cell>
          <cell r="J356">
            <v>0</v>
          </cell>
          <cell r="K356">
            <v>1.27</v>
          </cell>
          <cell r="L356" t="str">
            <v>23</v>
          </cell>
          <cell r="M356" t="str">
            <v>30015</v>
          </cell>
          <cell r="N356" t="str">
            <v>14 3131101</v>
          </cell>
          <cell r="O356" t="str">
            <v>05</v>
          </cell>
          <cell r="P356">
            <v>2</v>
          </cell>
          <cell r="Q356">
            <v>0</v>
          </cell>
          <cell r="R356" t="str">
            <v>1</v>
          </cell>
          <cell r="S356" t="str">
            <v>30</v>
          </cell>
          <cell r="T356">
            <v>78</v>
          </cell>
          <cell r="U356">
            <v>5</v>
          </cell>
          <cell r="V356">
            <v>78</v>
          </cell>
          <cell r="W356">
            <v>5</v>
          </cell>
          <cell r="X356">
            <v>78</v>
          </cell>
          <cell r="AF356" t="str">
            <v>00</v>
          </cell>
          <cell r="AI356">
            <v>39228800</v>
          </cell>
          <cell r="AJ356">
            <v>15364612.609999999</v>
          </cell>
        </row>
        <row r="357">
          <cell r="A357" t="str">
            <v>02</v>
          </cell>
          <cell r="B357" t="str">
            <v>71</v>
          </cell>
          <cell r="C357" t="str">
            <v>4113/1</v>
          </cell>
          <cell r="D357" t="str">
            <v>Внешние сети водопро</v>
          </cell>
          <cell r="E357" t="str">
            <v>вода</v>
          </cell>
          <cell r="G357" t="str">
            <v>01</v>
          </cell>
          <cell r="H357">
            <v>246820</v>
          </cell>
          <cell r="I357">
            <v>204654.92</v>
          </cell>
          <cell r="J357">
            <v>0</v>
          </cell>
          <cell r="K357">
            <v>1.06</v>
          </cell>
          <cell r="L357" t="str">
            <v>23</v>
          </cell>
          <cell r="M357" t="str">
            <v>30109</v>
          </cell>
          <cell r="N357" t="str">
            <v>12 4527351</v>
          </cell>
          <cell r="O357" t="str">
            <v>05</v>
          </cell>
          <cell r="P357">
            <v>5</v>
          </cell>
          <cell r="Q357">
            <v>0</v>
          </cell>
          <cell r="R357" t="str">
            <v>1</v>
          </cell>
          <cell r="S357" t="str">
            <v>30</v>
          </cell>
          <cell r="T357">
            <v>78</v>
          </cell>
          <cell r="U357">
            <v>5</v>
          </cell>
          <cell r="V357">
            <v>78</v>
          </cell>
          <cell r="W357">
            <v>5</v>
          </cell>
          <cell r="X357">
            <v>78</v>
          </cell>
          <cell r="AF357" t="str">
            <v>00</v>
          </cell>
          <cell r="AI357">
            <v>232814400</v>
          </cell>
          <cell r="AJ357">
            <v>227964100</v>
          </cell>
        </row>
        <row r="358">
          <cell r="A358" t="str">
            <v>02</v>
          </cell>
          <cell r="B358" t="str">
            <v>71</v>
          </cell>
          <cell r="C358" t="str">
            <v>4115/1</v>
          </cell>
          <cell r="D358" t="str">
            <v>Материальный склад с</v>
          </cell>
          <cell r="E358" t="str">
            <v xml:space="preserve"> навесом</v>
          </cell>
          <cell r="G358" t="str">
            <v>01</v>
          </cell>
          <cell r="H358">
            <v>862530</v>
          </cell>
          <cell r="I358">
            <v>357590.51</v>
          </cell>
          <cell r="J358">
            <v>0</v>
          </cell>
          <cell r="K358">
            <v>1.2</v>
          </cell>
          <cell r="L358" t="str">
            <v>23</v>
          </cell>
          <cell r="M358" t="str">
            <v>10004</v>
          </cell>
          <cell r="N358" t="str">
            <v>11 4527204</v>
          </cell>
          <cell r="O358" t="str">
            <v>01</v>
          </cell>
          <cell r="P358">
            <v>2.5</v>
          </cell>
          <cell r="Q358">
            <v>0</v>
          </cell>
          <cell r="R358" t="str">
            <v>1</v>
          </cell>
          <cell r="S358" t="str">
            <v>10</v>
          </cell>
          <cell r="T358">
            <v>78</v>
          </cell>
          <cell r="U358">
            <v>5</v>
          </cell>
          <cell r="V358">
            <v>78</v>
          </cell>
          <cell r="W358">
            <v>5</v>
          </cell>
          <cell r="X358">
            <v>78</v>
          </cell>
          <cell r="AF358" t="str">
            <v>00</v>
          </cell>
          <cell r="AI358">
            <v>719107200</v>
          </cell>
          <cell r="AJ358">
            <v>352062854</v>
          </cell>
        </row>
        <row r="359">
          <cell r="A359" t="str">
            <v>02</v>
          </cell>
          <cell r="B359" t="str">
            <v>23</v>
          </cell>
          <cell r="C359" t="str">
            <v>4116/1</v>
          </cell>
          <cell r="D359" t="str">
            <v>Пристройка к авторем</v>
          </cell>
          <cell r="E359" t="str">
            <v>.мастерской</v>
          </cell>
          <cell r="G359" t="str">
            <v>01</v>
          </cell>
          <cell r="H359">
            <v>865140</v>
          </cell>
          <cell r="I359">
            <v>302799</v>
          </cell>
          <cell r="J359">
            <v>0</v>
          </cell>
          <cell r="K359">
            <v>0.91</v>
          </cell>
          <cell r="L359" t="str">
            <v>23</v>
          </cell>
          <cell r="M359" t="str">
            <v>10004</v>
          </cell>
          <cell r="N359" t="str">
            <v>11 4526332</v>
          </cell>
          <cell r="O359" t="str">
            <v>01</v>
          </cell>
          <cell r="P359">
            <v>2.5</v>
          </cell>
          <cell r="Q359">
            <v>0</v>
          </cell>
          <cell r="R359" t="str">
            <v>1</v>
          </cell>
          <cell r="S359" t="str">
            <v>10</v>
          </cell>
          <cell r="T359">
            <v>80</v>
          </cell>
          <cell r="U359">
            <v>12</v>
          </cell>
          <cell r="V359">
            <v>80</v>
          </cell>
          <cell r="W359">
            <v>12</v>
          </cell>
          <cell r="X359">
            <v>80</v>
          </cell>
          <cell r="AF359" t="str">
            <v>00</v>
          </cell>
          <cell r="AI359">
            <v>949432736</v>
          </cell>
          <cell r="AJ359">
            <v>403508913.42000002</v>
          </cell>
        </row>
        <row r="360">
          <cell r="A360" t="str">
            <v>02</v>
          </cell>
          <cell r="B360" t="str">
            <v>23</v>
          </cell>
          <cell r="C360" t="str">
            <v>4117/1</v>
          </cell>
          <cell r="D360" t="str">
            <v>Подъездная дорога с</v>
          </cell>
          <cell r="E360" t="str">
            <v>ограждениями</v>
          </cell>
          <cell r="G360" t="str">
            <v>01</v>
          </cell>
          <cell r="H360">
            <v>987710</v>
          </cell>
          <cell r="I360">
            <v>537314.24</v>
          </cell>
          <cell r="J360">
            <v>0</v>
          </cell>
          <cell r="K360">
            <v>1.2</v>
          </cell>
          <cell r="L360" t="str">
            <v>23</v>
          </cell>
          <cell r="M360" t="str">
            <v>20224</v>
          </cell>
          <cell r="N360" t="str">
            <v>12 4526371</v>
          </cell>
          <cell r="O360" t="str">
            <v>03</v>
          </cell>
          <cell r="P360">
            <v>3.2</v>
          </cell>
          <cell r="Q360">
            <v>0</v>
          </cell>
          <cell r="R360" t="str">
            <v>1</v>
          </cell>
          <cell r="S360" t="str">
            <v>20</v>
          </cell>
          <cell r="T360">
            <v>77</v>
          </cell>
          <cell r="U360">
            <v>12</v>
          </cell>
          <cell r="V360">
            <v>77</v>
          </cell>
          <cell r="W360">
            <v>12</v>
          </cell>
          <cell r="X360">
            <v>77</v>
          </cell>
          <cell r="AF360" t="str">
            <v>00</v>
          </cell>
          <cell r="AI360">
            <v>821205728</v>
          </cell>
          <cell r="AJ360">
            <v>525571665.63</v>
          </cell>
        </row>
        <row r="361">
          <cell r="A361" t="str">
            <v>02</v>
          </cell>
          <cell r="B361" t="str">
            <v>23</v>
          </cell>
          <cell r="C361" t="str">
            <v>4118/1</v>
          </cell>
          <cell r="D361" t="str">
            <v>Авторемонтная мастер</v>
          </cell>
          <cell r="E361" t="str">
            <v>ская на тер. МТБ</v>
          </cell>
          <cell r="G361" t="str">
            <v>01</v>
          </cell>
          <cell r="H361">
            <v>1862620</v>
          </cell>
          <cell r="I361">
            <v>772211.21</v>
          </cell>
          <cell r="J361">
            <v>0</v>
          </cell>
          <cell r="K361">
            <v>1.1599999999999999</v>
          </cell>
          <cell r="L361" t="str">
            <v>23</v>
          </cell>
          <cell r="M361" t="str">
            <v>10004</v>
          </cell>
          <cell r="N361" t="str">
            <v>11 4526332</v>
          </cell>
          <cell r="O361" t="str">
            <v>01</v>
          </cell>
          <cell r="P361">
            <v>2.5</v>
          </cell>
          <cell r="Q361">
            <v>0</v>
          </cell>
          <cell r="R361" t="str">
            <v>1</v>
          </cell>
          <cell r="S361" t="str">
            <v>10</v>
          </cell>
          <cell r="T361">
            <v>78</v>
          </cell>
          <cell r="U361">
            <v>5</v>
          </cell>
          <cell r="V361">
            <v>78</v>
          </cell>
          <cell r="W361">
            <v>5</v>
          </cell>
          <cell r="X361">
            <v>78</v>
          </cell>
          <cell r="AF361" t="str">
            <v>00</v>
          </cell>
          <cell r="AI361">
            <v>1603076384</v>
          </cell>
          <cell r="AJ361">
            <v>784839480.38999999</v>
          </cell>
        </row>
        <row r="362">
          <cell r="A362" t="str">
            <v>02</v>
          </cell>
          <cell r="B362" t="str">
            <v>55</v>
          </cell>
          <cell r="C362" t="str">
            <v>4119</v>
          </cell>
          <cell r="D362" t="str">
            <v>Материальный склад</v>
          </cell>
          <cell r="G362" t="str">
            <v>01</v>
          </cell>
          <cell r="H362">
            <v>616000</v>
          </cell>
          <cell r="I362">
            <v>255383.33</v>
          </cell>
          <cell r="J362">
            <v>0</v>
          </cell>
          <cell r="K362">
            <v>1.19</v>
          </cell>
          <cell r="L362" t="str">
            <v>26</v>
          </cell>
          <cell r="M362" t="str">
            <v>10004</v>
          </cell>
          <cell r="N362" t="str">
            <v>11 4522341</v>
          </cell>
          <cell r="O362" t="str">
            <v>01</v>
          </cell>
          <cell r="P362">
            <v>2.5</v>
          </cell>
          <cell r="Q362">
            <v>0</v>
          </cell>
          <cell r="R362" t="str">
            <v>1</v>
          </cell>
          <cell r="S362" t="str">
            <v>10</v>
          </cell>
          <cell r="T362">
            <v>78</v>
          </cell>
          <cell r="U362">
            <v>5</v>
          </cell>
          <cell r="V362">
            <v>78</v>
          </cell>
          <cell r="W362">
            <v>5</v>
          </cell>
          <cell r="X362">
            <v>78</v>
          </cell>
          <cell r="AF362" t="str">
            <v>00</v>
          </cell>
          <cell r="AI362">
            <v>517977600</v>
          </cell>
          <cell r="AJ362">
            <v>253593200</v>
          </cell>
        </row>
        <row r="363">
          <cell r="A363" t="str">
            <v>02</v>
          </cell>
          <cell r="B363" t="str">
            <v>55</v>
          </cell>
          <cell r="C363" t="str">
            <v>4120</v>
          </cell>
          <cell r="D363" t="str">
            <v>Пожарный резервуар</v>
          </cell>
          <cell r="G363" t="str">
            <v>01</v>
          </cell>
          <cell r="H363">
            <v>67300</v>
          </cell>
          <cell r="I363">
            <v>27901.48</v>
          </cell>
          <cell r="J363">
            <v>0</v>
          </cell>
          <cell r="K363">
            <v>1.2</v>
          </cell>
          <cell r="L363" t="str">
            <v>26</v>
          </cell>
          <cell r="M363" t="str">
            <v>20237</v>
          </cell>
          <cell r="N363" t="str">
            <v>12 2812000</v>
          </cell>
          <cell r="O363" t="str">
            <v>03</v>
          </cell>
          <cell r="P363">
            <v>2.5</v>
          </cell>
          <cell r="Q363">
            <v>0</v>
          </cell>
          <cell r="R363" t="str">
            <v>1</v>
          </cell>
          <cell r="S363" t="str">
            <v>20</v>
          </cell>
          <cell r="T363">
            <v>78</v>
          </cell>
          <cell r="U363">
            <v>5</v>
          </cell>
          <cell r="V363">
            <v>78</v>
          </cell>
          <cell r="W363">
            <v>5</v>
          </cell>
          <cell r="X363">
            <v>78</v>
          </cell>
          <cell r="AF363" t="str">
            <v>00</v>
          </cell>
          <cell r="AI363">
            <v>56022400</v>
          </cell>
          <cell r="AJ363">
            <v>27427649</v>
          </cell>
        </row>
        <row r="364">
          <cell r="A364" t="str">
            <v>02</v>
          </cell>
          <cell r="B364" t="str">
            <v>55</v>
          </cell>
          <cell r="C364" t="str">
            <v>4121</v>
          </cell>
          <cell r="D364" t="str">
            <v>Материальный склад б</v>
          </cell>
          <cell r="E364" t="str">
            <v>азы</v>
          </cell>
          <cell r="G364" t="str">
            <v>01</v>
          </cell>
          <cell r="H364">
            <v>746480</v>
          </cell>
          <cell r="I364">
            <v>354578</v>
          </cell>
          <cell r="J364">
            <v>0</v>
          </cell>
          <cell r="K364">
            <v>1.04</v>
          </cell>
          <cell r="L364" t="str">
            <v>26</v>
          </cell>
          <cell r="M364" t="str">
            <v>10004</v>
          </cell>
          <cell r="N364" t="str">
            <v>11 4522341</v>
          </cell>
          <cell r="O364" t="str">
            <v>01</v>
          </cell>
          <cell r="P364">
            <v>2.5</v>
          </cell>
          <cell r="Q364">
            <v>0</v>
          </cell>
          <cell r="R364" t="str">
            <v>1</v>
          </cell>
          <cell r="S364" t="str">
            <v>10</v>
          </cell>
          <cell r="T364">
            <v>75</v>
          </cell>
          <cell r="U364">
            <v>12</v>
          </cell>
          <cell r="V364">
            <v>75</v>
          </cell>
          <cell r="W364">
            <v>12</v>
          </cell>
          <cell r="X364">
            <v>75</v>
          </cell>
          <cell r="AF364" t="str">
            <v>00</v>
          </cell>
          <cell r="AI364">
            <v>716967328</v>
          </cell>
          <cell r="AJ364">
            <v>394332029.57999998</v>
          </cell>
        </row>
        <row r="365">
          <cell r="A365" t="str">
            <v>02</v>
          </cell>
          <cell r="B365" t="str">
            <v>15</v>
          </cell>
          <cell r="C365" t="str">
            <v>4125</v>
          </cell>
          <cell r="D365" t="str">
            <v>Вагон-столовая</v>
          </cell>
          <cell r="G365" t="str">
            <v>01</v>
          </cell>
          <cell r="H365">
            <v>5282.82</v>
          </cell>
          <cell r="I365">
            <v>1650.88</v>
          </cell>
          <cell r="J365">
            <v>0</v>
          </cell>
          <cell r="K365">
            <v>1.5</v>
          </cell>
          <cell r="L365" t="str">
            <v>88/2</v>
          </cell>
          <cell r="M365" t="str">
            <v>10010</v>
          </cell>
          <cell r="N365" t="str">
            <v>13 0001020</v>
          </cell>
          <cell r="O365" t="str">
            <v>01</v>
          </cell>
          <cell r="P365">
            <v>12.5</v>
          </cell>
          <cell r="Q365">
            <v>0</v>
          </cell>
          <cell r="R365" t="str">
            <v>1</v>
          </cell>
          <cell r="S365" t="str">
            <v>10</v>
          </cell>
          <cell r="T365">
            <v>92</v>
          </cell>
          <cell r="U365">
            <v>6</v>
          </cell>
          <cell r="V365">
            <v>92</v>
          </cell>
          <cell r="W365">
            <v>6</v>
          </cell>
          <cell r="X365">
            <v>92</v>
          </cell>
          <cell r="AB365" t="str">
            <v>14</v>
          </cell>
          <cell r="AC365">
            <v>10</v>
          </cell>
          <cell r="AF365" t="str">
            <v>00</v>
          </cell>
          <cell r="AI365">
            <v>3521880</v>
          </cell>
          <cell r="AJ365">
            <v>2421293</v>
          </cell>
        </row>
        <row r="366">
          <cell r="A366" t="str">
            <v>02</v>
          </cell>
          <cell r="B366" t="str">
            <v>71</v>
          </cell>
          <cell r="C366" t="str">
            <v>4126</v>
          </cell>
          <cell r="D366" t="str">
            <v>Лабороторно-бытовой</v>
          </cell>
          <cell r="E366" t="str">
            <v>корпус с пристроем Р</v>
          </cell>
          <cell r="G366" t="str">
            <v>01</v>
          </cell>
          <cell r="H366">
            <v>5107200</v>
          </cell>
          <cell r="I366">
            <v>694579.19999999995</v>
          </cell>
          <cell r="J366">
            <v>0</v>
          </cell>
          <cell r="K366">
            <v>1.29</v>
          </cell>
          <cell r="L366" t="str">
            <v>23</v>
          </cell>
          <cell r="M366" t="str">
            <v>10003</v>
          </cell>
          <cell r="N366" t="str">
            <v>11 4526675</v>
          </cell>
          <cell r="O366" t="str">
            <v>01</v>
          </cell>
          <cell r="P366">
            <v>1.7</v>
          </cell>
          <cell r="Q366">
            <v>0</v>
          </cell>
          <cell r="R366" t="str">
            <v>1</v>
          </cell>
          <cell r="S366" t="str">
            <v>10</v>
          </cell>
          <cell r="T366">
            <v>86</v>
          </cell>
          <cell r="U366">
            <v>12</v>
          </cell>
          <cell r="V366">
            <v>86</v>
          </cell>
          <cell r="W366">
            <v>12</v>
          </cell>
          <cell r="X366">
            <v>86</v>
          </cell>
          <cell r="AF366" t="str">
            <v>00</v>
          </cell>
          <cell r="AI366">
            <v>3948437996</v>
          </cell>
          <cell r="AJ366">
            <v>738357904.75999999</v>
          </cell>
        </row>
        <row r="367">
          <cell r="A367" t="str">
            <v>02</v>
          </cell>
          <cell r="B367" t="str">
            <v>71</v>
          </cell>
          <cell r="C367" t="str">
            <v>4126/1</v>
          </cell>
          <cell r="D367" t="str">
            <v>Сварочный аппарат ПТ</v>
          </cell>
          <cell r="E367" t="str">
            <v>Г с ВДУ-506</v>
          </cell>
          <cell r="G367" t="str">
            <v>01</v>
          </cell>
          <cell r="H367">
            <v>10750</v>
          </cell>
          <cell r="I367">
            <v>2956.25</v>
          </cell>
          <cell r="J367">
            <v>0</v>
          </cell>
          <cell r="K367">
            <v>1.08</v>
          </cell>
          <cell r="L367" t="str">
            <v>23</v>
          </cell>
          <cell r="M367" t="str">
            <v>42502</v>
          </cell>
          <cell r="N367" t="str">
            <v>14 2947193</v>
          </cell>
          <cell r="O367" t="str">
            <v>067</v>
          </cell>
          <cell r="P367">
            <v>11</v>
          </cell>
          <cell r="Q367">
            <v>0</v>
          </cell>
          <cell r="R367" t="str">
            <v>1</v>
          </cell>
          <cell r="S367" t="str">
            <v>42</v>
          </cell>
          <cell r="T367">
            <v>92</v>
          </cell>
          <cell r="U367">
            <v>6</v>
          </cell>
          <cell r="V367">
            <v>92</v>
          </cell>
          <cell r="W367">
            <v>6</v>
          </cell>
          <cell r="X367">
            <v>92</v>
          </cell>
          <cell r="AB367" t="str">
            <v>14</v>
          </cell>
          <cell r="AC367">
            <v>8</v>
          </cell>
          <cell r="AF367" t="str">
            <v>00</v>
          </cell>
          <cell r="AI367">
            <v>9996480</v>
          </cell>
          <cell r="AJ367">
            <v>6047870.4000000004</v>
          </cell>
        </row>
        <row r="368">
          <cell r="A368" t="str">
            <v>02</v>
          </cell>
          <cell r="B368" t="str">
            <v>90</v>
          </cell>
          <cell r="C368" t="str">
            <v>4127</v>
          </cell>
          <cell r="D368" t="str">
            <v>Лесопильная рама цех</v>
          </cell>
          <cell r="E368" t="str">
            <v xml:space="preserve"> с навесом</v>
          </cell>
          <cell r="G368" t="str">
            <v>01</v>
          </cell>
          <cell r="H368">
            <v>102061.17</v>
          </cell>
          <cell r="I368">
            <v>35721.410000000003</v>
          </cell>
          <cell r="J368">
            <v>0</v>
          </cell>
          <cell r="K368">
            <v>1.27</v>
          </cell>
          <cell r="L368" t="str">
            <v>23</v>
          </cell>
          <cell r="M368" t="str">
            <v>10004</v>
          </cell>
          <cell r="N368" t="str">
            <v>14 2922630</v>
          </cell>
          <cell r="O368" t="str">
            <v>01</v>
          </cell>
          <cell r="P368">
            <v>2.5</v>
          </cell>
          <cell r="Q368">
            <v>0</v>
          </cell>
          <cell r="R368" t="str">
            <v>1</v>
          </cell>
          <cell r="S368" t="str">
            <v>10</v>
          </cell>
          <cell r="T368">
            <v>80</v>
          </cell>
          <cell r="U368">
            <v>12</v>
          </cell>
          <cell r="V368">
            <v>80</v>
          </cell>
          <cell r="W368">
            <v>12</v>
          </cell>
          <cell r="X368">
            <v>80</v>
          </cell>
          <cell r="AF368" t="str">
            <v>00</v>
          </cell>
          <cell r="AI368">
            <v>80363123</v>
          </cell>
          <cell r="AJ368">
            <v>34154326.740000002</v>
          </cell>
        </row>
        <row r="369">
          <cell r="A369" t="str">
            <v>02</v>
          </cell>
          <cell r="B369" t="str">
            <v>23</v>
          </cell>
          <cell r="C369" t="str">
            <v>4128</v>
          </cell>
          <cell r="D369" t="str">
            <v>УАЗ-3741 ПЭЛХЗМ эл.</v>
          </cell>
          <cell r="E369" t="str">
            <v>лаборатория NоВ911ОВ</v>
          </cell>
          <cell r="F369" t="str">
            <v>д11002217 ш0119156</v>
          </cell>
          <cell r="G369" t="str">
            <v>01</v>
          </cell>
          <cell r="H369">
            <v>80190</v>
          </cell>
          <cell r="I369">
            <v>28667.93</v>
          </cell>
          <cell r="J369">
            <v>0</v>
          </cell>
          <cell r="K369">
            <v>1.35</v>
          </cell>
          <cell r="L369" t="str">
            <v>23</v>
          </cell>
          <cell r="M369" t="str">
            <v>50401</v>
          </cell>
          <cell r="N369" t="str">
            <v>15 3410165</v>
          </cell>
          <cell r="O369" t="str">
            <v>075</v>
          </cell>
          <cell r="P369">
            <v>14.3</v>
          </cell>
          <cell r="Q369">
            <v>0</v>
          </cell>
          <cell r="R369" t="str">
            <v>1</v>
          </cell>
          <cell r="S369" t="str">
            <v>50</v>
          </cell>
          <cell r="T369">
            <v>91</v>
          </cell>
          <cell r="U369">
            <v>6</v>
          </cell>
          <cell r="V369">
            <v>92</v>
          </cell>
          <cell r="W369">
            <v>6</v>
          </cell>
          <cell r="X369">
            <v>92</v>
          </cell>
          <cell r="AF369" t="str">
            <v>00</v>
          </cell>
          <cell r="AI369">
            <v>59400000</v>
          </cell>
          <cell r="AJ369">
            <v>46718100</v>
          </cell>
        </row>
        <row r="370">
          <cell r="A370" t="str">
            <v>02</v>
          </cell>
          <cell r="B370" t="str">
            <v>03</v>
          </cell>
          <cell r="C370" t="str">
            <v>4151</v>
          </cell>
          <cell r="D370" t="str">
            <v>Кран башенный КБ-100</v>
          </cell>
          <cell r="E370" t="str">
            <v xml:space="preserve"> 3А-К</v>
          </cell>
          <cell r="G370" t="str">
            <v>01</v>
          </cell>
          <cell r="H370">
            <v>114000</v>
          </cell>
          <cell r="I370">
            <v>68400</v>
          </cell>
          <cell r="J370">
            <v>0</v>
          </cell>
          <cell r="K370">
            <v>0.64</v>
          </cell>
          <cell r="L370" t="str">
            <v>26</v>
          </cell>
          <cell r="M370" t="str">
            <v>41700</v>
          </cell>
          <cell r="N370" t="str">
            <v>14 2915244</v>
          </cell>
          <cell r="O370" t="str">
            <v>064</v>
          </cell>
          <cell r="P370">
            <v>10</v>
          </cell>
          <cell r="Q370">
            <v>0</v>
          </cell>
          <cell r="R370" t="str">
            <v>1</v>
          </cell>
          <cell r="S370" t="str">
            <v>41</v>
          </cell>
          <cell r="T370">
            <v>88</v>
          </cell>
          <cell r="U370">
            <v>12</v>
          </cell>
          <cell r="V370">
            <v>88</v>
          </cell>
          <cell r="W370">
            <v>12</v>
          </cell>
          <cell r="X370">
            <v>88</v>
          </cell>
          <cell r="AF370" t="str">
            <v>00</v>
          </cell>
          <cell r="AI370">
            <v>178287977</v>
          </cell>
          <cell r="AJ370">
            <v>160459179.15000001</v>
          </cell>
        </row>
        <row r="371">
          <cell r="A371" t="str">
            <v>02</v>
          </cell>
          <cell r="B371" t="str">
            <v>70</v>
          </cell>
          <cell r="C371" t="str">
            <v>4154</v>
          </cell>
          <cell r="D371" t="str">
            <v>Кран РДК-250</v>
          </cell>
          <cell r="G371" t="str">
            <v>01</v>
          </cell>
          <cell r="H371">
            <v>194998</v>
          </cell>
          <cell r="I371">
            <v>194998</v>
          </cell>
          <cell r="J371">
            <v>0</v>
          </cell>
          <cell r="K371">
            <v>0.94</v>
          </cell>
          <cell r="L371" t="str">
            <v>20</v>
          </cell>
          <cell r="M371" t="str">
            <v>41701</v>
          </cell>
          <cell r="N371" t="str">
            <v>14 2915243</v>
          </cell>
          <cell r="O371" t="str">
            <v>067</v>
          </cell>
          <cell r="P371">
            <v>9.1</v>
          </cell>
          <cell r="Q371">
            <v>0</v>
          </cell>
          <cell r="R371" t="str">
            <v>1</v>
          </cell>
          <cell r="S371" t="str">
            <v>41</v>
          </cell>
          <cell r="T371">
            <v>83</v>
          </cell>
          <cell r="U371">
            <v>12</v>
          </cell>
          <cell r="V371">
            <v>83</v>
          </cell>
          <cell r="W371">
            <v>12</v>
          </cell>
          <cell r="X371">
            <v>83</v>
          </cell>
          <cell r="AF371" t="str">
            <v>00</v>
          </cell>
          <cell r="AI371">
            <v>207407407</v>
          </cell>
          <cell r="AJ371">
            <v>207407407</v>
          </cell>
        </row>
        <row r="372">
          <cell r="A372" t="str">
            <v>02</v>
          </cell>
          <cell r="B372" t="str">
            <v>71</v>
          </cell>
          <cell r="C372" t="str">
            <v>4155</v>
          </cell>
          <cell r="D372" t="str">
            <v>Кран РДК-160-2</v>
          </cell>
          <cell r="G372" t="str">
            <v>01</v>
          </cell>
          <cell r="H372">
            <v>189600</v>
          </cell>
          <cell r="I372">
            <v>189600</v>
          </cell>
          <cell r="J372">
            <v>0</v>
          </cell>
          <cell r="K372">
            <v>1</v>
          </cell>
          <cell r="L372" t="str">
            <v>23</v>
          </cell>
          <cell r="M372" t="str">
            <v>41701</v>
          </cell>
          <cell r="N372" t="str">
            <v>14 2915243</v>
          </cell>
          <cell r="O372" t="str">
            <v>067</v>
          </cell>
          <cell r="P372">
            <v>9.1</v>
          </cell>
          <cell r="Q372">
            <v>0</v>
          </cell>
          <cell r="R372" t="str">
            <v>1</v>
          </cell>
          <cell r="S372" t="str">
            <v>41</v>
          </cell>
          <cell r="T372">
            <v>80</v>
          </cell>
          <cell r="U372">
            <v>12</v>
          </cell>
          <cell r="V372">
            <v>80</v>
          </cell>
          <cell r="W372">
            <v>12</v>
          </cell>
          <cell r="X372">
            <v>80</v>
          </cell>
          <cell r="AF372" t="str">
            <v>00</v>
          </cell>
          <cell r="AI372">
            <v>190123457</v>
          </cell>
          <cell r="AJ372">
            <v>190123457</v>
          </cell>
        </row>
        <row r="373">
          <cell r="A373" t="str">
            <v>02</v>
          </cell>
          <cell r="B373" t="str">
            <v>71</v>
          </cell>
          <cell r="C373" t="str">
            <v>4156</v>
          </cell>
          <cell r="D373" t="str">
            <v>Кран РДК-25</v>
          </cell>
          <cell r="G373" t="str">
            <v>01</v>
          </cell>
          <cell r="H373">
            <v>194998</v>
          </cell>
          <cell r="I373">
            <v>194998</v>
          </cell>
          <cell r="J373">
            <v>0</v>
          </cell>
          <cell r="K373">
            <v>0.94</v>
          </cell>
          <cell r="L373" t="str">
            <v>23</v>
          </cell>
          <cell r="M373" t="str">
            <v>41701</v>
          </cell>
          <cell r="N373" t="str">
            <v>14 2915243</v>
          </cell>
          <cell r="O373" t="str">
            <v>067</v>
          </cell>
          <cell r="P373">
            <v>9.1</v>
          </cell>
          <cell r="Q373">
            <v>0</v>
          </cell>
          <cell r="R373" t="str">
            <v>1</v>
          </cell>
          <cell r="S373" t="str">
            <v>41</v>
          </cell>
          <cell r="T373">
            <v>78</v>
          </cell>
          <cell r="U373">
            <v>6</v>
          </cell>
          <cell r="V373">
            <v>78</v>
          </cell>
          <cell r="W373">
            <v>6</v>
          </cell>
          <cell r="X373">
            <v>78</v>
          </cell>
          <cell r="AB373" t="str">
            <v>14</v>
          </cell>
          <cell r="AC373">
            <v>6</v>
          </cell>
          <cell r="AF373" t="str">
            <v>00</v>
          </cell>
          <cell r="AI373">
            <v>207407407</v>
          </cell>
          <cell r="AJ373">
            <v>207407407</v>
          </cell>
        </row>
        <row r="374">
          <cell r="A374" t="str">
            <v>02</v>
          </cell>
          <cell r="B374" t="str">
            <v>02</v>
          </cell>
          <cell r="C374" t="str">
            <v>4157</v>
          </cell>
          <cell r="D374" t="str">
            <v>Кран РДК-160</v>
          </cell>
          <cell r="G374" t="str">
            <v>01</v>
          </cell>
          <cell r="H374">
            <v>189600</v>
          </cell>
          <cell r="I374">
            <v>189600</v>
          </cell>
          <cell r="J374">
            <v>0</v>
          </cell>
          <cell r="K374">
            <v>1</v>
          </cell>
          <cell r="L374" t="str">
            <v>20</v>
          </cell>
          <cell r="M374" t="str">
            <v>41701</v>
          </cell>
          <cell r="N374" t="str">
            <v>14 2915243</v>
          </cell>
          <cell r="O374" t="str">
            <v>067</v>
          </cell>
          <cell r="P374">
            <v>9.1</v>
          </cell>
          <cell r="Q374">
            <v>0</v>
          </cell>
          <cell r="R374" t="str">
            <v>1</v>
          </cell>
          <cell r="S374" t="str">
            <v>41</v>
          </cell>
          <cell r="T374">
            <v>84</v>
          </cell>
          <cell r="U374">
            <v>12</v>
          </cell>
          <cell r="V374">
            <v>84</v>
          </cell>
          <cell r="W374">
            <v>12</v>
          </cell>
          <cell r="X374">
            <v>84</v>
          </cell>
          <cell r="AB374" t="str">
            <v>14</v>
          </cell>
          <cell r="AC374">
            <v>12</v>
          </cell>
          <cell r="AF374" t="str">
            <v>00</v>
          </cell>
          <cell r="AI374">
            <v>190123457</v>
          </cell>
          <cell r="AJ374">
            <v>190123457</v>
          </cell>
        </row>
        <row r="375">
          <cell r="A375" t="str">
            <v>02</v>
          </cell>
          <cell r="B375" t="str">
            <v>90</v>
          </cell>
          <cell r="C375" t="str">
            <v>4191</v>
          </cell>
          <cell r="D375" t="str">
            <v>Заточной станок ТГ-П</v>
          </cell>
          <cell r="E375" t="str">
            <v>А-5</v>
          </cell>
          <cell r="G375" t="str">
            <v>01</v>
          </cell>
          <cell r="H375">
            <v>3735</v>
          </cell>
          <cell r="I375">
            <v>1851.94</v>
          </cell>
          <cell r="J375">
            <v>0</v>
          </cell>
          <cell r="K375">
            <v>0.9</v>
          </cell>
          <cell r="L375" t="str">
            <v>23</v>
          </cell>
          <cell r="M375" t="str">
            <v>41000</v>
          </cell>
          <cell r="N375" t="str">
            <v>14 2922130</v>
          </cell>
          <cell r="O375" t="str">
            <v>067</v>
          </cell>
          <cell r="P375">
            <v>3.5</v>
          </cell>
          <cell r="Q375">
            <v>0</v>
          </cell>
          <cell r="R375" t="str">
            <v>1</v>
          </cell>
          <cell r="S375" t="str">
            <v>41</v>
          </cell>
          <cell r="T375">
            <v>80</v>
          </cell>
          <cell r="U375">
            <v>10</v>
          </cell>
          <cell r="V375">
            <v>80</v>
          </cell>
          <cell r="W375">
            <v>10</v>
          </cell>
          <cell r="X375">
            <v>80</v>
          </cell>
          <cell r="AF375" t="str">
            <v>00</v>
          </cell>
          <cell r="AI375">
            <v>4143260</v>
          </cell>
          <cell r="AJ375">
            <v>2489409</v>
          </cell>
        </row>
        <row r="376">
          <cell r="A376" t="str">
            <v>02</v>
          </cell>
          <cell r="B376" t="str">
            <v>05</v>
          </cell>
          <cell r="C376" t="str">
            <v>4195</v>
          </cell>
          <cell r="D376" t="str">
            <v>Вагон жилой 3 х 9</v>
          </cell>
          <cell r="E376" t="str">
            <v>дерево-мет.</v>
          </cell>
          <cell r="G376" t="str">
            <v>01</v>
          </cell>
          <cell r="H376">
            <v>85000</v>
          </cell>
          <cell r="I376">
            <v>58437.5</v>
          </cell>
          <cell r="J376">
            <v>0</v>
          </cell>
          <cell r="K376">
            <v>1.1599999999999999</v>
          </cell>
          <cell r="L376" t="str">
            <v>20</v>
          </cell>
          <cell r="M376" t="str">
            <v>10010</v>
          </cell>
          <cell r="N376" t="str">
            <v>13 2022231</v>
          </cell>
          <cell r="O376" t="str">
            <v>01</v>
          </cell>
          <cell r="P376">
            <v>12.5</v>
          </cell>
          <cell r="Q376">
            <v>0</v>
          </cell>
          <cell r="R376" t="str">
            <v>1</v>
          </cell>
          <cell r="S376" t="str">
            <v>10</v>
          </cell>
          <cell r="T376">
            <v>89</v>
          </cell>
          <cell r="U376">
            <v>6</v>
          </cell>
          <cell r="V376">
            <v>89</v>
          </cell>
          <cell r="W376">
            <v>6</v>
          </cell>
          <cell r="X376">
            <v>89</v>
          </cell>
          <cell r="AA376" t="str">
            <v>1</v>
          </cell>
          <cell r="AB376" t="str">
            <v>15</v>
          </cell>
          <cell r="AC376">
            <v>6</v>
          </cell>
          <cell r="AF376" t="str">
            <v>00</v>
          </cell>
          <cell r="AI376">
            <v>73472000</v>
          </cell>
          <cell r="AJ376">
            <v>73472000</v>
          </cell>
        </row>
        <row r="377">
          <cell r="A377" t="str">
            <v>02</v>
          </cell>
          <cell r="B377" t="str">
            <v>80</v>
          </cell>
          <cell r="C377" t="str">
            <v>4315</v>
          </cell>
          <cell r="D377" t="str">
            <v>Телефакс</v>
          </cell>
          <cell r="G377" t="str">
            <v>01</v>
          </cell>
          <cell r="H377">
            <v>3282</v>
          </cell>
          <cell r="I377">
            <v>1179.33</v>
          </cell>
          <cell r="J377">
            <v>0</v>
          </cell>
          <cell r="K377">
            <v>0.02</v>
          </cell>
          <cell r="L377" t="str">
            <v>26</v>
          </cell>
          <cell r="M377" t="str">
            <v>45605</v>
          </cell>
          <cell r="N377" t="str">
            <v>14 3222146</v>
          </cell>
          <cell r="O377" t="str">
            <v>067</v>
          </cell>
          <cell r="P377">
            <v>7.7</v>
          </cell>
          <cell r="Q377">
            <v>0</v>
          </cell>
          <cell r="R377" t="str">
            <v>1</v>
          </cell>
          <cell r="S377" t="str">
            <v>45</v>
          </cell>
          <cell r="T377">
            <v>0</v>
          </cell>
          <cell r="U377">
            <v>4</v>
          </cell>
          <cell r="V377">
            <v>90</v>
          </cell>
          <cell r="W377">
            <v>4</v>
          </cell>
          <cell r="X377">
            <v>90</v>
          </cell>
          <cell r="AF377" t="str">
            <v>00</v>
          </cell>
          <cell r="AI377">
            <v>157852800</v>
          </cell>
          <cell r="AJ377">
            <v>93185769.599999994</v>
          </cell>
        </row>
        <row r="378">
          <cell r="A378" t="str">
            <v>02</v>
          </cell>
          <cell r="B378" t="str">
            <v>80</v>
          </cell>
          <cell r="C378" t="str">
            <v>4316</v>
          </cell>
          <cell r="D378" t="str">
            <v>Компьютер IBM PC AT</v>
          </cell>
          <cell r="G378" t="str">
            <v>01</v>
          </cell>
          <cell r="H378">
            <v>2500</v>
          </cell>
          <cell r="I378">
            <v>1187.5</v>
          </cell>
          <cell r="J378">
            <v>16500</v>
          </cell>
          <cell r="K378">
            <v>0.1</v>
          </cell>
          <cell r="L378" t="str">
            <v>26</v>
          </cell>
          <cell r="M378" t="str">
            <v>48008</v>
          </cell>
          <cell r="N378" t="str">
            <v>14 3020203</v>
          </cell>
          <cell r="O378" t="str">
            <v>063</v>
          </cell>
          <cell r="P378">
            <v>10</v>
          </cell>
          <cell r="Q378">
            <v>0</v>
          </cell>
          <cell r="R378" t="str">
            <v>1</v>
          </cell>
          <cell r="S378" t="str">
            <v>48</v>
          </cell>
          <cell r="T378">
            <v>0</v>
          </cell>
          <cell r="U378">
            <v>3</v>
          </cell>
          <cell r="V378">
            <v>90</v>
          </cell>
          <cell r="W378">
            <v>3</v>
          </cell>
          <cell r="X378">
            <v>90</v>
          </cell>
          <cell r="Y378">
            <v>3</v>
          </cell>
          <cell r="Z378">
            <v>99</v>
          </cell>
          <cell r="AF378" t="str">
            <v>00</v>
          </cell>
          <cell r="AI378">
            <v>24488100</v>
          </cell>
          <cell r="AJ378">
            <v>18978277.5</v>
          </cell>
        </row>
        <row r="379">
          <cell r="A379" t="str">
            <v>02</v>
          </cell>
          <cell r="B379" t="str">
            <v>80</v>
          </cell>
          <cell r="C379" t="str">
            <v>4317</v>
          </cell>
          <cell r="D379" t="str">
            <v>Компьютер IBM PC/XT</v>
          </cell>
          <cell r="G379" t="str">
            <v>01</v>
          </cell>
          <cell r="H379">
            <v>2500</v>
          </cell>
          <cell r="I379">
            <v>1020.83</v>
          </cell>
          <cell r="J379">
            <v>0</v>
          </cell>
          <cell r="K379">
            <v>0.13</v>
          </cell>
          <cell r="L379" t="str">
            <v>26</v>
          </cell>
          <cell r="M379" t="str">
            <v>48008</v>
          </cell>
          <cell r="N379" t="str">
            <v>14 3020203</v>
          </cell>
          <cell r="O379" t="str">
            <v>063</v>
          </cell>
          <cell r="P379">
            <v>10</v>
          </cell>
          <cell r="Q379">
            <v>0</v>
          </cell>
          <cell r="R379" t="str">
            <v>1</v>
          </cell>
          <cell r="S379" t="str">
            <v>48</v>
          </cell>
          <cell r="T379">
            <v>0</v>
          </cell>
          <cell r="U379">
            <v>11</v>
          </cell>
          <cell r="V379">
            <v>90</v>
          </cell>
          <cell r="W379">
            <v>11</v>
          </cell>
          <cell r="X379">
            <v>90</v>
          </cell>
          <cell r="AB379" t="str">
            <v>14</v>
          </cell>
          <cell r="AC379">
            <v>8</v>
          </cell>
          <cell r="AF379" t="str">
            <v>00</v>
          </cell>
          <cell r="AI379">
            <v>19240650</v>
          </cell>
          <cell r="AJ379">
            <v>13628793.75</v>
          </cell>
        </row>
        <row r="380">
          <cell r="A380" t="str">
            <v>02</v>
          </cell>
          <cell r="B380" t="str">
            <v>23</v>
          </cell>
          <cell r="C380" t="str">
            <v>5005</v>
          </cell>
          <cell r="D380" t="str">
            <v>КРАЗ-255-Б No Т669КВ</v>
          </cell>
          <cell r="E380" t="str">
            <v xml:space="preserve"> груз.плетевоз</v>
          </cell>
          <cell r="F380" t="str">
            <v>дв8838005 ш633011</v>
          </cell>
          <cell r="G380" t="str">
            <v>01</v>
          </cell>
          <cell r="H380">
            <v>129605</v>
          </cell>
          <cell r="I380">
            <v>129605</v>
          </cell>
          <cell r="J380">
            <v>0</v>
          </cell>
          <cell r="K380">
            <v>1.04</v>
          </cell>
          <cell r="L380" t="str">
            <v>23</v>
          </cell>
          <cell r="M380" t="str">
            <v>50402</v>
          </cell>
          <cell r="N380" t="str">
            <v>14 2928262</v>
          </cell>
          <cell r="O380" t="str">
            <v>075</v>
          </cell>
          <cell r="P380">
            <v>0.37</v>
          </cell>
          <cell r="Q380">
            <v>0</v>
          </cell>
          <cell r="R380" t="str">
            <v>1</v>
          </cell>
          <cell r="S380" t="str">
            <v>50</v>
          </cell>
          <cell r="T380">
            <v>88</v>
          </cell>
          <cell r="U380">
            <v>1</v>
          </cell>
          <cell r="V380">
            <v>88</v>
          </cell>
          <cell r="W380">
            <v>1</v>
          </cell>
          <cell r="X380">
            <v>88</v>
          </cell>
          <cell r="AF380" t="str">
            <v>00</v>
          </cell>
          <cell r="AI380">
            <v>124444444</v>
          </cell>
          <cell r="AJ380">
            <v>124444444</v>
          </cell>
        </row>
        <row r="381">
          <cell r="A381" t="str">
            <v>02</v>
          </cell>
          <cell r="B381" t="str">
            <v>23</v>
          </cell>
          <cell r="C381" t="str">
            <v>5015</v>
          </cell>
          <cell r="D381" t="str">
            <v>ГАЗ 6612 No 46-79кшр</v>
          </cell>
          <cell r="E381" t="str">
            <v>фургон груз.такси</v>
          </cell>
          <cell r="F381" t="str">
            <v>дв0220203 ш0516157</v>
          </cell>
          <cell r="G381" t="str">
            <v>01</v>
          </cell>
          <cell r="H381">
            <v>62000</v>
          </cell>
          <cell r="I381">
            <v>39226.71</v>
          </cell>
          <cell r="J381">
            <v>0</v>
          </cell>
          <cell r="K381">
            <v>0.54</v>
          </cell>
          <cell r="L381" t="str">
            <v>23</v>
          </cell>
          <cell r="M381" t="str">
            <v>50402</v>
          </cell>
          <cell r="N381" t="str">
            <v>15 3410349</v>
          </cell>
          <cell r="O381" t="str">
            <v>075</v>
          </cell>
          <cell r="P381">
            <v>0.37</v>
          </cell>
          <cell r="Q381">
            <v>0</v>
          </cell>
          <cell r="R381" t="str">
            <v>1</v>
          </cell>
          <cell r="S381" t="str">
            <v>50</v>
          </cell>
          <cell r="T381">
            <v>87</v>
          </cell>
          <cell r="U381">
            <v>11</v>
          </cell>
          <cell r="V381">
            <v>87</v>
          </cell>
          <cell r="W381">
            <v>11</v>
          </cell>
          <cell r="X381">
            <v>87</v>
          </cell>
          <cell r="AF381" t="str">
            <v>00</v>
          </cell>
          <cell r="AI381">
            <v>115555556</v>
          </cell>
          <cell r="AJ381">
            <v>75217711.400000006</v>
          </cell>
        </row>
        <row r="382">
          <cell r="A382" t="str">
            <v>02</v>
          </cell>
          <cell r="B382" t="str">
            <v>23</v>
          </cell>
          <cell r="C382" t="str">
            <v>6003</v>
          </cell>
          <cell r="D382" t="str">
            <v>А/м татра экскаватор</v>
          </cell>
          <cell r="E382" t="str">
            <v>планир.УДС-114 д1498</v>
          </cell>
          <cell r="F382" t="str">
            <v>ш24062 Nо09-04 КШШ</v>
          </cell>
          <cell r="G382" t="str">
            <v>01</v>
          </cell>
          <cell r="H382">
            <v>332426.8</v>
          </cell>
          <cell r="I382">
            <v>22161.79</v>
          </cell>
          <cell r="J382">
            <v>0</v>
          </cell>
          <cell r="K382">
            <v>1.51</v>
          </cell>
          <cell r="L382" t="str">
            <v>23</v>
          </cell>
          <cell r="M382" t="str">
            <v>50426</v>
          </cell>
          <cell r="N382" t="str">
            <v>14 2924332</v>
          </cell>
          <cell r="O382" t="str">
            <v>073</v>
          </cell>
          <cell r="P382">
            <v>10</v>
          </cell>
          <cell r="Q382">
            <v>0</v>
          </cell>
          <cell r="R382" t="str">
            <v>1</v>
          </cell>
          <cell r="S382" t="str">
            <v>50</v>
          </cell>
          <cell r="T382">
            <v>94</v>
          </cell>
          <cell r="U382">
            <v>4</v>
          </cell>
          <cell r="V382">
            <v>94</v>
          </cell>
          <cell r="W382">
            <v>4</v>
          </cell>
          <cell r="X382">
            <v>94</v>
          </cell>
          <cell r="AF382" t="str">
            <v>00</v>
          </cell>
          <cell r="AI382">
            <v>220150196</v>
          </cell>
          <cell r="AJ382">
            <v>80721738.620000005</v>
          </cell>
        </row>
        <row r="383">
          <cell r="A383" t="str">
            <v>02</v>
          </cell>
          <cell r="B383" t="str">
            <v>80</v>
          </cell>
          <cell r="C383" t="str">
            <v>6004</v>
          </cell>
          <cell r="D383" t="str">
            <v>Персональный компьют</v>
          </cell>
          <cell r="E383" t="str">
            <v>ер c принтером EPSON</v>
          </cell>
          <cell r="F383" t="str">
            <v>Япония</v>
          </cell>
          <cell r="G383" t="str">
            <v>01</v>
          </cell>
          <cell r="H383">
            <v>14093.9</v>
          </cell>
          <cell r="I383">
            <v>186.67</v>
          </cell>
          <cell r="J383">
            <v>0</v>
          </cell>
          <cell r="K383">
            <v>0.26</v>
          </cell>
          <cell r="L383" t="str">
            <v>26</v>
          </cell>
          <cell r="M383" t="str">
            <v>48008</v>
          </cell>
          <cell r="N383" t="str">
            <v>14 3020203</v>
          </cell>
          <cell r="O383" t="str">
            <v>063</v>
          </cell>
          <cell r="P383">
            <v>10</v>
          </cell>
          <cell r="Q383">
            <v>0</v>
          </cell>
          <cell r="R383" t="str">
            <v>1</v>
          </cell>
          <cell r="S383" t="str">
            <v>48</v>
          </cell>
          <cell r="T383">
            <v>94</v>
          </cell>
          <cell r="U383">
            <v>4</v>
          </cell>
          <cell r="V383">
            <v>94</v>
          </cell>
          <cell r="W383">
            <v>4</v>
          </cell>
          <cell r="X383">
            <v>94</v>
          </cell>
          <cell r="Y383">
            <v>10</v>
          </cell>
          <cell r="Z383">
            <v>98</v>
          </cell>
          <cell r="AF383" t="str">
            <v>00</v>
          </cell>
          <cell r="AI383">
            <v>10834532</v>
          </cell>
          <cell r="AJ383">
            <v>3972661.82</v>
          </cell>
        </row>
        <row r="384">
          <cell r="A384" t="str">
            <v>02</v>
          </cell>
          <cell r="B384" t="str">
            <v>02</v>
          </cell>
          <cell r="C384" t="str">
            <v>6005</v>
          </cell>
          <cell r="D384" t="str">
            <v>Эксковатор гидравлич</v>
          </cell>
          <cell r="E384" t="str">
            <v>еский</v>
          </cell>
          <cell r="G384" t="str">
            <v>01</v>
          </cell>
          <cell r="H384">
            <v>620400</v>
          </cell>
          <cell r="I384">
            <v>31847.200000000001</v>
          </cell>
          <cell r="J384">
            <v>0</v>
          </cell>
          <cell r="K384">
            <v>0.48</v>
          </cell>
          <cell r="L384" t="str">
            <v>20</v>
          </cell>
          <cell r="M384" t="str">
            <v>41804</v>
          </cell>
          <cell r="N384" t="str">
            <v>14 2924331</v>
          </cell>
          <cell r="O384" t="str">
            <v>064</v>
          </cell>
          <cell r="P384">
            <v>7.7</v>
          </cell>
          <cell r="Q384">
            <v>0</v>
          </cell>
          <cell r="R384" t="str">
            <v>1</v>
          </cell>
          <cell r="S384" t="str">
            <v>41</v>
          </cell>
          <cell r="T384">
            <v>94</v>
          </cell>
          <cell r="U384">
            <v>4</v>
          </cell>
          <cell r="V384">
            <v>94</v>
          </cell>
          <cell r="W384">
            <v>4</v>
          </cell>
          <cell r="X384">
            <v>94</v>
          </cell>
          <cell r="AB384" t="str">
            <v>14</v>
          </cell>
          <cell r="AC384">
            <v>3</v>
          </cell>
          <cell r="AF384" t="str">
            <v>00</v>
          </cell>
          <cell r="AI384">
            <v>1304996608</v>
          </cell>
          <cell r="AJ384">
            <v>368444042.20999998</v>
          </cell>
        </row>
        <row r="385">
          <cell r="A385" t="str">
            <v>02</v>
          </cell>
          <cell r="B385" t="str">
            <v>15</v>
          </cell>
          <cell r="C385" t="str">
            <v>6015</v>
          </cell>
          <cell r="D385" t="str">
            <v>Вагон домик/фургон/</v>
          </cell>
          <cell r="G385" t="str">
            <v>01</v>
          </cell>
          <cell r="H385">
            <v>8736</v>
          </cell>
          <cell r="I385">
            <v>273</v>
          </cell>
          <cell r="J385">
            <v>0</v>
          </cell>
          <cell r="K385">
            <v>1.5</v>
          </cell>
          <cell r="L385" t="str">
            <v>88/2</v>
          </cell>
          <cell r="M385" t="str">
            <v>10010</v>
          </cell>
          <cell r="N385" t="str">
            <v>13 0001020</v>
          </cell>
          <cell r="O385" t="str">
            <v>01</v>
          </cell>
          <cell r="P385">
            <v>12.5</v>
          </cell>
          <cell r="Q385">
            <v>0</v>
          </cell>
          <cell r="R385" t="str">
            <v>1</v>
          </cell>
          <cell r="S385" t="str">
            <v>10</v>
          </cell>
          <cell r="T385">
            <v>93</v>
          </cell>
          <cell r="U385">
            <v>9</v>
          </cell>
          <cell r="V385">
            <v>94</v>
          </cell>
          <cell r="W385">
            <v>9</v>
          </cell>
          <cell r="X385">
            <v>94</v>
          </cell>
          <cell r="AB385" t="str">
            <v>14</v>
          </cell>
          <cell r="AC385">
            <v>10</v>
          </cell>
          <cell r="AF385" t="str">
            <v>00</v>
          </cell>
          <cell r="AI385">
            <v>5824000</v>
          </cell>
          <cell r="AJ385">
            <v>2366000.0699999998</v>
          </cell>
        </row>
        <row r="386">
          <cell r="A386" t="str">
            <v>02</v>
          </cell>
          <cell r="B386" t="str">
            <v>80</v>
          </cell>
          <cell r="C386" t="str">
            <v>6016</v>
          </cell>
          <cell r="D386" t="str">
            <v>Персональный компьют</v>
          </cell>
          <cell r="E386" t="str">
            <v>ер с принтером EPSON</v>
          </cell>
          <cell r="F386" t="str">
            <v>в к-те с кабелем Япо</v>
          </cell>
          <cell r="G386" t="str">
            <v>01</v>
          </cell>
          <cell r="H386">
            <v>14093.9</v>
          </cell>
          <cell r="I386">
            <v>70</v>
          </cell>
          <cell r="J386">
            <v>0</v>
          </cell>
          <cell r="K386">
            <v>0.35</v>
          </cell>
          <cell r="L386" t="str">
            <v>26</v>
          </cell>
          <cell r="M386" t="str">
            <v>48008</v>
          </cell>
          <cell r="N386" t="str">
            <v>14 3020203</v>
          </cell>
          <cell r="O386" t="str">
            <v>063</v>
          </cell>
          <cell r="P386">
            <v>10</v>
          </cell>
          <cell r="Q386">
            <v>0</v>
          </cell>
          <cell r="R386" t="str">
            <v>1</v>
          </cell>
          <cell r="S386" t="str">
            <v>48</v>
          </cell>
          <cell r="T386">
            <v>94</v>
          </cell>
          <cell r="U386">
            <v>9</v>
          </cell>
          <cell r="V386">
            <v>94</v>
          </cell>
          <cell r="W386">
            <v>9</v>
          </cell>
          <cell r="X386">
            <v>94</v>
          </cell>
          <cell r="Y386">
            <v>10</v>
          </cell>
          <cell r="Z386">
            <v>98</v>
          </cell>
          <cell r="AF386" t="str">
            <v>00</v>
          </cell>
          <cell r="AI386">
            <v>8089187</v>
          </cell>
          <cell r="AJ386">
            <v>2628985.7400000002</v>
          </cell>
        </row>
        <row r="387">
          <cell r="A387" t="str">
            <v>02</v>
          </cell>
          <cell r="B387" t="str">
            <v>80</v>
          </cell>
          <cell r="C387" t="str">
            <v>6017</v>
          </cell>
          <cell r="D387" t="str">
            <v>Блок бесперебойного</v>
          </cell>
          <cell r="E387" t="str">
            <v>питания для компьюте</v>
          </cell>
          <cell r="G387" t="str">
            <v>01</v>
          </cell>
          <cell r="H387">
            <v>1266</v>
          </cell>
          <cell r="I387">
            <v>31.65</v>
          </cell>
          <cell r="J387">
            <v>0</v>
          </cell>
          <cell r="K387">
            <v>0.21</v>
          </cell>
          <cell r="L387" t="str">
            <v>26</v>
          </cell>
          <cell r="M387" t="str">
            <v>48008</v>
          </cell>
          <cell r="N387" t="str">
            <v>14 3190290</v>
          </cell>
          <cell r="O387" t="str">
            <v>063</v>
          </cell>
          <cell r="P387">
            <v>10</v>
          </cell>
          <cell r="Q387">
            <v>0</v>
          </cell>
          <cell r="R387" t="str">
            <v>1</v>
          </cell>
          <cell r="S387" t="str">
            <v>48</v>
          </cell>
          <cell r="T387">
            <v>94</v>
          </cell>
          <cell r="U387">
            <v>9</v>
          </cell>
          <cell r="V387">
            <v>94</v>
          </cell>
          <cell r="W387">
            <v>9</v>
          </cell>
          <cell r="X387">
            <v>94</v>
          </cell>
          <cell r="AF387" t="str">
            <v>00</v>
          </cell>
          <cell r="AI387">
            <v>6127139</v>
          </cell>
          <cell r="AJ387">
            <v>1991320.14</v>
          </cell>
        </row>
        <row r="388">
          <cell r="A388" t="str">
            <v>02</v>
          </cell>
          <cell r="B388" t="str">
            <v>80</v>
          </cell>
          <cell r="C388" t="str">
            <v>6018</v>
          </cell>
          <cell r="D388" t="str">
            <v>Копировальный аппара</v>
          </cell>
          <cell r="E388" t="str">
            <v>т КАНОН цветной</v>
          </cell>
          <cell r="G388" t="str">
            <v>01</v>
          </cell>
          <cell r="H388">
            <v>11940</v>
          </cell>
          <cell r="I388">
            <v>373.12</v>
          </cell>
          <cell r="J388">
            <v>0</v>
          </cell>
          <cell r="K388">
            <v>0.14000000000000001</v>
          </cell>
          <cell r="L388" t="str">
            <v>26</v>
          </cell>
          <cell r="M388" t="str">
            <v>44804</v>
          </cell>
          <cell r="N388" t="str">
            <v>14 3010210</v>
          </cell>
          <cell r="O388" t="str">
            <v>063</v>
          </cell>
          <cell r="P388">
            <v>12.5</v>
          </cell>
          <cell r="Q388">
            <v>0</v>
          </cell>
          <cell r="R388" t="str">
            <v>1</v>
          </cell>
          <cell r="S388" t="str">
            <v>48</v>
          </cell>
          <cell r="T388">
            <v>94</v>
          </cell>
          <cell r="U388">
            <v>9</v>
          </cell>
          <cell r="V388">
            <v>94</v>
          </cell>
          <cell r="W388">
            <v>9</v>
          </cell>
          <cell r="X388">
            <v>94</v>
          </cell>
          <cell r="AF388" t="str">
            <v>00</v>
          </cell>
          <cell r="AI388">
            <v>82725124</v>
          </cell>
          <cell r="AJ388">
            <v>26885665.23</v>
          </cell>
        </row>
        <row r="389">
          <cell r="A389" t="str">
            <v>02</v>
          </cell>
          <cell r="B389" t="str">
            <v>80</v>
          </cell>
          <cell r="C389" t="str">
            <v>6019</v>
          </cell>
          <cell r="D389" t="str">
            <v>Пишущая машинка ОПТИ</v>
          </cell>
          <cell r="E389" t="str">
            <v>МА</v>
          </cell>
          <cell r="G389" t="str">
            <v>01</v>
          </cell>
          <cell r="H389">
            <v>1322</v>
          </cell>
          <cell r="I389">
            <v>41.31</v>
          </cell>
          <cell r="J389">
            <v>0</v>
          </cell>
          <cell r="K389">
            <v>0.56999999999999995</v>
          </cell>
          <cell r="L389" t="str">
            <v>26</v>
          </cell>
          <cell r="M389" t="str">
            <v>44811</v>
          </cell>
          <cell r="N389" t="str">
            <v>14 3010102</v>
          </cell>
          <cell r="O389" t="str">
            <v>063</v>
          </cell>
          <cell r="P389">
            <v>12.5</v>
          </cell>
          <cell r="Q389">
            <v>0</v>
          </cell>
          <cell r="R389" t="str">
            <v>1</v>
          </cell>
          <cell r="S389" t="str">
            <v>44</v>
          </cell>
          <cell r="T389">
            <v>94</v>
          </cell>
          <cell r="U389">
            <v>9</v>
          </cell>
          <cell r="V389">
            <v>94</v>
          </cell>
          <cell r="W389">
            <v>9</v>
          </cell>
          <cell r="X389">
            <v>94</v>
          </cell>
          <cell r="AF389" t="str">
            <v>00</v>
          </cell>
          <cell r="AI389">
            <v>2299603</v>
          </cell>
          <cell r="AJ389">
            <v>934213.77</v>
          </cell>
        </row>
        <row r="390">
          <cell r="A390" t="str">
            <v>02</v>
          </cell>
          <cell r="B390" t="str">
            <v>80</v>
          </cell>
          <cell r="C390" t="str">
            <v>6020</v>
          </cell>
          <cell r="D390" t="str">
            <v>Пишущая машинка ОПТИ</v>
          </cell>
          <cell r="E390" t="str">
            <v>МА</v>
          </cell>
          <cell r="G390" t="str">
            <v>01</v>
          </cell>
          <cell r="H390">
            <v>1322</v>
          </cell>
          <cell r="I390">
            <v>41.31</v>
          </cell>
          <cell r="J390">
            <v>0</v>
          </cell>
          <cell r="K390">
            <v>0.56999999999999995</v>
          </cell>
          <cell r="L390" t="str">
            <v>26</v>
          </cell>
          <cell r="M390" t="str">
            <v>44811</v>
          </cell>
          <cell r="N390" t="str">
            <v>14 3010102</v>
          </cell>
          <cell r="O390" t="str">
            <v>063</v>
          </cell>
          <cell r="P390">
            <v>12.5</v>
          </cell>
          <cell r="Q390">
            <v>0</v>
          </cell>
          <cell r="R390" t="str">
            <v>1</v>
          </cell>
          <cell r="S390" t="str">
            <v>44</v>
          </cell>
          <cell r="T390">
            <v>94</v>
          </cell>
          <cell r="U390">
            <v>9</v>
          </cell>
          <cell r="V390">
            <v>94</v>
          </cell>
          <cell r="W390">
            <v>9</v>
          </cell>
          <cell r="X390">
            <v>94</v>
          </cell>
          <cell r="AF390" t="str">
            <v>00</v>
          </cell>
          <cell r="AI390">
            <v>2299603</v>
          </cell>
          <cell r="AJ390">
            <v>934213.77</v>
          </cell>
        </row>
        <row r="391">
          <cell r="A391" t="str">
            <v>02</v>
          </cell>
          <cell r="B391" t="str">
            <v>12</v>
          </cell>
          <cell r="C391" t="str">
            <v>6022</v>
          </cell>
          <cell r="D391" t="str">
            <v>Автопоилка ВУК-3</v>
          </cell>
          <cell r="F391" t="str">
            <v>735684</v>
          </cell>
          <cell r="G391" t="str">
            <v>01</v>
          </cell>
          <cell r="H391">
            <v>5254</v>
          </cell>
          <cell r="I391">
            <v>262.7</v>
          </cell>
          <cell r="J391">
            <v>0</v>
          </cell>
          <cell r="K391">
            <v>1</v>
          </cell>
          <cell r="L391" t="str">
            <v>88/4</v>
          </cell>
          <cell r="M391" t="str">
            <v>45744</v>
          </cell>
          <cell r="N391" t="str">
            <v>14 2921000</v>
          </cell>
          <cell r="O391" t="str">
            <v>063</v>
          </cell>
          <cell r="P391">
            <v>20</v>
          </cell>
          <cell r="Q391">
            <v>0</v>
          </cell>
          <cell r="R391" t="str">
            <v>1</v>
          </cell>
          <cell r="S391" t="str">
            <v>45</v>
          </cell>
          <cell r="T391">
            <v>94</v>
          </cell>
          <cell r="U391">
            <v>9</v>
          </cell>
          <cell r="V391">
            <v>94</v>
          </cell>
          <cell r="W391">
            <v>9</v>
          </cell>
          <cell r="X391">
            <v>94</v>
          </cell>
          <cell r="AF391" t="str">
            <v>00</v>
          </cell>
          <cell r="AI391">
            <v>5251293</v>
          </cell>
          <cell r="AJ391">
            <v>3413340.45</v>
          </cell>
        </row>
        <row r="392">
          <cell r="A392" t="str">
            <v>02</v>
          </cell>
          <cell r="B392" t="str">
            <v>23</v>
          </cell>
          <cell r="C392" t="str">
            <v>6023</v>
          </cell>
          <cell r="D392" t="str">
            <v>Полуприцеп МАЗ-5247</v>
          </cell>
          <cell r="E392" t="str">
            <v>60тонн Nо АА36-32</v>
          </cell>
          <cell r="G392" t="str">
            <v>01</v>
          </cell>
          <cell r="H392">
            <v>34933.33</v>
          </cell>
          <cell r="I392">
            <v>5641.73</v>
          </cell>
          <cell r="J392">
            <v>0</v>
          </cell>
          <cell r="K392">
            <v>1.31</v>
          </cell>
          <cell r="L392" t="str">
            <v>23</v>
          </cell>
          <cell r="M392" t="str">
            <v>50413</v>
          </cell>
          <cell r="N392" t="str">
            <v>15 3420183</v>
          </cell>
          <cell r="O392" t="str">
            <v>073</v>
          </cell>
          <cell r="P392">
            <v>8.3000000000000007</v>
          </cell>
          <cell r="Q392">
            <v>0</v>
          </cell>
          <cell r="R392" t="str">
            <v>1</v>
          </cell>
          <cell r="S392" t="str">
            <v>50</v>
          </cell>
          <cell r="T392">
            <v>65</v>
          </cell>
          <cell r="U392">
            <v>9</v>
          </cell>
          <cell r="V392">
            <v>94</v>
          </cell>
          <cell r="W392">
            <v>9</v>
          </cell>
          <cell r="X392">
            <v>94</v>
          </cell>
          <cell r="AF392" t="str">
            <v>00</v>
          </cell>
          <cell r="AI392">
            <v>26666667</v>
          </cell>
          <cell r="AJ392">
            <v>10946666.76</v>
          </cell>
        </row>
        <row r="393">
          <cell r="A393" t="str">
            <v>02</v>
          </cell>
          <cell r="B393" t="str">
            <v>23</v>
          </cell>
          <cell r="C393" t="str">
            <v>6024</v>
          </cell>
          <cell r="D393" t="str">
            <v>Автомашина ЗИЛ ММЗ 4</v>
          </cell>
          <cell r="E393" t="str">
            <v>502 дв029425 ш б/н</v>
          </cell>
          <cell r="F393" t="str">
            <v>Nо В 876 ОВ</v>
          </cell>
          <cell r="G393" t="str">
            <v>01</v>
          </cell>
          <cell r="H393">
            <v>95000</v>
          </cell>
          <cell r="I393">
            <v>14070.19</v>
          </cell>
          <cell r="J393">
            <v>0</v>
          </cell>
          <cell r="K393">
            <v>1.1499999999999999</v>
          </cell>
          <cell r="L393" t="str">
            <v>23</v>
          </cell>
          <cell r="M393" t="str">
            <v>50402</v>
          </cell>
          <cell r="N393" t="str">
            <v>15 3410222</v>
          </cell>
          <cell r="O393" t="str">
            <v>075</v>
          </cell>
          <cell r="P393">
            <v>0.37</v>
          </cell>
          <cell r="Q393">
            <v>0</v>
          </cell>
          <cell r="R393" t="str">
            <v>1</v>
          </cell>
          <cell r="S393" t="str">
            <v>50</v>
          </cell>
          <cell r="T393">
            <v>92</v>
          </cell>
          <cell r="U393">
            <v>9</v>
          </cell>
          <cell r="V393">
            <v>94</v>
          </cell>
          <cell r="W393">
            <v>9</v>
          </cell>
          <cell r="X393">
            <v>94</v>
          </cell>
          <cell r="AF393" t="str">
            <v>00</v>
          </cell>
          <cell r="AI393">
            <v>82962963</v>
          </cell>
          <cell r="AJ393">
            <v>42645750.539999999</v>
          </cell>
        </row>
        <row r="394">
          <cell r="A394" t="str">
            <v>02</v>
          </cell>
          <cell r="B394" t="str">
            <v>23</v>
          </cell>
          <cell r="C394" t="str">
            <v>6032</v>
          </cell>
          <cell r="D394" t="str">
            <v>Спецтягач гN-E778ЕУ</v>
          </cell>
          <cell r="E394" t="str">
            <v>КШШ КАМАЗ-5410 груз.</v>
          </cell>
          <cell r="F394" t="str">
            <v>дв273406 ш2060706</v>
          </cell>
          <cell r="G394" t="str">
            <v>01</v>
          </cell>
          <cell r="H394">
            <v>235000</v>
          </cell>
          <cell r="I394">
            <v>14687.5</v>
          </cell>
          <cell r="J394">
            <v>0</v>
          </cell>
          <cell r="K394">
            <v>0.73</v>
          </cell>
          <cell r="L394" t="str">
            <v>23</v>
          </cell>
          <cell r="M394" t="str">
            <v>50428</v>
          </cell>
          <cell r="N394" t="str">
            <v>15 3410371</v>
          </cell>
          <cell r="O394" t="str">
            <v>064</v>
          </cell>
          <cell r="P394">
            <v>12.5</v>
          </cell>
          <cell r="Q394">
            <v>0</v>
          </cell>
          <cell r="R394" t="str">
            <v>1</v>
          </cell>
          <cell r="S394" t="str">
            <v>50</v>
          </cell>
          <cell r="T394">
            <v>93</v>
          </cell>
          <cell r="U394">
            <v>6</v>
          </cell>
          <cell r="V394">
            <v>94</v>
          </cell>
          <cell r="W394">
            <v>6</v>
          </cell>
          <cell r="X394">
            <v>94</v>
          </cell>
          <cell r="AF394" t="str">
            <v>00</v>
          </cell>
          <cell r="AI394">
            <v>320061627</v>
          </cell>
          <cell r="AJ394">
            <v>140026961.78999999</v>
          </cell>
        </row>
        <row r="395">
          <cell r="A395" t="str">
            <v>15</v>
          </cell>
          <cell r="B395" t="str">
            <v>81</v>
          </cell>
          <cell r="C395" t="str">
            <v>6033</v>
          </cell>
          <cell r="D395" t="str">
            <v>Персональный компьют</v>
          </cell>
          <cell r="E395" t="str">
            <v>ер сист. миокард</v>
          </cell>
          <cell r="G395" t="str">
            <v>01</v>
          </cell>
          <cell r="H395">
            <v>2800</v>
          </cell>
          <cell r="I395">
            <v>140</v>
          </cell>
          <cell r="J395">
            <v>0</v>
          </cell>
          <cell r="K395">
            <v>0.18</v>
          </cell>
          <cell r="L395" t="str">
            <v>88/2</v>
          </cell>
          <cell r="M395" t="str">
            <v>48008</v>
          </cell>
          <cell r="N395" t="str">
            <v>14 3311269</v>
          </cell>
          <cell r="O395" t="str">
            <v>063</v>
          </cell>
          <cell r="P395">
            <v>10</v>
          </cell>
          <cell r="Q395">
            <v>0</v>
          </cell>
          <cell r="R395" t="str">
            <v>1</v>
          </cell>
          <cell r="S395" t="str">
            <v>48</v>
          </cell>
          <cell r="T395">
            <v>94</v>
          </cell>
          <cell r="U395">
            <v>6</v>
          </cell>
          <cell r="V395">
            <v>94</v>
          </cell>
          <cell r="W395">
            <v>6</v>
          </cell>
          <cell r="X395">
            <v>94</v>
          </cell>
          <cell r="AB395" t="str">
            <v>14</v>
          </cell>
          <cell r="AC395">
            <v>2</v>
          </cell>
          <cell r="AF395" t="str">
            <v>15</v>
          </cell>
          <cell r="AI395">
            <v>15630514</v>
          </cell>
          <cell r="AJ395">
            <v>5470679.8200000003</v>
          </cell>
        </row>
        <row r="396">
          <cell r="A396" t="str">
            <v>02</v>
          </cell>
          <cell r="B396" t="str">
            <v>23</v>
          </cell>
          <cell r="C396" t="str">
            <v>6035</v>
          </cell>
          <cell r="D396" t="str">
            <v>Топливозаправщик УРА</v>
          </cell>
          <cell r="E396" t="str">
            <v>Л-4320 гос.09-35 КШШ</v>
          </cell>
          <cell r="F396" t="str">
            <v>дв28223  ш214995</v>
          </cell>
          <cell r="G396" t="str">
            <v>01</v>
          </cell>
          <cell r="H396">
            <v>149721</v>
          </cell>
          <cell r="I396">
            <v>7486.05</v>
          </cell>
          <cell r="J396">
            <v>0</v>
          </cell>
          <cell r="K396">
            <v>1.07</v>
          </cell>
          <cell r="L396" t="str">
            <v>23</v>
          </cell>
          <cell r="M396" t="str">
            <v>50426</v>
          </cell>
          <cell r="N396" t="str">
            <v>15 3410362</v>
          </cell>
          <cell r="O396" t="str">
            <v>073</v>
          </cell>
          <cell r="P396">
            <v>10</v>
          </cell>
          <cell r="Q396">
            <v>0</v>
          </cell>
          <cell r="R396" t="str">
            <v>1</v>
          </cell>
          <cell r="S396" t="str">
            <v>50</v>
          </cell>
          <cell r="T396">
            <v>94</v>
          </cell>
          <cell r="U396">
            <v>6</v>
          </cell>
          <cell r="V396">
            <v>94</v>
          </cell>
          <cell r="W396">
            <v>6</v>
          </cell>
          <cell r="X396">
            <v>94</v>
          </cell>
          <cell r="AF396" t="str">
            <v>00</v>
          </cell>
          <cell r="AI396">
            <v>140345679</v>
          </cell>
          <cell r="AJ396">
            <v>49120987.770000003</v>
          </cell>
        </row>
        <row r="397">
          <cell r="A397" t="str">
            <v>02</v>
          </cell>
          <cell r="B397" t="str">
            <v>23</v>
          </cell>
          <cell r="C397" t="str">
            <v>6036</v>
          </cell>
          <cell r="D397" t="str">
            <v>Топливозаправщик УРА</v>
          </cell>
          <cell r="E397" t="str">
            <v>Л-4320 гос.09-34 КШШ</v>
          </cell>
          <cell r="F397" t="str">
            <v>дв27776  ш214925</v>
          </cell>
          <cell r="G397" t="str">
            <v>01</v>
          </cell>
          <cell r="H397">
            <v>149721</v>
          </cell>
          <cell r="I397">
            <v>7486.05</v>
          </cell>
          <cell r="J397">
            <v>0</v>
          </cell>
          <cell r="K397">
            <v>1.07</v>
          </cell>
          <cell r="L397" t="str">
            <v>23</v>
          </cell>
          <cell r="M397" t="str">
            <v>50426</v>
          </cell>
          <cell r="N397" t="str">
            <v>15 3410362</v>
          </cell>
          <cell r="O397" t="str">
            <v>073</v>
          </cell>
          <cell r="P397">
            <v>10</v>
          </cell>
          <cell r="Q397">
            <v>0</v>
          </cell>
          <cell r="R397" t="str">
            <v>1</v>
          </cell>
          <cell r="S397" t="str">
            <v>50</v>
          </cell>
          <cell r="T397">
            <v>94</v>
          </cell>
          <cell r="U397">
            <v>6</v>
          </cell>
          <cell r="V397">
            <v>94</v>
          </cell>
          <cell r="W397">
            <v>6</v>
          </cell>
          <cell r="X397">
            <v>94</v>
          </cell>
          <cell r="AF397" t="str">
            <v>00</v>
          </cell>
          <cell r="AI397">
            <v>140345679</v>
          </cell>
          <cell r="AJ397">
            <v>49120987.770000003</v>
          </cell>
        </row>
        <row r="398">
          <cell r="A398" t="str">
            <v>02</v>
          </cell>
          <cell r="B398" t="str">
            <v>23</v>
          </cell>
          <cell r="C398" t="str">
            <v>6037</v>
          </cell>
          <cell r="D398" t="str">
            <v>Прицеп заправщик</v>
          </cell>
          <cell r="E398" t="str">
            <v>ПАЗС-86332 N39-13ЕЮ</v>
          </cell>
          <cell r="G398" t="str">
            <v>01</v>
          </cell>
          <cell r="H398">
            <v>73616.509999999995</v>
          </cell>
          <cell r="I398">
            <v>4601.03</v>
          </cell>
          <cell r="J398">
            <v>0</v>
          </cell>
          <cell r="K398">
            <v>1.31</v>
          </cell>
          <cell r="L398" t="str">
            <v>23</v>
          </cell>
          <cell r="M398" t="str">
            <v>50410</v>
          </cell>
          <cell r="N398" t="str">
            <v>15 3420193</v>
          </cell>
          <cell r="O398" t="str">
            <v>073</v>
          </cell>
          <cell r="P398">
            <v>12.5</v>
          </cell>
          <cell r="Q398">
            <v>0</v>
          </cell>
          <cell r="R398" t="str">
            <v>1</v>
          </cell>
          <cell r="S398" t="str">
            <v>50</v>
          </cell>
          <cell r="T398">
            <v>94</v>
          </cell>
          <cell r="U398">
            <v>6</v>
          </cell>
          <cell r="V398">
            <v>94</v>
          </cell>
          <cell r="W398">
            <v>6</v>
          </cell>
          <cell r="X398">
            <v>94</v>
          </cell>
          <cell r="AF398" t="str">
            <v>00</v>
          </cell>
          <cell r="AI398">
            <v>56195812</v>
          </cell>
          <cell r="AJ398">
            <v>24585667.710000001</v>
          </cell>
        </row>
        <row r="399">
          <cell r="A399" t="str">
            <v>02</v>
          </cell>
          <cell r="B399" t="str">
            <v>23</v>
          </cell>
          <cell r="C399" t="str">
            <v>6038</v>
          </cell>
          <cell r="D399" t="str">
            <v>Прицеп заправщик</v>
          </cell>
          <cell r="E399" t="str">
            <v>ПАЗС-86332 N39-14ЕЮ</v>
          </cell>
          <cell r="G399" t="str">
            <v>01</v>
          </cell>
          <cell r="H399">
            <v>73616.509999999995</v>
          </cell>
          <cell r="I399">
            <v>4601.03</v>
          </cell>
          <cell r="J399">
            <v>0</v>
          </cell>
          <cell r="K399">
            <v>1.31</v>
          </cell>
          <cell r="L399" t="str">
            <v>23</v>
          </cell>
          <cell r="M399" t="str">
            <v>50410</v>
          </cell>
          <cell r="N399" t="str">
            <v>15 3420193</v>
          </cell>
          <cell r="O399" t="str">
            <v>073</v>
          </cell>
          <cell r="P399">
            <v>12.5</v>
          </cell>
          <cell r="Q399">
            <v>0</v>
          </cell>
          <cell r="R399" t="str">
            <v>1</v>
          </cell>
          <cell r="S399" t="str">
            <v>50</v>
          </cell>
          <cell r="T399">
            <v>94</v>
          </cell>
          <cell r="U399">
            <v>6</v>
          </cell>
          <cell r="V399">
            <v>94</v>
          </cell>
          <cell r="W399">
            <v>6</v>
          </cell>
          <cell r="X399">
            <v>94</v>
          </cell>
          <cell r="AF399" t="str">
            <v>00</v>
          </cell>
          <cell r="AI399">
            <v>56195812</v>
          </cell>
          <cell r="AJ399">
            <v>24585667.710000001</v>
          </cell>
        </row>
        <row r="400">
          <cell r="A400" t="str">
            <v>02</v>
          </cell>
          <cell r="B400" t="str">
            <v>99</v>
          </cell>
          <cell r="C400" t="str">
            <v>6039</v>
          </cell>
          <cell r="D400" t="str">
            <v>Бульдозер катерпилле</v>
          </cell>
          <cell r="E400" t="str">
            <v>р DZH</v>
          </cell>
          <cell r="F400" t="str">
            <v>Америка</v>
          </cell>
          <cell r="G400" t="str">
            <v>01</v>
          </cell>
          <cell r="H400">
            <v>1420000</v>
          </cell>
          <cell r="I400">
            <v>71000</v>
          </cell>
          <cell r="J400">
            <v>1446345.49</v>
          </cell>
          <cell r="K400">
            <v>1.24</v>
          </cell>
          <cell r="L400" t="str">
            <v>20</v>
          </cell>
          <cell r="M400" t="str">
            <v>41816</v>
          </cell>
          <cell r="N400" t="str">
            <v>14 2924340</v>
          </cell>
          <cell r="O400" t="str">
            <v>067</v>
          </cell>
          <cell r="P400">
            <v>10</v>
          </cell>
          <cell r="Q400">
            <v>0</v>
          </cell>
          <cell r="R400" t="str">
            <v>1</v>
          </cell>
          <cell r="S400" t="str">
            <v>41</v>
          </cell>
          <cell r="T400">
            <v>94</v>
          </cell>
          <cell r="U400">
            <v>6</v>
          </cell>
          <cell r="V400">
            <v>94</v>
          </cell>
          <cell r="W400">
            <v>6</v>
          </cell>
          <cell r="X400">
            <v>94</v>
          </cell>
          <cell r="Y400">
            <v>12</v>
          </cell>
          <cell r="Z400">
            <v>97</v>
          </cell>
          <cell r="AB400" t="str">
            <v>14</v>
          </cell>
          <cell r="AC400">
            <v>7</v>
          </cell>
          <cell r="AF400" t="str">
            <v>00</v>
          </cell>
          <cell r="AI400">
            <v>1195803498</v>
          </cell>
          <cell r="AJ400">
            <v>400089382.62</v>
          </cell>
        </row>
        <row r="401">
          <cell r="A401" t="str">
            <v>02</v>
          </cell>
          <cell r="B401" t="str">
            <v>05</v>
          </cell>
          <cell r="C401" t="str">
            <v>6040</v>
          </cell>
          <cell r="D401" t="str">
            <v>Бульдозер катерпилле</v>
          </cell>
          <cell r="E401" t="str">
            <v>р DZH</v>
          </cell>
          <cell r="G401" t="str">
            <v>01</v>
          </cell>
          <cell r="H401">
            <v>1420000</v>
          </cell>
          <cell r="I401">
            <v>71000</v>
          </cell>
          <cell r="J401">
            <v>1446345.49</v>
          </cell>
          <cell r="K401">
            <v>1.24</v>
          </cell>
          <cell r="L401" t="str">
            <v>20</v>
          </cell>
          <cell r="M401" t="str">
            <v>41816</v>
          </cell>
          <cell r="N401" t="str">
            <v>14 2924340</v>
          </cell>
          <cell r="O401" t="str">
            <v>067</v>
          </cell>
          <cell r="P401">
            <v>10</v>
          </cell>
          <cell r="Q401">
            <v>0</v>
          </cell>
          <cell r="R401" t="str">
            <v>1</v>
          </cell>
          <cell r="S401" t="str">
            <v>41</v>
          </cell>
          <cell r="T401">
            <v>94</v>
          </cell>
          <cell r="U401">
            <v>6</v>
          </cell>
          <cell r="V401">
            <v>94</v>
          </cell>
          <cell r="W401">
            <v>6</v>
          </cell>
          <cell r="X401">
            <v>94</v>
          </cell>
          <cell r="Y401">
            <v>12</v>
          </cell>
          <cell r="Z401">
            <v>97</v>
          </cell>
          <cell r="AB401" t="str">
            <v>14</v>
          </cell>
          <cell r="AC401">
            <v>3</v>
          </cell>
          <cell r="AF401" t="str">
            <v>00</v>
          </cell>
          <cell r="AI401">
            <v>1195803502</v>
          </cell>
          <cell r="AJ401">
            <v>400089382.30000001</v>
          </cell>
        </row>
        <row r="402">
          <cell r="A402" t="str">
            <v>02</v>
          </cell>
          <cell r="B402" t="str">
            <v>02</v>
          </cell>
          <cell r="C402" t="str">
            <v>6041</v>
          </cell>
          <cell r="D402" t="str">
            <v>Бульдозер катерпилле</v>
          </cell>
          <cell r="E402" t="str">
            <v>р DZH</v>
          </cell>
          <cell r="F402" t="str">
            <v>Япония</v>
          </cell>
          <cell r="G402" t="str">
            <v>01</v>
          </cell>
          <cell r="H402">
            <v>1420000</v>
          </cell>
          <cell r="I402">
            <v>71000</v>
          </cell>
          <cell r="J402">
            <v>1446345.49</v>
          </cell>
          <cell r="K402">
            <v>1.24</v>
          </cell>
          <cell r="L402" t="str">
            <v>20</v>
          </cell>
          <cell r="M402" t="str">
            <v>41816</v>
          </cell>
          <cell r="N402" t="str">
            <v>14 2924340</v>
          </cell>
          <cell r="O402" t="str">
            <v>067</v>
          </cell>
          <cell r="P402">
            <v>10</v>
          </cell>
          <cell r="Q402">
            <v>0</v>
          </cell>
          <cell r="R402" t="str">
            <v>1</v>
          </cell>
          <cell r="S402" t="str">
            <v>41</v>
          </cell>
          <cell r="T402">
            <v>94</v>
          </cell>
          <cell r="U402">
            <v>6</v>
          </cell>
          <cell r="V402">
            <v>94</v>
          </cell>
          <cell r="W402">
            <v>6</v>
          </cell>
          <cell r="X402">
            <v>94</v>
          </cell>
          <cell r="Y402">
            <v>12</v>
          </cell>
          <cell r="Z402">
            <v>97</v>
          </cell>
          <cell r="AB402" t="str">
            <v>14</v>
          </cell>
          <cell r="AC402">
            <v>9</v>
          </cell>
          <cell r="AF402" t="str">
            <v>00</v>
          </cell>
          <cell r="AI402">
            <v>1195803502</v>
          </cell>
          <cell r="AJ402">
            <v>400089382.62</v>
          </cell>
        </row>
        <row r="403">
          <cell r="A403" t="str">
            <v>02</v>
          </cell>
          <cell r="B403" t="str">
            <v>02</v>
          </cell>
          <cell r="C403" t="str">
            <v>6042</v>
          </cell>
          <cell r="D403" t="str">
            <v>Бульдозер катерпилле</v>
          </cell>
          <cell r="E403" t="str">
            <v>р DZH</v>
          </cell>
          <cell r="G403" t="str">
            <v>01</v>
          </cell>
          <cell r="H403">
            <v>1420000</v>
          </cell>
          <cell r="I403">
            <v>71000</v>
          </cell>
          <cell r="J403">
            <v>1446345.49</v>
          </cell>
          <cell r="K403">
            <v>1.24</v>
          </cell>
          <cell r="L403" t="str">
            <v>20</v>
          </cell>
          <cell r="M403" t="str">
            <v>41816</v>
          </cell>
          <cell r="N403" t="str">
            <v>14 2924340</v>
          </cell>
          <cell r="O403" t="str">
            <v>067</v>
          </cell>
          <cell r="P403">
            <v>10</v>
          </cell>
          <cell r="Q403">
            <v>0</v>
          </cell>
          <cell r="R403" t="str">
            <v>1</v>
          </cell>
          <cell r="S403" t="str">
            <v>41</v>
          </cell>
          <cell r="T403">
            <v>94</v>
          </cell>
          <cell r="U403">
            <v>6</v>
          </cell>
          <cell r="V403">
            <v>94</v>
          </cell>
          <cell r="W403">
            <v>6</v>
          </cell>
          <cell r="X403">
            <v>94</v>
          </cell>
          <cell r="Y403">
            <v>12</v>
          </cell>
          <cell r="Z403">
            <v>97</v>
          </cell>
          <cell r="AB403" t="str">
            <v>14</v>
          </cell>
          <cell r="AC403">
            <v>12</v>
          </cell>
          <cell r="AF403" t="str">
            <v>00</v>
          </cell>
          <cell r="AI403">
            <v>1195803502</v>
          </cell>
          <cell r="AJ403">
            <v>400089382.62</v>
          </cell>
        </row>
        <row r="404">
          <cell r="A404" t="str">
            <v>02</v>
          </cell>
          <cell r="B404" t="str">
            <v>02</v>
          </cell>
          <cell r="C404" t="str">
            <v>6043</v>
          </cell>
          <cell r="D404" t="str">
            <v>Бульдозер катерпилле</v>
          </cell>
          <cell r="E404" t="str">
            <v>р DZH</v>
          </cell>
          <cell r="F404" t="str">
            <v>Америка</v>
          </cell>
          <cell r="G404" t="str">
            <v>01</v>
          </cell>
          <cell r="H404">
            <v>1420000</v>
          </cell>
          <cell r="I404">
            <v>71000</v>
          </cell>
          <cell r="J404">
            <v>1446345.49</v>
          </cell>
          <cell r="K404">
            <v>1.24</v>
          </cell>
          <cell r="L404" t="str">
            <v>20</v>
          </cell>
          <cell r="M404" t="str">
            <v>41816</v>
          </cell>
          <cell r="N404" t="str">
            <v>14 2924340</v>
          </cell>
          <cell r="O404" t="str">
            <v>067</v>
          </cell>
          <cell r="P404">
            <v>10</v>
          </cell>
          <cell r="Q404">
            <v>0</v>
          </cell>
          <cell r="R404" t="str">
            <v>1</v>
          </cell>
          <cell r="S404" t="str">
            <v>41</v>
          </cell>
          <cell r="T404">
            <v>94</v>
          </cell>
          <cell r="U404">
            <v>6</v>
          </cell>
          <cell r="V404">
            <v>94</v>
          </cell>
          <cell r="W404">
            <v>6</v>
          </cell>
          <cell r="X404">
            <v>94</v>
          </cell>
          <cell r="Y404">
            <v>12</v>
          </cell>
          <cell r="Z404">
            <v>97</v>
          </cell>
          <cell r="AB404" t="str">
            <v>14</v>
          </cell>
          <cell r="AC404">
            <v>10</v>
          </cell>
          <cell r="AF404" t="str">
            <v>00</v>
          </cell>
          <cell r="AI404">
            <v>1195803502</v>
          </cell>
          <cell r="AJ404">
            <v>400089382.62</v>
          </cell>
        </row>
        <row r="405">
          <cell r="A405" t="str">
            <v>02</v>
          </cell>
          <cell r="B405" t="str">
            <v>99</v>
          </cell>
          <cell r="C405" t="str">
            <v>6044</v>
          </cell>
          <cell r="D405" t="str">
            <v>Бульдозер катерпилле</v>
          </cell>
          <cell r="E405" t="str">
            <v>р  DZH</v>
          </cell>
          <cell r="F405" t="str">
            <v>Америка</v>
          </cell>
          <cell r="G405" t="str">
            <v>01</v>
          </cell>
          <cell r="H405">
            <v>1420000</v>
          </cell>
          <cell r="I405">
            <v>71000</v>
          </cell>
          <cell r="J405">
            <v>1446345.49</v>
          </cell>
          <cell r="K405">
            <v>1.24</v>
          </cell>
          <cell r="L405" t="str">
            <v>20</v>
          </cell>
          <cell r="M405" t="str">
            <v>41816</v>
          </cell>
          <cell r="N405" t="str">
            <v>14 2924340</v>
          </cell>
          <cell r="O405" t="str">
            <v>067</v>
          </cell>
          <cell r="P405">
            <v>10</v>
          </cell>
          <cell r="Q405">
            <v>0</v>
          </cell>
          <cell r="R405" t="str">
            <v>1</v>
          </cell>
          <cell r="S405" t="str">
            <v>41</v>
          </cell>
          <cell r="T405">
            <v>94</v>
          </cell>
          <cell r="U405">
            <v>6</v>
          </cell>
          <cell r="V405">
            <v>94</v>
          </cell>
          <cell r="W405">
            <v>6</v>
          </cell>
          <cell r="X405">
            <v>94</v>
          </cell>
          <cell r="Y405">
            <v>12</v>
          </cell>
          <cell r="Z405">
            <v>97</v>
          </cell>
          <cell r="AB405" t="str">
            <v>14</v>
          </cell>
          <cell r="AC405">
            <v>12</v>
          </cell>
          <cell r="AF405" t="str">
            <v>00</v>
          </cell>
          <cell r="AI405">
            <v>1195803502</v>
          </cell>
          <cell r="AJ405">
            <v>400089382.62</v>
          </cell>
        </row>
        <row r="406">
          <cell r="A406" t="str">
            <v>02</v>
          </cell>
          <cell r="B406" t="str">
            <v>23</v>
          </cell>
          <cell r="C406" t="str">
            <v>6045</v>
          </cell>
          <cell r="D406" t="str">
            <v>ГАЗ-САЗ-3511-66 бур.</v>
          </cell>
          <cell r="E406" t="str">
            <v>уст-ка спец.БМ-30гос</v>
          </cell>
          <cell r="F406" t="str">
            <v>N09-05КШШ дв217360</v>
          </cell>
          <cell r="G406" t="str">
            <v>01</v>
          </cell>
          <cell r="H406">
            <v>138000</v>
          </cell>
          <cell r="I406">
            <v>13800</v>
          </cell>
          <cell r="J406">
            <v>232855</v>
          </cell>
          <cell r="K406">
            <v>0.97</v>
          </cell>
          <cell r="L406" t="str">
            <v>23</v>
          </cell>
          <cell r="M406" t="str">
            <v>42700</v>
          </cell>
          <cell r="N406" t="str">
            <v>14 2924452</v>
          </cell>
          <cell r="O406" t="str">
            <v>064</v>
          </cell>
          <cell r="P406">
            <v>20</v>
          </cell>
          <cell r="Q406">
            <v>0</v>
          </cell>
          <cell r="R406" t="str">
            <v>1</v>
          </cell>
          <cell r="S406" t="str">
            <v>42</v>
          </cell>
          <cell r="T406">
            <v>94</v>
          </cell>
          <cell r="U406">
            <v>6</v>
          </cell>
          <cell r="V406">
            <v>94</v>
          </cell>
          <cell r="W406">
            <v>6</v>
          </cell>
          <cell r="X406">
            <v>94</v>
          </cell>
          <cell r="Y406">
            <v>3</v>
          </cell>
          <cell r="Z406">
            <v>99</v>
          </cell>
          <cell r="AF406" t="str">
            <v>00</v>
          </cell>
          <cell r="AI406">
            <v>142222222</v>
          </cell>
          <cell r="AJ406">
            <v>99555555.480000004</v>
          </cell>
        </row>
        <row r="407">
          <cell r="A407" t="str">
            <v>02</v>
          </cell>
          <cell r="B407" t="str">
            <v>23</v>
          </cell>
          <cell r="C407" t="str">
            <v>6053</v>
          </cell>
          <cell r="D407" t="str">
            <v>А/м джип Судзуки лег</v>
          </cell>
          <cell r="E407" t="str">
            <v>ковая Nо 99-14 РТМ</v>
          </cell>
          <cell r="F407" t="str">
            <v>дв540875 ш133688</v>
          </cell>
          <cell r="G407" t="str">
            <v>01</v>
          </cell>
          <cell r="H407">
            <v>178000</v>
          </cell>
          <cell r="I407">
            <v>9879</v>
          </cell>
          <cell r="J407">
            <v>0</v>
          </cell>
          <cell r="K407">
            <v>1</v>
          </cell>
          <cell r="L407" t="str">
            <v>26</v>
          </cell>
          <cell r="M407" t="str">
            <v>50418</v>
          </cell>
          <cell r="N407" t="str">
            <v>15 3410120</v>
          </cell>
          <cell r="O407" t="str">
            <v>071</v>
          </cell>
          <cell r="P407">
            <v>11.1</v>
          </cell>
          <cell r="Q407">
            <v>0</v>
          </cell>
          <cell r="R407" t="str">
            <v>1</v>
          </cell>
          <cell r="S407" t="str">
            <v>50</v>
          </cell>
          <cell r="T407">
            <v>94</v>
          </cell>
          <cell r="U407">
            <v>6</v>
          </cell>
          <cell r="V407">
            <v>94</v>
          </cell>
          <cell r="W407">
            <v>6</v>
          </cell>
          <cell r="X407">
            <v>94</v>
          </cell>
          <cell r="AF407" t="str">
            <v>00</v>
          </cell>
          <cell r="AI407">
            <v>177488689</v>
          </cell>
          <cell r="AJ407">
            <v>68954355.599999994</v>
          </cell>
        </row>
        <row r="408">
          <cell r="A408" t="str">
            <v>02</v>
          </cell>
          <cell r="B408" t="str">
            <v>23</v>
          </cell>
          <cell r="C408" t="str">
            <v>6054</v>
          </cell>
          <cell r="D408" t="str">
            <v>А/м джип Судзуки лег</v>
          </cell>
          <cell r="E408" t="str">
            <v>ковая Nо 99-15 РТМ</v>
          </cell>
          <cell r="F408" t="str">
            <v>дв541363 ш134067</v>
          </cell>
          <cell r="G408" t="str">
            <v>01</v>
          </cell>
          <cell r="H408">
            <v>178000</v>
          </cell>
          <cell r="I408">
            <v>9879</v>
          </cell>
          <cell r="J408">
            <v>0</v>
          </cell>
          <cell r="K408">
            <v>1</v>
          </cell>
          <cell r="L408" t="str">
            <v>26</v>
          </cell>
          <cell r="M408" t="str">
            <v>50418</v>
          </cell>
          <cell r="N408" t="str">
            <v>15 3410120</v>
          </cell>
          <cell r="O408" t="str">
            <v>071</v>
          </cell>
          <cell r="P408">
            <v>11.1</v>
          </cell>
          <cell r="Q408">
            <v>0</v>
          </cell>
          <cell r="R408" t="str">
            <v>1</v>
          </cell>
          <cell r="S408" t="str">
            <v>50</v>
          </cell>
          <cell r="T408">
            <v>94</v>
          </cell>
          <cell r="U408">
            <v>6</v>
          </cell>
          <cell r="V408">
            <v>94</v>
          </cell>
          <cell r="W408">
            <v>6</v>
          </cell>
          <cell r="X408">
            <v>94</v>
          </cell>
          <cell r="AF408" t="str">
            <v>00</v>
          </cell>
          <cell r="AI408">
            <v>177488689</v>
          </cell>
          <cell r="AJ408">
            <v>68954355.599999994</v>
          </cell>
        </row>
        <row r="409">
          <cell r="A409" t="str">
            <v>02</v>
          </cell>
          <cell r="B409" t="str">
            <v>23</v>
          </cell>
          <cell r="C409" t="str">
            <v>6057</v>
          </cell>
          <cell r="D409" t="str">
            <v>ЗИЛ-131 МШТС-2 гидро</v>
          </cell>
          <cell r="E409" t="str">
            <v>подъемник госN 09-91</v>
          </cell>
          <cell r="F409" t="str">
            <v>КШМ дв048623 ш041672</v>
          </cell>
          <cell r="G409" t="str">
            <v>01</v>
          </cell>
          <cell r="H409">
            <v>206790</v>
          </cell>
          <cell r="I409">
            <v>13027.77</v>
          </cell>
          <cell r="J409">
            <v>0</v>
          </cell>
          <cell r="K409">
            <v>1.45</v>
          </cell>
          <cell r="L409" t="str">
            <v>23</v>
          </cell>
          <cell r="M409" t="str">
            <v>41707</v>
          </cell>
          <cell r="N409" t="str">
            <v>14 3410421</v>
          </cell>
          <cell r="O409" t="str">
            <v>067</v>
          </cell>
          <cell r="P409">
            <v>18.899999999999999</v>
          </cell>
          <cell r="Q409">
            <v>0</v>
          </cell>
          <cell r="R409" t="str">
            <v>1</v>
          </cell>
          <cell r="S409" t="str">
            <v>41</v>
          </cell>
          <cell r="T409">
            <v>94</v>
          </cell>
          <cell r="U409">
            <v>8</v>
          </cell>
          <cell r="V409">
            <v>94</v>
          </cell>
          <cell r="W409">
            <v>8</v>
          </cell>
          <cell r="X409">
            <v>94</v>
          </cell>
          <cell r="AF409" t="str">
            <v>00</v>
          </cell>
          <cell r="AI409">
            <v>142222222</v>
          </cell>
          <cell r="AJ409">
            <v>89599999.930000007</v>
          </cell>
        </row>
        <row r="410">
          <cell r="A410" t="str">
            <v>02</v>
          </cell>
          <cell r="B410" t="str">
            <v>80</v>
          </cell>
          <cell r="C410" t="str">
            <v>6058</v>
          </cell>
          <cell r="D410" t="str">
            <v>Мебель офисная</v>
          </cell>
          <cell r="G410" t="str">
            <v>01</v>
          </cell>
          <cell r="H410">
            <v>64505.63</v>
          </cell>
          <cell r="I410">
            <v>2150.19</v>
          </cell>
          <cell r="J410">
            <v>0</v>
          </cell>
          <cell r="K410">
            <v>0.91</v>
          </cell>
          <cell r="L410" t="str">
            <v>26</v>
          </cell>
          <cell r="M410" t="str">
            <v>70003</v>
          </cell>
          <cell r="N410" t="str">
            <v>16 3612510</v>
          </cell>
          <cell r="O410" t="str">
            <v>08</v>
          </cell>
          <cell r="P410">
            <v>10</v>
          </cell>
          <cell r="Q410">
            <v>0</v>
          </cell>
          <cell r="R410" t="str">
            <v>1</v>
          </cell>
          <cell r="S410" t="str">
            <v>70</v>
          </cell>
          <cell r="T410">
            <v>94</v>
          </cell>
          <cell r="U410">
            <v>8</v>
          </cell>
          <cell r="V410">
            <v>94</v>
          </cell>
          <cell r="W410">
            <v>8</v>
          </cell>
          <cell r="X410">
            <v>94</v>
          </cell>
          <cell r="AF410" t="str">
            <v>00</v>
          </cell>
          <cell r="AI410">
            <v>70885307</v>
          </cell>
          <cell r="AJ410">
            <v>23628435.629999999</v>
          </cell>
        </row>
        <row r="411">
          <cell r="A411" t="str">
            <v>02</v>
          </cell>
          <cell r="B411" t="str">
            <v>51</v>
          </cell>
          <cell r="C411" t="str">
            <v>6059</v>
          </cell>
          <cell r="D411" t="str">
            <v>Станция катодной защ</v>
          </cell>
          <cell r="E411" t="str">
            <v>иты</v>
          </cell>
          <cell r="G411" t="str">
            <v>01</v>
          </cell>
          <cell r="H411">
            <v>729.77</v>
          </cell>
          <cell r="I411">
            <v>18.73</v>
          </cell>
          <cell r="J411">
            <v>0</v>
          </cell>
          <cell r="K411">
            <v>1.21</v>
          </cell>
          <cell r="L411" t="str">
            <v>20</v>
          </cell>
          <cell r="M411" t="str">
            <v>47044</v>
          </cell>
          <cell r="N411" t="str">
            <v>14 3440122</v>
          </cell>
          <cell r="O411" t="str">
            <v>063</v>
          </cell>
          <cell r="P411">
            <v>7.7</v>
          </cell>
          <cell r="Q411">
            <v>0</v>
          </cell>
          <cell r="R411" t="str">
            <v>1</v>
          </cell>
          <cell r="S411" t="str">
            <v>47</v>
          </cell>
          <cell r="T411">
            <v>92</v>
          </cell>
          <cell r="U411">
            <v>8</v>
          </cell>
          <cell r="V411">
            <v>94</v>
          </cell>
          <cell r="W411">
            <v>8</v>
          </cell>
          <cell r="X411">
            <v>94</v>
          </cell>
          <cell r="AB411" t="str">
            <v>14</v>
          </cell>
          <cell r="AC411">
            <v>9</v>
          </cell>
          <cell r="AF411" t="str">
            <v>00</v>
          </cell>
          <cell r="AI411">
            <v>603118</v>
          </cell>
          <cell r="AJ411">
            <v>154800.35</v>
          </cell>
        </row>
        <row r="412">
          <cell r="A412" t="str">
            <v>15</v>
          </cell>
          <cell r="B412" t="str">
            <v>81</v>
          </cell>
          <cell r="C412" t="str">
            <v>6060</v>
          </cell>
          <cell r="D412" t="str">
            <v>Стоматологическое об</v>
          </cell>
          <cell r="E412" t="str">
            <v>орудование</v>
          </cell>
          <cell r="G412" t="str">
            <v>01</v>
          </cell>
          <cell r="H412">
            <v>57241</v>
          </cell>
          <cell r="I412">
            <v>1431.03</v>
          </cell>
          <cell r="J412">
            <v>0</v>
          </cell>
          <cell r="K412">
            <v>0.22</v>
          </cell>
          <cell r="L412" t="str">
            <v>88/2</v>
          </cell>
          <cell r="M412" t="str">
            <v>46012</v>
          </cell>
          <cell r="N412" t="str">
            <v>14 3311322</v>
          </cell>
          <cell r="O412" t="str">
            <v>067</v>
          </cell>
          <cell r="P412">
            <v>10</v>
          </cell>
          <cell r="Q412">
            <v>0</v>
          </cell>
          <cell r="R412" t="str">
            <v>1</v>
          </cell>
          <cell r="S412" t="str">
            <v>46</v>
          </cell>
          <cell r="T412">
            <v>94</v>
          </cell>
          <cell r="U412">
            <v>9</v>
          </cell>
          <cell r="V412">
            <v>94</v>
          </cell>
          <cell r="W412">
            <v>9</v>
          </cell>
          <cell r="X412">
            <v>94</v>
          </cell>
          <cell r="AF412" t="str">
            <v>15</v>
          </cell>
          <cell r="AI412">
            <v>260220560</v>
          </cell>
          <cell r="AJ412">
            <v>84571682.069999993</v>
          </cell>
        </row>
        <row r="413">
          <cell r="A413" t="str">
            <v>02</v>
          </cell>
          <cell r="B413" t="str">
            <v>03</v>
          </cell>
          <cell r="C413" t="str">
            <v>6061</v>
          </cell>
          <cell r="D413" t="str">
            <v>Вагон дом металличес</v>
          </cell>
          <cell r="E413" t="str">
            <v>кий 6 х3.1м Финский</v>
          </cell>
          <cell r="G413" t="str">
            <v>01</v>
          </cell>
          <cell r="H413">
            <v>38200</v>
          </cell>
          <cell r="I413">
            <v>1193.75</v>
          </cell>
          <cell r="J413">
            <v>0</v>
          </cell>
          <cell r="K413">
            <v>1.5</v>
          </cell>
          <cell r="L413" t="str">
            <v>26</v>
          </cell>
          <cell r="M413" t="str">
            <v>10010</v>
          </cell>
          <cell r="N413" t="str">
            <v>13 3420175</v>
          </cell>
          <cell r="O413" t="str">
            <v>01</v>
          </cell>
          <cell r="P413">
            <v>12.5</v>
          </cell>
          <cell r="Q413">
            <v>0</v>
          </cell>
          <cell r="R413" t="str">
            <v>1</v>
          </cell>
          <cell r="S413" t="str">
            <v>10</v>
          </cell>
          <cell r="T413">
            <v>94</v>
          </cell>
          <cell r="U413">
            <v>9</v>
          </cell>
          <cell r="V413">
            <v>94</v>
          </cell>
          <cell r="W413">
            <v>9</v>
          </cell>
          <cell r="X413">
            <v>94</v>
          </cell>
          <cell r="AB413" t="str">
            <v>14</v>
          </cell>
          <cell r="AC413">
            <v>6</v>
          </cell>
          <cell r="AF413" t="str">
            <v>00</v>
          </cell>
          <cell r="AG413">
            <v>25500000</v>
          </cell>
          <cell r="AI413">
            <v>25500000</v>
          </cell>
          <cell r="AJ413">
            <v>10359375</v>
          </cell>
        </row>
        <row r="414">
          <cell r="A414" t="str">
            <v>02</v>
          </cell>
          <cell r="B414" t="str">
            <v>03</v>
          </cell>
          <cell r="C414" t="str">
            <v>6062</v>
          </cell>
          <cell r="D414" t="str">
            <v>Вагон дом металличес</v>
          </cell>
          <cell r="E414" t="str">
            <v>кий 6 х 3.1м Финский</v>
          </cell>
          <cell r="G414" t="str">
            <v>01</v>
          </cell>
          <cell r="H414">
            <v>38200</v>
          </cell>
          <cell r="I414">
            <v>1193.75</v>
          </cell>
          <cell r="J414">
            <v>0</v>
          </cell>
          <cell r="K414">
            <v>1.5</v>
          </cell>
          <cell r="L414" t="str">
            <v>26</v>
          </cell>
          <cell r="M414" t="str">
            <v>10010</v>
          </cell>
          <cell r="N414" t="str">
            <v>13 3420175</v>
          </cell>
          <cell r="O414" t="str">
            <v>01</v>
          </cell>
          <cell r="P414">
            <v>12.5</v>
          </cell>
          <cell r="Q414">
            <v>0</v>
          </cell>
          <cell r="R414" t="str">
            <v>1</v>
          </cell>
          <cell r="S414" t="str">
            <v>10</v>
          </cell>
          <cell r="T414">
            <v>94</v>
          </cell>
          <cell r="U414">
            <v>9</v>
          </cell>
          <cell r="V414">
            <v>94</v>
          </cell>
          <cell r="W414">
            <v>9</v>
          </cell>
          <cell r="X414">
            <v>94</v>
          </cell>
          <cell r="AB414" t="str">
            <v>14</v>
          </cell>
          <cell r="AC414">
            <v>6</v>
          </cell>
          <cell r="AF414" t="str">
            <v>00</v>
          </cell>
          <cell r="AG414">
            <v>25500000</v>
          </cell>
          <cell r="AI414">
            <v>25500000</v>
          </cell>
          <cell r="AJ414">
            <v>10359375</v>
          </cell>
        </row>
        <row r="415">
          <cell r="A415" t="str">
            <v>02</v>
          </cell>
          <cell r="B415" t="str">
            <v>02</v>
          </cell>
          <cell r="C415" t="str">
            <v>6063</v>
          </cell>
          <cell r="D415" t="str">
            <v>Вагон дом</v>
          </cell>
          <cell r="E415" t="str">
            <v>дерево-металлич.</v>
          </cell>
          <cell r="F415" t="str">
            <v>Финляндия</v>
          </cell>
          <cell r="G415" t="str">
            <v>01</v>
          </cell>
          <cell r="H415">
            <v>85000</v>
          </cell>
          <cell r="I415">
            <v>2656.25</v>
          </cell>
          <cell r="J415">
            <v>0</v>
          </cell>
          <cell r="K415">
            <v>0.8</v>
          </cell>
          <cell r="L415" t="str">
            <v>20</v>
          </cell>
          <cell r="M415" t="str">
            <v>10010</v>
          </cell>
          <cell r="N415" t="str">
            <v>13 2022261</v>
          </cell>
          <cell r="O415" t="str">
            <v>01</v>
          </cell>
          <cell r="P415">
            <v>12.5</v>
          </cell>
          <cell r="Q415">
            <v>0</v>
          </cell>
          <cell r="R415" t="str">
            <v>1</v>
          </cell>
          <cell r="S415" t="str">
            <v>10</v>
          </cell>
          <cell r="T415">
            <v>94</v>
          </cell>
          <cell r="U415">
            <v>9</v>
          </cell>
          <cell r="V415">
            <v>94</v>
          </cell>
          <cell r="W415">
            <v>9</v>
          </cell>
          <cell r="X415">
            <v>94</v>
          </cell>
          <cell r="AF415" t="str">
            <v>00</v>
          </cell>
          <cell r="AI415">
            <v>105829033</v>
          </cell>
          <cell r="AJ415">
            <v>42993044.649999999</v>
          </cell>
        </row>
        <row r="416">
          <cell r="A416" t="str">
            <v>02</v>
          </cell>
          <cell r="B416" t="str">
            <v>02</v>
          </cell>
          <cell r="C416" t="str">
            <v>6064</v>
          </cell>
          <cell r="D416" t="str">
            <v>Вагон дом</v>
          </cell>
          <cell r="E416" t="str">
            <v>дерево-метал.Финлян-</v>
          </cell>
          <cell r="F416" t="str">
            <v>дия</v>
          </cell>
          <cell r="G416" t="str">
            <v>01</v>
          </cell>
          <cell r="H416">
            <v>85000</v>
          </cell>
          <cell r="I416">
            <v>2656.25</v>
          </cell>
          <cell r="J416">
            <v>0</v>
          </cell>
          <cell r="K416">
            <v>0.8</v>
          </cell>
          <cell r="L416" t="str">
            <v>20</v>
          </cell>
          <cell r="M416" t="str">
            <v>10010</v>
          </cell>
          <cell r="N416" t="str">
            <v>13 2022261</v>
          </cell>
          <cell r="O416" t="str">
            <v>01</v>
          </cell>
          <cell r="P416">
            <v>12.5</v>
          </cell>
          <cell r="Q416">
            <v>0</v>
          </cell>
          <cell r="R416" t="str">
            <v>1</v>
          </cell>
          <cell r="S416" t="str">
            <v>10</v>
          </cell>
          <cell r="T416">
            <v>94</v>
          </cell>
          <cell r="U416">
            <v>9</v>
          </cell>
          <cell r="V416">
            <v>94</v>
          </cell>
          <cell r="W416">
            <v>9</v>
          </cell>
          <cell r="X416">
            <v>94</v>
          </cell>
          <cell r="AF416" t="str">
            <v>00</v>
          </cell>
          <cell r="AI416">
            <v>105829033</v>
          </cell>
          <cell r="AJ416">
            <v>42993044.649999999</v>
          </cell>
        </row>
        <row r="417">
          <cell r="A417" t="str">
            <v>02</v>
          </cell>
          <cell r="B417" t="str">
            <v>02</v>
          </cell>
          <cell r="C417" t="str">
            <v>6065</v>
          </cell>
          <cell r="D417" t="str">
            <v>вагон дом</v>
          </cell>
          <cell r="E417" t="str">
            <v>дерево-метал.Финлян-</v>
          </cell>
          <cell r="F417" t="str">
            <v>дия</v>
          </cell>
          <cell r="G417" t="str">
            <v>01</v>
          </cell>
          <cell r="H417">
            <v>85000</v>
          </cell>
          <cell r="I417">
            <v>2656.25</v>
          </cell>
          <cell r="J417">
            <v>0</v>
          </cell>
          <cell r="K417">
            <v>0.8</v>
          </cell>
          <cell r="L417" t="str">
            <v>20</v>
          </cell>
          <cell r="M417" t="str">
            <v>10010</v>
          </cell>
          <cell r="N417" t="str">
            <v>13 2022261</v>
          </cell>
          <cell r="O417" t="str">
            <v>01</v>
          </cell>
          <cell r="P417">
            <v>12.5</v>
          </cell>
          <cell r="Q417">
            <v>0</v>
          </cell>
          <cell r="R417" t="str">
            <v>1</v>
          </cell>
          <cell r="S417" t="str">
            <v>10</v>
          </cell>
          <cell r="T417">
            <v>94</v>
          </cell>
          <cell r="U417">
            <v>9</v>
          </cell>
          <cell r="V417">
            <v>94</v>
          </cell>
          <cell r="W417">
            <v>9</v>
          </cell>
          <cell r="X417">
            <v>94</v>
          </cell>
          <cell r="AF417" t="str">
            <v>00</v>
          </cell>
          <cell r="AI417">
            <v>105829033</v>
          </cell>
          <cell r="AJ417">
            <v>42993044.649999999</v>
          </cell>
        </row>
        <row r="418">
          <cell r="A418" t="str">
            <v>02</v>
          </cell>
          <cell r="B418" t="str">
            <v>02</v>
          </cell>
          <cell r="C418" t="str">
            <v>6066</v>
          </cell>
          <cell r="D418" t="str">
            <v>Вагон дом</v>
          </cell>
          <cell r="E418" t="str">
            <v>дерево-метал.Финлянд</v>
          </cell>
          <cell r="F418" t="str">
            <v>ия</v>
          </cell>
          <cell r="G418" t="str">
            <v>01</v>
          </cell>
          <cell r="H418">
            <v>85000</v>
          </cell>
          <cell r="I418">
            <v>2656.25</v>
          </cell>
          <cell r="J418">
            <v>0</v>
          </cell>
          <cell r="K418">
            <v>0.8</v>
          </cell>
          <cell r="L418" t="str">
            <v>20</v>
          </cell>
          <cell r="M418" t="str">
            <v>10010</v>
          </cell>
          <cell r="N418" t="str">
            <v>13 2022261</v>
          </cell>
          <cell r="O418" t="str">
            <v>01</v>
          </cell>
          <cell r="P418">
            <v>12.5</v>
          </cell>
          <cell r="Q418">
            <v>0</v>
          </cell>
          <cell r="R418" t="str">
            <v>1</v>
          </cell>
          <cell r="S418" t="str">
            <v>10</v>
          </cell>
          <cell r="T418">
            <v>94</v>
          </cell>
          <cell r="U418">
            <v>9</v>
          </cell>
          <cell r="V418">
            <v>94</v>
          </cell>
          <cell r="W418">
            <v>9</v>
          </cell>
          <cell r="X418">
            <v>94</v>
          </cell>
          <cell r="AF418" t="str">
            <v>00</v>
          </cell>
          <cell r="AI418">
            <v>105829033</v>
          </cell>
          <cell r="AJ418">
            <v>42993044.649999999</v>
          </cell>
        </row>
        <row r="419">
          <cell r="A419" t="str">
            <v>02</v>
          </cell>
          <cell r="B419" t="str">
            <v>02</v>
          </cell>
          <cell r="C419" t="str">
            <v>6067</v>
          </cell>
          <cell r="D419" t="str">
            <v>Вагон дом</v>
          </cell>
          <cell r="E419" t="str">
            <v>дерево-метал.Финлянд</v>
          </cell>
          <cell r="F419" t="str">
            <v>ия</v>
          </cell>
          <cell r="G419" t="str">
            <v>01</v>
          </cell>
          <cell r="H419">
            <v>85000</v>
          </cell>
          <cell r="I419">
            <v>2656.25</v>
          </cell>
          <cell r="J419">
            <v>0</v>
          </cell>
          <cell r="K419">
            <v>0.8</v>
          </cell>
          <cell r="L419" t="str">
            <v>20</v>
          </cell>
          <cell r="M419" t="str">
            <v>10010</v>
          </cell>
          <cell r="N419" t="str">
            <v>13 2022261</v>
          </cell>
          <cell r="O419" t="str">
            <v>01</v>
          </cell>
          <cell r="P419">
            <v>12.5</v>
          </cell>
          <cell r="Q419">
            <v>0</v>
          </cell>
          <cell r="R419" t="str">
            <v>1</v>
          </cell>
          <cell r="S419" t="str">
            <v>10</v>
          </cell>
          <cell r="T419">
            <v>94</v>
          </cell>
          <cell r="U419">
            <v>9</v>
          </cell>
          <cell r="V419">
            <v>94</v>
          </cell>
          <cell r="W419">
            <v>9</v>
          </cell>
          <cell r="X419">
            <v>94</v>
          </cell>
          <cell r="AF419" t="str">
            <v>00</v>
          </cell>
          <cell r="AI419">
            <v>105829033</v>
          </cell>
          <cell r="AJ419">
            <v>42993044.649999999</v>
          </cell>
        </row>
        <row r="420">
          <cell r="A420" t="str">
            <v>02</v>
          </cell>
          <cell r="B420" t="str">
            <v>02</v>
          </cell>
          <cell r="C420" t="str">
            <v>6068</v>
          </cell>
          <cell r="D420" t="str">
            <v>Вагон дом</v>
          </cell>
          <cell r="E420" t="str">
            <v>дерево-метал.Финлянд</v>
          </cell>
          <cell r="F420" t="str">
            <v>ия</v>
          </cell>
          <cell r="G420" t="str">
            <v>01</v>
          </cell>
          <cell r="H420">
            <v>85000</v>
          </cell>
          <cell r="I420">
            <v>2656.25</v>
          </cell>
          <cell r="J420">
            <v>0</v>
          </cell>
          <cell r="K420">
            <v>0.8</v>
          </cell>
          <cell r="L420" t="str">
            <v>20</v>
          </cell>
          <cell r="M420" t="str">
            <v>10010</v>
          </cell>
          <cell r="N420" t="str">
            <v>13 2022261</v>
          </cell>
          <cell r="O420" t="str">
            <v>01</v>
          </cell>
          <cell r="P420">
            <v>12.5</v>
          </cell>
          <cell r="Q420">
            <v>0</v>
          </cell>
          <cell r="R420" t="str">
            <v>1</v>
          </cell>
          <cell r="S420" t="str">
            <v>10</v>
          </cell>
          <cell r="T420">
            <v>94</v>
          </cell>
          <cell r="U420">
            <v>9</v>
          </cell>
          <cell r="V420">
            <v>94</v>
          </cell>
          <cell r="W420">
            <v>9</v>
          </cell>
          <cell r="X420">
            <v>94</v>
          </cell>
          <cell r="AF420" t="str">
            <v>00</v>
          </cell>
          <cell r="AI420">
            <v>105829033</v>
          </cell>
          <cell r="AJ420">
            <v>42993044.649999999</v>
          </cell>
        </row>
        <row r="421">
          <cell r="A421" t="str">
            <v>02</v>
          </cell>
          <cell r="B421" t="str">
            <v>02</v>
          </cell>
          <cell r="C421" t="str">
            <v>6070</v>
          </cell>
          <cell r="D421" t="str">
            <v>Вагон дом</v>
          </cell>
          <cell r="E421" t="str">
            <v>дерево-метал.Финлянд</v>
          </cell>
          <cell r="F421" t="str">
            <v>ия</v>
          </cell>
          <cell r="G421" t="str">
            <v>01</v>
          </cell>
          <cell r="H421">
            <v>85000</v>
          </cell>
          <cell r="I421">
            <v>2656.25</v>
          </cell>
          <cell r="J421">
            <v>0</v>
          </cell>
          <cell r="K421">
            <v>0.8</v>
          </cell>
          <cell r="L421" t="str">
            <v>20</v>
          </cell>
          <cell r="M421" t="str">
            <v>10010</v>
          </cell>
          <cell r="N421" t="str">
            <v>13 2022261</v>
          </cell>
          <cell r="O421" t="str">
            <v>01</v>
          </cell>
          <cell r="P421">
            <v>12.5</v>
          </cell>
          <cell r="Q421">
            <v>0</v>
          </cell>
          <cell r="R421" t="str">
            <v>1</v>
          </cell>
          <cell r="S421" t="str">
            <v>10</v>
          </cell>
          <cell r="T421">
            <v>94</v>
          </cell>
          <cell r="U421">
            <v>9</v>
          </cell>
          <cell r="V421">
            <v>94</v>
          </cell>
          <cell r="W421">
            <v>9</v>
          </cell>
          <cell r="X421">
            <v>94</v>
          </cell>
          <cell r="AF421" t="str">
            <v>00</v>
          </cell>
          <cell r="AI421">
            <v>105829033</v>
          </cell>
          <cell r="AJ421">
            <v>42993044.649999999</v>
          </cell>
        </row>
        <row r="422">
          <cell r="A422" t="str">
            <v>02</v>
          </cell>
          <cell r="B422" t="str">
            <v>02</v>
          </cell>
          <cell r="C422" t="str">
            <v>6071</v>
          </cell>
          <cell r="D422" t="str">
            <v>Вагон дом</v>
          </cell>
          <cell r="E422" t="str">
            <v>дерево-метал.Финлянд</v>
          </cell>
          <cell r="F422" t="str">
            <v>ия</v>
          </cell>
          <cell r="G422" t="str">
            <v>01</v>
          </cell>
          <cell r="H422">
            <v>85000</v>
          </cell>
          <cell r="I422">
            <v>2656.25</v>
          </cell>
          <cell r="J422">
            <v>0</v>
          </cell>
          <cell r="K422">
            <v>0.8</v>
          </cell>
          <cell r="L422" t="str">
            <v>20</v>
          </cell>
          <cell r="M422" t="str">
            <v>10010</v>
          </cell>
          <cell r="N422" t="str">
            <v>13 2022261</v>
          </cell>
          <cell r="O422" t="str">
            <v>01</v>
          </cell>
          <cell r="P422">
            <v>12.5</v>
          </cell>
          <cell r="Q422">
            <v>0</v>
          </cell>
          <cell r="R422" t="str">
            <v>1</v>
          </cell>
          <cell r="S422" t="str">
            <v>10</v>
          </cell>
          <cell r="T422">
            <v>94</v>
          </cell>
          <cell r="U422">
            <v>9</v>
          </cell>
          <cell r="V422">
            <v>94</v>
          </cell>
          <cell r="W422">
            <v>9</v>
          </cell>
          <cell r="X422">
            <v>94</v>
          </cell>
          <cell r="AF422" t="str">
            <v>00</v>
          </cell>
          <cell r="AI422">
            <v>105829033</v>
          </cell>
          <cell r="AJ422">
            <v>42993044.649999999</v>
          </cell>
        </row>
        <row r="423">
          <cell r="A423" t="str">
            <v>02</v>
          </cell>
          <cell r="B423" t="str">
            <v>02</v>
          </cell>
          <cell r="C423" t="str">
            <v>6072</v>
          </cell>
          <cell r="D423" t="str">
            <v>Вагон дом</v>
          </cell>
          <cell r="E423" t="str">
            <v>дерево-метал.Финлянд</v>
          </cell>
          <cell r="F423" t="str">
            <v>ия</v>
          </cell>
          <cell r="G423" t="str">
            <v>01</v>
          </cell>
          <cell r="H423">
            <v>85000</v>
          </cell>
          <cell r="I423">
            <v>2656.25</v>
          </cell>
          <cell r="J423">
            <v>0</v>
          </cell>
          <cell r="K423">
            <v>0.8</v>
          </cell>
          <cell r="L423" t="str">
            <v>20</v>
          </cell>
          <cell r="M423" t="str">
            <v>10010</v>
          </cell>
          <cell r="N423" t="str">
            <v>13 2022261</v>
          </cell>
          <cell r="O423" t="str">
            <v>01</v>
          </cell>
          <cell r="P423">
            <v>12.5</v>
          </cell>
          <cell r="Q423">
            <v>0</v>
          </cell>
          <cell r="R423" t="str">
            <v>1</v>
          </cell>
          <cell r="S423" t="str">
            <v>10</v>
          </cell>
          <cell r="T423">
            <v>94</v>
          </cell>
          <cell r="U423">
            <v>9</v>
          </cell>
          <cell r="V423">
            <v>94</v>
          </cell>
          <cell r="W423">
            <v>9</v>
          </cell>
          <cell r="X423">
            <v>94</v>
          </cell>
          <cell r="AF423" t="str">
            <v>00</v>
          </cell>
          <cell r="AI423">
            <v>105829033</v>
          </cell>
          <cell r="AJ423">
            <v>42993044.649999999</v>
          </cell>
        </row>
        <row r="424">
          <cell r="A424" t="str">
            <v>02</v>
          </cell>
          <cell r="B424" t="str">
            <v>02</v>
          </cell>
          <cell r="C424" t="str">
            <v>6073</v>
          </cell>
          <cell r="D424" t="str">
            <v>вагон дом</v>
          </cell>
          <cell r="E424" t="str">
            <v>дерево-метал.Финлянд</v>
          </cell>
          <cell r="F424" t="str">
            <v>ия</v>
          </cell>
          <cell r="G424" t="str">
            <v>01</v>
          </cell>
          <cell r="H424">
            <v>85000</v>
          </cell>
          <cell r="I424">
            <v>2656.25</v>
          </cell>
          <cell r="J424">
            <v>0</v>
          </cell>
          <cell r="K424">
            <v>0.8</v>
          </cell>
          <cell r="L424" t="str">
            <v>20</v>
          </cell>
          <cell r="M424" t="str">
            <v>10010</v>
          </cell>
          <cell r="N424" t="str">
            <v>13 2022261</v>
          </cell>
          <cell r="O424" t="str">
            <v>01</v>
          </cell>
          <cell r="P424">
            <v>12.5</v>
          </cell>
          <cell r="Q424">
            <v>0</v>
          </cell>
          <cell r="R424" t="str">
            <v>1</v>
          </cell>
          <cell r="S424" t="str">
            <v>10</v>
          </cell>
          <cell r="T424">
            <v>94</v>
          </cell>
          <cell r="U424">
            <v>9</v>
          </cell>
          <cell r="V424">
            <v>94</v>
          </cell>
          <cell r="W424">
            <v>9</v>
          </cell>
          <cell r="X424">
            <v>94</v>
          </cell>
          <cell r="AF424" t="str">
            <v>00</v>
          </cell>
          <cell r="AI424">
            <v>105829033</v>
          </cell>
          <cell r="AJ424">
            <v>42993044.649999999</v>
          </cell>
        </row>
        <row r="425">
          <cell r="A425" t="str">
            <v>02</v>
          </cell>
          <cell r="B425" t="str">
            <v>02</v>
          </cell>
          <cell r="C425" t="str">
            <v>6074</v>
          </cell>
          <cell r="D425" t="str">
            <v>Вагон дом</v>
          </cell>
          <cell r="E425" t="str">
            <v>дерево-метал.Финлянд</v>
          </cell>
          <cell r="F425" t="str">
            <v>ия</v>
          </cell>
          <cell r="G425" t="str">
            <v>01</v>
          </cell>
          <cell r="H425">
            <v>85000</v>
          </cell>
          <cell r="I425">
            <v>2656.25</v>
          </cell>
          <cell r="J425">
            <v>0</v>
          </cell>
          <cell r="K425">
            <v>0.8</v>
          </cell>
          <cell r="L425" t="str">
            <v>20</v>
          </cell>
          <cell r="M425" t="str">
            <v>10010</v>
          </cell>
          <cell r="N425" t="str">
            <v>13 2022261</v>
          </cell>
          <cell r="O425" t="str">
            <v>01</v>
          </cell>
          <cell r="P425">
            <v>12.5</v>
          </cell>
          <cell r="Q425">
            <v>0</v>
          </cell>
          <cell r="R425" t="str">
            <v>1</v>
          </cell>
          <cell r="S425" t="str">
            <v>10</v>
          </cell>
          <cell r="T425">
            <v>94</v>
          </cell>
          <cell r="U425">
            <v>9</v>
          </cell>
          <cell r="V425">
            <v>94</v>
          </cell>
          <cell r="W425">
            <v>9</v>
          </cell>
          <cell r="X425">
            <v>94</v>
          </cell>
          <cell r="AF425" t="str">
            <v>00</v>
          </cell>
          <cell r="AI425">
            <v>105829033</v>
          </cell>
          <cell r="AJ425">
            <v>42993044.649999999</v>
          </cell>
        </row>
        <row r="426">
          <cell r="A426" t="str">
            <v>02</v>
          </cell>
          <cell r="B426" t="str">
            <v>02</v>
          </cell>
          <cell r="C426" t="str">
            <v>6075</v>
          </cell>
          <cell r="D426" t="str">
            <v>Вагон дом командирск</v>
          </cell>
          <cell r="E426" t="str">
            <v>дерево-металлич.</v>
          </cell>
          <cell r="F426" t="str">
            <v>Финляндия</v>
          </cell>
          <cell r="G426" t="str">
            <v>01</v>
          </cell>
          <cell r="H426">
            <v>85000</v>
          </cell>
          <cell r="I426">
            <v>2516.4299999999998</v>
          </cell>
          <cell r="J426">
            <v>0</v>
          </cell>
          <cell r="K426">
            <v>0.76</v>
          </cell>
          <cell r="L426" t="str">
            <v>20</v>
          </cell>
          <cell r="M426" t="str">
            <v>10010</v>
          </cell>
          <cell r="N426" t="str">
            <v>13 2022261</v>
          </cell>
          <cell r="O426" t="str">
            <v>01</v>
          </cell>
          <cell r="P426">
            <v>12.5</v>
          </cell>
          <cell r="Q426">
            <v>0</v>
          </cell>
          <cell r="R426" t="str">
            <v>1</v>
          </cell>
          <cell r="S426" t="str">
            <v>10</v>
          </cell>
          <cell r="T426">
            <v>94</v>
          </cell>
          <cell r="U426">
            <v>9</v>
          </cell>
          <cell r="V426">
            <v>94</v>
          </cell>
          <cell r="W426">
            <v>9</v>
          </cell>
          <cell r="X426">
            <v>94</v>
          </cell>
          <cell r="AF426" t="str">
            <v>00</v>
          </cell>
          <cell r="AI426">
            <v>111709069</v>
          </cell>
          <cell r="AJ426">
            <v>45198058.149999999</v>
          </cell>
        </row>
        <row r="427">
          <cell r="A427" t="str">
            <v>02</v>
          </cell>
          <cell r="B427" t="str">
            <v>02</v>
          </cell>
          <cell r="C427" t="str">
            <v>6076</v>
          </cell>
          <cell r="D427" t="str">
            <v>Вагон дом</v>
          </cell>
          <cell r="E427" t="str">
            <v>дерево-металлич.</v>
          </cell>
          <cell r="F427" t="str">
            <v>3 х 9</v>
          </cell>
          <cell r="G427" t="str">
            <v>01</v>
          </cell>
          <cell r="H427">
            <v>85000</v>
          </cell>
          <cell r="I427">
            <v>2656.25</v>
          </cell>
          <cell r="J427">
            <v>0</v>
          </cell>
          <cell r="K427">
            <v>0.15</v>
          </cell>
          <cell r="L427" t="str">
            <v>20</v>
          </cell>
          <cell r="M427" t="str">
            <v>10010</v>
          </cell>
          <cell r="N427" t="str">
            <v>13 2022261</v>
          </cell>
          <cell r="O427" t="str">
            <v>01</v>
          </cell>
          <cell r="P427">
            <v>12.5</v>
          </cell>
          <cell r="Q427">
            <v>0</v>
          </cell>
          <cell r="R427" t="str">
            <v>1</v>
          </cell>
          <cell r="S427" t="str">
            <v>10</v>
          </cell>
          <cell r="T427">
            <v>94</v>
          </cell>
          <cell r="U427">
            <v>9</v>
          </cell>
          <cell r="V427">
            <v>94</v>
          </cell>
          <cell r="W427">
            <v>9</v>
          </cell>
          <cell r="X427">
            <v>94</v>
          </cell>
          <cell r="AF427" t="str">
            <v>00</v>
          </cell>
          <cell r="AI427">
            <v>565600762</v>
          </cell>
          <cell r="AJ427">
            <v>229775309.47</v>
          </cell>
        </row>
        <row r="428">
          <cell r="A428" t="str">
            <v>02</v>
          </cell>
          <cell r="B428" t="str">
            <v>02</v>
          </cell>
          <cell r="C428" t="str">
            <v>6077</v>
          </cell>
          <cell r="D428" t="str">
            <v>вагон дом</v>
          </cell>
          <cell r="E428" t="str">
            <v>дерево-металлич.</v>
          </cell>
          <cell r="F428" t="str">
            <v>Финляндия</v>
          </cell>
          <cell r="G428" t="str">
            <v>01</v>
          </cell>
          <cell r="H428">
            <v>84714.28</v>
          </cell>
          <cell r="I428">
            <v>2647.32</v>
          </cell>
          <cell r="J428">
            <v>0</v>
          </cell>
          <cell r="K428">
            <v>1.5</v>
          </cell>
          <cell r="L428" t="str">
            <v>20</v>
          </cell>
          <cell r="M428" t="str">
            <v>10010</v>
          </cell>
          <cell r="N428" t="str">
            <v>13 2022261</v>
          </cell>
          <cell r="O428" t="str">
            <v>01</v>
          </cell>
          <cell r="P428">
            <v>12.5</v>
          </cell>
          <cell r="Q428">
            <v>0</v>
          </cell>
          <cell r="R428" t="str">
            <v>1</v>
          </cell>
          <cell r="S428" t="str">
            <v>10</v>
          </cell>
          <cell r="T428">
            <v>94</v>
          </cell>
          <cell r="U428">
            <v>9</v>
          </cell>
          <cell r="V428">
            <v>94</v>
          </cell>
          <cell r="W428">
            <v>9</v>
          </cell>
          <cell r="X428">
            <v>94</v>
          </cell>
          <cell r="AF428" t="str">
            <v>00</v>
          </cell>
          <cell r="AI428">
            <v>56476188</v>
          </cell>
          <cell r="AJ428">
            <v>22943451.48</v>
          </cell>
        </row>
        <row r="429">
          <cell r="A429" t="str">
            <v>02</v>
          </cell>
          <cell r="B429" t="str">
            <v>12</v>
          </cell>
          <cell r="C429" t="str">
            <v>6080</v>
          </cell>
          <cell r="D429" t="str">
            <v>Сцепка-сп-11</v>
          </cell>
          <cell r="G429" t="str">
            <v>01</v>
          </cell>
          <cell r="H429">
            <v>4449.84</v>
          </cell>
          <cell r="I429">
            <v>222.49</v>
          </cell>
          <cell r="J429">
            <v>0</v>
          </cell>
          <cell r="K429">
            <v>1.31</v>
          </cell>
          <cell r="L429" t="str">
            <v>88/4</v>
          </cell>
          <cell r="M429" t="str">
            <v>45744</v>
          </cell>
          <cell r="N429" t="str">
            <v>14 2921000</v>
          </cell>
          <cell r="O429" t="str">
            <v>063</v>
          </cell>
          <cell r="P429">
            <v>20</v>
          </cell>
          <cell r="Q429">
            <v>0</v>
          </cell>
          <cell r="R429" t="str">
            <v>1</v>
          </cell>
          <cell r="S429" t="str">
            <v>45</v>
          </cell>
          <cell r="T429">
            <v>93</v>
          </cell>
          <cell r="U429">
            <v>9</v>
          </cell>
          <cell r="V429">
            <v>94</v>
          </cell>
          <cell r="W429">
            <v>9</v>
          </cell>
          <cell r="X429">
            <v>94</v>
          </cell>
          <cell r="AF429" t="str">
            <v>00</v>
          </cell>
          <cell r="AI429">
            <v>3396823</v>
          </cell>
          <cell r="AJ429">
            <v>2207935.02</v>
          </cell>
        </row>
        <row r="430">
          <cell r="A430" t="str">
            <v>02</v>
          </cell>
          <cell r="B430" t="str">
            <v>12</v>
          </cell>
          <cell r="C430" t="str">
            <v>6081</v>
          </cell>
          <cell r="D430" t="str">
            <v>Сцепка сп-11</v>
          </cell>
          <cell r="G430" t="str">
            <v>01</v>
          </cell>
          <cell r="H430">
            <v>6100</v>
          </cell>
          <cell r="I430">
            <v>305</v>
          </cell>
          <cell r="J430">
            <v>0</v>
          </cell>
          <cell r="K430">
            <v>1.2</v>
          </cell>
          <cell r="L430" t="str">
            <v>88/4</v>
          </cell>
          <cell r="M430" t="str">
            <v>45744</v>
          </cell>
          <cell r="N430" t="str">
            <v>14 2921000</v>
          </cell>
          <cell r="O430" t="str">
            <v>063</v>
          </cell>
          <cell r="P430">
            <v>20</v>
          </cell>
          <cell r="Q430">
            <v>0</v>
          </cell>
          <cell r="R430" t="str">
            <v>1</v>
          </cell>
          <cell r="S430" t="str">
            <v>45</v>
          </cell>
          <cell r="T430">
            <v>94</v>
          </cell>
          <cell r="U430">
            <v>9</v>
          </cell>
          <cell r="V430">
            <v>94</v>
          </cell>
          <cell r="W430">
            <v>9</v>
          </cell>
          <cell r="X430">
            <v>94</v>
          </cell>
          <cell r="AF430" t="str">
            <v>00</v>
          </cell>
          <cell r="AI430">
            <v>5095233</v>
          </cell>
          <cell r="AJ430">
            <v>3311901.45</v>
          </cell>
        </row>
        <row r="431">
          <cell r="A431" t="str">
            <v>02</v>
          </cell>
          <cell r="B431" t="str">
            <v>12</v>
          </cell>
          <cell r="C431" t="str">
            <v>6082</v>
          </cell>
          <cell r="D431" t="str">
            <v>жатка жвн-6</v>
          </cell>
          <cell r="F431" t="str">
            <v>673503</v>
          </cell>
          <cell r="G431" t="str">
            <v>01</v>
          </cell>
          <cell r="H431">
            <v>12258.08</v>
          </cell>
          <cell r="I431">
            <v>383.07</v>
          </cell>
          <cell r="J431">
            <v>0</v>
          </cell>
          <cell r="K431">
            <v>1.21</v>
          </cell>
          <cell r="L431" t="str">
            <v>88/4</v>
          </cell>
          <cell r="M431" t="str">
            <v>45701</v>
          </cell>
          <cell r="N431" t="str">
            <v>14 2921000</v>
          </cell>
          <cell r="O431" t="str">
            <v>062</v>
          </cell>
          <cell r="P431">
            <v>12.5</v>
          </cell>
          <cell r="Q431">
            <v>0</v>
          </cell>
          <cell r="R431" t="str">
            <v>1</v>
          </cell>
          <cell r="S431" t="str">
            <v>45</v>
          </cell>
          <cell r="T431">
            <v>94</v>
          </cell>
          <cell r="U431">
            <v>9</v>
          </cell>
          <cell r="V431">
            <v>94</v>
          </cell>
          <cell r="W431">
            <v>9</v>
          </cell>
          <cell r="X431">
            <v>94</v>
          </cell>
          <cell r="AF431" t="str">
            <v>00</v>
          </cell>
          <cell r="AI431">
            <v>10130647</v>
          </cell>
          <cell r="AJ431">
            <v>4115575.29</v>
          </cell>
        </row>
        <row r="432">
          <cell r="A432" t="str">
            <v>02</v>
          </cell>
          <cell r="B432" t="str">
            <v>12</v>
          </cell>
          <cell r="C432" t="str">
            <v>6083</v>
          </cell>
          <cell r="D432" t="str">
            <v>Жатка жвн-6</v>
          </cell>
          <cell r="F432" t="str">
            <v>673410</v>
          </cell>
          <cell r="G432" t="str">
            <v>01</v>
          </cell>
          <cell r="H432">
            <v>12258.08</v>
          </cell>
          <cell r="I432">
            <v>383.07</v>
          </cell>
          <cell r="J432">
            <v>0</v>
          </cell>
          <cell r="K432">
            <v>1.21</v>
          </cell>
          <cell r="L432" t="str">
            <v>88/4</v>
          </cell>
          <cell r="M432" t="str">
            <v>45701</v>
          </cell>
          <cell r="N432" t="str">
            <v>14 2921000</v>
          </cell>
          <cell r="O432" t="str">
            <v>062</v>
          </cell>
          <cell r="P432">
            <v>12.5</v>
          </cell>
          <cell r="Q432">
            <v>0</v>
          </cell>
          <cell r="R432" t="str">
            <v>1</v>
          </cell>
          <cell r="S432" t="str">
            <v>45</v>
          </cell>
          <cell r="T432">
            <v>94</v>
          </cell>
          <cell r="U432">
            <v>9</v>
          </cell>
          <cell r="V432">
            <v>94</v>
          </cell>
          <cell r="W432">
            <v>9</v>
          </cell>
          <cell r="X432">
            <v>94</v>
          </cell>
          <cell r="AF432" t="str">
            <v>00</v>
          </cell>
          <cell r="AI432">
            <v>10130647</v>
          </cell>
          <cell r="AJ432">
            <v>4115575.29</v>
          </cell>
        </row>
        <row r="433">
          <cell r="A433" t="str">
            <v>02</v>
          </cell>
          <cell r="B433" t="str">
            <v>12</v>
          </cell>
          <cell r="C433" t="str">
            <v>6085</v>
          </cell>
          <cell r="D433" t="str">
            <v>Сцепка</v>
          </cell>
          <cell r="G433" t="str">
            <v>01</v>
          </cell>
          <cell r="H433">
            <v>6100</v>
          </cell>
          <cell r="I433">
            <v>305</v>
          </cell>
          <cell r="J433">
            <v>0</v>
          </cell>
          <cell r="K433">
            <v>0.9</v>
          </cell>
          <cell r="L433" t="str">
            <v>88/4</v>
          </cell>
          <cell r="M433" t="str">
            <v>45744</v>
          </cell>
          <cell r="N433" t="str">
            <v>14 2921000</v>
          </cell>
          <cell r="O433" t="str">
            <v>063</v>
          </cell>
          <cell r="P433">
            <v>20</v>
          </cell>
          <cell r="Q433">
            <v>0</v>
          </cell>
          <cell r="R433" t="str">
            <v>1</v>
          </cell>
          <cell r="S433" t="str">
            <v>45</v>
          </cell>
          <cell r="T433">
            <v>94</v>
          </cell>
          <cell r="U433">
            <v>9</v>
          </cell>
          <cell r="V433">
            <v>94</v>
          </cell>
          <cell r="W433">
            <v>9</v>
          </cell>
          <cell r="X433">
            <v>94</v>
          </cell>
          <cell r="AF433" t="str">
            <v>00</v>
          </cell>
          <cell r="AI433">
            <v>6743118</v>
          </cell>
          <cell r="AJ433">
            <v>4383026.7</v>
          </cell>
        </row>
        <row r="434">
          <cell r="A434" t="str">
            <v>02</v>
          </cell>
          <cell r="B434" t="str">
            <v>12</v>
          </cell>
          <cell r="C434" t="str">
            <v>6086</v>
          </cell>
          <cell r="D434" t="str">
            <v>Сцепка сп-11</v>
          </cell>
          <cell r="G434" t="str">
            <v>01</v>
          </cell>
          <cell r="H434">
            <v>6100</v>
          </cell>
          <cell r="I434">
            <v>305</v>
          </cell>
          <cell r="J434">
            <v>0</v>
          </cell>
          <cell r="K434">
            <v>0.9</v>
          </cell>
          <cell r="L434" t="str">
            <v>88/4</v>
          </cell>
          <cell r="M434" t="str">
            <v>45744</v>
          </cell>
          <cell r="N434" t="str">
            <v>14 2921000</v>
          </cell>
          <cell r="O434" t="str">
            <v>063</v>
          </cell>
          <cell r="P434">
            <v>20</v>
          </cell>
          <cell r="Q434">
            <v>0</v>
          </cell>
          <cell r="R434" t="str">
            <v>1</v>
          </cell>
          <cell r="S434" t="str">
            <v>45</v>
          </cell>
          <cell r="T434">
            <v>94</v>
          </cell>
          <cell r="U434">
            <v>9</v>
          </cell>
          <cell r="V434">
            <v>94</v>
          </cell>
          <cell r="W434">
            <v>9</v>
          </cell>
          <cell r="X434">
            <v>94</v>
          </cell>
          <cell r="AF434" t="str">
            <v>00</v>
          </cell>
          <cell r="AI434">
            <v>6743118</v>
          </cell>
          <cell r="AJ434">
            <v>4383026.7</v>
          </cell>
        </row>
        <row r="435">
          <cell r="A435" t="str">
            <v>02</v>
          </cell>
          <cell r="B435" t="str">
            <v>02</v>
          </cell>
          <cell r="C435" t="str">
            <v>6103</v>
          </cell>
          <cell r="D435" t="str">
            <v>Чешский комплекс</v>
          </cell>
          <cell r="E435" t="str">
            <v>дерево-метал.12х20</v>
          </cell>
          <cell r="F435" t="str">
            <v>Чехия</v>
          </cell>
          <cell r="G435" t="str">
            <v>01</v>
          </cell>
          <cell r="H435">
            <v>312500</v>
          </cell>
          <cell r="I435">
            <v>195312.5</v>
          </cell>
          <cell r="J435">
            <v>0</v>
          </cell>
          <cell r="K435">
            <v>0.11</v>
          </cell>
          <cell r="L435" t="str">
            <v>20</v>
          </cell>
          <cell r="M435" t="str">
            <v>10008</v>
          </cell>
          <cell r="N435" t="str">
            <v>13 4527614</v>
          </cell>
          <cell r="O435" t="str">
            <v>01</v>
          </cell>
          <cell r="P435">
            <v>5</v>
          </cell>
          <cell r="Q435">
            <v>0</v>
          </cell>
          <cell r="R435" t="str">
            <v>1</v>
          </cell>
          <cell r="S435" t="str">
            <v>10</v>
          </cell>
          <cell r="T435">
            <v>82</v>
          </cell>
          <cell r="U435">
            <v>6</v>
          </cell>
          <cell r="V435">
            <v>82</v>
          </cell>
          <cell r="W435">
            <v>6</v>
          </cell>
          <cell r="X435">
            <v>82</v>
          </cell>
          <cell r="AB435" t="str">
            <v>14</v>
          </cell>
          <cell r="AC435">
            <v>2</v>
          </cell>
          <cell r="AF435" t="str">
            <v>00</v>
          </cell>
          <cell r="AI435">
            <v>2816679488</v>
          </cell>
          <cell r="AJ435">
            <v>2182926602.6399999</v>
          </cell>
        </row>
        <row r="436">
          <cell r="A436" t="str">
            <v>02</v>
          </cell>
          <cell r="B436" t="str">
            <v>02</v>
          </cell>
          <cell r="C436" t="str">
            <v>6115</v>
          </cell>
          <cell r="D436" t="str">
            <v>Сварочное оборудован</v>
          </cell>
          <cell r="E436" t="str">
            <v>ие АС-42</v>
          </cell>
          <cell r="G436" t="str">
            <v>01</v>
          </cell>
          <cell r="H436">
            <v>58100</v>
          </cell>
          <cell r="I436">
            <v>27113.33</v>
          </cell>
          <cell r="J436">
            <v>0</v>
          </cell>
          <cell r="K436">
            <v>0.16</v>
          </cell>
          <cell r="L436" t="str">
            <v>20</v>
          </cell>
          <cell r="M436" t="str">
            <v>42503</v>
          </cell>
          <cell r="N436" t="str">
            <v>14 2947193</v>
          </cell>
          <cell r="O436" t="str">
            <v>067</v>
          </cell>
          <cell r="P436">
            <v>17.5</v>
          </cell>
          <cell r="Q436">
            <v>0</v>
          </cell>
          <cell r="R436" t="str">
            <v>1</v>
          </cell>
          <cell r="S436" t="str">
            <v>42</v>
          </cell>
          <cell r="T436">
            <v>90</v>
          </cell>
          <cell r="U436">
            <v>4</v>
          </cell>
          <cell r="V436">
            <v>92</v>
          </cell>
          <cell r="W436">
            <v>4</v>
          </cell>
          <cell r="X436">
            <v>92</v>
          </cell>
          <cell r="AF436" t="str">
            <v>00</v>
          </cell>
          <cell r="AI436">
            <v>365251162</v>
          </cell>
          <cell r="AJ436">
            <v>362207402.05000001</v>
          </cell>
        </row>
        <row r="437">
          <cell r="A437" t="str">
            <v>16</v>
          </cell>
          <cell r="B437" t="str">
            <v>06</v>
          </cell>
          <cell r="C437" t="str">
            <v>6121</v>
          </cell>
          <cell r="D437" t="str">
            <v>Брандвахта</v>
          </cell>
          <cell r="G437" t="str">
            <v>01</v>
          </cell>
          <cell r="H437">
            <v>750000</v>
          </cell>
          <cell r="I437">
            <v>226625</v>
          </cell>
          <cell r="J437">
            <v>0</v>
          </cell>
          <cell r="K437">
            <v>0.32</v>
          </cell>
          <cell r="L437" t="str">
            <v>88/1</v>
          </cell>
          <cell r="M437" t="str">
            <v>50222</v>
          </cell>
          <cell r="N437" t="str">
            <v>15 3511174</v>
          </cell>
          <cell r="O437" t="str">
            <v>075</v>
          </cell>
          <cell r="P437">
            <v>3.7</v>
          </cell>
          <cell r="Q437">
            <v>0</v>
          </cell>
          <cell r="R437" t="str">
            <v>1</v>
          </cell>
          <cell r="S437" t="str">
            <v>50</v>
          </cell>
          <cell r="T437">
            <v>86</v>
          </cell>
          <cell r="U437">
            <v>10</v>
          </cell>
          <cell r="V437">
            <v>86</v>
          </cell>
          <cell r="W437">
            <v>10</v>
          </cell>
          <cell r="X437">
            <v>86</v>
          </cell>
          <cell r="AF437" t="str">
            <v>16</v>
          </cell>
          <cell r="AI437">
            <v>2313504781</v>
          </cell>
          <cell r="AJ437">
            <v>955863058.89999998</v>
          </cell>
        </row>
        <row r="438">
          <cell r="A438" t="str">
            <v>16</v>
          </cell>
          <cell r="B438" t="str">
            <v>06</v>
          </cell>
          <cell r="C438" t="str">
            <v>6122</v>
          </cell>
          <cell r="D438" t="str">
            <v>Дом каркасный деревя</v>
          </cell>
          <cell r="E438" t="str">
            <v>нный 12 х 6 /фиброли</v>
          </cell>
          <cell r="F438" t="str">
            <v>товый/</v>
          </cell>
          <cell r="G438" t="str">
            <v>01</v>
          </cell>
          <cell r="H438">
            <v>53500</v>
          </cell>
          <cell r="I438">
            <v>18724.689999999999</v>
          </cell>
          <cell r="J438">
            <v>0</v>
          </cell>
          <cell r="K438">
            <v>1.02</v>
          </cell>
          <cell r="L438" t="str">
            <v>88/1</v>
          </cell>
          <cell r="M438" t="str">
            <v>10004</v>
          </cell>
          <cell r="N438" t="str">
            <v>13 2022231</v>
          </cell>
          <cell r="O438" t="str">
            <v>01</v>
          </cell>
          <cell r="P438">
            <v>2.5</v>
          </cell>
          <cell r="Q438">
            <v>0</v>
          </cell>
          <cell r="R438" t="str">
            <v>1</v>
          </cell>
          <cell r="S438" t="str">
            <v>10</v>
          </cell>
          <cell r="T438">
            <v>80</v>
          </cell>
          <cell r="U438">
            <v>12</v>
          </cell>
          <cell r="V438">
            <v>80</v>
          </cell>
          <cell r="W438">
            <v>12</v>
          </cell>
          <cell r="X438">
            <v>80</v>
          </cell>
          <cell r="AF438" t="str">
            <v>16</v>
          </cell>
          <cell r="AI438">
            <v>52262838</v>
          </cell>
          <cell r="AJ438">
            <v>22211405.68</v>
          </cell>
        </row>
        <row r="439">
          <cell r="A439" t="str">
            <v>16</v>
          </cell>
          <cell r="B439" t="str">
            <v>06</v>
          </cell>
          <cell r="C439" t="str">
            <v>6123</v>
          </cell>
          <cell r="D439" t="str">
            <v>Вагон-домик металлич</v>
          </cell>
          <cell r="E439" t="str">
            <v>еский 8 х 3м</v>
          </cell>
          <cell r="G439" t="str">
            <v>01</v>
          </cell>
          <cell r="H439">
            <v>20349.72</v>
          </cell>
          <cell r="I439">
            <v>20349.72</v>
          </cell>
          <cell r="J439">
            <v>0</v>
          </cell>
          <cell r="K439">
            <v>1.1299999999999999</v>
          </cell>
          <cell r="L439" t="str">
            <v>88/1</v>
          </cell>
          <cell r="M439" t="str">
            <v>10010</v>
          </cell>
          <cell r="N439" t="str">
            <v>13 3420175</v>
          </cell>
          <cell r="O439" t="str">
            <v>01</v>
          </cell>
          <cell r="P439">
            <v>12.5</v>
          </cell>
          <cell r="Q439">
            <v>0</v>
          </cell>
          <cell r="R439" t="str">
            <v>1</v>
          </cell>
          <cell r="S439" t="str">
            <v>10</v>
          </cell>
          <cell r="T439">
            <v>79</v>
          </cell>
          <cell r="U439">
            <v>8</v>
          </cell>
          <cell r="V439">
            <v>79</v>
          </cell>
          <cell r="W439">
            <v>8</v>
          </cell>
          <cell r="X439">
            <v>79</v>
          </cell>
          <cell r="AF439" t="str">
            <v>16</v>
          </cell>
          <cell r="AI439">
            <v>18000640</v>
          </cell>
          <cell r="AJ439">
            <v>18000640</v>
          </cell>
        </row>
        <row r="440">
          <cell r="A440" t="str">
            <v>16</v>
          </cell>
          <cell r="B440" t="str">
            <v>06</v>
          </cell>
          <cell r="C440" t="str">
            <v>6124</v>
          </cell>
          <cell r="D440" t="str">
            <v>Вагон жилой ВГ-114 м</v>
          </cell>
          <cell r="E440" t="str">
            <v>етал. 8 х 3м</v>
          </cell>
          <cell r="F440" t="str">
            <v>мед.пункт</v>
          </cell>
          <cell r="G440" t="str">
            <v>01</v>
          </cell>
          <cell r="H440">
            <v>38200</v>
          </cell>
          <cell r="I440">
            <v>38200</v>
          </cell>
          <cell r="J440">
            <v>0</v>
          </cell>
          <cell r="K440">
            <v>1.01</v>
          </cell>
          <cell r="L440" t="str">
            <v>88/1</v>
          </cell>
          <cell r="M440" t="str">
            <v>10010</v>
          </cell>
          <cell r="N440" t="str">
            <v>13 3420175</v>
          </cell>
          <cell r="O440" t="str">
            <v>01</v>
          </cell>
          <cell r="P440">
            <v>12.5</v>
          </cell>
          <cell r="Q440">
            <v>0</v>
          </cell>
          <cell r="R440" t="str">
            <v>1</v>
          </cell>
          <cell r="S440" t="str">
            <v>10</v>
          </cell>
          <cell r="T440">
            <v>79</v>
          </cell>
          <cell r="U440">
            <v>12</v>
          </cell>
          <cell r="V440">
            <v>79</v>
          </cell>
          <cell r="W440">
            <v>12</v>
          </cell>
          <cell r="X440">
            <v>79</v>
          </cell>
          <cell r="AF440" t="str">
            <v>16</v>
          </cell>
          <cell r="AI440">
            <v>37874816</v>
          </cell>
          <cell r="AJ440">
            <v>37874816</v>
          </cell>
        </row>
        <row r="441">
          <cell r="A441" t="str">
            <v>02</v>
          </cell>
          <cell r="B441" t="str">
            <v>23</v>
          </cell>
          <cell r="C441" t="str">
            <v>6605</v>
          </cell>
          <cell r="D441" t="str">
            <v>А/м ВАЗ-2106 легков.</v>
          </cell>
          <cell r="E441" t="str">
            <v>Nо В 408 ВТ</v>
          </cell>
          <cell r="F441" t="str">
            <v>куз3342055 дв б/н</v>
          </cell>
          <cell r="G441" t="str">
            <v>01</v>
          </cell>
          <cell r="H441">
            <v>24624</v>
          </cell>
          <cell r="I441">
            <v>293.44</v>
          </cell>
          <cell r="J441">
            <v>0</v>
          </cell>
          <cell r="K441">
            <v>0.62</v>
          </cell>
          <cell r="L441" t="str">
            <v>26</v>
          </cell>
          <cell r="M441" t="str">
            <v>50416</v>
          </cell>
          <cell r="N441" t="str">
            <v>15 3410110</v>
          </cell>
          <cell r="O441" t="str">
            <v>071</v>
          </cell>
          <cell r="P441">
            <v>14.3</v>
          </cell>
          <cell r="Q441">
            <v>0</v>
          </cell>
          <cell r="R441" t="str">
            <v>1</v>
          </cell>
          <cell r="S441" t="str">
            <v>50</v>
          </cell>
          <cell r="T441">
            <v>94</v>
          </cell>
          <cell r="U441">
            <v>11</v>
          </cell>
          <cell r="V441">
            <v>94</v>
          </cell>
          <cell r="W441">
            <v>11</v>
          </cell>
          <cell r="X441">
            <v>94</v>
          </cell>
          <cell r="AF441" t="str">
            <v>00</v>
          </cell>
          <cell r="AI441">
            <v>39600000</v>
          </cell>
          <cell r="AJ441">
            <v>17460300</v>
          </cell>
        </row>
        <row r="442">
          <cell r="A442" t="str">
            <v>02</v>
          </cell>
          <cell r="B442" t="str">
            <v>80</v>
          </cell>
          <cell r="C442" t="str">
            <v>6608</v>
          </cell>
          <cell r="D442" t="str">
            <v>Телефакс F 130В</v>
          </cell>
          <cell r="G442" t="str">
            <v>01</v>
          </cell>
          <cell r="H442">
            <v>1713</v>
          </cell>
          <cell r="I442">
            <v>0</v>
          </cell>
          <cell r="J442">
            <v>0</v>
          </cell>
          <cell r="K442">
            <v>0.17</v>
          </cell>
          <cell r="L442" t="str">
            <v>26</v>
          </cell>
          <cell r="M442" t="str">
            <v>45605</v>
          </cell>
          <cell r="N442" t="str">
            <v>14 3222146</v>
          </cell>
          <cell r="O442" t="str">
            <v>067</v>
          </cell>
          <cell r="P442">
            <v>7.7</v>
          </cell>
          <cell r="Q442">
            <v>0</v>
          </cell>
          <cell r="R442" t="str">
            <v>1</v>
          </cell>
          <cell r="S442" t="str">
            <v>45</v>
          </cell>
          <cell r="T442">
            <v>94</v>
          </cell>
          <cell r="U442">
            <v>12</v>
          </cell>
          <cell r="V442">
            <v>94</v>
          </cell>
          <cell r="W442">
            <v>12</v>
          </cell>
          <cell r="X442">
            <v>94</v>
          </cell>
          <cell r="AF442" t="str">
            <v>00</v>
          </cell>
          <cell r="AI442">
            <v>10011600</v>
          </cell>
          <cell r="AJ442">
            <v>2312679.6</v>
          </cell>
        </row>
        <row r="443">
          <cell r="A443" t="str">
            <v>02</v>
          </cell>
          <cell r="B443" t="str">
            <v>80</v>
          </cell>
          <cell r="C443" t="str">
            <v>6609</v>
          </cell>
          <cell r="D443" t="str">
            <v>Копировальный аппара</v>
          </cell>
          <cell r="E443" t="str">
            <v>т А У</v>
          </cell>
          <cell r="G443" t="str">
            <v>01</v>
          </cell>
          <cell r="H443">
            <v>3185</v>
          </cell>
          <cell r="I443">
            <v>0</v>
          </cell>
          <cell r="J443">
            <v>0</v>
          </cell>
          <cell r="K443">
            <v>0.21</v>
          </cell>
          <cell r="L443" t="str">
            <v>26</v>
          </cell>
          <cell r="M443" t="str">
            <v>44804</v>
          </cell>
          <cell r="N443" t="str">
            <v>14 3010210</v>
          </cell>
          <cell r="O443" t="str">
            <v>063</v>
          </cell>
          <cell r="P443">
            <v>12.5</v>
          </cell>
          <cell r="Q443">
            <v>0</v>
          </cell>
          <cell r="R443" t="str">
            <v>1</v>
          </cell>
          <cell r="S443" t="str">
            <v>48</v>
          </cell>
          <cell r="T443">
            <v>94</v>
          </cell>
          <cell r="U443">
            <v>12</v>
          </cell>
          <cell r="V443">
            <v>94</v>
          </cell>
          <cell r="W443">
            <v>12</v>
          </cell>
          <cell r="X443">
            <v>94</v>
          </cell>
          <cell r="AF443" t="str">
            <v>00</v>
          </cell>
          <cell r="AI443">
            <v>14927000</v>
          </cell>
          <cell r="AJ443">
            <v>4478100</v>
          </cell>
        </row>
        <row r="444">
          <cell r="A444" t="str">
            <v>02</v>
          </cell>
          <cell r="B444" t="str">
            <v>71</v>
          </cell>
          <cell r="C444" t="str">
            <v>6610</v>
          </cell>
          <cell r="D444" t="str">
            <v>Электростанция АД-60</v>
          </cell>
          <cell r="G444" t="str">
            <v>01</v>
          </cell>
          <cell r="H444">
            <v>43160</v>
          </cell>
          <cell r="I444">
            <v>0</v>
          </cell>
          <cell r="J444">
            <v>0</v>
          </cell>
          <cell r="K444">
            <v>0.46</v>
          </cell>
          <cell r="L444" t="str">
            <v>23</v>
          </cell>
          <cell r="M444" t="str">
            <v>40307</v>
          </cell>
          <cell r="N444" t="str">
            <v>14 2911102</v>
          </cell>
          <cell r="O444" t="str">
            <v>067</v>
          </cell>
          <cell r="P444">
            <v>14.3</v>
          </cell>
          <cell r="Q444">
            <v>0</v>
          </cell>
          <cell r="R444" t="str">
            <v>1</v>
          </cell>
          <cell r="S444" t="str">
            <v>40</v>
          </cell>
          <cell r="T444">
            <v>94</v>
          </cell>
          <cell r="U444">
            <v>12</v>
          </cell>
          <cell r="V444">
            <v>94</v>
          </cell>
          <cell r="W444">
            <v>12</v>
          </cell>
          <cell r="X444">
            <v>94</v>
          </cell>
          <cell r="AF444" t="str">
            <v>00</v>
          </cell>
          <cell r="AI444">
            <v>93073169</v>
          </cell>
          <cell r="AJ444">
            <v>39928389.5</v>
          </cell>
        </row>
        <row r="445">
          <cell r="A445" t="str">
            <v>02</v>
          </cell>
          <cell r="B445" t="str">
            <v>23</v>
          </cell>
          <cell r="C445" t="str">
            <v>6611</v>
          </cell>
          <cell r="D445" t="str">
            <v>А/м УАЗ-АПВ-У-05фер-</v>
          </cell>
          <cell r="E445" t="str">
            <v>мер Nо А 832 РН</v>
          </cell>
          <cell r="F445" t="str">
            <v>дв41110896 ш2994339</v>
          </cell>
          <cell r="G445" t="str">
            <v>01</v>
          </cell>
          <cell r="H445">
            <v>53990</v>
          </cell>
          <cell r="I445">
            <v>0</v>
          </cell>
          <cell r="J445">
            <v>0</v>
          </cell>
          <cell r="K445">
            <v>0.77</v>
          </cell>
          <cell r="L445" t="str">
            <v>23</v>
          </cell>
          <cell r="M445" t="str">
            <v>50401</v>
          </cell>
          <cell r="N445" t="str">
            <v>15 3410170</v>
          </cell>
          <cell r="O445" t="str">
            <v>075</v>
          </cell>
          <cell r="P445">
            <v>14.3</v>
          </cell>
          <cell r="Q445">
            <v>0</v>
          </cell>
          <cell r="R445" t="str">
            <v>1</v>
          </cell>
          <cell r="S445" t="str">
            <v>50</v>
          </cell>
          <cell r="T445">
            <v>94</v>
          </cell>
          <cell r="U445">
            <v>12</v>
          </cell>
          <cell r="V445">
            <v>94</v>
          </cell>
          <cell r="W445">
            <v>12</v>
          </cell>
          <cell r="X445">
            <v>94</v>
          </cell>
          <cell r="AF445" t="str">
            <v>00</v>
          </cell>
          <cell r="AI445">
            <v>70351805</v>
          </cell>
          <cell r="AJ445">
            <v>30180924.350000001</v>
          </cell>
        </row>
        <row r="446">
          <cell r="A446" t="str">
            <v>02</v>
          </cell>
          <cell r="B446" t="str">
            <v>71</v>
          </cell>
          <cell r="C446" t="str">
            <v>6612</v>
          </cell>
          <cell r="D446" t="str">
            <v>Кран балка опорная 5</v>
          </cell>
          <cell r="E446" t="str">
            <v>тн пролет 10.5м высо</v>
          </cell>
          <cell r="G446" t="str">
            <v>01</v>
          </cell>
          <cell r="H446">
            <v>20450</v>
          </cell>
          <cell r="I446">
            <v>0</v>
          </cell>
          <cell r="J446">
            <v>0</v>
          </cell>
          <cell r="K446">
            <v>0.53</v>
          </cell>
          <cell r="L446" t="str">
            <v>23</v>
          </cell>
          <cell r="M446" t="str">
            <v>41704</v>
          </cell>
          <cell r="N446" t="str">
            <v>14 2915289</v>
          </cell>
          <cell r="O446" t="str">
            <v>065</v>
          </cell>
          <cell r="P446">
            <v>5</v>
          </cell>
          <cell r="Q446">
            <v>0</v>
          </cell>
          <cell r="R446" t="str">
            <v>1</v>
          </cell>
          <cell r="S446" t="str">
            <v>41</v>
          </cell>
          <cell r="T446">
            <v>94</v>
          </cell>
          <cell r="U446">
            <v>12</v>
          </cell>
          <cell r="V446">
            <v>94</v>
          </cell>
          <cell r="W446">
            <v>12</v>
          </cell>
          <cell r="X446">
            <v>94</v>
          </cell>
          <cell r="AF446" t="str">
            <v>00</v>
          </cell>
          <cell r="AI446">
            <v>38926828</v>
          </cell>
          <cell r="AJ446">
            <v>5839024.2000000002</v>
          </cell>
        </row>
        <row r="447">
          <cell r="A447" t="str">
            <v>02</v>
          </cell>
          <cell r="B447" t="str">
            <v>02</v>
          </cell>
          <cell r="C447" t="str">
            <v>6613</v>
          </cell>
          <cell r="D447" t="str">
            <v>Телевизор КВ-2511</v>
          </cell>
          <cell r="E447" t="str">
            <v>SONY Япония</v>
          </cell>
          <cell r="G447" t="str">
            <v>01</v>
          </cell>
          <cell r="H447">
            <v>4005</v>
          </cell>
          <cell r="I447">
            <v>0</v>
          </cell>
          <cell r="J447">
            <v>0</v>
          </cell>
          <cell r="K447">
            <v>0.43</v>
          </cell>
          <cell r="L447" t="str">
            <v>20</v>
          </cell>
          <cell r="M447" t="str">
            <v>45625</v>
          </cell>
          <cell r="N447" t="str">
            <v>14 3230100</v>
          </cell>
          <cell r="O447" t="str">
            <v>067</v>
          </cell>
          <cell r="P447">
            <v>10.5</v>
          </cell>
          <cell r="Q447">
            <v>0</v>
          </cell>
          <cell r="R447" t="str">
            <v>1</v>
          </cell>
          <cell r="S447" t="str">
            <v>45</v>
          </cell>
          <cell r="T447">
            <v>94</v>
          </cell>
          <cell r="U447">
            <v>12</v>
          </cell>
          <cell r="V447">
            <v>94</v>
          </cell>
          <cell r="W447">
            <v>12</v>
          </cell>
          <cell r="X447">
            <v>94</v>
          </cell>
          <cell r="AF447" t="str">
            <v>00</v>
          </cell>
          <cell r="AI447">
            <v>9314342</v>
          </cell>
          <cell r="AJ447">
            <v>419145.39</v>
          </cell>
        </row>
        <row r="448">
          <cell r="A448" t="str">
            <v>02</v>
          </cell>
          <cell r="B448" t="str">
            <v>02</v>
          </cell>
          <cell r="C448" t="str">
            <v>6614</v>
          </cell>
          <cell r="D448" t="str">
            <v>Эксковатор роторный</v>
          </cell>
          <cell r="E448" t="str">
            <v>ЭТР-254-01 А  дв.ямз</v>
          </cell>
          <cell r="F448" t="str">
            <v>31</v>
          </cell>
          <cell r="G448" t="str">
            <v>01</v>
          </cell>
          <cell r="H448">
            <v>415000</v>
          </cell>
          <cell r="I448">
            <v>0</v>
          </cell>
          <cell r="J448">
            <v>0</v>
          </cell>
          <cell r="K448">
            <v>0.56000000000000005</v>
          </cell>
          <cell r="L448" t="str">
            <v>20</v>
          </cell>
          <cell r="M448" t="str">
            <v>41809</v>
          </cell>
          <cell r="N448" t="str">
            <v>14 2924335</v>
          </cell>
          <cell r="O448" t="str">
            <v>067</v>
          </cell>
          <cell r="P448">
            <v>5</v>
          </cell>
          <cell r="Q448">
            <v>0</v>
          </cell>
          <cell r="R448" t="str">
            <v>1</v>
          </cell>
          <cell r="S448" t="str">
            <v>41</v>
          </cell>
          <cell r="T448">
            <v>91</v>
          </cell>
          <cell r="U448">
            <v>12</v>
          </cell>
          <cell r="V448">
            <v>94</v>
          </cell>
          <cell r="W448">
            <v>12</v>
          </cell>
          <cell r="X448">
            <v>94</v>
          </cell>
          <cell r="AB448" t="str">
            <v>14</v>
          </cell>
          <cell r="AC448">
            <v>6</v>
          </cell>
          <cell r="AF448" t="str">
            <v>00</v>
          </cell>
          <cell r="AI448">
            <v>737560977</v>
          </cell>
          <cell r="AJ448">
            <v>110634146.55</v>
          </cell>
        </row>
        <row r="449">
          <cell r="A449" t="str">
            <v>02</v>
          </cell>
          <cell r="B449" t="str">
            <v>23</v>
          </cell>
          <cell r="C449" t="str">
            <v>6615</v>
          </cell>
          <cell r="D449" t="str">
            <v>Автомагнитола  с кол</v>
          </cell>
          <cell r="E449" t="str">
            <v>онками FILIPS</v>
          </cell>
          <cell r="F449" t="str">
            <v>Голландия</v>
          </cell>
          <cell r="G449" t="str">
            <v>01</v>
          </cell>
          <cell r="H449">
            <v>445.04</v>
          </cell>
          <cell r="I449">
            <v>0</v>
          </cell>
          <cell r="J449">
            <v>0</v>
          </cell>
          <cell r="K449">
            <v>0.26</v>
          </cell>
          <cell r="L449" t="str">
            <v>23</v>
          </cell>
          <cell r="M449" t="str">
            <v>45624</v>
          </cell>
          <cell r="N449" t="str">
            <v>14 3230114</v>
          </cell>
          <cell r="O449" t="str">
            <v>067</v>
          </cell>
          <cell r="P449">
            <v>7.8</v>
          </cell>
          <cell r="Q449">
            <v>0</v>
          </cell>
          <cell r="R449" t="str">
            <v>1</v>
          </cell>
          <cell r="S449" t="str">
            <v>45</v>
          </cell>
          <cell r="T449">
            <v>91</v>
          </cell>
          <cell r="U449">
            <v>12</v>
          </cell>
          <cell r="V449">
            <v>94</v>
          </cell>
          <cell r="W449">
            <v>12</v>
          </cell>
          <cell r="X449">
            <v>94</v>
          </cell>
          <cell r="AF449" t="str">
            <v>00</v>
          </cell>
          <cell r="AI449">
            <v>1712194</v>
          </cell>
          <cell r="AJ449">
            <v>400653.4</v>
          </cell>
        </row>
        <row r="450">
          <cell r="A450" t="str">
            <v>02</v>
          </cell>
          <cell r="B450" t="str">
            <v>23</v>
          </cell>
          <cell r="C450" t="str">
            <v>6616</v>
          </cell>
          <cell r="D450" t="str">
            <v>Автомагнитола с коло</v>
          </cell>
          <cell r="E450" t="str">
            <v>нками FILIPS</v>
          </cell>
          <cell r="F450" t="str">
            <v>Голландия</v>
          </cell>
          <cell r="G450" t="str">
            <v>01</v>
          </cell>
          <cell r="H450">
            <v>445.04</v>
          </cell>
          <cell r="I450">
            <v>0</v>
          </cell>
          <cell r="J450">
            <v>0</v>
          </cell>
          <cell r="K450">
            <v>0.26</v>
          </cell>
          <cell r="L450" t="str">
            <v>23</v>
          </cell>
          <cell r="M450" t="str">
            <v>45624</v>
          </cell>
          <cell r="N450" t="str">
            <v>14 3230114</v>
          </cell>
          <cell r="O450" t="str">
            <v>067</v>
          </cell>
          <cell r="P450">
            <v>7.8</v>
          </cell>
          <cell r="Q450">
            <v>0</v>
          </cell>
          <cell r="R450" t="str">
            <v>1</v>
          </cell>
          <cell r="S450" t="str">
            <v>45</v>
          </cell>
          <cell r="T450">
            <v>91</v>
          </cell>
          <cell r="U450">
            <v>12</v>
          </cell>
          <cell r="V450">
            <v>94</v>
          </cell>
          <cell r="W450">
            <v>12</v>
          </cell>
          <cell r="X450">
            <v>94</v>
          </cell>
          <cell r="AF450" t="str">
            <v>00</v>
          </cell>
          <cell r="AI450">
            <v>1712194</v>
          </cell>
          <cell r="AJ450">
            <v>400653.4</v>
          </cell>
        </row>
        <row r="451">
          <cell r="A451" t="str">
            <v>02</v>
          </cell>
          <cell r="B451" t="str">
            <v>90</v>
          </cell>
          <cell r="C451" t="str">
            <v>6617</v>
          </cell>
          <cell r="D451" t="str">
            <v>Водоподогреватель</v>
          </cell>
          <cell r="F451" t="str">
            <v>494495496</v>
          </cell>
          <cell r="G451" t="str">
            <v>01</v>
          </cell>
          <cell r="H451">
            <v>14973</v>
          </cell>
          <cell r="I451">
            <v>0</v>
          </cell>
          <cell r="J451">
            <v>0</v>
          </cell>
          <cell r="K451">
            <v>1.1399999999999999</v>
          </cell>
          <cell r="L451" t="str">
            <v>23</v>
          </cell>
          <cell r="M451" t="str">
            <v>45802</v>
          </cell>
          <cell r="N451" t="str">
            <v>14 2914000</v>
          </cell>
          <cell r="O451" t="str">
            <v>067</v>
          </cell>
          <cell r="P451">
            <v>16.7</v>
          </cell>
          <cell r="Q451">
            <v>0</v>
          </cell>
          <cell r="R451" t="str">
            <v>1</v>
          </cell>
          <cell r="S451" t="str">
            <v>45</v>
          </cell>
          <cell r="T451">
            <v>94</v>
          </cell>
          <cell r="U451">
            <v>12</v>
          </cell>
          <cell r="V451">
            <v>94</v>
          </cell>
          <cell r="W451">
            <v>12</v>
          </cell>
          <cell r="X451">
            <v>94</v>
          </cell>
          <cell r="AF451" t="str">
            <v>00</v>
          </cell>
          <cell r="AI451">
            <v>13157705</v>
          </cell>
          <cell r="AJ451">
            <v>6592010.21</v>
          </cell>
        </row>
        <row r="452">
          <cell r="A452" t="str">
            <v>02</v>
          </cell>
          <cell r="B452" t="str">
            <v>23</v>
          </cell>
          <cell r="C452" t="str">
            <v>6618</v>
          </cell>
          <cell r="D452" t="str">
            <v>А/м УАЗ 3741ПЭЛХЗМ</v>
          </cell>
          <cell r="E452" t="str">
            <v>фургон ш270740 дв407</v>
          </cell>
          <cell r="F452" t="str">
            <v>02982 госN45-40 КШЧ</v>
          </cell>
          <cell r="G452" t="str">
            <v>01</v>
          </cell>
          <cell r="H452">
            <v>139733.32999999999</v>
          </cell>
          <cell r="I452">
            <v>0</v>
          </cell>
          <cell r="J452">
            <v>0</v>
          </cell>
          <cell r="K452">
            <v>1.31</v>
          </cell>
          <cell r="L452" t="str">
            <v>23</v>
          </cell>
          <cell r="M452" t="str">
            <v>41701</v>
          </cell>
          <cell r="N452" t="str">
            <v>15 3410160</v>
          </cell>
          <cell r="O452" t="str">
            <v>067</v>
          </cell>
          <cell r="P452">
            <v>9.1</v>
          </cell>
          <cell r="Q452">
            <v>0</v>
          </cell>
          <cell r="R452" t="str">
            <v>1</v>
          </cell>
          <cell r="S452" t="str">
            <v>41</v>
          </cell>
          <cell r="T452">
            <v>91</v>
          </cell>
          <cell r="U452">
            <v>12</v>
          </cell>
          <cell r="V452">
            <v>94</v>
          </cell>
          <cell r="W452">
            <v>12</v>
          </cell>
          <cell r="X452">
            <v>94</v>
          </cell>
          <cell r="AF452" t="str">
            <v>00</v>
          </cell>
          <cell r="AI452">
            <v>106666667</v>
          </cell>
          <cell r="AJ452">
            <v>29120000.09</v>
          </cell>
        </row>
        <row r="453">
          <cell r="A453" t="str">
            <v>02</v>
          </cell>
          <cell r="B453" t="str">
            <v>23</v>
          </cell>
          <cell r="C453" t="str">
            <v>6619</v>
          </cell>
          <cell r="D453" t="str">
            <v>Автомашина ЗИЛ 131А</v>
          </cell>
          <cell r="E453" t="str">
            <v>ПЭЛЭХЗ-М д047599</v>
          </cell>
          <cell r="F453" t="str">
            <v>ш041457 Nо45-41 КШЧ</v>
          </cell>
          <cell r="G453" t="str">
            <v>01</v>
          </cell>
          <cell r="H453">
            <v>122000</v>
          </cell>
          <cell r="I453">
            <v>0</v>
          </cell>
          <cell r="J453">
            <v>0</v>
          </cell>
          <cell r="K453">
            <v>1.02</v>
          </cell>
          <cell r="L453" t="str">
            <v>23</v>
          </cell>
          <cell r="M453" t="str">
            <v>50420</v>
          </cell>
          <cell r="N453" t="str">
            <v>15 3410359</v>
          </cell>
          <cell r="O453" t="str">
            <v>072</v>
          </cell>
          <cell r="P453">
            <v>14.3</v>
          </cell>
          <cell r="Q453">
            <v>0</v>
          </cell>
          <cell r="R453" t="str">
            <v>1</v>
          </cell>
          <cell r="S453" t="str">
            <v>50</v>
          </cell>
          <cell r="T453">
            <v>94</v>
          </cell>
          <cell r="U453">
            <v>12</v>
          </cell>
          <cell r="V453">
            <v>94</v>
          </cell>
          <cell r="W453">
            <v>12</v>
          </cell>
          <cell r="X453">
            <v>94</v>
          </cell>
          <cell r="AF453" t="str">
            <v>00</v>
          </cell>
          <cell r="AI453">
            <v>120000000</v>
          </cell>
          <cell r="AJ453">
            <v>51480000</v>
          </cell>
        </row>
        <row r="454">
          <cell r="A454" t="str">
            <v>02</v>
          </cell>
          <cell r="B454" t="str">
            <v>03</v>
          </cell>
          <cell r="C454" t="str">
            <v>6620</v>
          </cell>
          <cell r="D454" t="str">
            <v>Электростанция</v>
          </cell>
          <cell r="E454" t="str">
            <v>2 2СД-М1</v>
          </cell>
          <cell r="G454" t="str">
            <v>01</v>
          </cell>
          <cell r="H454">
            <v>2018.61</v>
          </cell>
          <cell r="I454">
            <v>0</v>
          </cell>
          <cell r="J454">
            <v>0</v>
          </cell>
          <cell r="K454">
            <v>1.21</v>
          </cell>
          <cell r="L454" t="str">
            <v>26</v>
          </cell>
          <cell r="M454" t="str">
            <v>40307</v>
          </cell>
          <cell r="N454" t="str">
            <v>14 2911101</v>
          </cell>
          <cell r="O454" t="str">
            <v>067</v>
          </cell>
          <cell r="P454">
            <v>14.3</v>
          </cell>
          <cell r="Q454">
            <v>0</v>
          </cell>
          <cell r="R454" t="str">
            <v>1</v>
          </cell>
          <cell r="S454" t="str">
            <v>40</v>
          </cell>
          <cell r="T454">
            <v>80</v>
          </cell>
          <cell r="U454">
            <v>12</v>
          </cell>
          <cell r="V454">
            <v>94</v>
          </cell>
          <cell r="W454">
            <v>12</v>
          </cell>
          <cell r="X454">
            <v>94</v>
          </cell>
          <cell r="AB454" t="str">
            <v>14</v>
          </cell>
          <cell r="AC454">
            <v>8</v>
          </cell>
          <cell r="AF454" t="str">
            <v>00</v>
          </cell>
          <cell r="AI454">
            <v>1668276</v>
          </cell>
          <cell r="AJ454">
            <v>715690.4</v>
          </cell>
        </row>
        <row r="455">
          <cell r="A455" t="str">
            <v>02</v>
          </cell>
          <cell r="B455" t="str">
            <v>23</v>
          </cell>
          <cell r="C455" t="str">
            <v>6623</v>
          </cell>
          <cell r="D455" t="str">
            <v>А/м ЗИЛ-131 ВАХТАдля</v>
          </cell>
          <cell r="E455" t="str">
            <v>перевозки людей д013</v>
          </cell>
          <cell r="F455" t="str">
            <v>211 ш028130 NоА840РН</v>
          </cell>
          <cell r="G455" t="str">
            <v>01</v>
          </cell>
          <cell r="H455">
            <v>75321.94</v>
          </cell>
          <cell r="I455">
            <v>0</v>
          </cell>
          <cell r="J455">
            <v>85880</v>
          </cell>
          <cell r="K455">
            <v>0.67</v>
          </cell>
          <cell r="L455" t="str">
            <v>23</v>
          </cell>
          <cell r="M455" t="str">
            <v>50420</v>
          </cell>
          <cell r="N455" t="str">
            <v>15 3410359</v>
          </cell>
          <cell r="O455" t="str">
            <v>072</v>
          </cell>
          <cell r="P455">
            <v>14.3</v>
          </cell>
          <cell r="Q455">
            <v>0</v>
          </cell>
          <cell r="R455" t="str">
            <v>1</v>
          </cell>
          <cell r="S455" t="str">
            <v>50</v>
          </cell>
          <cell r="T455">
            <v>93</v>
          </cell>
          <cell r="U455">
            <v>12</v>
          </cell>
          <cell r="V455">
            <v>94</v>
          </cell>
          <cell r="W455">
            <v>12</v>
          </cell>
          <cell r="X455">
            <v>94</v>
          </cell>
          <cell r="Y455">
            <v>4</v>
          </cell>
          <cell r="Z455">
            <v>95</v>
          </cell>
          <cell r="AF455" t="str">
            <v>00</v>
          </cell>
          <cell r="AI455">
            <v>128888889</v>
          </cell>
          <cell r="AJ455">
            <v>55250393.740000002</v>
          </cell>
        </row>
        <row r="456">
          <cell r="A456" t="str">
            <v>02</v>
          </cell>
          <cell r="B456" t="str">
            <v>23</v>
          </cell>
          <cell r="C456" t="str">
            <v>6624</v>
          </cell>
          <cell r="D456" t="str">
            <v>А/м ЗИЛ-131 ВАХТАдля</v>
          </cell>
          <cell r="E456" t="str">
            <v>перевоз.людей д11525</v>
          </cell>
          <cell r="F456" t="str">
            <v>ш026663 NоА 839 РН</v>
          </cell>
          <cell r="G456" t="str">
            <v>01</v>
          </cell>
          <cell r="H456">
            <v>75321.94</v>
          </cell>
          <cell r="I456">
            <v>0</v>
          </cell>
          <cell r="J456">
            <v>85880</v>
          </cell>
          <cell r="K456">
            <v>0.67</v>
          </cell>
          <cell r="L456" t="str">
            <v>23</v>
          </cell>
          <cell r="M456" t="str">
            <v>50420</v>
          </cell>
          <cell r="N456" t="str">
            <v>15 3410359</v>
          </cell>
          <cell r="O456" t="str">
            <v>072</v>
          </cell>
          <cell r="P456">
            <v>14.3</v>
          </cell>
          <cell r="Q456">
            <v>0</v>
          </cell>
          <cell r="R456" t="str">
            <v>1</v>
          </cell>
          <cell r="S456" t="str">
            <v>40</v>
          </cell>
          <cell r="T456">
            <v>93</v>
          </cell>
          <cell r="U456">
            <v>12</v>
          </cell>
          <cell r="V456">
            <v>94</v>
          </cell>
          <cell r="W456">
            <v>12</v>
          </cell>
          <cell r="X456">
            <v>94</v>
          </cell>
          <cell r="Y456">
            <v>4</v>
          </cell>
          <cell r="Z456">
            <v>95</v>
          </cell>
          <cell r="AF456" t="str">
            <v>00</v>
          </cell>
          <cell r="AI456">
            <v>128888889</v>
          </cell>
          <cell r="AJ456">
            <v>55250393.740000002</v>
          </cell>
        </row>
        <row r="457">
          <cell r="A457" t="str">
            <v>02</v>
          </cell>
          <cell r="B457" t="str">
            <v>05</v>
          </cell>
          <cell r="C457" t="str">
            <v>6662</v>
          </cell>
          <cell r="D457" t="str">
            <v>Водолазное оборудова</v>
          </cell>
          <cell r="E457" t="str">
            <v>ние</v>
          </cell>
          <cell r="F457" t="str">
            <v>Франция-Германия</v>
          </cell>
          <cell r="G457" t="str">
            <v>01</v>
          </cell>
          <cell r="H457">
            <v>4606928.49</v>
          </cell>
          <cell r="I457">
            <v>0</v>
          </cell>
          <cell r="J457">
            <v>6211000</v>
          </cell>
          <cell r="K457">
            <v>1.1100000000000001</v>
          </cell>
          <cell r="L457" t="str">
            <v>20</v>
          </cell>
          <cell r="M457" t="str">
            <v>42401</v>
          </cell>
          <cell r="N457" t="str">
            <v>14 3513176</v>
          </cell>
          <cell r="O457" t="str">
            <v>067</v>
          </cell>
          <cell r="P457">
            <v>11</v>
          </cell>
          <cell r="Q457">
            <v>0</v>
          </cell>
          <cell r="R457" t="str">
            <v>1</v>
          </cell>
          <cell r="S457" t="str">
            <v>42</v>
          </cell>
          <cell r="T457">
            <v>94</v>
          </cell>
          <cell r="U457">
            <v>12</v>
          </cell>
          <cell r="V457">
            <v>94</v>
          </cell>
          <cell r="W457">
            <v>12</v>
          </cell>
          <cell r="X457">
            <v>94</v>
          </cell>
          <cell r="Y457">
            <v>7</v>
          </cell>
          <cell r="Z457">
            <v>95</v>
          </cell>
          <cell r="AF457" t="str">
            <v>00</v>
          </cell>
          <cell r="AI457">
            <v>5613209028</v>
          </cell>
          <cell r="AJ457">
            <v>1785503501.05</v>
          </cell>
        </row>
        <row r="458">
          <cell r="A458" t="str">
            <v>02</v>
          </cell>
          <cell r="B458" t="str">
            <v>02</v>
          </cell>
          <cell r="C458" t="str">
            <v>6069</v>
          </cell>
          <cell r="D458" t="str">
            <v>Вагон дом</v>
          </cell>
          <cell r="E458" t="str">
            <v>дерево-метал.Финлянд</v>
          </cell>
          <cell r="F458" t="str">
            <v>ия</v>
          </cell>
          <cell r="G458" t="str">
            <v>01</v>
          </cell>
          <cell r="H458">
            <v>85000</v>
          </cell>
          <cell r="I458">
            <v>2656.25</v>
          </cell>
          <cell r="J458">
            <v>0</v>
          </cell>
          <cell r="K458">
            <v>0.8</v>
          </cell>
          <cell r="L458" t="str">
            <v>20</v>
          </cell>
          <cell r="M458" t="str">
            <v>10010</v>
          </cell>
          <cell r="N458" t="str">
            <v>13 2022261</v>
          </cell>
          <cell r="O458" t="str">
            <v>01</v>
          </cell>
          <cell r="P458">
            <v>12.5</v>
          </cell>
          <cell r="Q458">
            <v>0</v>
          </cell>
          <cell r="R458" t="str">
            <v>1</v>
          </cell>
          <cell r="S458" t="str">
            <v>10</v>
          </cell>
          <cell r="T458">
            <v>94</v>
          </cell>
          <cell r="U458">
            <v>9</v>
          </cell>
          <cell r="V458">
            <v>94</v>
          </cell>
          <cell r="W458">
            <v>9</v>
          </cell>
          <cell r="X458">
            <v>94</v>
          </cell>
          <cell r="AF458" t="str">
            <v>00</v>
          </cell>
          <cell r="AI458">
            <v>105829033</v>
          </cell>
          <cell r="AJ458">
            <v>42993044.649999999</v>
          </cell>
        </row>
        <row r="459">
          <cell r="A459" t="str">
            <v>02</v>
          </cell>
          <cell r="B459" t="str">
            <v>41</v>
          </cell>
          <cell r="C459" t="str">
            <v>7890</v>
          </cell>
          <cell r="D459" t="str">
            <v>Ренгенаппарат "Арина</v>
          </cell>
          <cell r="E459" t="str">
            <v>" 02</v>
          </cell>
          <cell r="F459" t="str">
            <v>5261</v>
          </cell>
          <cell r="G459" t="str">
            <v>01</v>
          </cell>
          <cell r="H459">
            <v>5885.3</v>
          </cell>
          <cell r="I459">
            <v>2307.37</v>
          </cell>
          <cell r="J459">
            <v>0</v>
          </cell>
          <cell r="K459">
            <v>1.21</v>
          </cell>
          <cell r="L459" t="str">
            <v>20</v>
          </cell>
          <cell r="M459" t="str">
            <v>47024</v>
          </cell>
          <cell r="N459" t="str">
            <v>14 3313341</v>
          </cell>
          <cell r="O459" t="str">
            <v>063</v>
          </cell>
          <cell r="P459">
            <v>10.4</v>
          </cell>
          <cell r="Q459">
            <v>0</v>
          </cell>
          <cell r="R459" t="str">
            <v>1</v>
          </cell>
          <cell r="S459" t="str">
            <v>47</v>
          </cell>
          <cell r="T459">
            <v>91</v>
          </cell>
          <cell r="U459">
            <v>3</v>
          </cell>
          <cell r="V459">
            <v>91</v>
          </cell>
          <cell r="W459">
            <v>3</v>
          </cell>
          <cell r="X459">
            <v>91</v>
          </cell>
          <cell r="AF459" t="str">
            <v>00</v>
          </cell>
          <cell r="AI459">
            <v>4863888</v>
          </cell>
          <cell r="AJ459">
            <v>3424449.38</v>
          </cell>
        </row>
        <row r="460">
          <cell r="A460" t="str">
            <v>02</v>
          </cell>
          <cell r="B460" t="str">
            <v>23</v>
          </cell>
          <cell r="C460" t="str">
            <v>3384</v>
          </cell>
          <cell r="D460" t="str">
            <v>СКАТ-25 а/кран монта</v>
          </cell>
          <cell r="E460" t="str">
            <v>жный автомоб-й спец.</v>
          </cell>
          <cell r="F460" t="str">
            <v>госN А866РН дв942818</v>
          </cell>
          <cell r="G460" t="str">
            <v>01</v>
          </cell>
          <cell r="H460">
            <v>44154.01</v>
          </cell>
          <cell r="I460">
            <v>0</v>
          </cell>
          <cell r="J460">
            <v>512510</v>
          </cell>
          <cell r="K460">
            <v>0.81</v>
          </cell>
          <cell r="L460" t="str">
            <v>23</v>
          </cell>
          <cell r="M460" t="str">
            <v>41701</v>
          </cell>
          <cell r="N460" t="str">
            <v>14 2915242</v>
          </cell>
          <cell r="O460" t="str">
            <v>067</v>
          </cell>
          <cell r="P460">
            <v>9.1</v>
          </cell>
          <cell r="Q460">
            <v>0</v>
          </cell>
          <cell r="R460" t="str">
            <v>1</v>
          </cell>
          <cell r="S460" t="str">
            <v>41</v>
          </cell>
          <cell r="T460">
            <v>93</v>
          </cell>
          <cell r="U460">
            <v>1</v>
          </cell>
          <cell r="V460">
            <v>95</v>
          </cell>
          <cell r="W460">
            <v>1</v>
          </cell>
          <cell r="X460">
            <v>95</v>
          </cell>
          <cell r="Y460">
            <v>4</v>
          </cell>
          <cell r="Z460">
            <v>95</v>
          </cell>
          <cell r="AD460" t="str">
            <v>0</v>
          </cell>
          <cell r="AE460" t="str">
            <v>0</v>
          </cell>
          <cell r="AF460" t="str">
            <v>00</v>
          </cell>
          <cell r="AI460">
            <v>634150016</v>
          </cell>
          <cell r="AJ460">
            <v>159207099.30000001</v>
          </cell>
        </row>
        <row r="461">
          <cell r="A461" t="str">
            <v>15</v>
          </cell>
          <cell r="B461" t="str">
            <v>81</v>
          </cell>
          <cell r="C461" t="str">
            <v>3385</v>
          </cell>
          <cell r="D461" t="str">
            <v>Диван 3-х местный</v>
          </cell>
          <cell r="G461" t="str">
            <v>01</v>
          </cell>
          <cell r="H461">
            <v>1500</v>
          </cell>
          <cell r="I461">
            <v>0</v>
          </cell>
          <cell r="J461">
            <v>0</v>
          </cell>
          <cell r="K461">
            <v>0.7</v>
          </cell>
          <cell r="L461" t="str">
            <v>88/2</v>
          </cell>
          <cell r="M461" t="str">
            <v>70003</v>
          </cell>
          <cell r="N461" t="str">
            <v>16 3612441</v>
          </cell>
          <cell r="O461" t="str">
            <v>08</v>
          </cell>
          <cell r="P461">
            <v>10</v>
          </cell>
          <cell r="Q461">
            <v>0</v>
          </cell>
          <cell r="R461" t="str">
            <v>1</v>
          </cell>
          <cell r="S461" t="str">
            <v>70</v>
          </cell>
          <cell r="T461">
            <v>94</v>
          </cell>
          <cell r="U461">
            <v>1</v>
          </cell>
          <cell r="V461">
            <v>95</v>
          </cell>
          <cell r="W461">
            <v>1</v>
          </cell>
          <cell r="X461">
            <v>95</v>
          </cell>
          <cell r="Y461">
            <v>0</v>
          </cell>
          <cell r="Z461">
            <v>0</v>
          </cell>
          <cell r="AD461" t="str">
            <v>0</v>
          </cell>
          <cell r="AE461" t="str">
            <v>0</v>
          </cell>
          <cell r="AF461" t="str">
            <v>15</v>
          </cell>
          <cell r="AI461">
            <v>2146320</v>
          </cell>
          <cell r="AJ461">
            <v>626010</v>
          </cell>
        </row>
        <row r="462">
          <cell r="A462" t="str">
            <v>15</v>
          </cell>
          <cell r="B462" t="str">
            <v>81</v>
          </cell>
          <cell r="C462" t="str">
            <v>3386</v>
          </cell>
          <cell r="D462" t="str">
            <v>Диван 3-х местный</v>
          </cell>
          <cell r="G462" t="str">
            <v>01</v>
          </cell>
          <cell r="H462">
            <v>1500</v>
          </cell>
          <cell r="I462">
            <v>0</v>
          </cell>
          <cell r="J462">
            <v>0</v>
          </cell>
          <cell r="K462">
            <v>0.7</v>
          </cell>
          <cell r="L462" t="str">
            <v>88/2</v>
          </cell>
          <cell r="M462" t="str">
            <v>70003</v>
          </cell>
          <cell r="N462" t="str">
            <v>16 3612441</v>
          </cell>
          <cell r="O462" t="str">
            <v>08</v>
          </cell>
          <cell r="P462">
            <v>10</v>
          </cell>
          <cell r="Q462">
            <v>0</v>
          </cell>
          <cell r="R462" t="str">
            <v>1</v>
          </cell>
          <cell r="S462" t="str">
            <v>70</v>
          </cell>
          <cell r="T462">
            <v>94</v>
          </cell>
          <cell r="U462">
            <v>1</v>
          </cell>
          <cell r="V462">
            <v>95</v>
          </cell>
          <cell r="W462">
            <v>1</v>
          </cell>
          <cell r="X462">
            <v>95</v>
          </cell>
          <cell r="Y462">
            <v>0</v>
          </cell>
          <cell r="Z462">
            <v>0</v>
          </cell>
          <cell r="AD462" t="str">
            <v>0</v>
          </cell>
          <cell r="AE462" t="str">
            <v>0</v>
          </cell>
          <cell r="AF462" t="str">
            <v>15</v>
          </cell>
          <cell r="AI462">
            <v>2146320</v>
          </cell>
          <cell r="AJ462">
            <v>626010</v>
          </cell>
        </row>
        <row r="463">
          <cell r="A463" t="str">
            <v>02</v>
          </cell>
          <cell r="B463" t="str">
            <v>80</v>
          </cell>
          <cell r="C463" t="str">
            <v>3387</v>
          </cell>
          <cell r="D463" t="str">
            <v>Диван 2-х местный</v>
          </cell>
          <cell r="G463" t="str">
            <v>01</v>
          </cell>
          <cell r="H463">
            <v>1154.1400000000001</v>
          </cell>
          <cell r="I463">
            <v>0</v>
          </cell>
          <cell r="J463">
            <v>0</v>
          </cell>
          <cell r="K463">
            <v>0.91</v>
          </cell>
          <cell r="L463" t="str">
            <v>88/2</v>
          </cell>
          <cell r="M463" t="str">
            <v>70003</v>
          </cell>
          <cell r="N463" t="str">
            <v>16 3612441</v>
          </cell>
          <cell r="O463" t="str">
            <v>08</v>
          </cell>
          <cell r="P463">
            <v>10</v>
          </cell>
          <cell r="Q463">
            <v>0</v>
          </cell>
          <cell r="R463" t="str">
            <v>1</v>
          </cell>
          <cell r="S463" t="str">
            <v>70</v>
          </cell>
          <cell r="T463">
            <v>94</v>
          </cell>
          <cell r="U463">
            <v>1</v>
          </cell>
          <cell r="V463">
            <v>95</v>
          </cell>
          <cell r="W463">
            <v>1</v>
          </cell>
          <cell r="X463">
            <v>95</v>
          </cell>
          <cell r="Y463">
            <v>0</v>
          </cell>
          <cell r="Z463">
            <v>0</v>
          </cell>
          <cell r="AD463" t="str">
            <v>0</v>
          </cell>
          <cell r="AE463" t="str">
            <v>0</v>
          </cell>
          <cell r="AF463" t="str">
            <v>00</v>
          </cell>
          <cell r="AI463">
            <v>1268280</v>
          </cell>
          <cell r="AJ463">
            <v>369915</v>
          </cell>
        </row>
        <row r="464">
          <cell r="A464" t="str">
            <v>02</v>
          </cell>
          <cell r="B464" t="str">
            <v>80</v>
          </cell>
          <cell r="C464" t="str">
            <v>3388</v>
          </cell>
          <cell r="D464" t="str">
            <v>Диван 2-х местный</v>
          </cell>
          <cell r="G464" t="str">
            <v>01</v>
          </cell>
          <cell r="H464">
            <v>1154.1400000000001</v>
          </cell>
          <cell r="I464">
            <v>0</v>
          </cell>
          <cell r="J464">
            <v>0</v>
          </cell>
          <cell r="K464">
            <v>0.91</v>
          </cell>
          <cell r="L464" t="str">
            <v>88/2</v>
          </cell>
          <cell r="M464" t="str">
            <v>70003</v>
          </cell>
          <cell r="N464" t="str">
            <v>16 3612441</v>
          </cell>
          <cell r="O464" t="str">
            <v>08</v>
          </cell>
          <cell r="P464">
            <v>10</v>
          </cell>
          <cell r="Q464">
            <v>0</v>
          </cell>
          <cell r="R464" t="str">
            <v>1</v>
          </cell>
          <cell r="S464" t="str">
            <v>70</v>
          </cell>
          <cell r="T464">
            <v>94</v>
          </cell>
          <cell r="U464">
            <v>1</v>
          </cell>
          <cell r="V464">
            <v>95</v>
          </cell>
          <cell r="W464">
            <v>1</v>
          </cell>
          <cell r="X464">
            <v>95</v>
          </cell>
          <cell r="Y464">
            <v>0</v>
          </cell>
          <cell r="Z464">
            <v>0</v>
          </cell>
          <cell r="AD464" t="str">
            <v>0</v>
          </cell>
          <cell r="AE464" t="str">
            <v>0</v>
          </cell>
          <cell r="AF464" t="str">
            <v>00</v>
          </cell>
          <cell r="AI464">
            <v>1268280</v>
          </cell>
          <cell r="AJ464">
            <v>369915</v>
          </cell>
        </row>
        <row r="465">
          <cell r="A465" t="str">
            <v>15</v>
          </cell>
          <cell r="B465" t="str">
            <v>81</v>
          </cell>
          <cell r="C465" t="str">
            <v>3389</v>
          </cell>
          <cell r="D465" t="str">
            <v>Кресло</v>
          </cell>
          <cell r="G465" t="str">
            <v>01</v>
          </cell>
          <cell r="H465">
            <v>450</v>
          </cell>
          <cell r="I465">
            <v>0</v>
          </cell>
          <cell r="J465">
            <v>0</v>
          </cell>
          <cell r="K465">
            <v>0.66</v>
          </cell>
          <cell r="L465" t="str">
            <v>88/2</v>
          </cell>
          <cell r="M465" t="str">
            <v>70003</v>
          </cell>
          <cell r="N465" t="str">
            <v>16 3612395</v>
          </cell>
          <cell r="O465" t="str">
            <v>08</v>
          </cell>
          <cell r="P465">
            <v>10</v>
          </cell>
          <cell r="Q465">
            <v>0</v>
          </cell>
          <cell r="R465" t="str">
            <v>1</v>
          </cell>
          <cell r="S465" t="str">
            <v>70</v>
          </cell>
          <cell r="T465">
            <v>94</v>
          </cell>
          <cell r="U465">
            <v>1</v>
          </cell>
          <cell r="V465">
            <v>95</v>
          </cell>
          <cell r="W465">
            <v>1</v>
          </cell>
          <cell r="X465">
            <v>95</v>
          </cell>
          <cell r="Y465">
            <v>0</v>
          </cell>
          <cell r="Z465">
            <v>0</v>
          </cell>
          <cell r="AD465" t="str">
            <v>0</v>
          </cell>
          <cell r="AE465" t="str">
            <v>0</v>
          </cell>
          <cell r="AF465" t="str">
            <v>15</v>
          </cell>
          <cell r="AI465">
            <v>682920</v>
          </cell>
          <cell r="AJ465">
            <v>199185</v>
          </cell>
        </row>
        <row r="466">
          <cell r="A466" t="str">
            <v>15</v>
          </cell>
          <cell r="B466" t="str">
            <v>81</v>
          </cell>
          <cell r="C466" t="str">
            <v>3390</v>
          </cell>
          <cell r="D466" t="str">
            <v>Стол</v>
          </cell>
          <cell r="G466" t="str">
            <v>01</v>
          </cell>
          <cell r="H466">
            <v>350</v>
          </cell>
          <cell r="I466">
            <v>0</v>
          </cell>
          <cell r="J466">
            <v>0</v>
          </cell>
          <cell r="K466">
            <v>0.45</v>
          </cell>
          <cell r="L466" t="str">
            <v>88/2</v>
          </cell>
          <cell r="M466" t="str">
            <v>70003</v>
          </cell>
          <cell r="N466" t="str">
            <v>16 3612421</v>
          </cell>
          <cell r="O466" t="str">
            <v>08</v>
          </cell>
          <cell r="P466">
            <v>10.1</v>
          </cell>
          <cell r="Q466">
            <v>0</v>
          </cell>
          <cell r="R466" t="str">
            <v>1</v>
          </cell>
          <cell r="S466" t="str">
            <v>70</v>
          </cell>
          <cell r="T466">
            <v>94</v>
          </cell>
          <cell r="U466">
            <v>1</v>
          </cell>
          <cell r="V466">
            <v>95</v>
          </cell>
          <cell r="W466">
            <v>1</v>
          </cell>
          <cell r="X466">
            <v>95</v>
          </cell>
          <cell r="Y466">
            <v>0</v>
          </cell>
          <cell r="Z466">
            <v>0</v>
          </cell>
          <cell r="AD466" t="str">
            <v>0</v>
          </cell>
          <cell r="AE466" t="str">
            <v>0</v>
          </cell>
          <cell r="AF466" t="str">
            <v>15</v>
          </cell>
          <cell r="AI466">
            <v>780480</v>
          </cell>
          <cell r="AJ466">
            <v>229916.4</v>
          </cell>
        </row>
        <row r="467">
          <cell r="A467" t="str">
            <v>02</v>
          </cell>
          <cell r="B467" t="str">
            <v>80</v>
          </cell>
          <cell r="C467" t="str">
            <v>3391</v>
          </cell>
          <cell r="D467" t="str">
            <v>Стол</v>
          </cell>
          <cell r="G467" t="str">
            <v>01</v>
          </cell>
          <cell r="H467">
            <v>350</v>
          </cell>
          <cell r="I467">
            <v>0</v>
          </cell>
          <cell r="J467">
            <v>0</v>
          </cell>
          <cell r="K467">
            <v>0.45</v>
          </cell>
          <cell r="L467" t="str">
            <v>26</v>
          </cell>
          <cell r="M467" t="str">
            <v>70003</v>
          </cell>
          <cell r="N467" t="str">
            <v>16 3612421</v>
          </cell>
          <cell r="O467" t="str">
            <v>08</v>
          </cell>
          <cell r="P467">
            <v>10.1</v>
          </cell>
          <cell r="Q467">
            <v>0</v>
          </cell>
          <cell r="R467" t="str">
            <v>1</v>
          </cell>
          <cell r="S467" t="str">
            <v>70</v>
          </cell>
          <cell r="T467">
            <v>94</v>
          </cell>
          <cell r="U467">
            <v>1</v>
          </cell>
          <cell r="V467">
            <v>95</v>
          </cell>
          <cell r="W467">
            <v>1</v>
          </cell>
          <cell r="X467">
            <v>95</v>
          </cell>
          <cell r="Y467">
            <v>0</v>
          </cell>
          <cell r="Z467">
            <v>0</v>
          </cell>
          <cell r="AD467" t="str">
            <v>0</v>
          </cell>
          <cell r="AE467" t="str">
            <v>0</v>
          </cell>
          <cell r="AF467" t="str">
            <v>00</v>
          </cell>
          <cell r="AI467">
            <v>780480</v>
          </cell>
          <cell r="AJ467">
            <v>229916.4</v>
          </cell>
        </row>
        <row r="468">
          <cell r="A468" t="str">
            <v>02</v>
          </cell>
          <cell r="B468" t="str">
            <v>71</v>
          </cell>
          <cell r="C468" t="str">
            <v>926</v>
          </cell>
          <cell r="D468" t="str">
            <v>Сварочный выпрямител</v>
          </cell>
          <cell r="E468" t="str">
            <v>ь ВДУ-50643</v>
          </cell>
          <cell r="G468" t="str">
            <v>01</v>
          </cell>
          <cell r="H468">
            <v>11313</v>
          </cell>
          <cell r="I468">
            <v>0</v>
          </cell>
          <cell r="J468">
            <v>0</v>
          </cell>
          <cell r="K468">
            <v>0.98</v>
          </cell>
          <cell r="L468" t="str">
            <v>23</v>
          </cell>
          <cell r="M468" t="str">
            <v>42502</v>
          </cell>
          <cell r="N468" t="str">
            <v>14 2922804</v>
          </cell>
          <cell r="O468" t="str">
            <v>067</v>
          </cell>
          <cell r="P468">
            <v>16.7</v>
          </cell>
          <cell r="Q468">
            <v>0</v>
          </cell>
          <cell r="R468" t="str">
            <v>1</v>
          </cell>
          <cell r="S468" t="str">
            <v>42</v>
          </cell>
          <cell r="T468">
            <v>93</v>
          </cell>
          <cell r="U468">
            <v>2</v>
          </cell>
          <cell r="V468">
            <v>95</v>
          </cell>
          <cell r="W468">
            <v>2</v>
          </cell>
          <cell r="X468">
            <v>95</v>
          </cell>
          <cell r="Y468">
            <v>0</v>
          </cell>
          <cell r="Z468">
            <v>0</v>
          </cell>
          <cell r="AD468" t="str">
            <v>0</v>
          </cell>
          <cell r="AE468" t="str">
            <v>0</v>
          </cell>
          <cell r="AF468" t="str">
            <v>00</v>
          </cell>
          <cell r="AI468">
            <v>11512080</v>
          </cell>
          <cell r="AJ468">
            <v>5447132.5199999996</v>
          </cell>
        </row>
        <row r="469">
          <cell r="A469" t="str">
            <v>02</v>
          </cell>
          <cell r="B469" t="str">
            <v>70</v>
          </cell>
          <cell r="C469" t="str">
            <v>927</v>
          </cell>
          <cell r="D469" t="str">
            <v>Сварочный выпрямител</v>
          </cell>
          <cell r="E469" t="str">
            <v>ь ВДУ-50643</v>
          </cell>
          <cell r="G469" t="str">
            <v>01</v>
          </cell>
          <cell r="H469">
            <v>11313</v>
          </cell>
          <cell r="I469">
            <v>0</v>
          </cell>
          <cell r="J469">
            <v>0</v>
          </cell>
          <cell r="K469">
            <v>0.98</v>
          </cell>
          <cell r="L469" t="str">
            <v>20</v>
          </cell>
          <cell r="M469" t="str">
            <v>42502</v>
          </cell>
          <cell r="N469" t="str">
            <v>14 2922804</v>
          </cell>
          <cell r="O469" t="str">
            <v>067</v>
          </cell>
          <cell r="P469">
            <v>16.7</v>
          </cell>
          <cell r="Q469">
            <v>0</v>
          </cell>
          <cell r="R469" t="str">
            <v>1</v>
          </cell>
          <cell r="S469" t="str">
            <v>42</v>
          </cell>
          <cell r="T469">
            <v>93</v>
          </cell>
          <cell r="U469">
            <v>2</v>
          </cell>
          <cell r="V469">
            <v>95</v>
          </cell>
          <cell r="W469">
            <v>2</v>
          </cell>
          <cell r="X469">
            <v>95</v>
          </cell>
          <cell r="Y469">
            <v>0</v>
          </cell>
          <cell r="Z469">
            <v>0</v>
          </cell>
          <cell r="AB469" t="str">
            <v>14</v>
          </cell>
          <cell r="AC469">
            <v>9</v>
          </cell>
          <cell r="AD469" t="str">
            <v>0</v>
          </cell>
          <cell r="AE469" t="str">
            <v>0</v>
          </cell>
          <cell r="AF469" t="str">
            <v>00</v>
          </cell>
          <cell r="AI469">
            <v>11512080</v>
          </cell>
          <cell r="AJ469">
            <v>5447132.5199999996</v>
          </cell>
        </row>
        <row r="470">
          <cell r="A470" t="str">
            <v>02</v>
          </cell>
          <cell r="B470" t="str">
            <v>08</v>
          </cell>
          <cell r="C470" t="str">
            <v>928</v>
          </cell>
          <cell r="D470" t="str">
            <v>Сварочный выпрямител</v>
          </cell>
          <cell r="E470" t="str">
            <v>ь ВДУ-50643</v>
          </cell>
          <cell r="G470" t="str">
            <v>01</v>
          </cell>
          <cell r="H470">
            <v>11313</v>
          </cell>
          <cell r="I470">
            <v>0</v>
          </cell>
          <cell r="J470">
            <v>0</v>
          </cell>
          <cell r="K470">
            <v>0.98</v>
          </cell>
          <cell r="L470" t="str">
            <v>20</v>
          </cell>
          <cell r="M470" t="str">
            <v>42502</v>
          </cell>
          <cell r="N470" t="str">
            <v>14 2922804</v>
          </cell>
          <cell r="O470" t="str">
            <v>067</v>
          </cell>
          <cell r="P470">
            <v>16.7</v>
          </cell>
          <cell r="Q470">
            <v>0</v>
          </cell>
          <cell r="R470" t="str">
            <v>1</v>
          </cell>
          <cell r="S470" t="str">
            <v>42</v>
          </cell>
          <cell r="T470">
            <v>93</v>
          </cell>
          <cell r="U470">
            <v>2</v>
          </cell>
          <cell r="V470">
            <v>95</v>
          </cell>
          <cell r="W470">
            <v>2</v>
          </cell>
          <cell r="X470">
            <v>95</v>
          </cell>
          <cell r="Y470">
            <v>0</v>
          </cell>
          <cell r="Z470">
            <v>0</v>
          </cell>
          <cell r="AB470" t="str">
            <v>14</v>
          </cell>
          <cell r="AC470">
            <v>9</v>
          </cell>
          <cell r="AD470" t="str">
            <v>0</v>
          </cell>
          <cell r="AE470" t="str">
            <v>0</v>
          </cell>
          <cell r="AF470" t="str">
            <v>00</v>
          </cell>
          <cell r="AI470">
            <v>11512080</v>
          </cell>
          <cell r="AJ470">
            <v>5447132.5199999996</v>
          </cell>
        </row>
        <row r="471">
          <cell r="A471" t="str">
            <v>02</v>
          </cell>
          <cell r="B471" t="str">
            <v>23</v>
          </cell>
          <cell r="C471" t="str">
            <v>931</v>
          </cell>
          <cell r="D471" t="str">
            <v>А/м ГАЗ-330210 груз.</v>
          </cell>
          <cell r="E471" t="str">
            <v>N А838 РН</v>
          </cell>
          <cell r="F471" t="str">
            <v>дв0164645 ш1512358</v>
          </cell>
          <cell r="G471" t="str">
            <v>01</v>
          </cell>
          <cell r="H471">
            <v>4426.04</v>
          </cell>
          <cell r="I471">
            <v>0</v>
          </cell>
          <cell r="J471">
            <v>33000</v>
          </cell>
          <cell r="K471">
            <v>0.93</v>
          </cell>
          <cell r="L471" t="str">
            <v>23</v>
          </cell>
          <cell r="M471" t="str">
            <v>50416</v>
          </cell>
          <cell r="N471" t="str">
            <v>15 3410192</v>
          </cell>
          <cell r="O471" t="str">
            <v>071</v>
          </cell>
          <cell r="P471">
            <v>14.3</v>
          </cell>
          <cell r="Q471">
            <v>0</v>
          </cell>
          <cell r="R471" t="str">
            <v>1</v>
          </cell>
          <cell r="S471" t="str">
            <v>50</v>
          </cell>
          <cell r="T471">
            <v>94</v>
          </cell>
          <cell r="U471">
            <v>1</v>
          </cell>
          <cell r="V471">
            <v>95</v>
          </cell>
          <cell r="W471">
            <v>1</v>
          </cell>
          <cell r="X471">
            <v>95</v>
          </cell>
          <cell r="Y471">
            <v>4</v>
          </cell>
          <cell r="Z471">
            <v>95</v>
          </cell>
          <cell r="AD471" t="str">
            <v>0</v>
          </cell>
          <cell r="AE471" t="str">
            <v>0</v>
          </cell>
          <cell r="AF471" t="str">
            <v>00</v>
          </cell>
          <cell r="AI471">
            <v>35448426</v>
          </cell>
          <cell r="AJ471">
            <v>14041742.640000001</v>
          </cell>
        </row>
        <row r="472">
          <cell r="A472" t="str">
            <v>02</v>
          </cell>
          <cell r="B472" t="str">
            <v>23</v>
          </cell>
          <cell r="C472" t="str">
            <v>1314</v>
          </cell>
          <cell r="D472" t="str">
            <v>КАМАЗ-551110 а/бето-</v>
          </cell>
          <cell r="E472" t="str">
            <v>новоз Nо А 342 УК</v>
          </cell>
          <cell r="F472" t="str">
            <v>дв027844 ш2073852</v>
          </cell>
          <cell r="G472" t="str">
            <v>01</v>
          </cell>
          <cell r="H472">
            <v>145833.57999999999</v>
          </cell>
          <cell r="I472">
            <v>0</v>
          </cell>
          <cell r="J472">
            <v>175000</v>
          </cell>
          <cell r="K472">
            <v>0.7</v>
          </cell>
          <cell r="L472" t="str">
            <v>23</v>
          </cell>
          <cell r="M472" t="str">
            <v>42000</v>
          </cell>
          <cell r="N472" t="str">
            <v>15 3410373</v>
          </cell>
          <cell r="O472" t="str">
            <v>064</v>
          </cell>
          <cell r="P472">
            <v>12.5</v>
          </cell>
          <cell r="Q472">
            <v>0</v>
          </cell>
          <cell r="R472" t="str">
            <v>1</v>
          </cell>
          <cell r="S472" t="str">
            <v>42</v>
          </cell>
          <cell r="T472">
            <v>94</v>
          </cell>
          <cell r="U472">
            <v>3</v>
          </cell>
          <cell r="V472">
            <v>95</v>
          </cell>
          <cell r="W472">
            <v>3</v>
          </cell>
          <cell r="X472">
            <v>95</v>
          </cell>
          <cell r="Y472">
            <v>4</v>
          </cell>
          <cell r="Z472">
            <v>95</v>
          </cell>
          <cell r="AD472" t="str">
            <v>0</v>
          </cell>
          <cell r="AE472" t="str">
            <v>0</v>
          </cell>
          <cell r="AF472" t="str">
            <v>00</v>
          </cell>
          <cell r="AI472">
            <v>248888889</v>
          </cell>
          <cell r="AJ472">
            <v>85123460.430000007</v>
          </cell>
        </row>
        <row r="473">
          <cell r="A473" t="str">
            <v>02</v>
          </cell>
          <cell r="B473" t="str">
            <v>05</v>
          </cell>
          <cell r="C473" t="str">
            <v>1317</v>
          </cell>
          <cell r="D473" t="str">
            <v>Компьютер-486 Корея</v>
          </cell>
          <cell r="E473" t="str">
            <v>с принтером EPSON</v>
          </cell>
          <cell r="F473" t="str">
            <v>Япония</v>
          </cell>
          <cell r="G473" t="str">
            <v>01</v>
          </cell>
          <cell r="H473">
            <v>5168.8999999999996</v>
          </cell>
          <cell r="I473">
            <v>0</v>
          </cell>
          <cell r="J473">
            <v>0</v>
          </cell>
          <cell r="K473">
            <v>0.23</v>
          </cell>
          <cell r="L473" t="str">
            <v>20</v>
          </cell>
          <cell r="M473" t="str">
            <v>48008</v>
          </cell>
          <cell r="N473" t="str">
            <v>14 3020204</v>
          </cell>
          <cell r="O473" t="str">
            <v>063</v>
          </cell>
          <cell r="P473">
            <v>10</v>
          </cell>
          <cell r="Q473">
            <v>0</v>
          </cell>
          <cell r="R473" t="str">
            <v>1</v>
          </cell>
          <cell r="S473" t="str">
            <v>48</v>
          </cell>
          <cell r="T473">
            <v>95</v>
          </cell>
          <cell r="U473">
            <v>3</v>
          </cell>
          <cell r="V473">
            <v>95</v>
          </cell>
          <cell r="W473">
            <v>3</v>
          </cell>
          <cell r="X473">
            <v>95</v>
          </cell>
          <cell r="Y473">
            <v>0</v>
          </cell>
          <cell r="Z473">
            <v>0</v>
          </cell>
          <cell r="AD473" t="str">
            <v>0</v>
          </cell>
          <cell r="AE473" t="str">
            <v>0</v>
          </cell>
          <cell r="AF473" t="str">
            <v>00</v>
          </cell>
          <cell r="AI473">
            <v>15485203</v>
          </cell>
          <cell r="AJ473">
            <v>4258430.83</v>
          </cell>
        </row>
        <row r="474">
          <cell r="A474" t="str">
            <v>02</v>
          </cell>
          <cell r="B474" t="str">
            <v>05</v>
          </cell>
          <cell r="C474" t="str">
            <v>1318</v>
          </cell>
          <cell r="D474" t="str">
            <v>Компьютер-386 Корея</v>
          </cell>
          <cell r="E474" t="str">
            <v>с принтером STIB</v>
          </cell>
          <cell r="F474" t="str">
            <v>США</v>
          </cell>
          <cell r="G474" t="str">
            <v>01</v>
          </cell>
          <cell r="H474">
            <v>6616.92</v>
          </cell>
          <cell r="I474">
            <v>0</v>
          </cell>
          <cell r="J474">
            <v>0</v>
          </cell>
          <cell r="K474">
            <v>0.28000000000000003</v>
          </cell>
          <cell r="L474" t="str">
            <v>20</v>
          </cell>
          <cell r="M474" t="str">
            <v>48008</v>
          </cell>
          <cell r="N474" t="str">
            <v>14 3020204</v>
          </cell>
          <cell r="O474" t="str">
            <v>063</v>
          </cell>
          <cell r="P474">
            <v>10</v>
          </cell>
          <cell r="Q474">
            <v>0</v>
          </cell>
          <cell r="R474" t="str">
            <v>1</v>
          </cell>
          <cell r="S474" t="str">
            <v>48</v>
          </cell>
          <cell r="T474">
            <v>95</v>
          </cell>
          <cell r="U474">
            <v>3</v>
          </cell>
          <cell r="V474">
            <v>95</v>
          </cell>
          <cell r="W474">
            <v>3</v>
          </cell>
          <cell r="X474">
            <v>95</v>
          </cell>
          <cell r="Y474">
            <v>0</v>
          </cell>
          <cell r="Z474">
            <v>0</v>
          </cell>
          <cell r="AB474" t="str">
            <v>14</v>
          </cell>
          <cell r="AC474">
            <v>5</v>
          </cell>
          <cell r="AD474" t="str">
            <v>0</v>
          </cell>
          <cell r="AE474" t="str">
            <v>0</v>
          </cell>
          <cell r="AF474" t="str">
            <v>00</v>
          </cell>
          <cell r="AI474">
            <v>9932496</v>
          </cell>
          <cell r="AJ474">
            <v>2731436.4</v>
          </cell>
        </row>
        <row r="475">
          <cell r="A475" t="str">
            <v>02</v>
          </cell>
          <cell r="B475" t="str">
            <v>99</v>
          </cell>
          <cell r="C475" t="str">
            <v>932</v>
          </cell>
          <cell r="D475" t="str">
            <v>Электропечь ЭПЭ 50/4</v>
          </cell>
          <cell r="G475" t="str">
            <v>01</v>
          </cell>
          <cell r="H475">
            <v>2800</v>
          </cell>
          <cell r="I475">
            <v>0</v>
          </cell>
          <cell r="J475">
            <v>0</v>
          </cell>
          <cell r="K475">
            <v>1.5</v>
          </cell>
          <cell r="L475" t="str">
            <v>20</v>
          </cell>
          <cell r="M475" t="str">
            <v>45804</v>
          </cell>
          <cell r="N475" t="str">
            <v>14 2914136</v>
          </cell>
          <cell r="O475" t="str">
            <v>067</v>
          </cell>
          <cell r="P475">
            <v>12.5</v>
          </cell>
          <cell r="Q475">
            <v>0</v>
          </cell>
          <cell r="R475" t="str">
            <v>1</v>
          </cell>
          <cell r="S475" t="str">
            <v>45</v>
          </cell>
          <cell r="T475">
            <v>95</v>
          </cell>
          <cell r="U475">
            <v>3</v>
          </cell>
          <cell r="V475">
            <v>95</v>
          </cell>
          <cell r="W475">
            <v>3</v>
          </cell>
          <cell r="X475">
            <v>95</v>
          </cell>
          <cell r="Y475">
            <v>0</v>
          </cell>
          <cell r="Z475">
            <v>0</v>
          </cell>
          <cell r="AB475" t="str">
            <v>14</v>
          </cell>
          <cell r="AC475">
            <v>9</v>
          </cell>
          <cell r="AD475" t="str">
            <v>0</v>
          </cell>
          <cell r="AE475" t="str">
            <v>0</v>
          </cell>
          <cell r="AF475" t="str">
            <v>00</v>
          </cell>
          <cell r="AI475">
            <v>1872000</v>
          </cell>
          <cell r="AJ475">
            <v>643500</v>
          </cell>
        </row>
        <row r="476">
          <cell r="A476" t="str">
            <v>02</v>
          </cell>
          <cell r="B476" t="str">
            <v>80</v>
          </cell>
          <cell r="C476" t="str">
            <v>934</v>
          </cell>
          <cell r="D476" t="str">
            <v>Набор посуды АСТРА</v>
          </cell>
          <cell r="G476" t="str">
            <v>01</v>
          </cell>
          <cell r="H476">
            <v>1890</v>
          </cell>
          <cell r="I476">
            <v>0</v>
          </cell>
          <cell r="J476">
            <v>0</v>
          </cell>
          <cell r="K476">
            <v>0.26</v>
          </cell>
          <cell r="L476" t="str">
            <v>88/2</v>
          </cell>
          <cell r="M476" t="str">
            <v>45804</v>
          </cell>
          <cell r="N476" t="str">
            <v>16 3697000</v>
          </cell>
          <cell r="O476" t="str">
            <v>067</v>
          </cell>
          <cell r="P476">
            <v>12.5</v>
          </cell>
          <cell r="Q476">
            <v>0</v>
          </cell>
          <cell r="R476" t="str">
            <v>1</v>
          </cell>
          <cell r="S476" t="str">
            <v>45</v>
          </cell>
          <cell r="T476">
            <v>95</v>
          </cell>
          <cell r="U476">
            <v>3</v>
          </cell>
          <cell r="V476">
            <v>95</v>
          </cell>
          <cell r="W476">
            <v>3</v>
          </cell>
          <cell r="X476">
            <v>95</v>
          </cell>
          <cell r="Y476">
            <v>0</v>
          </cell>
          <cell r="Z476">
            <v>0</v>
          </cell>
          <cell r="AB476" t="str">
            <v>14</v>
          </cell>
          <cell r="AC476">
            <v>6</v>
          </cell>
          <cell r="AD476" t="str">
            <v>0</v>
          </cell>
          <cell r="AE476" t="str">
            <v>0</v>
          </cell>
          <cell r="AF476" t="str">
            <v>00</v>
          </cell>
          <cell r="AI476">
            <v>7215929</v>
          </cell>
          <cell r="AJ476">
            <v>2480475.59</v>
          </cell>
        </row>
        <row r="477">
          <cell r="A477" t="str">
            <v>02</v>
          </cell>
          <cell r="B477" t="str">
            <v>03</v>
          </cell>
          <cell r="C477" t="str">
            <v>935</v>
          </cell>
          <cell r="D477" t="str">
            <v>Набор посуды СТАНДАР</v>
          </cell>
          <cell r="E477" t="str">
            <v>Т</v>
          </cell>
          <cell r="G477" t="str">
            <v>01</v>
          </cell>
          <cell r="H477">
            <v>2100</v>
          </cell>
          <cell r="I477">
            <v>0</v>
          </cell>
          <cell r="J477">
            <v>0</v>
          </cell>
          <cell r="K477">
            <v>0.25</v>
          </cell>
          <cell r="L477" t="str">
            <v>88</v>
          </cell>
          <cell r="M477" t="str">
            <v>45801</v>
          </cell>
          <cell r="N477" t="str">
            <v>16 2691533</v>
          </cell>
          <cell r="O477" t="str">
            <v>067</v>
          </cell>
          <cell r="P477">
            <v>12.5</v>
          </cell>
          <cell r="Q477">
            <v>0</v>
          </cell>
          <cell r="R477" t="str">
            <v>1</v>
          </cell>
          <cell r="S477" t="str">
            <v>45</v>
          </cell>
          <cell r="T477">
            <v>95</v>
          </cell>
          <cell r="U477">
            <v>3</v>
          </cell>
          <cell r="V477">
            <v>95</v>
          </cell>
          <cell r="W477">
            <v>3</v>
          </cell>
          <cell r="X477">
            <v>95</v>
          </cell>
          <cell r="Y477">
            <v>0</v>
          </cell>
          <cell r="Z477">
            <v>0</v>
          </cell>
          <cell r="AD477" t="str">
            <v>0</v>
          </cell>
          <cell r="AE477" t="str">
            <v>0</v>
          </cell>
          <cell r="AF477" t="str">
            <v>00</v>
          </cell>
          <cell r="AI477">
            <v>8570609</v>
          </cell>
          <cell r="AJ477">
            <v>2946146.84</v>
          </cell>
        </row>
        <row r="478">
          <cell r="A478" t="str">
            <v>02</v>
          </cell>
          <cell r="B478" t="str">
            <v>80</v>
          </cell>
          <cell r="C478" t="str">
            <v>936</v>
          </cell>
          <cell r="D478" t="str">
            <v>Набор посуды СТАНДАР</v>
          </cell>
          <cell r="E478" t="str">
            <v>Т</v>
          </cell>
          <cell r="G478" t="str">
            <v>01</v>
          </cell>
          <cell r="H478">
            <v>2100</v>
          </cell>
          <cell r="I478">
            <v>0</v>
          </cell>
          <cell r="J478">
            <v>0</v>
          </cell>
          <cell r="K478">
            <v>0.25</v>
          </cell>
          <cell r="L478" t="str">
            <v>88/2</v>
          </cell>
          <cell r="M478" t="str">
            <v>45804</v>
          </cell>
          <cell r="N478" t="str">
            <v>16 3697000</v>
          </cell>
          <cell r="O478" t="str">
            <v>067</v>
          </cell>
          <cell r="P478">
            <v>12.5</v>
          </cell>
          <cell r="Q478">
            <v>0</v>
          </cell>
          <cell r="R478" t="str">
            <v>1</v>
          </cell>
          <cell r="S478" t="str">
            <v>45</v>
          </cell>
          <cell r="T478">
            <v>95</v>
          </cell>
          <cell r="U478">
            <v>3</v>
          </cell>
          <cell r="V478">
            <v>95</v>
          </cell>
          <cell r="W478">
            <v>3</v>
          </cell>
          <cell r="X478">
            <v>95</v>
          </cell>
          <cell r="Y478">
            <v>0</v>
          </cell>
          <cell r="Z478">
            <v>0</v>
          </cell>
          <cell r="AB478" t="str">
            <v>14</v>
          </cell>
          <cell r="AC478">
            <v>6</v>
          </cell>
          <cell r="AD478" t="str">
            <v>0</v>
          </cell>
          <cell r="AE478" t="str">
            <v>0</v>
          </cell>
          <cell r="AF478" t="str">
            <v>00</v>
          </cell>
          <cell r="AI478">
            <v>8570609</v>
          </cell>
          <cell r="AJ478">
            <v>2946146.84</v>
          </cell>
        </row>
        <row r="479">
          <cell r="A479" t="str">
            <v>02</v>
          </cell>
          <cell r="B479" t="str">
            <v>51</v>
          </cell>
          <cell r="C479" t="str">
            <v>1319</v>
          </cell>
          <cell r="D479" t="str">
            <v>Телевизор КАСКАД</v>
          </cell>
          <cell r="E479" t="str">
            <v>черно-белый</v>
          </cell>
          <cell r="G479" t="str">
            <v>01</v>
          </cell>
          <cell r="H479">
            <v>520</v>
          </cell>
          <cell r="I479">
            <v>0</v>
          </cell>
          <cell r="J479">
            <v>0</v>
          </cell>
          <cell r="K479">
            <v>0.48</v>
          </cell>
          <cell r="L479" t="str">
            <v>20</v>
          </cell>
          <cell r="M479" t="str">
            <v>45625</v>
          </cell>
          <cell r="N479" t="str">
            <v>14 3230101</v>
          </cell>
          <cell r="O479" t="str">
            <v>067</v>
          </cell>
          <cell r="P479">
            <v>10.5</v>
          </cell>
          <cell r="Q479">
            <v>0</v>
          </cell>
          <cell r="R479" t="str">
            <v>1</v>
          </cell>
          <cell r="S479" t="str">
            <v>45</v>
          </cell>
          <cell r="T479">
            <v>95</v>
          </cell>
          <cell r="U479">
            <v>3</v>
          </cell>
          <cell r="V479">
            <v>95</v>
          </cell>
          <cell r="W479">
            <v>3</v>
          </cell>
          <cell r="X479">
            <v>95</v>
          </cell>
          <cell r="Y479">
            <v>0</v>
          </cell>
          <cell r="Z479">
            <v>0</v>
          </cell>
          <cell r="AD479" t="str">
            <v>0</v>
          </cell>
          <cell r="AE479" t="str">
            <v>0</v>
          </cell>
          <cell r="AF479" t="str">
            <v>00</v>
          </cell>
          <cell r="AI479">
            <v>1080000</v>
          </cell>
          <cell r="AJ479">
            <v>311850</v>
          </cell>
        </row>
        <row r="480">
          <cell r="A480" t="str">
            <v>02</v>
          </cell>
          <cell r="B480" t="str">
            <v>51</v>
          </cell>
          <cell r="C480" t="str">
            <v>1320</v>
          </cell>
          <cell r="D480" t="str">
            <v>Телевизор КАСКАД</v>
          </cell>
          <cell r="E480" t="str">
            <v>черно-белый</v>
          </cell>
          <cell r="G480" t="str">
            <v>01</v>
          </cell>
          <cell r="H480">
            <v>520</v>
          </cell>
          <cell r="I480">
            <v>0</v>
          </cell>
          <cell r="J480">
            <v>0</v>
          </cell>
          <cell r="K480">
            <v>0.48</v>
          </cell>
          <cell r="L480" t="str">
            <v>20</v>
          </cell>
          <cell r="M480" t="str">
            <v>45625</v>
          </cell>
          <cell r="N480" t="str">
            <v>14 3230101</v>
          </cell>
          <cell r="O480" t="str">
            <v>067</v>
          </cell>
          <cell r="P480">
            <v>10.5</v>
          </cell>
          <cell r="Q480">
            <v>0</v>
          </cell>
          <cell r="R480" t="str">
            <v>1</v>
          </cell>
          <cell r="S480" t="str">
            <v>45</v>
          </cell>
          <cell r="T480">
            <v>95</v>
          </cell>
          <cell r="U480">
            <v>3</v>
          </cell>
          <cell r="V480">
            <v>95</v>
          </cell>
          <cell r="W480">
            <v>3</v>
          </cell>
          <cell r="X480">
            <v>95</v>
          </cell>
          <cell r="Y480">
            <v>0</v>
          </cell>
          <cell r="Z480">
            <v>0</v>
          </cell>
          <cell r="AD480" t="str">
            <v>0</v>
          </cell>
          <cell r="AE480" t="str">
            <v>0</v>
          </cell>
          <cell r="AF480" t="str">
            <v>00</v>
          </cell>
          <cell r="AI480">
            <v>1080000</v>
          </cell>
          <cell r="AJ480">
            <v>311850</v>
          </cell>
        </row>
        <row r="481">
          <cell r="A481" t="str">
            <v>02</v>
          </cell>
          <cell r="B481" t="str">
            <v>51</v>
          </cell>
          <cell r="C481" t="str">
            <v>1321</v>
          </cell>
          <cell r="D481" t="str">
            <v>Телевизор КАСКАД</v>
          </cell>
          <cell r="E481" t="str">
            <v>черно-белый</v>
          </cell>
          <cell r="G481" t="str">
            <v>01</v>
          </cell>
          <cell r="H481">
            <v>520</v>
          </cell>
          <cell r="I481">
            <v>0</v>
          </cell>
          <cell r="J481">
            <v>0</v>
          </cell>
          <cell r="K481">
            <v>0.48</v>
          </cell>
          <cell r="L481" t="str">
            <v>20</v>
          </cell>
          <cell r="M481" t="str">
            <v>45625</v>
          </cell>
          <cell r="N481" t="str">
            <v>14 3230101</v>
          </cell>
          <cell r="O481" t="str">
            <v>067</v>
          </cell>
          <cell r="P481">
            <v>10.5</v>
          </cell>
          <cell r="Q481">
            <v>0</v>
          </cell>
          <cell r="R481" t="str">
            <v>1</v>
          </cell>
          <cell r="S481" t="str">
            <v>45</v>
          </cell>
          <cell r="T481">
            <v>95</v>
          </cell>
          <cell r="U481">
            <v>3</v>
          </cell>
          <cell r="V481">
            <v>95</v>
          </cell>
          <cell r="W481">
            <v>3</v>
          </cell>
          <cell r="X481">
            <v>95</v>
          </cell>
          <cell r="Y481">
            <v>0</v>
          </cell>
          <cell r="Z481">
            <v>0</v>
          </cell>
          <cell r="AD481" t="str">
            <v>0</v>
          </cell>
          <cell r="AE481" t="str">
            <v>0</v>
          </cell>
          <cell r="AF481" t="str">
            <v>00</v>
          </cell>
          <cell r="AI481">
            <v>1080000</v>
          </cell>
          <cell r="AJ481">
            <v>311850</v>
          </cell>
        </row>
        <row r="482">
          <cell r="A482" t="str">
            <v>17</v>
          </cell>
          <cell r="B482" t="str">
            <v>82</v>
          </cell>
          <cell r="C482" t="str">
            <v>1322</v>
          </cell>
          <cell r="D482" t="str">
            <v>Шкаф холодильный</v>
          </cell>
          <cell r="G482" t="str">
            <v>01</v>
          </cell>
          <cell r="H482">
            <v>6300</v>
          </cell>
          <cell r="I482">
            <v>0</v>
          </cell>
          <cell r="J482">
            <v>0</v>
          </cell>
          <cell r="K482">
            <v>0.97</v>
          </cell>
          <cell r="L482" t="str">
            <v>26</v>
          </cell>
          <cell r="M482" t="str">
            <v>45800</v>
          </cell>
          <cell r="N482" t="str">
            <v>16 2930100</v>
          </cell>
          <cell r="O482" t="str">
            <v>063</v>
          </cell>
          <cell r="P482">
            <v>10</v>
          </cell>
          <cell r="Q482">
            <v>0</v>
          </cell>
          <cell r="R482" t="str">
            <v>1</v>
          </cell>
          <cell r="S482" t="str">
            <v>45</v>
          </cell>
          <cell r="T482">
            <v>95</v>
          </cell>
          <cell r="U482">
            <v>3</v>
          </cell>
          <cell r="V482">
            <v>95</v>
          </cell>
          <cell r="W482">
            <v>3</v>
          </cell>
          <cell r="X482">
            <v>95</v>
          </cell>
          <cell r="Y482">
            <v>0</v>
          </cell>
          <cell r="Z482">
            <v>0</v>
          </cell>
          <cell r="AB482" t="str">
            <v>14</v>
          </cell>
          <cell r="AC482">
            <v>11</v>
          </cell>
          <cell r="AD482" t="str">
            <v>0</v>
          </cell>
          <cell r="AE482" t="str">
            <v>0</v>
          </cell>
          <cell r="AF482" t="str">
            <v>17</v>
          </cell>
          <cell r="AI482">
            <v>6487782</v>
          </cell>
          <cell r="AJ482">
            <v>1784140.05</v>
          </cell>
        </row>
        <row r="483">
          <cell r="A483" t="str">
            <v>02</v>
          </cell>
          <cell r="B483" t="str">
            <v>80</v>
          </cell>
          <cell r="C483" t="str">
            <v>937</v>
          </cell>
          <cell r="D483" t="str">
            <v>Набор посуды ПРИНЦ</v>
          </cell>
          <cell r="G483" t="str">
            <v>01</v>
          </cell>
          <cell r="H483">
            <v>2500</v>
          </cell>
          <cell r="I483">
            <v>0</v>
          </cell>
          <cell r="J483">
            <v>0</v>
          </cell>
          <cell r="K483">
            <v>0.21</v>
          </cell>
          <cell r="L483" t="str">
            <v>88/2</v>
          </cell>
          <cell r="M483" t="str">
            <v>45804</v>
          </cell>
          <cell r="N483" t="str">
            <v>16 3697000</v>
          </cell>
          <cell r="O483" t="str">
            <v>067</v>
          </cell>
          <cell r="P483">
            <v>12.5</v>
          </cell>
          <cell r="Q483">
            <v>0</v>
          </cell>
          <cell r="R483" t="str">
            <v>1</v>
          </cell>
          <cell r="S483" t="str">
            <v>45</v>
          </cell>
          <cell r="T483">
            <v>95</v>
          </cell>
          <cell r="U483">
            <v>3</v>
          </cell>
          <cell r="V483">
            <v>95</v>
          </cell>
          <cell r="W483">
            <v>3</v>
          </cell>
          <cell r="X483">
            <v>95</v>
          </cell>
          <cell r="Y483">
            <v>0</v>
          </cell>
          <cell r="Z483">
            <v>0</v>
          </cell>
          <cell r="AB483" t="str">
            <v>14</v>
          </cell>
          <cell r="AC483">
            <v>6</v>
          </cell>
          <cell r="AD483" t="str">
            <v>0</v>
          </cell>
          <cell r="AE483" t="str">
            <v>0</v>
          </cell>
          <cell r="AF483" t="str">
            <v>00</v>
          </cell>
          <cell r="AI483">
            <v>12183089</v>
          </cell>
          <cell r="AJ483">
            <v>4187936.84</v>
          </cell>
        </row>
        <row r="484">
          <cell r="A484" t="str">
            <v>02</v>
          </cell>
          <cell r="B484" t="str">
            <v>80</v>
          </cell>
          <cell r="C484" t="str">
            <v>938</v>
          </cell>
          <cell r="D484" t="str">
            <v>Набор посуды ПРИНЦ</v>
          </cell>
          <cell r="G484" t="str">
            <v>01</v>
          </cell>
          <cell r="H484">
            <v>2500</v>
          </cell>
          <cell r="I484">
            <v>0</v>
          </cell>
          <cell r="J484">
            <v>0</v>
          </cell>
          <cell r="K484">
            <v>0.21</v>
          </cell>
          <cell r="L484" t="str">
            <v>88/2</v>
          </cell>
          <cell r="M484" t="str">
            <v>45804</v>
          </cell>
          <cell r="N484" t="str">
            <v>16 3697000</v>
          </cell>
          <cell r="O484" t="str">
            <v>067</v>
          </cell>
          <cell r="P484">
            <v>12.5</v>
          </cell>
          <cell r="Q484">
            <v>0</v>
          </cell>
          <cell r="R484" t="str">
            <v>1</v>
          </cell>
          <cell r="S484" t="str">
            <v>45</v>
          </cell>
          <cell r="T484">
            <v>1</v>
          </cell>
          <cell r="U484">
            <v>3</v>
          </cell>
          <cell r="V484">
            <v>95</v>
          </cell>
          <cell r="W484">
            <v>3</v>
          </cell>
          <cell r="X484">
            <v>95</v>
          </cell>
          <cell r="Y484">
            <v>0</v>
          </cell>
          <cell r="Z484">
            <v>0</v>
          </cell>
          <cell r="AB484" t="str">
            <v>14</v>
          </cell>
          <cell r="AC484">
            <v>10</v>
          </cell>
          <cell r="AD484" t="str">
            <v>0</v>
          </cell>
          <cell r="AE484" t="str">
            <v>0</v>
          </cell>
          <cell r="AF484" t="str">
            <v>00</v>
          </cell>
          <cell r="AI484">
            <v>12183089</v>
          </cell>
          <cell r="AJ484">
            <v>4187936.84</v>
          </cell>
        </row>
        <row r="485">
          <cell r="A485" t="str">
            <v>02</v>
          </cell>
          <cell r="B485" t="str">
            <v>04</v>
          </cell>
          <cell r="C485" t="str">
            <v>1333</v>
          </cell>
          <cell r="D485" t="str">
            <v>Газосварочный перено</v>
          </cell>
          <cell r="E485" t="str">
            <v>сной аппарат</v>
          </cell>
          <cell r="G485" t="str">
            <v>01</v>
          </cell>
          <cell r="H485">
            <v>2450</v>
          </cell>
          <cell r="I485">
            <v>0</v>
          </cell>
          <cell r="J485">
            <v>0</v>
          </cell>
          <cell r="K485">
            <v>0.63</v>
          </cell>
          <cell r="L485" t="str">
            <v>23</v>
          </cell>
          <cell r="M485" t="str">
            <v>45502</v>
          </cell>
          <cell r="N485" t="str">
            <v>14 2947193</v>
          </cell>
          <cell r="O485" t="str">
            <v>067</v>
          </cell>
          <cell r="P485">
            <v>16.7</v>
          </cell>
          <cell r="Q485">
            <v>0</v>
          </cell>
          <cell r="R485" t="str">
            <v>1</v>
          </cell>
          <cell r="S485" t="str">
            <v>45</v>
          </cell>
          <cell r="T485">
            <v>95</v>
          </cell>
          <cell r="U485">
            <v>4</v>
          </cell>
          <cell r="V485">
            <v>95</v>
          </cell>
          <cell r="W485">
            <v>4</v>
          </cell>
          <cell r="X485">
            <v>95</v>
          </cell>
          <cell r="Y485">
            <v>0</v>
          </cell>
          <cell r="Z485">
            <v>0</v>
          </cell>
          <cell r="AB485" t="str">
            <v>14</v>
          </cell>
          <cell r="AC485">
            <v>2</v>
          </cell>
          <cell r="AD485" t="str">
            <v>0</v>
          </cell>
          <cell r="AE485" t="str">
            <v>1</v>
          </cell>
          <cell r="AF485" t="str">
            <v>00</v>
          </cell>
          <cell r="AI485">
            <v>3895000</v>
          </cell>
          <cell r="AJ485">
            <v>1734573.33</v>
          </cell>
        </row>
        <row r="486">
          <cell r="A486" t="str">
            <v>02</v>
          </cell>
          <cell r="B486" t="str">
            <v>71</v>
          </cell>
          <cell r="C486" t="str">
            <v>1344</v>
          </cell>
          <cell r="D486" t="str">
            <v>Выпрямитель ДУГА-305</v>
          </cell>
          <cell r="G486" t="str">
            <v>01</v>
          </cell>
          <cell r="H486">
            <v>3300</v>
          </cell>
          <cell r="I486">
            <v>0</v>
          </cell>
          <cell r="J486">
            <v>0</v>
          </cell>
          <cell r="K486">
            <v>1.1200000000000001</v>
          </cell>
          <cell r="L486" t="str">
            <v>23</v>
          </cell>
          <cell r="M486" t="str">
            <v>42502</v>
          </cell>
          <cell r="N486" t="str">
            <v>14 2922804</v>
          </cell>
          <cell r="O486" t="str">
            <v>067</v>
          </cell>
          <cell r="P486">
            <v>16.7</v>
          </cell>
          <cell r="Q486">
            <v>0</v>
          </cell>
          <cell r="R486" t="str">
            <v>1</v>
          </cell>
          <cell r="S486" t="str">
            <v>42</v>
          </cell>
          <cell r="T486">
            <v>95</v>
          </cell>
          <cell r="U486">
            <v>4</v>
          </cell>
          <cell r="V486">
            <v>95</v>
          </cell>
          <cell r="W486">
            <v>4</v>
          </cell>
          <cell r="X486">
            <v>95</v>
          </cell>
          <cell r="Y486">
            <v>0</v>
          </cell>
          <cell r="Z486">
            <v>0</v>
          </cell>
          <cell r="AD486" t="str">
            <v>0</v>
          </cell>
          <cell r="AE486" t="str">
            <v>0</v>
          </cell>
          <cell r="AF486" t="str">
            <v>00</v>
          </cell>
          <cell r="AI486">
            <v>2945000</v>
          </cell>
          <cell r="AJ486">
            <v>1311506.67</v>
          </cell>
        </row>
        <row r="487">
          <cell r="A487" t="str">
            <v>02</v>
          </cell>
          <cell r="B487" t="str">
            <v>70</v>
          </cell>
          <cell r="C487" t="str">
            <v>1345</v>
          </cell>
          <cell r="D487" t="str">
            <v>Выпрямитель ВДМ-800-</v>
          </cell>
          <cell r="E487" t="str">
            <v>01</v>
          </cell>
          <cell r="G487" t="str">
            <v>01</v>
          </cell>
          <cell r="H487">
            <v>11724.9</v>
          </cell>
          <cell r="I487">
            <v>0</v>
          </cell>
          <cell r="J487">
            <v>0</v>
          </cell>
          <cell r="K487">
            <v>1.21</v>
          </cell>
          <cell r="L487" t="str">
            <v>20</v>
          </cell>
          <cell r="M487" t="str">
            <v>42502</v>
          </cell>
          <cell r="N487" t="str">
            <v>14 2922804</v>
          </cell>
          <cell r="O487" t="str">
            <v>067</v>
          </cell>
          <cell r="P487">
            <v>16.7</v>
          </cell>
          <cell r="Q487">
            <v>0</v>
          </cell>
          <cell r="R487" t="str">
            <v>1</v>
          </cell>
          <cell r="S487" t="str">
            <v>42</v>
          </cell>
          <cell r="T487">
            <v>95</v>
          </cell>
          <cell r="U487">
            <v>4</v>
          </cell>
          <cell r="V487">
            <v>95</v>
          </cell>
          <cell r="W487">
            <v>4</v>
          </cell>
          <cell r="X487">
            <v>95</v>
          </cell>
          <cell r="Y487">
            <v>0</v>
          </cell>
          <cell r="Z487">
            <v>0</v>
          </cell>
          <cell r="AD487" t="str">
            <v>0</v>
          </cell>
          <cell r="AE487" t="str">
            <v>0</v>
          </cell>
          <cell r="AF487" t="str">
            <v>00</v>
          </cell>
          <cell r="AI487">
            <v>9690000</v>
          </cell>
          <cell r="AJ487">
            <v>4315280</v>
          </cell>
        </row>
        <row r="488">
          <cell r="A488" t="str">
            <v>02</v>
          </cell>
          <cell r="B488" t="str">
            <v>02</v>
          </cell>
          <cell r="C488" t="str">
            <v>1346</v>
          </cell>
          <cell r="D488" t="str">
            <v>Выпрямитель ВДМ-8000</v>
          </cell>
          <cell r="E488" t="str">
            <v>1</v>
          </cell>
          <cell r="G488" t="str">
            <v>01</v>
          </cell>
          <cell r="H488">
            <v>11724.9</v>
          </cell>
          <cell r="I488">
            <v>0</v>
          </cell>
          <cell r="J488">
            <v>0</v>
          </cell>
          <cell r="K488">
            <v>1.21</v>
          </cell>
          <cell r="L488" t="str">
            <v>20</v>
          </cell>
          <cell r="M488" t="str">
            <v>42502</v>
          </cell>
          <cell r="N488" t="str">
            <v>14 2922804</v>
          </cell>
          <cell r="O488" t="str">
            <v>067</v>
          </cell>
          <cell r="P488">
            <v>16.7</v>
          </cell>
          <cell r="Q488">
            <v>0</v>
          </cell>
          <cell r="R488" t="str">
            <v>1</v>
          </cell>
          <cell r="S488" t="str">
            <v>42</v>
          </cell>
          <cell r="T488">
            <v>95</v>
          </cell>
          <cell r="U488">
            <v>4</v>
          </cell>
          <cell r="V488">
            <v>95</v>
          </cell>
          <cell r="W488">
            <v>4</v>
          </cell>
          <cell r="X488">
            <v>95</v>
          </cell>
          <cell r="Y488">
            <v>0</v>
          </cell>
          <cell r="Z488">
            <v>0</v>
          </cell>
          <cell r="AB488" t="str">
            <v>14</v>
          </cell>
          <cell r="AC488">
            <v>2</v>
          </cell>
          <cell r="AD488" t="str">
            <v>0</v>
          </cell>
          <cell r="AE488" t="str">
            <v>0</v>
          </cell>
          <cell r="AF488" t="str">
            <v>00</v>
          </cell>
          <cell r="AI488">
            <v>9690000</v>
          </cell>
          <cell r="AJ488">
            <v>4315280</v>
          </cell>
        </row>
        <row r="489">
          <cell r="A489" t="str">
            <v>02</v>
          </cell>
          <cell r="B489" t="str">
            <v>99</v>
          </cell>
          <cell r="C489" t="str">
            <v>1323</v>
          </cell>
          <cell r="D489" t="str">
            <v>Холодильник СТИНОЛ</v>
          </cell>
          <cell r="G489" t="str">
            <v>01</v>
          </cell>
          <cell r="H489">
            <v>1800</v>
          </cell>
          <cell r="I489">
            <v>0</v>
          </cell>
          <cell r="J489">
            <v>0</v>
          </cell>
          <cell r="K489">
            <v>0.83</v>
          </cell>
          <cell r="L489" t="str">
            <v>20</v>
          </cell>
          <cell r="M489" t="str">
            <v>45800</v>
          </cell>
          <cell r="N489" t="str">
            <v>16 2930100</v>
          </cell>
          <cell r="O489" t="str">
            <v>063</v>
          </cell>
          <cell r="P489">
            <v>10</v>
          </cell>
          <cell r="Q489">
            <v>0</v>
          </cell>
          <cell r="R489" t="str">
            <v>1</v>
          </cell>
          <cell r="S489" t="str">
            <v>45</v>
          </cell>
          <cell r="T489">
            <v>95</v>
          </cell>
          <cell r="U489">
            <v>4</v>
          </cell>
          <cell r="V489">
            <v>95</v>
          </cell>
          <cell r="W489">
            <v>4</v>
          </cell>
          <cell r="X489">
            <v>95</v>
          </cell>
          <cell r="Y489">
            <v>0</v>
          </cell>
          <cell r="Z489">
            <v>0</v>
          </cell>
          <cell r="AD489" t="str">
            <v>0</v>
          </cell>
          <cell r="AE489" t="str">
            <v>0</v>
          </cell>
          <cell r="AF489" t="str">
            <v>00</v>
          </cell>
          <cell r="AI489">
            <v>2175720</v>
          </cell>
          <cell r="AJ489">
            <v>580192</v>
          </cell>
        </row>
        <row r="490">
          <cell r="A490" t="str">
            <v>02</v>
          </cell>
          <cell r="B490" t="str">
            <v>80</v>
          </cell>
          <cell r="C490" t="str">
            <v>1324</v>
          </cell>
          <cell r="D490" t="str">
            <v>Холодильник СТИНОЛ</v>
          </cell>
          <cell r="G490" t="str">
            <v>01</v>
          </cell>
          <cell r="H490">
            <v>1800</v>
          </cell>
          <cell r="I490">
            <v>0</v>
          </cell>
          <cell r="J490">
            <v>0</v>
          </cell>
          <cell r="K490">
            <v>0.83</v>
          </cell>
          <cell r="L490" t="str">
            <v>88/2</v>
          </cell>
          <cell r="M490" t="str">
            <v>45800</v>
          </cell>
          <cell r="N490" t="str">
            <v>16 2930100</v>
          </cell>
          <cell r="O490" t="str">
            <v>063</v>
          </cell>
          <cell r="P490">
            <v>10</v>
          </cell>
          <cell r="Q490">
            <v>0</v>
          </cell>
          <cell r="R490" t="str">
            <v>1</v>
          </cell>
          <cell r="S490" t="str">
            <v>45</v>
          </cell>
          <cell r="T490">
            <v>95</v>
          </cell>
          <cell r="U490">
            <v>4</v>
          </cell>
          <cell r="V490">
            <v>95</v>
          </cell>
          <cell r="W490">
            <v>4</v>
          </cell>
          <cell r="X490">
            <v>95</v>
          </cell>
          <cell r="Y490">
            <v>0</v>
          </cell>
          <cell r="Z490">
            <v>0</v>
          </cell>
          <cell r="AD490" t="str">
            <v>0</v>
          </cell>
          <cell r="AE490" t="str">
            <v>0</v>
          </cell>
          <cell r="AF490" t="str">
            <v>00</v>
          </cell>
          <cell r="AI490">
            <v>2175720</v>
          </cell>
          <cell r="AJ490">
            <v>580192</v>
          </cell>
        </row>
        <row r="491">
          <cell r="A491" t="str">
            <v>02</v>
          </cell>
          <cell r="B491" t="str">
            <v>51</v>
          </cell>
          <cell r="C491" t="str">
            <v>1325</v>
          </cell>
          <cell r="D491" t="str">
            <v>Холодиоьник СТИНОЛ</v>
          </cell>
          <cell r="E491" t="str">
            <v>Ново-Липецкий мет.</v>
          </cell>
          <cell r="F491" t="str">
            <v>комб.</v>
          </cell>
          <cell r="G491" t="str">
            <v>01</v>
          </cell>
          <cell r="H491">
            <v>1800</v>
          </cell>
          <cell r="I491">
            <v>0</v>
          </cell>
          <cell r="J491">
            <v>0</v>
          </cell>
          <cell r="K491">
            <v>0.83</v>
          </cell>
          <cell r="L491" t="str">
            <v>20</v>
          </cell>
          <cell r="M491" t="str">
            <v>45800</v>
          </cell>
          <cell r="N491" t="str">
            <v>16 2930100</v>
          </cell>
          <cell r="O491" t="str">
            <v>063</v>
          </cell>
          <cell r="P491">
            <v>10</v>
          </cell>
          <cell r="Q491">
            <v>0</v>
          </cell>
          <cell r="R491" t="str">
            <v>1</v>
          </cell>
          <cell r="S491" t="str">
            <v>45</v>
          </cell>
          <cell r="T491">
            <v>95</v>
          </cell>
          <cell r="U491">
            <v>4</v>
          </cell>
          <cell r="V491">
            <v>95</v>
          </cell>
          <cell r="W491">
            <v>4</v>
          </cell>
          <cell r="X491">
            <v>95</v>
          </cell>
          <cell r="Y491">
            <v>0</v>
          </cell>
          <cell r="Z491">
            <v>0</v>
          </cell>
          <cell r="AD491" t="str">
            <v>0</v>
          </cell>
          <cell r="AE491" t="str">
            <v>0</v>
          </cell>
          <cell r="AF491" t="str">
            <v>00</v>
          </cell>
          <cell r="AI491">
            <v>2175720</v>
          </cell>
          <cell r="AJ491">
            <v>580192</v>
          </cell>
        </row>
        <row r="492">
          <cell r="A492" t="str">
            <v>02</v>
          </cell>
          <cell r="B492" t="str">
            <v>71</v>
          </cell>
          <cell r="C492" t="str">
            <v>1326</v>
          </cell>
          <cell r="D492" t="str">
            <v>Холодильник СТИНОЛ</v>
          </cell>
          <cell r="G492" t="str">
            <v>01</v>
          </cell>
          <cell r="H492">
            <v>1800</v>
          </cell>
          <cell r="I492">
            <v>0</v>
          </cell>
          <cell r="J492">
            <v>0</v>
          </cell>
          <cell r="K492">
            <v>0.83</v>
          </cell>
          <cell r="L492" t="str">
            <v>23</v>
          </cell>
          <cell r="M492" t="str">
            <v>45800</v>
          </cell>
          <cell r="N492" t="str">
            <v>16 2930100</v>
          </cell>
          <cell r="O492" t="str">
            <v>063</v>
          </cell>
          <cell r="P492">
            <v>10</v>
          </cell>
          <cell r="Q492">
            <v>0</v>
          </cell>
          <cell r="R492" t="str">
            <v>1</v>
          </cell>
          <cell r="S492" t="str">
            <v>45</v>
          </cell>
          <cell r="T492">
            <v>95</v>
          </cell>
          <cell r="U492">
            <v>4</v>
          </cell>
          <cell r="V492">
            <v>95</v>
          </cell>
          <cell r="W492">
            <v>4</v>
          </cell>
          <cell r="X492">
            <v>95</v>
          </cell>
          <cell r="Y492">
            <v>0</v>
          </cell>
          <cell r="Z492">
            <v>0</v>
          </cell>
          <cell r="AD492" t="str">
            <v>0</v>
          </cell>
          <cell r="AE492" t="str">
            <v>0</v>
          </cell>
          <cell r="AF492" t="str">
            <v>00</v>
          </cell>
          <cell r="AI492">
            <v>2175720</v>
          </cell>
          <cell r="AJ492">
            <v>580192</v>
          </cell>
        </row>
        <row r="493">
          <cell r="A493" t="str">
            <v>02</v>
          </cell>
          <cell r="B493" t="str">
            <v>23</v>
          </cell>
          <cell r="C493" t="str">
            <v>1327</v>
          </cell>
          <cell r="D493" t="str">
            <v>Холодильник СТИНОЛ</v>
          </cell>
          <cell r="E493" t="str">
            <v>Ново-Липецкий мет.</v>
          </cell>
          <cell r="F493" t="str">
            <v>комб.</v>
          </cell>
          <cell r="G493" t="str">
            <v>01</v>
          </cell>
          <cell r="H493">
            <v>1800</v>
          </cell>
          <cell r="I493">
            <v>0</v>
          </cell>
          <cell r="J493">
            <v>0</v>
          </cell>
          <cell r="K493">
            <v>0.83</v>
          </cell>
          <cell r="L493" t="str">
            <v>23</v>
          </cell>
          <cell r="M493" t="str">
            <v>45800</v>
          </cell>
          <cell r="N493" t="str">
            <v>16 2930100</v>
          </cell>
          <cell r="O493" t="str">
            <v>063</v>
          </cell>
          <cell r="P493">
            <v>10</v>
          </cell>
          <cell r="Q493">
            <v>0</v>
          </cell>
          <cell r="R493" t="str">
            <v>1</v>
          </cell>
          <cell r="S493" t="str">
            <v>45</v>
          </cell>
          <cell r="T493">
            <v>95</v>
          </cell>
          <cell r="U493">
            <v>4</v>
          </cell>
          <cell r="V493">
            <v>95</v>
          </cell>
          <cell r="W493">
            <v>4</v>
          </cell>
          <cell r="X493">
            <v>95</v>
          </cell>
          <cell r="Y493">
            <v>0</v>
          </cell>
          <cell r="Z493">
            <v>0</v>
          </cell>
          <cell r="AD493" t="str">
            <v>0</v>
          </cell>
          <cell r="AE493" t="str">
            <v>0</v>
          </cell>
          <cell r="AF493" t="str">
            <v>00</v>
          </cell>
          <cell r="AI493">
            <v>2175720</v>
          </cell>
          <cell r="AJ493">
            <v>580192</v>
          </cell>
        </row>
        <row r="494">
          <cell r="A494" t="str">
            <v>02</v>
          </cell>
          <cell r="B494" t="str">
            <v>05</v>
          </cell>
          <cell r="C494" t="str">
            <v>1328</v>
          </cell>
          <cell r="D494" t="str">
            <v>Холодильник СТИНОЛ</v>
          </cell>
          <cell r="E494" t="str">
            <v>Ново-Липецк</v>
          </cell>
          <cell r="G494" t="str">
            <v>01</v>
          </cell>
          <cell r="H494">
            <v>1800</v>
          </cell>
          <cell r="I494">
            <v>0</v>
          </cell>
          <cell r="J494">
            <v>0</v>
          </cell>
          <cell r="K494">
            <v>0.83</v>
          </cell>
          <cell r="L494" t="str">
            <v>20</v>
          </cell>
          <cell r="M494" t="str">
            <v>45800</v>
          </cell>
          <cell r="N494" t="str">
            <v>16 2930100</v>
          </cell>
          <cell r="O494" t="str">
            <v>063</v>
          </cell>
          <cell r="P494">
            <v>10</v>
          </cell>
          <cell r="Q494">
            <v>0</v>
          </cell>
          <cell r="R494" t="str">
            <v>1</v>
          </cell>
          <cell r="S494" t="str">
            <v>45</v>
          </cell>
          <cell r="T494">
            <v>95</v>
          </cell>
          <cell r="U494">
            <v>4</v>
          </cell>
          <cell r="V494">
            <v>95</v>
          </cell>
          <cell r="W494">
            <v>4</v>
          </cell>
          <cell r="X494">
            <v>95</v>
          </cell>
          <cell r="Y494">
            <v>0</v>
          </cell>
          <cell r="Z494">
            <v>0</v>
          </cell>
          <cell r="AD494" t="str">
            <v>0</v>
          </cell>
          <cell r="AE494" t="str">
            <v>0</v>
          </cell>
          <cell r="AF494" t="str">
            <v>00</v>
          </cell>
          <cell r="AI494">
            <v>2175720</v>
          </cell>
          <cell r="AJ494">
            <v>580192</v>
          </cell>
        </row>
        <row r="495">
          <cell r="A495" t="str">
            <v>02</v>
          </cell>
          <cell r="B495" t="str">
            <v>05</v>
          </cell>
          <cell r="C495" t="str">
            <v>1329</v>
          </cell>
          <cell r="D495" t="str">
            <v>Холодильник СТИНОЛ</v>
          </cell>
          <cell r="E495" t="str">
            <v>Ново-Липецк</v>
          </cell>
          <cell r="G495" t="str">
            <v>01</v>
          </cell>
          <cell r="H495">
            <v>1800</v>
          </cell>
          <cell r="I495">
            <v>0</v>
          </cell>
          <cell r="J495">
            <v>0</v>
          </cell>
          <cell r="K495">
            <v>0.83</v>
          </cell>
          <cell r="L495" t="str">
            <v>20</v>
          </cell>
          <cell r="M495" t="str">
            <v>45800</v>
          </cell>
          <cell r="N495" t="str">
            <v>16 2930100</v>
          </cell>
          <cell r="O495" t="str">
            <v>063</v>
          </cell>
          <cell r="P495">
            <v>10</v>
          </cell>
          <cell r="Q495">
            <v>0</v>
          </cell>
          <cell r="R495" t="str">
            <v>1</v>
          </cell>
          <cell r="S495" t="str">
            <v>45</v>
          </cell>
          <cell r="T495">
            <v>95</v>
          </cell>
          <cell r="U495">
            <v>4</v>
          </cell>
          <cell r="V495">
            <v>95</v>
          </cell>
          <cell r="W495">
            <v>4</v>
          </cell>
          <cell r="X495">
            <v>95</v>
          </cell>
          <cell r="Y495">
            <v>0</v>
          </cell>
          <cell r="Z495">
            <v>0</v>
          </cell>
          <cell r="AD495" t="str">
            <v>0</v>
          </cell>
          <cell r="AE495" t="str">
            <v>0</v>
          </cell>
          <cell r="AF495" t="str">
            <v>00</v>
          </cell>
          <cell r="AI495">
            <v>2175720</v>
          </cell>
          <cell r="AJ495">
            <v>580192</v>
          </cell>
        </row>
        <row r="496">
          <cell r="A496" t="str">
            <v>02</v>
          </cell>
          <cell r="B496" t="str">
            <v>41</v>
          </cell>
          <cell r="C496" t="str">
            <v>1330</v>
          </cell>
          <cell r="D496" t="str">
            <v>Холодильник СТИНОЛ</v>
          </cell>
          <cell r="E496" t="str">
            <v>Ново-Липецкий мет.</v>
          </cell>
          <cell r="F496" t="str">
            <v>комб.</v>
          </cell>
          <cell r="G496" t="str">
            <v>01</v>
          </cell>
          <cell r="H496">
            <v>1800</v>
          </cell>
          <cell r="I496">
            <v>0</v>
          </cell>
          <cell r="J496">
            <v>0</v>
          </cell>
          <cell r="K496">
            <v>0.83</v>
          </cell>
          <cell r="L496" t="str">
            <v>20</v>
          </cell>
          <cell r="M496" t="str">
            <v>45800</v>
          </cell>
          <cell r="N496" t="str">
            <v>16 2930100</v>
          </cell>
          <cell r="O496" t="str">
            <v>063</v>
          </cell>
          <cell r="P496">
            <v>10</v>
          </cell>
          <cell r="Q496">
            <v>0</v>
          </cell>
          <cell r="R496" t="str">
            <v>1</v>
          </cell>
          <cell r="S496" t="str">
            <v>45</v>
          </cell>
          <cell r="T496">
            <v>95</v>
          </cell>
          <cell r="U496">
            <v>4</v>
          </cell>
          <cell r="V496">
            <v>95</v>
          </cell>
          <cell r="W496">
            <v>4</v>
          </cell>
          <cell r="X496">
            <v>95</v>
          </cell>
          <cell r="Y496">
            <v>0</v>
          </cell>
          <cell r="Z496">
            <v>0</v>
          </cell>
          <cell r="AD496" t="str">
            <v>0</v>
          </cell>
          <cell r="AE496" t="str">
            <v>0</v>
          </cell>
          <cell r="AF496" t="str">
            <v>00</v>
          </cell>
          <cell r="AI496">
            <v>2175720</v>
          </cell>
          <cell r="AJ496">
            <v>580192</v>
          </cell>
        </row>
        <row r="497">
          <cell r="A497" t="str">
            <v>02</v>
          </cell>
          <cell r="B497" t="str">
            <v>80</v>
          </cell>
          <cell r="C497" t="str">
            <v>1332</v>
          </cell>
          <cell r="D497" t="str">
            <v>Холодильник СТИНОЛ</v>
          </cell>
          <cell r="G497" t="str">
            <v>01</v>
          </cell>
          <cell r="H497">
            <v>1800</v>
          </cell>
          <cell r="I497">
            <v>0</v>
          </cell>
          <cell r="J497">
            <v>0</v>
          </cell>
          <cell r="K497">
            <v>0.83</v>
          </cell>
          <cell r="L497" t="str">
            <v>88/2</v>
          </cell>
          <cell r="M497" t="str">
            <v>45800</v>
          </cell>
          <cell r="N497" t="str">
            <v>16 2930100</v>
          </cell>
          <cell r="O497" t="str">
            <v>063</v>
          </cell>
          <cell r="P497">
            <v>10</v>
          </cell>
          <cell r="Q497">
            <v>0</v>
          </cell>
          <cell r="R497" t="str">
            <v>1</v>
          </cell>
          <cell r="S497" t="str">
            <v>45</v>
          </cell>
          <cell r="T497">
            <v>95</v>
          </cell>
          <cell r="U497">
            <v>4</v>
          </cell>
          <cell r="V497">
            <v>95</v>
          </cell>
          <cell r="W497">
            <v>4</v>
          </cell>
          <cell r="X497">
            <v>95</v>
          </cell>
          <cell r="Y497">
            <v>0</v>
          </cell>
          <cell r="Z497">
            <v>0</v>
          </cell>
          <cell r="AD497" t="str">
            <v>0</v>
          </cell>
          <cell r="AE497" t="str">
            <v>0</v>
          </cell>
          <cell r="AF497" t="str">
            <v>00</v>
          </cell>
          <cell r="AI497">
            <v>2175720</v>
          </cell>
          <cell r="AJ497">
            <v>580192</v>
          </cell>
        </row>
        <row r="498">
          <cell r="A498" t="str">
            <v>02</v>
          </cell>
          <cell r="B498" t="str">
            <v>03</v>
          </cell>
          <cell r="C498" t="str">
            <v>1334</v>
          </cell>
          <cell r="D498" t="str">
            <v>Набор посуды АСТРА</v>
          </cell>
          <cell r="G498" t="str">
            <v>01</v>
          </cell>
          <cell r="H498">
            <v>1890</v>
          </cell>
          <cell r="I498">
            <v>0</v>
          </cell>
          <cell r="J498">
            <v>0</v>
          </cell>
          <cell r="K498">
            <v>0.31</v>
          </cell>
          <cell r="L498" t="str">
            <v>88</v>
          </cell>
          <cell r="M498" t="str">
            <v>45801</v>
          </cell>
          <cell r="N498" t="str">
            <v>16 2691533</v>
          </cell>
          <cell r="O498" t="str">
            <v>067</v>
          </cell>
          <cell r="P498">
            <v>12.5</v>
          </cell>
          <cell r="Q498">
            <v>0</v>
          </cell>
          <cell r="R498" t="str">
            <v>1</v>
          </cell>
          <cell r="S498" t="str">
            <v>45</v>
          </cell>
          <cell r="T498">
            <v>95</v>
          </cell>
          <cell r="U498">
            <v>4</v>
          </cell>
          <cell r="V498">
            <v>95</v>
          </cell>
          <cell r="W498">
            <v>4</v>
          </cell>
          <cell r="X498">
            <v>95</v>
          </cell>
          <cell r="Y498">
            <v>0</v>
          </cell>
          <cell r="Z498">
            <v>0</v>
          </cell>
          <cell r="AD498" t="str">
            <v>0</v>
          </cell>
          <cell r="AE498" t="str">
            <v>0</v>
          </cell>
          <cell r="AF498" t="str">
            <v>00</v>
          </cell>
          <cell r="AI498">
            <v>6183535</v>
          </cell>
          <cell r="AJ498">
            <v>2061178.33</v>
          </cell>
        </row>
        <row r="499">
          <cell r="A499" t="str">
            <v>02</v>
          </cell>
          <cell r="B499" t="str">
            <v>03</v>
          </cell>
          <cell r="C499" t="str">
            <v>1235</v>
          </cell>
          <cell r="D499" t="str">
            <v>Набор посуды АСТРА</v>
          </cell>
          <cell r="G499" t="str">
            <v>01</v>
          </cell>
          <cell r="H499">
            <v>1890</v>
          </cell>
          <cell r="I499">
            <v>0</v>
          </cell>
          <cell r="J499">
            <v>0</v>
          </cell>
          <cell r="K499">
            <v>0.31</v>
          </cell>
          <cell r="L499" t="str">
            <v>88</v>
          </cell>
          <cell r="M499" t="str">
            <v>45801</v>
          </cell>
          <cell r="N499" t="str">
            <v>16 2691533</v>
          </cell>
          <cell r="O499" t="str">
            <v>067</v>
          </cell>
          <cell r="P499">
            <v>12.5</v>
          </cell>
          <cell r="Q499">
            <v>0</v>
          </cell>
          <cell r="R499" t="str">
            <v>1</v>
          </cell>
          <cell r="S499" t="str">
            <v>45</v>
          </cell>
          <cell r="T499">
            <v>95</v>
          </cell>
          <cell r="U499">
            <v>4</v>
          </cell>
          <cell r="V499">
            <v>95</v>
          </cell>
          <cell r="W499">
            <v>4</v>
          </cell>
          <cell r="X499">
            <v>95</v>
          </cell>
          <cell r="Y499">
            <v>0</v>
          </cell>
          <cell r="Z499">
            <v>0</v>
          </cell>
          <cell r="AA499" t="str">
            <v>1</v>
          </cell>
          <cell r="AB499" t="str">
            <v>15</v>
          </cell>
          <cell r="AC499">
            <v>7</v>
          </cell>
          <cell r="AD499" t="str">
            <v>0</v>
          </cell>
          <cell r="AE499" t="str">
            <v>0</v>
          </cell>
          <cell r="AF499" t="str">
            <v>00</v>
          </cell>
          <cell r="AI499">
            <v>6183535</v>
          </cell>
          <cell r="AJ499">
            <v>2061178.33</v>
          </cell>
        </row>
        <row r="500">
          <cell r="A500" t="str">
            <v>02</v>
          </cell>
          <cell r="B500" t="str">
            <v>03</v>
          </cell>
          <cell r="C500" t="str">
            <v>1336</v>
          </cell>
          <cell r="D500" t="str">
            <v>Набор посуды СТАНДАР</v>
          </cell>
          <cell r="E500" t="str">
            <v>Т</v>
          </cell>
          <cell r="G500" t="str">
            <v>01</v>
          </cell>
          <cell r="H500">
            <v>2100</v>
          </cell>
          <cell r="I500">
            <v>0</v>
          </cell>
          <cell r="J500">
            <v>0</v>
          </cell>
          <cell r="K500">
            <v>0.27</v>
          </cell>
          <cell r="L500" t="str">
            <v>88</v>
          </cell>
          <cell r="M500" t="str">
            <v>45801</v>
          </cell>
          <cell r="N500" t="str">
            <v>16 2691533</v>
          </cell>
          <cell r="O500" t="str">
            <v>067</v>
          </cell>
          <cell r="P500">
            <v>12.5</v>
          </cell>
          <cell r="Q500">
            <v>0</v>
          </cell>
          <cell r="R500" t="str">
            <v>1</v>
          </cell>
          <cell r="S500" t="str">
            <v>45</v>
          </cell>
          <cell r="T500">
            <v>95</v>
          </cell>
          <cell r="U500">
            <v>4</v>
          </cell>
          <cell r="V500">
            <v>95</v>
          </cell>
          <cell r="W500">
            <v>4</v>
          </cell>
          <cell r="X500">
            <v>95</v>
          </cell>
          <cell r="Y500">
            <v>0</v>
          </cell>
          <cell r="Z500">
            <v>0</v>
          </cell>
          <cell r="AA500" t="str">
            <v>1</v>
          </cell>
          <cell r="AB500" t="str">
            <v>15</v>
          </cell>
          <cell r="AC500">
            <v>7</v>
          </cell>
          <cell r="AD500" t="str">
            <v>0</v>
          </cell>
          <cell r="AE500" t="str">
            <v>0</v>
          </cell>
          <cell r="AF500" t="str">
            <v>00</v>
          </cell>
          <cell r="AI500">
            <v>7654384</v>
          </cell>
          <cell r="AJ500">
            <v>2551461.33</v>
          </cell>
        </row>
        <row r="501">
          <cell r="A501" t="str">
            <v>02</v>
          </cell>
          <cell r="B501" t="str">
            <v>80</v>
          </cell>
          <cell r="C501" t="str">
            <v>1342</v>
          </cell>
          <cell r="D501" t="str">
            <v>Компьютер PENTUM-90</v>
          </cell>
          <cell r="E501" t="str">
            <v>c принтером EPSON в</v>
          </cell>
          <cell r="F501" t="str">
            <v>к-те с кабелем</v>
          </cell>
          <cell r="G501" t="str">
            <v>01</v>
          </cell>
          <cell r="H501">
            <v>6580.9</v>
          </cell>
          <cell r="I501">
            <v>0</v>
          </cell>
          <cell r="J501">
            <v>0</v>
          </cell>
          <cell r="K501">
            <v>0.13</v>
          </cell>
          <cell r="L501" t="str">
            <v>26</v>
          </cell>
          <cell r="M501" t="str">
            <v>48008</v>
          </cell>
          <cell r="N501" t="str">
            <v>14 3020203</v>
          </cell>
          <cell r="O501" t="str">
            <v>063</v>
          </cell>
          <cell r="P501">
            <v>10</v>
          </cell>
          <cell r="Q501">
            <v>0</v>
          </cell>
          <cell r="R501" t="str">
            <v>1</v>
          </cell>
          <cell r="S501" t="str">
            <v>48</v>
          </cell>
          <cell r="T501">
            <v>95</v>
          </cell>
          <cell r="U501">
            <v>4</v>
          </cell>
          <cell r="V501">
            <v>95</v>
          </cell>
          <cell r="W501">
            <v>4</v>
          </cell>
          <cell r="X501">
            <v>95</v>
          </cell>
          <cell r="Y501">
            <v>0</v>
          </cell>
          <cell r="Z501">
            <v>0</v>
          </cell>
          <cell r="AD501" t="str">
            <v>0</v>
          </cell>
          <cell r="AE501" t="str">
            <v>0</v>
          </cell>
          <cell r="AF501" t="str">
            <v>00</v>
          </cell>
          <cell r="AI501">
            <v>37740000</v>
          </cell>
          <cell r="AJ501">
            <v>10064000</v>
          </cell>
        </row>
        <row r="502">
          <cell r="A502" t="str">
            <v>02</v>
          </cell>
          <cell r="B502" t="str">
            <v>80</v>
          </cell>
          <cell r="C502" t="str">
            <v>1343</v>
          </cell>
          <cell r="D502" t="str">
            <v>Компьютер PENTUM-90</v>
          </cell>
          <cell r="E502" t="str">
            <v>c принтером EPSON в</v>
          </cell>
          <cell r="F502" t="str">
            <v>к-те с кабелем</v>
          </cell>
          <cell r="G502" t="str">
            <v>01</v>
          </cell>
          <cell r="H502">
            <v>6580.9</v>
          </cell>
          <cell r="I502">
            <v>0</v>
          </cell>
          <cell r="J502">
            <v>0</v>
          </cell>
          <cell r="K502">
            <v>0.13</v>
          </cell>
          <cell r="L502" t="str">
            <v>26</v>
          </cell>
          <cell r="M502" t="str">
            <v>48008</v>
          </cell>
          <cell r="N502" t="str">
            <v>14 3020203</v>
          </cell>
          <cell r="O502" t="str">
            <v>063</v>
          </cell>
          <cell r="P502">
            <v>10</v>
          </cell>
          <cell r="Q502">
            <v>0</v>
          </cell>
          <cell r="R502" t="str">
            <v>1</v>
          </cell>
          <cell r="S502" t="str">
            <v>48</v>
          </cell>
          <cell r="T502">
            <v>95</v>
          </cell>
          <cell r="U502">
            <v>4</v>
          </cell>
          <cell r="V502">
            <v>95</v>
          </cell>
          <cell r="W502">
            <v>4</v>
          </cell>
          <cell r="X502">
            <v>95</v>
          </cell>
          <cell r="Y502">
            <v>0</v>
          </cell>
          <cell r="Z502">
            <v>0</v>
          </cell>
          <cell r="AD502" t="str">
            <v>0</v>
          </cell>
          <cell r="AE502" t="str">
            <v>0</v>
          </cell>
          <cell r="AF502" t="str">
            <v>00</v>
          </cell>
          <cell r="AI502">
            <v>37740000</v>
          </cell>
          <cell r="AJ502">
            <v>10064000</v>
          </cell>
        </row>
        <row r="503">
          <cell r="A503" t="str">
            <v>02</v>
          </cell>
          <cell r="B503" t="str">
            <v>23</v>
          </cell>
          <cell r="C503" t="str">
            <v>1293</v>
          </cell>
          <cell r="D503" t="str">
            <v>А/кран КРАЗ-250</v>
          </cell>
          <cell r="E503" t="str">
            <v>N В485ВТ дв10040</v>
          </cell>
          <cell r="F503" t="str">
            <v>ш.738849</v>
          </cell>
          <cell r="G503" t="str">
            <v>01</v>
          </cell>
          <cell r="H503">
            <v>298071.40000000002</v>
          </cell>
          <cell r="I503">
            <v>27124.5</v>
          </cell>
          <cell r="J503">
            <v>0</v>
          </cell>
          <cell r="K503">
            <v>1.03</v>
          </cell>
          <cell r="L503" t="str">
            <v>23</v>
          </cell>
          <cell r="M503" t="str">
            <v>41701</v>
          </cell>
          <cell r="N503" t="str">
            <v>14 2915242</v>
          </cell>
          <cell r="O503" t="str">
            <v>067</v>
          </cell>
          <cell r="P503">
            <v>9.1</v>
          </cell>
          <cell r="Q503">
            <v>0</v>
          </cell>
          <cell r="R503" t="str">
            <v>1</v>
          </cell>
          <cell r="S503" t="str">
            <v>41</v>
          </cell>
          <cell r="T503">
            <v>93</v>
          </cell>
          <cell r="U503">
            <v>12</v>
          </cell>
          <cell r="V503">
            <v>93</v>
          </cell>
          <cell r="W503">
            <v>12</v>
          </cell>
          <cell r="X503">
            <v>93</v>
          </cell>
          <cell r="Y503">
            <v>0</v>
          </cell>
          <cell r="Z503">
            <v>0</v>
          </cell>
          <cell r="AC503">
            <v>0</v>
          </cell>
          <cell r="AD503" t="str">
            <v>0</v>
          </cell>
          <cell r="AE503" t="str">
            <v>0</v>
          </cell>
          <cell r="AF503" t="str">
            <v>00</v>
          </cell>
          <cell r="AI503">
            <v>288987654</v>
          </cell>
          <cell r="AJ503">
            <v>105191506.06999999</v>
          </cell>
        </row>
        <row r="504">
          <cell r="A504" t="str">
            <v>02</v>
          </cell>
          <cell r="B504" t="str">
            <v>23</v>
          </cell>
          <cell r="C504" t="str">
            <v>1294</v>
          </cell>
          <cell r="D504" t="str">
            <v>УРАЛ-5557 КС3574а/кр</v>
          </cell>
          <cell r="E504" t="str">
            <v>госN 14-66 КШШ</v>
          </cell>
          <cell r="F504" t="str">
            <v>дв 983054 ш035208</v>
          </cell>
          <cell r="G504" t="str">
            <v>01</v>
          </cell>
          <cell r="H504">
            <v>257300</v>
          </cell>
          <cell r="I504">
            <v>23414.3</v>
          </cell>
          <cell r="J504">
            <v>0</v>
          </cell>
          <cell r="K504">
            <v>1.05</v>
          </cell>
          <cell r="L504" t="str">
            <v>23</v>
          </cell>
          <cell r="M504" t="str">
            <v>41701</v>
          </cell>
          <cell r="N504" t="str">
            <v>14 2915242</v>
          </cell>
          <cell r="O504" t="str">
            <v>067</v>
          </cell>
          <cell r="P504">
            <v>9.1</v>
          </cell>
          <cell r="Q504">
            <v>0</v>
          </cell>
          <cell r="R504" t="str">
            <v>1</v>
          </cell>
          <cell r="S504" t="str">
            <v>41</v>
          </cell>
          <cell r="T504">
            <v>93</v>
          </cell>
          <cell r="U504">
            <v>12</v>
          </cell>
          <cell r="V504">
            <v>93</v>
          </cell>
          <cell r="W504">
            <v>12</v>
          </cell>
          <cell r="X504">
            <v>93</v>
          </cell>
          <cell r="Y504">
            <v>0</v>
          </cell>
          <cell r="Z504">
            <v>0</v>
          </cell>
          <cell r="AD504" t="str">
            <v>0</v>
          </cell>
          <cell r="AE504" t="str">
            <v>0</v>
          </cell>
          <cell r="AF504" t="str">
            <v>00</v>
          </cell>
          <cell r="AI504">
            <v>243950617</v>
          </cell>
          <cell r="AJ504">
            <v>88798024.590000004</v>
          </cell>
        </row>
        <row r="505">
          <cell r="A505" t="str">
            <v>02</v>
          </cell>
          <cell r="B505" t="str">
            <v>23</v>
          </cell>
          <cell r="C505" t="str">
            <v>1264</v>
          </cell>
          <cell r="D505" t="str">
            <v>Урал-375 плетевоз</v>
          </cell>
          <cell r="E505" t="str">
            <v>N В804РА</v>
          </cell>
          <cell r="F505" t="str">
            <v>дв445383  ш.б/н</v>
          </cell>
          <cell r="G505" t="str">
            <v>01</v>
          </cell>
          <cell r="H505">
            <v>132000</v>
          </cell>
          <cell r="I505">
            <v>24695.9</v>
          </cell>
          <cell r="J505">
            <v>0</v>
          </cell>
          <cell r="K505">
            <v>1.06</v>
          </cell>
          <cell r="L505" t="str">
            <v>23</v>
          </cell>
          <cell r="M505" t="str">
            <v>50402</v>
          </cell>
          <cell r="N505" t="str">
            <v>14 2928262</v>
          </cell>
          <cell r="O505" t="str">
            <v>075</v>
          </cell>
          <cell r="P505">
            <v>0.37</v>
          </cell>
          <cell r="Q505">
            <v>0</v>
          </cell>
          <cell r="R505" t="str">
            <v>1</v>
          </cell>
          <cell r="S505" t="str">
            <v>50</v>
          </cell>
          <cell r="T505">
            <v>82</v>
          </cell>
          <cell r="U505">
            <v>12</v>
          </cell>
          <cell r="V505">
            <v>82</v>
          </cell>
          <cell r="W505">
            <v>12</v>
          </cell>
          <cell r="X505">
            <v>82</v>
          </cell>
          <cell r="Y505">
            <v>0</v>
          </cell>
          <cell r="Z505">
            <v>0</v>
          </cell>
          <cell r="AD505" t="str">
            <v>0</v>
          </cell>
          <cell r="AE505" t="str">
            <v>0</v>
          </cell>
          <cell r="AF505" t="str">
            <v>00</v>
          </cell>
          <cell r="AI505">
            <v>124444444</v>
          </cell>
          <cell r="AJ505">
            <v>58604402.159999996</v>
          </cell>
        </row>
        <row r="506">
          <cell r="A506" t="str">
            <v>02</v>
          </cell>
          <cell r="B506" t="str">
            <v>23</v>
          </cell>
          <cell r="C506" t="str">
            <v>3857</v>
          </cell>
          <cell r="D506" t="str">
            <v>А/м ВАЗ-2121 легкова</v>
          </cell>
          <cell r="E506" t="str">
            <v>я салон NоВ606ХО</v>
          </cell>
          <cell r="F506" t="str">
            <v>дв4519586 куз1034912</v>
          </cell>
          <cell r="G506" t="str">
            <v>01</v>
          </cell>
          <cell r="H506">
            <v>22680</v>
          </cell>
          <cell r="I506">
            <v>4054.05</v>
          </cell>
          <cell r="J506">
            <v>0</v>
          </cell>
          <cell r="K506">
            <v>0.61</v>
          </cell>
          <cell r="L506" t="str">
            <v>26</v>
          </cell>
          <cell r="M506" t="str">
            <v>50416</v>
          </cell>
          <cell r="N506" t="str">
            <v>15 3410110</v>
          </cell>
          <cell r="O506" t="str">
            <v>071</v>
          </cell>
          <cell r="P506">
            <v>14.3</v>
          </cell>
          <cell r="Q506">
            <v>0</v>
          </cell>
          <cell r="R506" t="str">
            <v>1</v>
          </cell>
          <cell r="S506" t="str">
            <v>50</v>
          </cell>
          <cell r="T506">
            <v>92</v>
          </cell>
          <cell r="U506">
            <v>9</v>
          </cell>
          <cell r="V506">
            <v>93</v>
          </cell>
          <cell r="W506">
            <v>9</v>
          </cell>
          <cell r="X506">
            <v>93</v>
          </cell>
          <cell r="Y506">
            <v>0</v>
          </cell>
          <cell r="Z506">
            <v>0</v>
          </cell>
          <cell r="AD506" t="str">
            <v>0</v>
          </cell>
          <cell r="AE506" t="str">
            <v>0</v>
          </cell>
          <cell r="AF506" t="str">
            <v>00</v>
          </cell>
          <cell r="AI506">
            <v>36938272</v>
          </cell>
          <cell r="AJ506">
            <v>22449234.809999999</v>
          </cell>
        </row>
        <row r="507">
          <cell r="A507" t="str">
            <v>02</v>
          </cell>
          <cell r="B507" t="str">
            <v>23</v>
          </cell>
          <cell r="C507" t="str">
            <v>1297</v>
          </cell>
          <cell r="D507" t="str">
            <v>ПАЗ-3205 автобус</v>
          </cell>
          <cell r="E507" t="str">
            <v>Nо28-88 КШЦ</v>
          </cell>
          <cell r="F507" t="str">
            <v>дв77976 ш9302725</v>
          </cell>
          <cell r="G507" t="str">
            <v>01</v>
          </cell>
          <cell r="H507">
            <v>87800</v>
          </cell>
          <cell r="I507">
            <v>8780</v>
          </cell>
          <cell r="J507">
            <v>0</v>
          </cell>
          <cell r="K507">
            <v>0.9</v>
          </cell>
          <cell r="L507" t="str">
            <v>23</v>
          </cell>
          <cell r="M507" t="str">
            <v>50423</v>
          </cell>
          <cell r="N507" t="str">
            <v>15 3410260</v>
          </cell>
          <cell r="O507" t="str">
            <v>072</v>
          </cell>
          <cell r="P507">
            <v>10</v>
          </cell>
          <cell r="Q507">
            <v>0</v>
          </cell>
          <cell r="R507" t="str">
            <v>1</v>
          </cell>
          <cell r="S507" t="str">
            <v>50</v>
          </cell>
          <cell r="T507">
            <v>92</v>
          </cell>
          <cell r="U507">
            <v>12</v>
          </cell>
          <cell r="V507">
            <v>93</v>
          </cell>
          <cell r="W507">
            <v>12</v>
          </cell>
          <cell r="X507">
            <v>93</v>
          </cell>
          <cell r="Y507">
            <v>0</v>
          </cell>
          <cell r="Z507">
            <v>0</v>
          </cell>
          <cell r="AD507" t="str">
            <v>0</v>
          </cell>
          <cell r="AE507" t="str">
            <v>0</v>
          </cell>
          <cell r="AF507" t="str">
            <v>00</v>
          </cell>
          <cell r="AI507">
            <v>97777778</v>
          </cell>
          <cell r="AJ507">
            <v>39111111.200000003</v>
          </cell>
        </row>
        <row r="508">
          <cell r="A508" t="str">
            <v>02</v>
          </cell>
          <cell r="B508" t="str">
            <v>23</v>
          </cell>
          <cell r="C508" t="str">
            <v>1265</v>
          </cell>
          <cell r="D508" t="str">
            <v>ЗИЛ-131 мастерская</v>
          </cell>
          <cell r="E508" t="str">
            <v>ПЭЛХЗ Nо11-30 КШШ</v>
          </cell>
          <cell r="F508" t="str">
            <v>дв029796 ш037472</v>
          </cell>
          <cell r="G508" t="str">
            <v>01</v>
          </cell>
          <cell r="H508">
            <v>168844.45</v>
          </cell>
          <cell r="I508">
            <v>33768.89</v>
          </cell>
          <cell r="J508">
            <v>0</v>
          </cell>
          <cell r="K508">
            <v>1.31</v>
          </cell>
          <cell r="L508" t="str">
            <v>23</v>
          </cell>
          <cell r="M508" t="str">
            <v>50426</v>
          </cell>
          <cell r="N508" t="str">
            <v>15 3410359</v>
          </cell>
          <cell r="O508" t="str">
            <v>073</v>
          </cell>
          <cell r="P508">
            <v>10</v>
          </cell>
          <cell r="Q508">
            <v>0</v>
          </cell>
          <cell r="R508" t="str">
            <v>1</v>
          </cell>
          <cell r="S508" t="str">
            <v>50</v>
          </cell>
          <cell r="T508">
            <v>92</v>
          </cell>
          <cell r="U508">
            <v>12</v>
          </cell>
          <cell r="V508">
            <v>92</v>
          </cell>
          <cell r="W508">
            <v>12</v>
          </cell>
          <cell r="X508">
            <v>92</v>
          </cell>
          <cell r="Y508">
            <v>0</v>
          </cell>
          <cell r="Z508">
            <v>0</v>
          </cell>
          <cell r="AD508" t="str">
            <v>0</v>
          </cell>
          <cell r="AE508" t="str">
            <v>0</v>
          </cell>
          <cell r="AF508" t="str">
            <v>00</v>
          </cell>
          <cell r="AI508">
            <v>128888889</v>
          </cell>
          <cell r="AJ508">
            <v>64444444.5</v>
          </cell>
        </row>
        <row r="509">
          <cell r="A509" t="str">
            <v>02</v>
          </cell>
          <cell r="B509" t="str">
            <v>23</v>
          </cell>
          <cell r="C509" t="str">
            <v>1292</v>
          </cell>
          <cell r="D509" t="str">
            <v>КАМАЗ-5511 спец.а/бе</v>
          </cell>
          <cell r="E509" t="str">
            <v>тоносмес.N В982ОВ</v>
          </cell>
          <cell r="F509" t="str">
            <v>дв261162 ш131521</v>
          </cell>
          <cell r="G509" t="str">
            <v>01</v>
          </cell>
          <cell r="H509">
            <v>175000</v>
          </cell>
          <cell r="I509">
            <v>70000</v>
          </cell>
          <cell r="J509">
            <v>0</v>
          </cell>
          <cell r="K509">
            <v>0.7</v>
          </cell>
          <cell r="L509" t="str">
            <v>23</v>
          </cell>
          <cell r="M509" t="str">
            <v>50426</v>
          </cell>
          <cell r="N509" t="str">
            <v>15 3410373</v>
          </cell>
          <cell r="O509" t="str">
            <v>073</v>
          </cell>
          <cell r="P509">
            <v>10</v>
          </cell>
          <cell r="Q509">
            <v>0</v>
          </cell>
          <cell r="R509" t="str">
            <v>1</v>
          </cell>
          <cell r="S509" t="str">
            <v>50</v>
          </cell>
          <cell r="T509">
            <v>90</v>
          </cell>
          <cell r="U509">
            <v>12</v>
          </cell>
          <cell r="V509">
            <v>90</v>
          </cell>
          <cell r="W509">
            <v>12</v>
          </cell>
          <cell r="X509">
            <v>90</v>
          </cell>
          <cell r="Y509">
            <v>0</v>
          </cell>
          <cell r="Z509">
            <v>0</v>
          </cell>
          <cell r="AA509" t="str">
            <v>1</v>
          </cell>
          <cell r="AB509" t="str">
            <v>13</v>
          </cell>
          <cell r="AC509">
            <v>7</v>
          </cell>
          <cell r="AD509" t="str">
            <v>0</v>
          </cell>
          <cell r="AE509" t="str">
            <v>0</v>
          </cell>
          <cell r="AF509" t="str">
            <v>00</v>
          </cell>
          <cell r="AI509">
            <v>248888889</v>
          </cell>
          <cell r="AJ509">
            <v>174222222.63</v>
          </cell>
        </row>
        <row r="510">
          <cell r="A510" t="str">
            <v>20</v>
          </cell>
          <cell r="B510" t="str">
            <v>17</v>
          </cell>
          <cell r="C510" t="str">
            <v>1348</v>
          </cell>
          <cell r="D510" t="str">
            <v>Вагончик жилой</v>
          </cell>
          <cell r="E510" t="str">
            <v>дерево-мет.60 х 3.1м</v>
          </cell>
          <cell r="F510" t="str">
            <v>Финляндия</v>
          </cell>
          <cell r="G510" t="str">
            <v>01</v>
          </cell>
          <cell r="H510">
            <v>26583.1</v>
          </cell>
          <cell r="I510">
            <v>0</v>
          </cell>
          <cell r="J510">
            <v>28800</v>
          </cell>
          <cell r="K510">
            <v>1.38</v>
          </cell>
          <cell r="L510" t="str">
            <v>88/4</v>
          </cell>
          <cell r="M510" t="str">
            <v>10010</v>
          </cell>
          <cell r="N510" t="str">
            <v>13 3420175</v>
          </cell>
          <cell r="O510" t="str">
            <v>01</v>
          </cell>
          <cell r="P510">
            <v>12.5</v>
          </cell>
          <cell r="Q510">
            <v>0</v>
          </cell>
          <cell r="R510" t="str">
            <v>1</v>
          </cell>
          <cell r="S510" t="str">
            <v>10</v>
          </cell>
          <cell r="T510">
            <v>95</v>
          </cell>
          <cell r="U510">
            <v>5</v>
          </cell>
          <cell r="V510">
            <v>95</v>
          </cell>
          <cell r="W510">
            <v>5</v>
          </cell>
          <cell r="X510">
            <v>95</v>
          </cell>
          <cell r="Y510">
            <v>12</v>
          </cell>
          <cell r="Z510">
            <v>95</v>
          </cell>
          <cell r="AB510" t="str">
            <v>14</v>
          </cell>
          <cell r="AC510">
            <v>12</v>
          </cell>
          <cell r="AD510" t="str">
            <v>0</v>
          </cell>
          <cell r="AE510" t="str">
            <v>0</v>
          </cell>
          <cell r="AF510" t="str">
            <v>20</v>
          </cell>
          <cell r="AG510">
            <v>20800000</v>
          </cell>
          <cell r="AI510">
            <v>20800000</v>
          </cell>
          <cell r="AJ510">
            <v>6599919.9400000004</v>
          </cell>
        </row>
        <row r="511">
          <cell r="A511" t="str">
            <v>02</v>
          </cell>
          <cell r="B511" t="str">
            <v>03</v>
          </cell>
          <cell r="C511" t="str">
            <v>1349</v>
          </cell>
          <cell r="D511" t="str">
            <v>Вагончик жилой</v>
          </cell>
          <cell r="E511" t="str">
            <v>дерево-мет. 6 х 3.1м</v>
          </cell>
          <cell r="F511" t="str">
            <v>Финляндия</v>
          </cell>
          <cell r="G511" t="str">
            <v>01</v>
          </cell>
          <cell r="H511">
            <v>26583.1</v>
          </cell>
          <cell r="I511">
            <v>0</v>
          </cell>
          <cell r="J511">
            <v>28800</v>
          </cell>
          <cell r="K511">
            <v>1.38</v>
          </cell>
          <cell r="L511" t="str">
            <v>26</v>
          </cell>
          <cell r="M511" t="str">
            <v>10010</v>
          </cell>
          <cell r="N511" t="str">
            <v>13 3420175</v>
          </cell>
          <cell r="O511" t="str">
            <v>01</v>
          </cell>
          <cell r="P511">
            <v>12.5</v>
          </cell>
          <cell r="Q511">
            <v>0</v>
          </cell>
          <cell r="R511" t="str">
            <v>1</v>
          </cell>
          <cell r="S511" t="str">
            <v>10</v>
          </cell>
          <cell r="T511">
            <v>95</v>
          </cell>
          <cell r="U511">
            <v>5</v>
          </cell>
          <cell r="V511">
            <v>95</v>
          </cell>
          <cell r="W511">
            <v>5</v>
          </cell>
          <cell r="X511">
            <v>95</v>
          </cell>
          <cell r="Y511">
            <v>12</v>
          </cell>
          <cell r="Z511">
            <v>95</v>
          </cell>
          <cell r="AA511" t="str">
            <v>1</v>
          </cell>
          <cell r="AB511" t="str">
            <v>13</v>
          </cell>
          <cell r="AC511">
            <v>6</v>
          </cell>
          <cell r="AD511" t="str">
            <v>0</v>
          </cell>
          <cell r="AE511" t="str">
            <v>0</v>
          </cell>
          <cell r="AF511" t="str">
            <v>00</v>
          </cell>
          <cell r="AG511">
            <v>20800000</v>
          </cell>
          <cell r="AI511">
            <v>20800000</v>
          </cell>
          <cell r="AJ511">
            <v>6599919.9400000004</v>
          </cell>
        </row>
        <row r="512">
          <cell r="A512" t="str">
            <v>02</v>
          </cell>
          <cell r="B512" t="str">
            <v>03</v>
          </cell>
          <cell r="C512" t="str">
            <v>1350</v>
          </cell>
          <cell r="D512" t="str">
            <v>Вагончик жилой</v>
          </cell>
          <cell r="E512" t="str">
            <v>дерево-мет. 6 х 3.1м</v>
          </cell>
          <cell r="F512" t="str">
            <v>Финляндия</v>
          </cell>
          <cell r="G512" t="str">
            <v>01</v>
          </cell>
          <cell r="H512">
            <v>26583.1</v>
          </cell>
          <cell r="I512">
            <v>0</v>
          </cell>
          <cell r="J512">
            <v>28800</v>
          </cell>
          <cell r="K512">
            <v>1.38</v>
          </cell>
          <cell r="L512" t="str">
            <v>26</v>
          </cell>
          <cell r="M512" t="str">
            <v>10010</v>
          </cell>
          <cell r="N512" t="str">
            <v>13 3420175</v>
          </cell>
          <cell r="O512" t="str">
            <v>01</v>
          </cell>
          <cell r="P512">
            <v>12.5</v>
          </cell>
          <cell r="Q512">
            <v>0</v>
          </cell>
          <cell r="R512" t="str">
            <v>1</v>
          </cell>
          <cell r="S512" t="str">
            <v>10</v>
          </cell>
          <cell r="T512">
            <v>95</v>
          </cell>
          <cell r="U512">
            <v>5</v>
          </cell>
          <cell r="V512">
            <v>95</v>
          </cell>
          <cell r="W512">
            <v>5</v>
          </cell>
          <cell r="X512">
            <v>95</v>
          </cell>
          <cell r="Y512">
            <v>12</v>
          </cell>
          <cell r="Z512">
            <v>95</v>
          </cell>
          <cell r="AA512" t="str">
            <v>1</v>
          </cell>
          <cell r="AB512" t="str">
            <v>13</v>
          </cell>
          <cell r="AC512">
            <v>6</v>
          </cell>
          <cell r="AD512" t="str">
            <v>0</v>
          </cell>
          <cell r="AE512" t="str">
            <v>0</v>
          </cell>
          <cell r="AF512" t="str">
            <v>00</v>
          </cell>
          <cell r="AG512">
            <v>20800000</v>
          </cell>
          <cell r="AI512">
            <v>20800000</v>
          </cell>
          <cell r="AJ512">
            <v>6599919.9400000004</v>
          </cell>
        </row>
        <row r="513">
          <cell r="A513" t="str">
            <v>02</v>
          </cell>
          <cell r="B513" t="str">
            <v>03</v>
          </cell>
          <cell r="C513" t="str">
            <v>1351</v>
          </cell>
          <cell r="D513" t="str">
            <v>Вагончик жилой</v>
          </cell>
          <cell r="E513" t="str">
            <v>дерево-мет.6 х 3.1м</v>
          </cell>
          <cell r="F513" t="str">
            <v>Финляндия</v>
          </cell>
          <cell r="G513" t="str">
            <v>01</v>
          </cell>
          <cell r="H513">
            <v>26583.1</v>
          </cell>
          <cell r="I513">
            <v>0</v>
          </cell>
          <cell r="J513">
            <v>28800</v>
          </cell>
          <cell r="K513">
            <v>1.38</v>
          </cell>
          <cell r="L513" t="str">
            <v>26</v>
          </cell>
          <cell r="M513" t="str">
            <v>10010</v>
          </cell>
          <cell r="N513" t="str">
            <v>13 3420175</v>
          </cell>
          <cell r="O513" t="str">
            <v>01</v>
          </cell>
          <cell r="P513">
            <v>12.5</v>
          </cell>
          <cell r="Q513">
            <v>0</v>
          </cell>
          <cell r="R513" t="str">
            <v>1</v>
          </cell>
          <cell r="S513" t="str">
            <v>10</v>
          </cell>
          <cell r="T513">
            <v>95</v>
          </cell>
          <cell r="U513">
            <v>5</v>
          </cell>
          <cell r="V513">
            <v>95</v>
          </cell>
          <cell r="W513">
            <v>5</v>
          </cell>
          <cell r="X513">
            <v>95</v>
          </cell>
          <cell r="Y513">
            <v>12</v>
          </cell>
          <cell r="Z513">
            <v>95</v>
          </cell>
          <cell r="AA513" t="str">
            <v>1</v>
          </cell>
          <cell r="AB513" t="str">
            <v>13</v>
          </cell>
          <cell r="AC513">
            <v>6</v>
          </cell>
          <cell r="AD513" t="str">
            <v>0</v>
          </cell>
          <cell r="AE513" t="str">
            <v>0</v>
          </cell>
          <cell r="AF513" t="str">
            <v>00</v>
          </cell>
          <cell r="AG513">
            <v>20800000</v>
          </cell>
          <cell r="AI513">
            <v>20800000</v>
          </cell>
          <cell r="AJ513">
            <v>6599919.9400000004</v>
          </cell>
        </row>
        <row r="514">
          <cell r="A514" t="str">
            <v>02</v>
          </cell>
          <cell r="B514" t="str">
            <v>03</v>
          </cell>
          <cell r="C514" t="str">
            <v>1352</v>
          </cell>
          <cell r="D514" t="str">
            <v>Вагончик жилой</v>
          </cell>
          <cell r="E514" t="str">
            <v>дерево-мет. 6 х 3.1м</v>
          </cell>
          <cell r="F514" t="str">
            <v>Финляндия</v>
          </cell>
          <cell r="G514" t="str">
            <v>01</v>
          </cell>
          <cell r="H514">
            <v>26583.1</v>
          </cell>
          <cell r="I514">
            <v>0</v>
          </cell>
          <cell r="J514">
            <v>28800</v>
          </cell>
          <cell r="K514">
            <v>1.38</v>
          </cell>
          <cell r="L514" t="str">
            <v>26</v>
          </cell>
          <cell r="M514" t="str">
            <v>10010</v>
          </cell>
          <cell r="N514" t="str">
            <v>13 3420175</v>
          </cell>
          <cell r="O514" t="str">
            <v>01</v>
          </cell>
          <cell r="P514">
            <v>12.5</v>
          </cell>
          <cell r="Q514">
            <v>0</v>
          </cell>
          <cell r="R514" t="str">
            <v>1</v>
          </cell>
          <cell r="S514" t="str">
            <v>10</v>
          </cell>
          <cell r="T514">
            <v>95</v>
          </cell>
          <cell r="U514">
            <v>5</v>
          </cell>
          <cell r="V514">
            <v>95</v>
          </cell>
          <cell r="W514">
            <v>5</v>
          </cell>
          <cell r="X514">
            <v>95</v>
          </cell>
          <cell r="Y514">
            <v>12</v>
          </cell>
          <cell r="Z514">
            <v>95</v>
          </cell>
          <cell r="AA514" t="str">
            <v>1</v>
          </cell>
          <cell r="AB514" t="str">
            <v>13</v>
          </cell>
          <cell r="AC514">
            <v>6</v>
          </cell>
          <cell r="AD514" t="str">
            <v>0</v>
          </cell>
          <cell r="AE514" t="str">
            <v>0</v>
          </cell>
          <cell r="AF514" t="str">
            <v>00</v>
          </cell>
          <cell r="AG514">
            <v>20800000</v>
          </cell>
          <cell r="AI514">
            <v>20800000</v>
          </cell>
          <cell r="AJ514">
            <v>6599919.9400000004</v>
          </cell>
        </row>
        <row r="515">
          <cell r="A515" t="str">
            <v>02</v>
          </cell>
          <cell r="B515" t="str">
            <v>03</v>
          </cell>
          <cell r="C515" t="str">
            <v>1353</v>
          </cell>
          <cell r="D515" t="str">
            <v>Вагончик жилой</v>
          </cell>
          <cell r="E515" t="str">
            <v>дерево-мет. 6 х 3.1м</v>
          </cell>
          <cell r="F515" t="str">
            <v>Финляндия</v>
          </cell>
          <cell r="G515" t="str">
            <v>01</v>
          </cell>
          <cell r="H515">
            <v>26583.1</v>
          </cell>
          <cell r="I515">
            <v>0</v>
          </cell>
          <cell r="J515">
            <v>28800</v>
          </cell>
          <cell r="K515">
            <v>1.38</v>
          </cell>
          <cell r="L515" t="str">
            <v>26</v>
          </cell>
          <cell r="M515" t="str">
            <v>10010</v>
          </cell>
          <cell r="N515" t="str">
            <v>13 3420175</v>
          </cell>
          <cell r="O515" t="str">
            <v>01</v>
          </cell>
          <cell r="P515">
            <v>12.5</v>
          </cell>
          <cell r="Q515">
            <v>0</v>
          </cell>
          <cell r="R515" t="str">
            <v>1</v>
          </cell>
          <cell r="S515" t="str">
            <v>10</v>
          </cell>
          <cell r="T515">
            <v>95</v>
          </cell>
          <cell r="U515">
            <v>5</v>
          </cell>
          <cell r="V515">
            <v>95</v>
          </cell>
          <cell r="W515">
            <v>5</v>
          </cell>
          <cell r="X515">
            <v>95</v>
          </cell>
          <cell r="Y515">
            <v>12</v>
          </cell>
          <cell r="Z515">
            <v>95</v>
          </cell>
          <cell r="AA515" t="str">
            <v>1</v>
          </cell>
          <cell r="AB515" t="str">
            <v>13</v>
          </cell>
          <cell r="AC515">
            <v>6</v>
          </cell>
          <cell r="AD515" t="str">
            <v>0</v>
          </cell>
          <cell r="AE515" t="str">
            <v>0</v>
          </cell>
          <cell r="AF515" t="str">
            <v>00</v>
          </cell>
          <cell r="AG515">
            <v>20800000</v>
          </cell>
          <cell r="AI515">
            <v>20800000</v>
          </cell>
          <cell r="AJ515">
            <v>6599919.9400000004</v>
          </cell>
        </row>
        <row r="516">
          <cell r="A516" t="str">
            <v>02</v>
          </cell>
          <cell r="B516" t="str">
            <v>03</v>
          </cell>
          <cell r="C516" t="str">
            <v>1354</v>
          </cell>
          <cell r="D516" t="str">
            <v>Вагончик жилой</v>
          </cell>
          <cell r="E516" t="str">
            <v>дерево-мет. 6 х 3.1м</v>
          </cell>
          <cell r="F516" t="str">
            <v>Финляндия</v>
          </cell>
          <cell r="G516" t="str">
            <v>01</v>
          </cell>
          <cell r="H516">
            <v>26583.1</v>
          </cell>
          <cell r="I516">
            <v>0</v>
          </cell>
          <cell r="J516">
            <v>28800</v>
          </cell>
          <cell r="K516">
            <v>1.38</v>
          </cell>
          <cell r="L516" t="str">
            <v>26</v>
          </cell>
          <cell r="M516" t="str">
            <v>10010</v>
          </cell>
          <cell r="N516" t="str">
            <v>13 3420175</v>
          </cell>
          <cell r="O516" t="str">
            <v>01</v>
          </cell>
          <cell r="P516">
            <v>12.5</v>
          </cell>
          <cell r="Q516">
            <v>0</v>
          </cell>
          <cell r="R516" t="str">
            <v>1</v>
          </cell>
          <cell r="S516" t="str">
            <v>10</v>
          </cell>
          <cell r="T516">
            <v>95</v>
          </cell>
          <cell r="U516">
            <v>5</v>
          </cell>
          <cell r="V516">
            <v>95</v>
          </cell>
          <cell r="W516">
            <v>5</v>
          </cell>
          <cell r="X516">
            <v>95</v>
          </cell>
          <cell r="Y516">
            <v>12</v>
          </cell>
          <cell r="Z516">
            <v>95</v>
          </cell>
          <cell r="AA516" t="str">
            <v>1</v>
          </cell>
          <cell r="AB516" t="str">
            <v>13</v>
          </cell>
          <cell r="AC516">
            <v>6</v>
          </cell>
          <cell r="AD516" t="str">
            <v>0</v>
          </cell>
          <cell r="AE516" t="str">
            <v>0</v>
          </cell>
          <cell r="AF516" t="str">
            <v>00</v>
          </cell>
          <cell r="AG516">
            <v>20800000</v>
          </cell>
          <cell r="AI516">
            <v>20800000</v>
          </cell>
          <cell r="AJ516">
            <v>6599919.9400000004</v>
          </cell>
        </row>
        <row r="517">
          <cell r="A517" t="str">
            <v>02</v>
          </cell>
          <cell r="B517" t="str">
            <v>03</v>
          </cell>
          <cell r="C517" t="str">
            <v>1355</v>
          </cell>
          <cell r="D517" t="str">
            <v>Вагончик жилой</v>
          </cell>
          <cell r="E517" t="str">
            <v>дерево-мет3 6 х 3.1м</v>
          </cell>
          <cell r="F517" t="str">
            <v>Финляндия</v>
          </cell>
          <cell r="G517" t="str">
            <v>01</v>
          </cell>
          <cell r="H517">
            <v>26583.1</v>
          </cell>
          <cell r="I517">
            <v>0</v>
          </cell>
          <cell r="J517">
            <v>28800</v>
          </cell>
          <cell r="K517">
            <v>1.38</v>
          </cell>
          <cell r="L517" t="str">
            <v>26</v>
          </cell>
          <cell r="M517" t="str">
            <v>10010</v>
          </cell>
          <cell r="N517" t="str">
            <v>13 3420175</v>
          </cell>
          <cell r="O517" t="str">
            <v>01</v>
          </cell>
          <cell r="P517">
            <v>12.5</v>
          </cell>
          <cell r="Q517">
            <v>0</v>
          </cell>
          <cell r="R517" t="str">
            <v>1</v>
          </cell>
          <cell r="S517" t="str">
            <v>10</v>
          </cell>
          <cell r="T517">
            <v>95</v>
          </cell>
          <cell r="U517">
            <v>5</v>
          </cell>
          <cell r="V517">
            <v>95</v>
          </cell>
          <cell r="W517">
            <v>5</v>
          </cell>
          <cell r="X517">
            <v>95</v>
          </cell>
          <cell r="Y517">
            <v>12</v>
          </cell>
          <cell r="Z517">
            <v>95</v>
          </cell>
          <cell r="AA517" t="str">
            <v>1</v>
          </cell>
          <cell r="AB517" t="str">
            <v>13</v>
          </cell>
          <cell r="AC517">
            <v>6</v>
          </cell>
          <cell r="AD517" t="str">
            <v>0</v>
          </cell>
          <cell r="AE517" t="str">
            <v>0</v>
          </cell>
          <cell r="AF517" t="str">
            <v>00</v>
          </cell>
          <cell r="AG517">
            <v>20800000</v>
          </cell>
          <cell r="AI517">
            <v>20800000</v>
          </cell>
          <cell r="AJ517">
            <v>6599919.9400000004</v>
          </cell>
        </row>
        <row r="518">
          <cell r="A518" t="str">
            <v>02</v>
          </cell>
          <cell r="B518" t="str">
            <v>03</v>
          </cell>
          <cell r="C518" t="str">
            <v>1356</v>
          </cell>
          <cell r="D518" t="str">
            <v>Вагончик жилой</v>
          </cell>
          <cell r="E518" t="str">
            <v>дерево-мет. 6 х 3.1м</v>
          </cell>
          <cell r="F518" t="str">
            <v>Финляндия</v>
          </cell>
          <cell r="G518" t="str">
            <v>01</v>
          </cell>
          <cell r="H518">
            <v>26583.1</v>
          </cell>
          <cell r="I518">
            <v>0</v>
          </cell>
          <cell r="J518">
            <v>28800</v>
          </cell>
          <cell r="K518">
            <v>1.38</v>
          </cell>
          <cell r="L518" t="str">
            <v>26</v>
          </cell>
          <cell r="M518" t="str">
            <v>10010</v>
          </cell>
          <cell r="N518" t="str">
            <v>13 3420175</v>
          </cell>
          <cell r="O518" t="str">
            <v>01</v>
          </cell>
          <cell r="P518">
            <v>12.5</v>
          </cell>
          <cell r="Q518">
            <v>0</v>
          </cell>
          <cell r="R518" t="str">
            <v>1</v>
          </cell>
          <cell r="S518" t="str">
            <v>10</v>
          </cell>
          <cell r="T518">
            <v>95</v>
          </cell>
          <cell r="U518">
            <v>5</v>
          </cell>
          <cell r="V518">
            <v>95</v>
          </cell>
          <cell r="W518">
            <v>5</v>
          </cell>
          <cell r="X518">
            <v>95</v>
          </cell>
          <cell r="Y518">
            <v>12</v>
          </cell>
          <cell r="Z518">
            <v>95</v>
          </cell>
          <cell r="AB518" t="str">
            <v>14</v>
          </cell>
          <cell r="AC518">
            <v>6</v>
          </cell>
          <cell r="AD518" t="str">
            <v>0</v>
          </cell>
          <cell r="AE518" t="str">
            <v>0</v>
          </cell>
          <cell r="AF518" t="str">
            <v>00</v>
          </cell>
          <cell r="AG518">
            <v>20800000</v>
          </cell>
          <cell r="AI518">
            <v>20800000</v>
          </cell>
          <cell r="AJ518">
            <v>6599919.9400000004</v>
          </cell>
        </row>
        <row r="519">
          <cell r="A519" t="str">
            <v>02</v>
          </cell>
          <cell r="B519" t="str">
            <v>03</v>
          </cell>
          <cell r="C519" t="str">
            <v>1357</v>
          </cell>
          <cell r="D519" t="str">
            <v>Вагончик жилой</v>
          </cell>
          <cell r="E519" t="str">
            <v>дерево-мет. 6 х 3.1м</v>
          </cell>
          <cell r="F519" t="str">
            <v>Финляндия</v>
          </cell>
          <cell r="G519" t="str">
            <v>01</v>
          </cell>
          <cell r="H519">
            <v>26583.1</v>
          </cell>
          <cell r="I519">
            <v>0</v>
          </cell>
          <cell r="J519">
            <v>28800</v>
          </cell>
          <cell r="K519">
            <v>1.38</v>
          </cell>
          <cell r="L519" t="str">
            <v>26</v>
          </cell>
          <cell r="M519" t="str">
            <v>10010</v>
          </cell>
          <cell r="N519" t="str">
            <v>13 3420175</v>
          </cell>
          <cell r="O519" t="str">
            <v>01</v>
          </cell>
          <cell r="P519">
            <v>12.5</v>
          </cell>
          <cell r="Q519">
            <v>0</v>
          </cell>
          <cell r="R519" t="str">
            <v>1</v>
          </cell>
          <cell r="S519" t="str">
            <v>10</v>
          </cell>
          <cell r="T519">
            <v>95</v>
          </cell>
          <cell r="U519">
            <v>5</v>
          </cell>
          <cell r="V519">
            <v>95</v>
          </cell>
          <cell r="W519">
            <v>5</v>
          </cell>
          <cell r="X519">
            <v>95</v>
          </cell>
          <cell r="Y519">
            <v>12</v>
          </cell>
          <cell r="Z519">
            <v>95</v>
          </cell>
          <cell r="AB519" t="str">
            <v>14</v>
          </cell>
          <cell r="AC519">
            <v>6</v>
          </cell>
          <cell r="AD519" t="str">
            <v>0</v>
          </cell>
          <cell r="AE519" t="str">
            <v>0</v>
          </cell>
          <cell r="AF519" t="str">
            <v>00</v>
          </cell>
          <cell r="AG519">
            <v>20800000</v>
          </cell>
          <cell r="AI519">
            <v>20800000</v>
          </cell>
          <cell r="AJ519">
            <v>6599919.9400000004</v>
          </cell>
        </row>
        <row r="520">
          <cell r="A520" t="str">
            <v>20</v>
          </cell>
          <cell r="B520" t="str">
            <v>17</v>
          </cell>
          <cell r="C520" t="str">
            <v>1358</v>
          </cell>
          <cell r="D520" t="str">
            <v>Вагончик жилой</v>
          </cell>
          <cell r="E520" t="str">
            <v>дерево-мет. 6 х 3.1м</v>
          </cell>
          <cell r="F520" t="str">
            <v>Финляндия</v>
          </cell>
          <cell r="G520" t="str">
            <v>01</v>
          </cell>
          <cell r="H520">
            <v>26583.1</v>
          </cell>
          <cell r="I520">
            <v>0</v>
          </cell>
          <cell r="J520">
            <v>28800</v>
          </cell>
          <cell r="K520">
            <v>1.38</v>
          </cell>
          <cell r="L520" t="str">
            <v>88/4</v>
          </cell>
          <cell r="M520" t="str">
            <v>10010</v>
          </cell>
          <cell r="N520" t="str">
            <v>13 3420175</v>
          </cell>
          <cell r="O520" t="str">
            <v>01</v>
          </cell>
          <cell r="P520">
            <v>12.5</v>
          </cell>
          <cell r="Q520">
            <v>0</v>
          </cell>
          <cell r="R520" t="str">
            <v>1</v>
          </cell>
          <cell r="S520" t="str">
            <v>10</v>
          </cell>
          <cell r="T520">
            <v>95</v>
          </cell>
          <cell r="U520">
            <v>5</v>
          </cell>
          <cell r="V520">
            <v>95</v>
          </cell>
          <cell r="W520">
            <v>5</v>
          </cell>
          <cell r="X520">
            <v>95</v>
          </cell>
          <cell r="Y520">
            <v>12</v>
          </cell>
          <cell r="Z520">
            <v>95</v>
          </cell>
          <cell r="AB520" t="str">
            <v>14</v>
          </cell>
          <cell r="AC520">
            <v>8</v>
          </cell>
          <cell r="AD520" t="str">
            <v>0</v>
          </cell>
          <cell r="AE520" t="str">
            <v>0</v>
          </cell>
          <cell r="AF520" t="str">
            <v>20</v>
          </cell>
          <cell r="AG520">
            <v>20800000</v>
          </cell>
          <cell r="AI520">
            <v>20800000</v>
          </cell>
          <cell r="AJ520">
            <v>6599919.9400000004</v>
          </cell>
        </row>
        <row r="521">
          <cell r="A521" t="str">
            <v>02</v>
          </cell>
          <cell r="B521" t="str">
            <v>03</v>
          </cell>
          <cell r="C521" t="str">
            <v>1359</v>
          </cell>
          <cell r="D521" t="str">
            <v>Вагончик жилой</v>
          </cell>
          <cell r="E521" t="str">
            <v>дерево-мет. 6 х 3.1м</v>
          </cell>
          <cell r="F521" t="str">
            <v>Финляндия</v>
          </cell>
          <cell r="G521" t="str">
            <v>01</v>
          </cell>
          <cell r="H521">
            <v>26583.1</v>
          </cell>
          <cell r="I521">
            <v>0</v>
          </cell>
          <cell r="J521">
            <v>28800</v>
          </cell>
          <cell r="K521">
            <v>1.38</v>
          </cell>
          <cell r="L521" t="str">
            <v>26</v>
          </cell>
          <cell r="M521" t="str">
            <v>10010</v>
          </cell>
          <cell r="N521" t="str">
            <v>13 3420175</v>
          </cell>
          <cell r="O521" t="str">
            <v>01</v>
          </cell>
          <cell r="P521">
            <v>12.5</v>
          </cell>
          <cell r="Q521">
            <v>0</v>
          </cell>
          <cell r="R521" t="str">
            <v>1</v>
          </cell>
          <cell r="S521" t="str">
            <v>10</v>
          </cell>
          <cell r="T521">
            <v>95</v>
          </cell>
          <cell r="U521">
            <v>5</v>
          </cell>
          <cell r="V521">
            <v>95</v>
          </cell>
          <cell r="W521">
            <v>5</v>
          </cell>
          <cell r="X521">
            <v>95</v>
          </cell>
          <cell r="Y521">
            <v>12</v>
          </cell>
          <cell r="Z521">
            <v>95</v>
          </cell>
          <cell r="AB521" t="str">
            <v>14</v>
          </cell>
          <cell r="AC521">
            <v>6</v>
          </cell>
          <cell r="AD521" t="str">
            <v>0</v>
          </cell>
          <cell r="AE521" t="str">
            <v>0</v>
          </cell>
          <cell r="AF521" t="str">
            <v>00</v>
          </cell>
          <cell r="AG521">
            <v>20800000</v>
          </cell>
          <cell r="AI521">
            <v>20800000</v>
          </cell>
          <cell r="AJ521">
            <v>6599919.9400000004</v>
          </cell>
        </row>
        <row r="522">
          <cell r="A522" t="str">
            <v>02</v>
          </cell>
          <cell r="B522" t="str">
            <v>03</v>
          </cell>
          <cell r="C522" t="str">
            <v>1360</v>
          </cell>
          <cell r="D522" t="str">
            <v>Вагончик жилой</v>
          </cell>
          <cell r="E522" t="str">
            <v>дерево-мет. 6 х 3.1м</v>
          </cell>
          <cell r="F522" t="str">
            <v>Финляндия</v>
          </cell>
          <cell r="G522" t="str">
            <v>01</v>
          </cell>
          <cell r="H522">
            <v>26583.1</v>
          </cell>
          <cell r="I522">
            <v>0</v>
          </cell>
          <cell r="J522">
            <v>28800</v>
          </cell>
          <cell r="K522">
            <v>1.38</v>
          </cell>
          <cell r="L522" t="str">
            <v>26</v>
          </cell>
          <cell r="M522" t="str">
            <v>10010</v>
          </cell>
          <cell r="N522" t="str">
            <v>13 3420175</v>
          </cell>
          <cell r="O522" t="str">
            <v>01</v>
          </cell>
          <cell r="P522">
            <v>12.5</v>
          </cell>
          <cell r="Q522">
            <v>0</v>
          </cell>
          <cell r="R522" t="str">
            <v>1</v>
          </cell>
          <cell r="S522" t="str">
            <v>10</v>
          </cell>
          <cell r="T522">
            <v>95</v>
          </cell>
          <cell r="U522">
            <v>5</v>
          </cell>
          <cell r="V522">
            <v>95</v>
          </cell>
          <cell r="W522">
            <v>5</v>
          </cell>
          <cell r="X522">
            <v>95</v>
          </cell>
          <cell r="Y522">
            <v>12</v>
          </cell>
          <cell r="Z522">
            <v>95</v>
          </cell>
          <cell r="AB522" t="str">
            <v>14</v>
          </cell>
          <cell r="AC522">
            <v>6</v>
          </cell>
          <cell r="AD522" t="str">
            <v>0</v>
          </cell>
          <cell r="AE522" t="str">
            <v>0</v>
          </cell>
          <cell r="AF522" t="str">
            <v>00</v>
          </cell>
          <cell r="AG522">
            <v>20800000</v>
          </cell>
          <cell r="AI522">
            <v>20800000</v>
          </cell>
          <cell r="AJ522">
            <v>6599919.9400000004</v>
          </cell>
        </row>
        <row r="523">
          <cell r="A523" t="str">
            <v>02</v>
          </cell>
          <cell r="B523" t="str">
            <v>03</v>
          </cell>
          <cell r="C523" t="str">
            <v>1361</v>
          </cell>
          <cell r="D523" t="str">
            <v>Вагончик жилой</v>
          </cell>
          <cell r="E523" t="str">
            <v>дерево-мет. 6 х 3.1м</v>
          </cell>
          <cell r="F523" t="str">
            <v>Финляндия</v>
          </cell>
          <cell r="G523" t="str">
            <v>01</v>
          </cell>
          <cell r="H523">
            <v>26583.1</v>
          </cell>
          <cell r="I523">
            <v>0</v>
          </cell>
          <cell r="J523">
            <v>28800</v>
          </cell>
          <cell r="K523">
            <v>1.38</v>
          </cell>
          <cell r="L523" t="str">
            <v>26</v>
          </cell>
          <cell r="M523" t="str">
            <v>10010</v>
          </cell>
          <cell r="N523" t="str">
            <v>13 3420175</v>
          </cell>
          <cell r="O523" t="str">
            <v>01</v>
          </cell>
          <cell r="P523">
            <v>12.5</v>
          </cell>
          <cell r="Q523">
            <v>0</v>
          </cell>
          <cell r="R523" t="str">
            <v>1</v>
          </cell>
          <cell r="S523" t="str">
            <v>10</v>
          </cell>
          <cell r="T523">
            <v>95</v>
          </cell>
          <cell r="U523">
            <v>5</v>
          </cell>
          <cell r="V523">
            <v>95</v>
          </cell>
          <cell r="W523">
            <v>5</v>
          </cell>
          <cell r="X523">
            <v>95</v>
          </cell>
          <cell r="Y523">
            <v>12</v>
          </cell>
          <cell r="Z523">
            <v>95</v>
          </cell>
          <cell r="AB523" t="str">
            <v>14</v>
          </cell>
          <cell r="AC523">
            <v>6</v>
          </cell>
          <cell r="AD523" t="str">
            <v>0</v>
          </cell>
          <cell r="AE523" t="str">
            <v>0</v>
          </cell>
          <cell r="AF523" t="str">
            <v>00</v>
          </cell>
          <cell r="AG523">
            <v>20800000</v>
          </cell>
          <cell r="AI523">
            <v>20800000</v>
          </cell>
          <cell r="AJ523">
            <v>6599919.9400000004</v>
          </cell>
        </row>
        <row r="524">
          <cell r="A524" t="str">
            <v>02</v>
          </cell>
          <cell r="B524" t="str">
            <v>03</v>
          </cell>
          <cell r="C524" t="str">
            <v>1362</v>
          </cell>
          <cell r="D524" t="str">
            <v>Вагончик жилой</v>
          </cell>
          <cell r="E524" t="str">
            <v>дерево-мет. 6 х 3.1м</v>
          </cell>
          <cell r="F524" t="str">
            <v>Финляндия</v>
          </cell>
          <cell r="G524" t="str">
            <v>01</v>
          </cell>
          <cell r="H524">
            <v>26583.1</v>
          </cell>
          <cell r="I524">
            <v>0</v>
          </cell>
          <cell r="J524">
            <v>28800</v>
          </cell>
          <cell r="K524">
            <v>1.38</v>
          </cell>
          <cell r="L524" t="str">
            <v>26</v>
          </cell>
          <cell r="M524" t="str">
            <v>10010</v>
          </cell>
          <cell r="N524" t="str">
            <v>13 3420175</v>
          </cell>
          <cell r="O524" t="str">
            <v>01</v>
          </cell>
          <cell r="P524">
            <v>12.5</v>
          </cell>
          <cell r="Q524">
            <v>0</v>
          </cell>
          <cell r="R524" t="str">
            <v>1</v>
          </cell>
          <cell r="S524" t="str">
            <v>10</v>
          </cell>
          <cell r="T524">
            <v>95</v>
          </cell>
          <cell r="U524">
            <v>5</v>
          </cell>
          <cell r="V524">
            <v>95</v>
          </cell>
          <cell r="W524">
            <v>5</v>
          </cell>
          <cell r="X524">
            <v>95</v>
          </cell>
          <cell r="Y524">
            <v>12</v>
          </cell>
          <cell r="Z524">
            <v>95</v>
          </cell>
          <cell r="AB524" t="str">
            <v>14</v>
          </cell>
          <cell r="AC524">
            <v>6</v>
          </cell>
          <cell r="AD524" t="str">
            <v>0</v>
          </cell>
          <cell r="AE524" t="str">
            <v>0</v>
          </cell>
          <cell r="AF524" t="str">
            <v>00</v>
          </cell>
          <cell r="AG524">
            <v>20800000</v>
          </cell>
          <cell r="AI524">
            <v>20800000</v>
          </cell>
          <cell r="AJ524">
            <v>6599919.9400000004</v>
          </cell>
        </row>
        <row r="525">
          <cell r="A525" t="str">
            <v>02</v>
          </cell>
          <cell r="B525" t="str">
            <v>03</v>
          </cell>
          <cell r="C525" t="str">
            <v>1363</v>
          </cell>
          <cell r="D525" t="str">
            <v>Вагончик жилой</v>
          </cell>
          <cell r="E525" t="str">
            <v>дерево-мет. 6 х 3.1м</v>
          </cell>
          <cell r="F525" t="str">
            <v>Финляндия</v>
          </cell>
          <cell r="G525" t="str">
            <v>01</v>
          </cell>
          <cell r="H525">
            <v>26583.1</v>
          </cell>
          <cell r="I525">
            <v>0</v>
          </cell>
          <cell r="J525">
            <v>28800</v>
          </cell>
          <cell r="K525">
            <v>1.38</v>
          </cell>
          <cell r="L525" t="str">
            <v>26</v>
          </cell>
          <cell r="M525" t="str">
            <v>10010</v>
          </cell>
          <cell r="N525" t="str">
            <v>13 3420175</v>
          </cell>
          <cell r="O525" t="str">
            <v>01</v>
          </cell>
          <cell r="P525">
            <v>12.5</v>
          </cell>
          <cell r="Q525">
            <v>0</v>
          </cell>
          <cell r="R525" t="str">
            <v>1</v>
          </cell>
          <cell r="S525" t="str">
            <v>10</v>
          </cell>
          <cell r="T525">
            <v>95</v>
          </cell>
          <cell r="U525">
            <v>5</v>
          </cell>
          <cell r="V525">
            <v>95</v>
          </cell>
          <cell r="W525">
            <v>5</v>
          </cell>
          <cell r="X525">
            <v>95</v>
          </cell>
          <cell r="Y525">
            <v>12</v>
          </cell>
          <cell r="Z525">
            <v>95</v>
          </cell>
          <cell r="AB525" t="str">
            <v>14</v>
          </cell>
          <cell r="AC525">
            <v>6</v>
          </cell>
          <cell r="AD525" t="str">
            <v>0</v>
          </cell>
          <cell r="AE525" t="str">
            <v>0</v>
          </cell>
          <cell r="AF525" t="str">
            <v>00</v>
          </cell>
          <cell r="AG525">
            <v>20800000</v>
          </cell>
          <cell r="AI525">
            <v>20800000</v>
          </cell>
          <cell r="AJ525">
            <v>6599919.9400000004</v>
          </cell>
        </row>
        <row r="526">
          <cell r="A526" t="str">
            <v>02</v>
          </cell>
          <cell r="B526" t="str">
            <v>03</v>
          </cell>
          <cell r="C526" t="str">
            <v>1364</v>
          </cell>
          <cell r="D526" t="str">
            <v>Вагончик жилой</v>
          </cell>
          <cell r="E526" t="str">
            <v>дерево-мет. 6 х 3.1м</v>
          </cell>
          <cell r="F526" t="str">
            <v>Финляндия</v>
          </cell>
          <cell r="G526" t="str">
            <v>01</v>
          </cell>
          <cell r="H526">
            <v>26583.1</v>
          </cell>
          <cell r="I526">
            <v>0</v>
          </cell>
          <cell r="J526">
            <v>28800</v>
          </cell>
          <cell r="K526">
            <v>1.38</v>
          </cell>
          <cell r="L526" t="str">
            <v>26</v>
          </cell>
          <cell r="M526" t="str">
            <v>10010</v>
          </cell>
          <cell r="N526" t="str">
            <v>13 3420175</v>
          </cell>
          <cell r="O526" t="str">
            <v>01</v>
          </cell>
          <cell r="P526">
            <v>12.5</v>
          </cell>
          <cell r="Q526">
            <v>0</v>
          </cell>
          <cell r="R526" t="str">
            <v>1</v>
          </cell>
          <cell r="S526" t="str">
            <v>10</v>
          </cell>
          <cell r="T526">
            <v>95</v>
          </cell>
          <cell r="U526">
            <v>5</v>
          </cell>
          <cell r="V526">
            <v>95</v>
          </cell>
          <cell r="W526">
            <v>5</v>
          </cell>
          <cell r="X526">
            <v>95</v>
          </cell>
          <cell r="Y526">
            <v>12</v>
          </cell>
          <cell r="Z526">
            <v>95</v>
          </cell>
          <cell r="AB526" t="str">
            <v>14</v>
          </cell>
          <cell r="AC526">
            <v>6</v>
          </cell>
          <cell r="AD526" t="str">
            <v>0</v>
          </cell>
          <cell r="AE526" t="str">
            <v>0</v>
          </cell>
          <cell r="AF526" t="str">
            <v>00</v>
          </cell>
          <cell r="AG526">
            <v>20800000</v>
          </cell>
          <cell r="AI526">
            <v>20800000</v>
          </cell>
          <cell r="AJ526">
            <v>6599919.9400000004</v>
          </cell>
        </row>
        <row r="527">
          <cell r="A527" t="str">
            <v>02</v>
          </cell>
          <cell r="B527" t="str">
            <v>51</v>
          </cell>
          <cell r="C527" t="str">
            <v>1347</v>
          </cell>
          <cell r="D527" t="str">
            <v>Экскаватор ЭТЦ-1609</v>
          </cell>
          <cell r="G527" t="str">
            <v>01</v>
          </cell>
          <cell r="H527">
            <v>157000</v>
          </cell>
          <cell r="I527">
            <v>0</v>
          </cell>
          <cell r="J527">
            <v>0</v>
          </cell>
          <cell r="K527">
            <v>0.84</v>
          </cell>
          <cell r="L527" t="str">
            <v>20</v>
          </cell>
          <cell r="M527" t="str">
            <v>41800</v>
          </cell>
          <cell r="N527" t="str">
            <v>14 2924331</v>
          </cell>
          <cell r="O527" t="str">
            <v>064</v>
          </cell>
          <cell r="P527">
            <v>12.5</v>
          </cell>
          <cell r="Q527">
            <v>0</v>
          </cell>
          <cell r="R527" t="str">
            <v>1</v>
          </cell>
          <cell r="S527" t="str">
            <v>41</v>
          </cell>
          <cell r="T527">
            <v>94</v>
          </cell>
          <cell r="U527">
            <v>5</v>
          </cell>
          <cell r="V527">
            <v>95</v>
          </cell>
          <cell r="W527">
            <v>5</v>
          </cell>
          <cell r="X527">
            <v>95</v>
          </cell>
          <cell r="Y527">
            <v>0</v>
          </cell>
          <cell r="Z527">
            <v>0</v>
          </cell>
          <cell r="AD527" t="str">
            <v>0</v>
          </cell>
          <cell r="AE527" t="str">
            <v>1</v>
          </cell>
          <cell r="AF527" t="str">
            <v>00</v>
          </cell>
          <cell r="AI527">
            <v>186060050</v>
          </cell>
          <cell r="AJ527">
            <v>60081891.149999999</v>
          </cell>
        </row>
        <row r="528">
          <cell r="A528" t="str">
            <v>02</v>
          </cell>
          <cell r="B528" t="str">
            <v>90</v>
          </cell>
          <cell r="C528" t="str">
            <v>1365</v>
          </cell>
          <cell r="D528" t="str">
            <v>Телевизор KV-254OK</v>
          </cell>
          <cell r="E528" t="str">
            <v>SONY</v>
          </cell>
          <cell r="G528" t="str">
            <v>01</v>
          </cell>
          <cell r="H528">
            <v>3131.97</v>
          </cell>
          <cell r="I528">
            <v>0</v>
          </cell>
          <cell r="J528">
            <v>0</v>
          </cell>
          <cell r="K528">
            <v>0.46</v>
          </cell>
          <cell r="L528" t="str">
            <v>88/3</v>
          </cell>
          <cell r="M528" t="str">
            <v>45625</v>
          </cell>
          <cell r="N528" t="str">
            <v>14 3230100</v>
          </cell>
          <cell r="O528" t="str">
            <v>067</v>
          </cell>
          <cell r="P528">
            <v>10.5</v>
          </cell>
          <cell r="Q528">
            <v>0</v>
          </cell>
          <cell r="R528" t="str">
            <v>1</v>
          </cell>
          <cell r="S528" t="str">
            <v>45</v>
          </cell>
          <cell r="T528">
            <v>95</v>
          </cell>
          <cell r="U528">
            <v>5</v>
          </cell>
          <cell r="V528">
            <v>95</v>
          </cell>
          <cell r="W528">
            <v>5</v>
          </cell>
          <cell r="X528">
            <v>95</v>
          </cell>
          <cell r="Y528">
            <v>0</v>
          </cell>
          <cell r="Z528">
            <v>0</v>
          </cell>
          <cell r="AB528" t="str">
            <v>14</v>
          </cell>
          <cell r="AC528">
            <v>12</v>
          </cell>
          <cell r="AD528" t="str">
            <v>0</v>
          </cell>
          <cell r="AE528" t="str">
            <v>0</v>
          </cell>
          <cell r="AF528" t="str">
            <v>00</v>
          </cell>
          <cell r="AI528">
            <v>6735500</v>
          </cell>
          <cell r="AJ528">
            <v>1827004.38</v>
          </cell>
        </row>
        <row r="529">
          <cell r="A529" t="str">
            <v>02</v>
          </cell>
          <cell r="B529" t="str">
            <v>90</v>
          </cell>
          <cell r="C529" t="str">
            <v>1366</v>
          </cell>
          <cell r="D529" t="str">
            <v>Видиомагнитофон HI-F</v>
          </cell>
          <cell r="E529" t="str">
            <v>I SLV-736EE SONY</v>
          </cell>
          <cell r="G529" t="str">
            <v>01</v>
          </cell>
          <cell r="H529">
            <v>3588.14</v>
          </cell>
          <cell r="I529">
            <v>0</v>
          </cell>
          <cell r="J529">
            <v>0</v>
          </cell>
          <cell r="K529">
            <v>0.52</v>
          </cell>
          <cell r="L529" t="str">
            <v>88/3</v>
          </cell>
          <cell r="M529" t="str">
            <v>45625</v>
          </cell>
          <cell r="N529" t="str">
            <v>14 3230152</v>
          </cell>
          <cell r="O529" t="str">
            <v>067</v>
          </cell>
          <cell r="P529">
            <v>10.5</v>
          </cell>
          <cell r="Q529">
            <v>0</v>
          </cell>
          <cell r="R529" t="str">
            <v>1</v>
          </cell>
          <cell r="S529" t="str">
            <v>45</v>
          </cell>
          <cell r="T529">
            <v>95</v>
          </cell>
          <cell r="U529">
            <v>5</v>
          </cell>
          <cell r="V529">
            <v>95</v>
          </cell>
          <cell r="W529">
            <v>5</v>
          </cell>
          <cell r="X529">
            <v>95</v>
          </cell>
          <cell r="Y529">
            <v>0</v>
          </cell>
          <cell r="Z529">
            <v>0</v>
          </cell>
          <cell r="AB529" t="str">
            <v>14</v>
          </cell>
          <cell r="AC529">
            <v>12</v>
          </cell>
          <cell r="AD529" t="str">
            <v>0</v>
          </cell>
          <cell r="AE529" t="str">
            <v>0</v>
          </cell>
          <cell r="AF529" t="str">
            <v>00</v>
          </cell>
          <cell r="AI529">
            <v>6879900</v>
          </cell>
          <cell r="AJ529">
            <v>1866172.88</v>
          </cell>
        </row>
        <row r="530">
          <cell r="A530" t="str">
            <v>02</v>
          </cell>
          <cell r="B530" t="str">
            <v>90</v>
          </cell>
          <cell r="C530" t="str">
            <v>1367</v>
          </cell>
          <cell r="D530" t="str">
            <v>Муз.миди-система</v>
          </cell>
          <cell r="E530" t="str">
            <v>НСD-A290 SONY</v>
          </cell>
          <cell r="G530" t="str">
            <v>01</v>
          </cell>
          <cell r="H530">
            <v>2020</v>
          </cell>
          <cell r="I530">
            <v>0</v>
          </cell>
          <cell r="J530">
            <v>0</v>
          </cell>
          <cell r="K530">
            <v>0.42</v>
          </cell>
          <cell r="L530" t="str">
            <v>88/3</v>
          </cell>
          <cell r="M530" t="str">
            <v>45625</v>
          </cell>
          <cell r="N530" t="str">
            <v>14 3230170</v>
          </cell>
          <cell r="O530" t="str">
            <v>067</v>
          </cell>
          <cell r="P530">
            <v>10.5</v>
          </cell>
          <cell r="Q530">
            <v>0</v>
          </cell>
          <cell r="R530" t="str">
            <v>1</v>
          </cell>
          <cell r="S530" t="str">
            <v>45</v>
          </cell>
          <cell r="T530">
            <v>95</v>
          </cell>
          <cell r="U530">
            <v>5</v>
          </cell>
          <cell r="V530">
            <v>95</v>
          </cell>
          <cell r="W530">
            <v>5</v>
          </cell>
          <cell r="X530">
            <v>95</v>
          </cell>
          <cell r="Y530">
            <v>0</v>
          </cell>
          <cell r="Z530">
            <v>0</v>
          </cell>
          <cell r="AB530" t="str">
            <v>14</v>
          </cell>
          <cell r="AC530">
            <v>12</v>
          </cell>
          <cell r="AD530" t="str">
            <v>0</v>
          </cell>
          <cell r="AE530" t="str">
            <v>0</v>
          </cell>
          <cell r="AF530" t="str">
            <v>00</v>
          </cell>
          <cell r="AI530">
            <v>4816500</v>
          </cell>
          <cell r="AJ530">
            <v>1306475.6299999999</v>
          </cell>
        </row>
        <row r="531">
          <cell r="A531" t="str">
            <v>02</v>
          </cell>
          <cell r="B531" t="str">
            <v>99</v>
          </cell>
          <cell r="C531" t="str">
            <v>1368</v>
          </cell>
          <cell r="D531" t="str">
            <v>Телевизор Каскад</v>
          </cell>
          <cell r="E531" t="str">
            <v>черно-белый</v>
          </cell>
          <cell r="G531" t="str">
            <v>01</v>
          </cell>
          <cell r="H531">
            <v>450</v>
          </cell>
          <cell r="I531">
            <v>0</v>
          </cell>
          <cell r="J531">
            <v>0</v>
          </cell>
          <cell r="K531">
            <v>0.57999999999999996</v>
          </cell>
          <cell r="L531" t="str">
            <v>20</v>
          </cell>
          <cell r="M531" t="str">
            <v>45625</v>
          </cell>
          <cell r="N531" t="str">
            <v>14 3230101</v>
          </cell>
          <cell r="O531" t="str">
            <v>067</v>
          </cell>
          <cell r="P531">
            <v>10.5</v>
          </cell>
          <cell r="Q531">
            <v>0</v>
          </cell>
          <cell r="R531" t="str">
            <v>1</v>
          </cell>
          <cell r="S531" t="str">
            <v>45</v>
          </cell>
          <cell r="T531">
            <v>95</v>
          </cell>
          <cell r="U531">
            <v>5</v>
          </cell>
          <cell r="V531">
            <v>95</v>
          </cell>
          <cell r="W531">
            <v>5</v>
          </cell>
          <cell r="X531">
            <v>95</v>
          </cell>
          <cell r="Y531">
            <v>0</v>
          </cell>
          <cell r="Z531">
            <v>0</v>
          </cell>
          <cell r="AD531" t="str">
            <v>0</v>
          </cell>
          <cell r="AE531" t="str">
            <v>0</v>
          </cell>
          <cell r="AF531" t="str">
            <v>00</v>
          </cell>
          <cell r="AI531">
            <v>775580</v>
          </cell>
          <cell r="AJ531">
            <v>210376.08</v>
          </cell>
        </row>
        <row r="532">
          <cell r="A532" t="str">
            <v>02</v>
          </cell>
          <cell r="B532" t="str">
            <v>70</v>
          </cell>
          <cell r="C532" t="str">
            <v>1369</v>
          </cell>
          <cell r="D532" t="str">
            <v>Телевизор Каскад</v>
          </cell>
          <cell r="E532" t="str">
            <v>черно-белый</v>
          </cell>
          <cell r="F532" t="str">
            <v>диагон. 54 см</v>
          </cell>
          <cell r="G532" t="str">
            <v>01</v>
          </cell>
          <cell r="H532">
            <v>450</v>
          </cell>
          <cell r="I532">
            <v>0</v>
          </cell>
          <cell r="J532">
            <v>0</v>
          </cell>
          <cell r="K532">
            <v>0.57999999999999996</v>
          </cell>
          <cell r="L532" t="str">
            <v>20</v>
          </cell>
          <cell r="M532" t="str">
            <v>45625</v>
          </cell>
          <cell r="N532" t="str">
            <v>14 3230101</v>
          </cell>
          <cell r="O532" t="str">
            <v>067</v>
          </cell>
          <cell r="P532">
            <v>10.5</v>
          </cell>
          <cell r="Q532">
            <v>0</v>
          </cell>
          <cell r="R532" t="str">
            <v>1</v>
          </cell>
          <cell r="S532" t="str">
            <v>45</v>
          </cell>
          <cell r="T532">
            <v>95</v>
          </cell>
          <cell r="U532">
            <v>5</v>
          </cell>
          <cell r="V532">
            <v>95</v>
          </cell>
          <cell r="W532">
            <v>5</v>
          </cell>
          <cell r="X532">
            <v>95</v>
          </cell>
          <cell r="Y532">
            <v>0</v>
          </cell>
          <cell r="Z532">
            <v>0</v>
          </cell>
          <cell r="AD532" t="str">
            <v>0</v>
          </cell>
          <cell r="AE532" t="str">
            <v>0</v>
          </cell>
          <cell r="AF532" t="str">
            <v>00</v>
          </cell>
          <cell r="AI532">
            <v>775580</v>
          </cell>
          <cell r="AJ532">
            <v>210376.08</v>
          </cell>
        </row>
        <row r="533">
          <cell r="A533" t="str">
            <v>02</v>
          </cell>
          <cell r="B533" t="str">
            <v>05</v>
          </cell>
          <cell r="C533" t="str">
            <v>1370</v>
          </cell>
          <cell r="D533" t="str">
            <v>Телевизор Каскад</v>
          </cell>
          <cell r="E533" t="str">
            <v>черно-белый 37 см</v>
          </cell>
          <cell r="F533" t="str">
            <v>Самара</v>
          </cell>
          <cell r="G533" t="str">
            <v>01</v>
          </cell>
          <cell r="H533">
            <v>450</v>
          </cell>
          <cell r="I533">
            <v>0</v>
          </cell>
          <cell r="J533">
            <v>0</v>
          </cell>
          <cell r="K533">
            <v>0.57999999999999996</v>
          </cell>
          <cell r="L533" t="str">
            <v>20</v>
          </cell>
          <cell r="M533" t="str">
            <v>45625</v>
          </cell>
          <cell r="N533" t="str">
            <v>14 3210101</v>
          </cell>
          <cell r="O533" t="str">
            <v>067</v>
          </cell>
          <cell r="P533">
            <v>10.5</v>
          </cell>
          <cell r="Q533">
            <v>0</v>
          </cell>
          <cell r="R533" t="str">
            <v>1</v>
          </cell>
          <cell r="S533" t="str">
            <v>45</v>
          </cell>
          <cell r="T533">
            <v>95</v>
          </cell>
          <cell r="U533">
            <v>5</v>
          </cell>
          <cell r="V533">
            <v>95</v>
          </cell>
          <cell r="W533">
            <v>5</v>
          </cell>
          <cell r="X533">
            <v>95</v>
          </cell>
          <cell r="Y533">
            <v>0</v>
          </cell>
          <cell r="Z533">
            <v>0</v>
          </cell>
          <cell r="AD533" t="str">
            <v>0</v>
          </cell>
          <cell r="AE533" t="str">
            <v>0</v>
          </cell>
          <cell r="AF533" t="str">
            <v>00</v>
          </cell>
          <cell r="AI533">
            <v>775580</v>
          </cell>
          <cell r="AJ533">
            <v>210376.08</v>
          </cell>
        </row>
        <row r="534">
          <cell r="A534" t="str">
            <v>02</v>
          </cell>
          <cell r="B534" t="str">
            <v>05</v>
          </cell>
          <cell r="C534" t="str">
            <v>1371</v>
          </cell>
          <cell r="D534" t="str">
            <v>Телевизор Каскад</v>
          </cell>
          <cell r="E534" t="str">
            <v>черно-белый 37 см</v>
          </cell>
          <cell r="F534" t="str">
            <v>Самара</v>
          </cell>
          <cell r="G534" t="str">
            <v>01</v>
          </cell>
          <cell r="H534">
            <v>450</v>
          </cell>
          <cell r="I534">
            <v>0</v>
          </cell>
          <cell r="J534">
            <v>0</v>
          </cell>
          <cell r="K534">
            <v>0.57999999999999996</v>
          </cell>
          <cell r="L534" t="str">
            <v>20</v>
          </cell>
          <cell r="M534" t="str">
            <v>45625</v>
          </cell>
          <cell r="N534" t="str">
            <v>14 3210101</v>
          </cell>
          <cell r="O534" t="str">
            <v>067</v>
          </cell>
          <cell r="P534">
            <v>10.5</v>
          </cell>
          <cell r="Q534">
            <v>0</v>
          </cell>
          <cell r="R534" t="str">
            <v>1</v>
          </cell>
          <cell r="S534" t="str">
            <v>45</v>
          </cell>
          <cell r="T534">
            <v>95</v>
          </cell>
          <cell r="U534">
            <v>5</v>
          </cell>
          <cell r="V534">
            <v>95</v>
          </cell>
          <cell r="W534">
            <v>5</v>
          </cell>
          <cell r="X534">
            <v>95</v>
          </cell>
          <cell r="Y534">
            <v>0</v>
          </cell>
          <cell r="Z534">
            <v>0</v>
          </cell>
          <cell r="AD534" t="str">
            <v>0</v>
          </cell>
          <cell r="AE534" t="str">
            <v>0</v>
          </cell>
          <cell r="AF534" t="str">
            <v>00</v>
          </cell>
          <cell r="AI534">
            <v>775580</v>
          </cell>
          <cell r="AJ534">
            <v>210376.08</v>
          </cell>
        </row>
        <row r="535">
          <cell r="A535" t="str">
            <v>02</v>
          </cell>
          <cell r="B535" t="str">
            <v>02</v>
          </cell>
          <cell r="C535" t="str">
            <v>1372</v>
          </cell>
          <cell r="D535" t="str">
            <v>Телевизор Каскад</v>
          </cell>
          <cell r="E535" t="str">
            <v>черно-белый</v>
          </cell>
          <cell r="G535" t="str">
            <v>01</v>
          </cell>
          <cell r="H535">
            <v>450</v>
          </cell>
          <cell r="I535">
            <v>0</v>
          </cell>
          <cell r="J535">
            <v>0</v>
          </cell>
          <cell r="K535">
            <v>0.57999999999999996</v>
          </cell>
          <cell r="L535" t="str">
            <v>20</v>
          </cell>
          <cell r="M535" t="str">
            <v>45625</v>
          </cell>
          <cell r="N535" t="str">
            <v>14 3230101</v>
          </cell>
          <cell r="O535" t="str">
            <v>067</v>
          </cell>
          <cell r="P535">
            <v>10.5</v>
          </cell>
          <cell r="Q535">
            <v>0</v>
          </cell>
          <cell r="R535" t="str">
            <v>1</v>
          </cell>
          <cell r="S535" t="str">
            <v>45</v>
          </cell>
          <cell r="T535">
            <v>95</v>
          </cell>
          <cell r="U535">
            <v>5</v>
          </cell>
          <cell r="V535">
            <v>95</v>
          </cell>
          <cell r="W535">
            <v>5</v>
          </cell>
          <cell r="X535">
            <v>95</v>
          </cell>
          <cell r="Y535">
            <v>0</v>
          </cell>
          <cell r="Z535">
            <v>0</v>
          </cell>
          <cell r="AD535" t="str">
            <v>0</v>
          </cell>
          <cell r="AE535" t="str">
            <v>0</v>
          </cell>
          <cell r="AF535" t="str">
            <v>00</v>
          </cell>
          <cell r="AI535">
            <v>775580</v>
          </cell>
          <cell r="AJ535">
            <v>210376.08</v>
          </cell>
        </row>
        <row r="536">
          <cell r="A536" t="str">
            <v>02</v>
          </cell>
          <cell r="B536" t="str">
            <v>02</v>
          </cell>
          <cell r="C536" t="str">
            <v>1373</v>
          </cell>
          <cell r="D536" t="str">
            <v>Телевизор Каскад</v>
          </cell>
          <cell r="E536" t="str">
            <v>черно-белый</v>
          </cell>
          <cell r="G536" t="str">
            <v>01</v>
          </cell>
          <cell r="H536">
            <v>450</v>
          </cell>
          <cell r="I536">
            <v>0</v>
          </cell>
          <cell r="J536">
            <v>0</v>
          </cell>
          <cell r="K536">
            <v>0.57999999999999996</v>
          </cell>
          <cell r="L536" t="str">
            <v>20</v>
          </cell>
          <cell r="M536" t="str">
            <v>45625</v>
          </cell>
          <cell r="N536" t="str">
            <v>14 3230101</v>
          </cell>
          <cell r="O536" t="str">
            <v>067</v>
          </cell>
          <cell r="P536">
            <v>10.5</v>
          </cell>
          <cell r="Q536">
            <v>0</v>
          </cell>
          <cell r="R536" t="str">
            <v>1</v>
          </cell>
          <cell r="S536" t="str">
            <v>45</v>
          </cell>
          <cell r="T536">
            <v>95</v>
          </cell>
          <cell r="U536">
            <v>5</v>
          </cell>
          <cell r="V536">
            <v>95</v>
          </cell>
          <cell r="W536">
            <v>5</v>
          </cell>
          <cell r="X536">
            <v>95</v>
          </cell>
          <cell r="Y536">
            <v>0</v>
          </cell>
          <cell r="Z536">
            <v>0</v>
          </cell>
          <cell r="AD536" t="str">
            <v>0</v>
          </cell>
          <cell r="AE536" t="str">
            <v>0</v>
          </cell>
          <cell r="AF536" t="str">
            <v>00</v>
          </cell>
          <cell r="AI536">
            <v>775580</v>
          </cell>
          <cell r="AJ536">
            <v>210376.08</v>
          </cell>
        </row>
        <row r="537">
          <cell r="A537" t="str">
            <v>02</v>
          </cell>
          <cell r="B537" t="str">
            <v>02</v>
          </cell>
          <cell r="C537" t="str">
            <v>1374</v>
          </cell>
          <cell r="D537" t="str">
            <v>Телевизор Каскад</v>
          </cell>
          <cell r="E537" t="str">
            <v>черно-белый</v>
          </cell>
          <cell r="G537" t="str">
            <v>01</v>
          </cell>
          <cell r="H537">
            <v>450</v>
          </cell>
          <cell r="I537">
            <v>0</v>
          </cell>
          <cell r="J537">
            <v>0</v>
          </cell>
          <cell r="K537">
            <v>0.57999999999999996</v>
          </cell>
          <cell r="L537" t="str">
            <v>20</v>
          </cell>
          <cell r="M537" t="str">
            <v>45625</v>
          </cell>
          <cell r="N537" t="str">
            <v>14 3230101</v>
          </cell>
          <cell r="O537" t="str">
            <v>067</v>
          </cell>
          <cell r="P537">
            <v>10.5</v>
          </cell>
          <cell r="Q537">
            <v>0</v>
          </cell>
          <cell r="R537" t="str">
            <v>1</v>
          </cell>
          <cell r="S537" t="str">
            <v>45</v>
          </cell>
          <cell r="T537">
            <v>95</v>
          </cell>
          <cell r="U537">
            <v>5</v>
          </cell>
          <cell r="V537">
            <v>95</v>
          </cell>
          <cell r="W537">
            <v>5</v>
          </cell>
          <cell r="X537">
            <v>95</v>
          </cell>
          <cell r="Y537">
            <v>0</v>
          </cell>
          <cell r="Z537">
            <v>0</v>
          </cell>
          <cell r="AD537" t="str">
            <v>0</v>
          </cell>
          <cell r="AE537" t="str">
            <v>0</v>
          </cell>
          <cell r="AF537" t="str">
            <v>00</v>
          </cell>
          <cell r="AI537">
            <v>775580</v>
          </cell>
          <cell r="AJ537">
            <v>210376.08</v>
          </cell>
        </row>
        <row r="538">
          <cell r="A538" t="str">
            <v>02</v>
          </cell>
          <cell r="B538" t="str">
            <v>02</v>
          </cell>
          <cell r="C538" t="str">
            <v>1375</v>
          </cell>
          <cell r="D538" t="str">
            <v>Телевизор Каскад</v>
          </cell>
          <cell r="E538" t="str">
            <v>черно-белый</v>
          </cell>
          <cell r="G538" t="str">
            <v>01</v>
          </cell>
          <cell r="H538">
            <v>450</v>
          </cell>
          <cell r="I538">
            <v>0</v>
          </cell>
          <cell r="J538">
            <v>0</v>
          </cell>
          <cell r="K538">
            <v>0.57999999999999996</v>
          </cell>
          <cell r="L538" t="str">
            <v>20</v>
          </cell>
          <cell r="M538" t="str">
            <v>45625</v>
          </cell>
          <cell r="N538" t="str">
            <v>14 3230100</v>
          </cell>
          <cell r="O538" t="str">
            <v>067</v>
          </cell>
          <cell r="P538">
            <v>10.5</v>
          </cell>
          <cell r="Q538">
            <v>0</v>
          </cell>
          <cell r="R538" t="str">
            <v>1</v>
          </cell>
          <cell r="S538" t="str">
            <v>45</v>
          </cell>
          <cell r="T538">
            <v>95</v>
          </cell>
          <cell r="U538">
            <v>5</v>
          </cell>
          <cell r="V538">
            <v>95</v>
          </cell>
          <cell r="W538">
            <v>5</v>
          </cell>
          <cell r="X538">
            <v>95</v>
          </cell>
          <cell r="Y538">
            <v>0</v>
          </cell>
          <cell r="Z538">
            <v>0</v>
          </cell>
          <cell r="AD538" t="str">
            <v>0</v>
          </cell>
          <cell r="AE538" t="str">
            <v>0</v>
          </cell>
          <cell r="AF538" t="str">
            <v>00</v>
          </cell>
          <cell r="AI538">
            <v>775580</v>
          </cell>
          <cell r="AJ538">
            <v>210376.08</v>
          </cell>
        </row>
        <row r="539">
          <cell r="A539" t="str">
            <v>02</v>
          </cell>
          <cell r="B539" t="str">
            <v>02</v>
          </cell>
          <cell r="C539" t="str">
            <v>1376</v>
          </cell>
          <cell r="D539" t="str">
            <v>Телевизор Каскад</v>
          </cell>
          <cell r="E539" t="str">
            <v>черно-белый</v>
          </cell>
          <cell r="G539" t="str">
            <v>01</v>
          </cell>
          <cell r="H539">
            <v>450</v>
          </cell>
          <cell r="I539">
            <v>0</v>
          </cell>
          <cell r="J539">
            <v>0</v>
          </cell>
          <cell r="K539">
            <v>0.57999999999999996</v>
          </cell>
          <cell r="L539" t="str">
            <v>20</v>
          </cell>
          <cell r="M539" t="str">
            <v>45625</v>
          </cell>
          <cell r="N539" t="str">
            <v>14 3230101</v>
          </cell>
          <cell r="O539" t="str">
            <v>067</v>
          </cell>
          <cell r="P539">
            <v>10.5</v>
          </cell>
          <cell r="Q539">
            <v>0</v>
          </cell>
          <cell r="R539" t="str">
            <v>1</v>
          </cell>
          <cell r="S539" t="str">
            <v>45</v>
          </cell>
          <cell r="T539">
            <v>95</v>
          </cell>
          <cell r="U539">
            <v>5</v>
          </cell>
          <cell r="V539">
            <v>95</v>
          </cell>
          <cell r="W539">
            <v>5</v>
          </cell>
          <cell r="X539">
            <v>95</v>
          </cell>
          <cell r="Y539">
            <v>0</v>
          </cell>
          <cell r="Z539">
            <v>0</v>
          </cell>
          <cell r="AD539" t="str">
            <v>0</v>
          </cell>
          <cell r="AE539" t="str">
            <v>0</v>
          </cell>
          <cell r="AF539" t="str">
            <v>00</v>
          </cell>
          <cell r="AI539">
            <v>775580</v>
          </cell>
          <cell r="AJ539">
            <v>210376.08</v>
          </cell>
        </row>
        <row r="540">
          <cell r="A540" t="str">
            <v>02</v>
          </cell>
          <cell r="B540" t="str">
            <v>61</v>
          </cell>
          <cell r="C540" t="str">
            <v>1377</v>
          </cell>
          <cell r="D540" t="str">
            <v>Телевизор Каскад</v>
          </cell>
          <cell r="E540" t="str">
            <v>черно-белый</v>
          </cell>
          <cell r="G540" t="str">
            <v>01</v>
          </cell>
          <cell r="H540">
            <v>450</v>
          </cell>
          <cell r="I540">
            <v>0</v>
          </cell>
          <cell r="J540">
            <v>0</v>
          </cell>
          <cell r="K540">
            <v>0.57999999999999996</v>
          </cell>
          <cell r="L540" t="str">
            <v>23</v>
          </cell>
          <cell r="M540" t="str">
            <v>45625</v>
          </cell>
          <cell r="N540" t="str">
            <v>14 3230101</v>
          </cell>
          <cell r="O540" t="str">
            <v>067</v>
          </cell>
          <cell r="P540">
            <v>10.5</v>
          </cell>
          <cell r="Q540">
            <v>0</v>
          </cell>
          <cell r="R540" t="str">
            <v>1</v>
          </cell>
          <cell r="S540" t="str">
            <v>45</v>
          </cell>
          <cell r="T540">
            <v>95</v>
          </cell>
          <cell r="U540">
            <v>5</v>
          </cell>
          <cell r="V540">
            <v>95</v>
          </cell>
          <cell r="W540">
            <v>5</v>
          </cell>
          <cell r="X540">
            <v>95</v>
          </cell>
          <cell r="Y540">
            <v>0</v>
          </cell>
          <cell r="Z540">
            <v>0</v>
          </cell>
          <cell r="AD540" t="str">
            <v>0</v>
          </cell>
          <cell r="AE540" t="str">
            <v>0</v>
          </cell>
          <cell r="AF540" t="str">
            <v>00</v>
          </cell>
          <cell r="AI540">
            <v>775580</v>
          </cell>
          <cell r="AJ540">
            <v>210376.08</v>
          </cell>
        </row>
        <row r="541">
          <cell r="A541" t="str">
            <v>02</v>
          </cell>
          <cell r="B541" t="str">
            <v>05</v>
          </cell>
          <cell r="C541" t="str">
            <v>1378</v>
          </cell>
          <cell r="D541" t="str">
            <v>Мебель плетеная</v>
          </cell>
          <cell r="E541" t="str">
            <v>Турция</v>
          </cell>
          <cell r="G541" t="str">
            <v>01</v>
          </cell>
          <cell r="H541">
            <v>5158.82</v>
          </cell>
          <cell r="I541">
            <v>0</v>
          </cell>
          <cell r="J541">
            <v>0</v>
          </cell>
          <cell r="K541">
            <v>0.91</v>
          </cell>
          <cell r="L541" t="str">
            <v>88/4</v>
          </cell>
          <cell r="M541" t="str">
            <v>70004</v>
          </cell>
          <cell r="N541" t="str">
            <v>16 3612450</v>
          </cell>
          <cell r="O541" t="str">
            <v>08</v>
          </cell>
          <cell r="P541">
            <v>6.7</v>
          </cell>
          <cell r="Q541">
            <v>0</v>
          </cell>
          <cell r="R541" t="str">
            <v>1</v>
          </cell>
          <cell r="S541" t="str">
            <v>70</v>
          </cell>
          <cell r="T541">
            <v>95</v>
          </cell>
          <cell r="U541">
            <v>5</v>
          </cell>
          <cell r="V541">
            <v>95</v>
          </cell>
          <cell r="W541">
            <v>5</v>
          </cell>
          <cell r="X541">
            <v>95</v>
          </cell>
          <cell r="Y541">
            <v>0</v>
          </cell>
          <cell r="Z541">
            <v>0</v>
          </cell>
          <cell r="AD541" t="str">
            <v>0</v>
          </cell>
          <cell r="AE541" t="str">
            <v>0</v>
          </cell>
          <cell r="AF541" t="str">
            <v>00</v>
          </cell>
          <cell r="AI541">
            <v>5669030</v>
          </cell>
          <cell r="AJ541">
            <v>981214.61</v>
          </cell>
        </row>
        <row r="542">
          <cell r="A542" t="str">
            <v>02</v>
          </cell>
          <cell r="B542" t="str">
            <v>80</v>
          </cell>
          <cell r="C542" t="str">
            <v>1379</v>
          </cell>
          <cell r="D542" t="str">
            <v>Холодильник ТВ14DASA</v>
          </cell>
          <cell r="E542" t="str">
            <v>D</v>
          </cell>
          <cell r="G542" t="str">
            <v>01</v>
          </cell>
          <cell r="H542">
            <v>4350</v>
          </cell>
          <cell r="I542">
            <v>0</v>
          </cell>
          <cell r="J542">
            <v>0</v>
          </cell>
          <cell r="K542">
            <v>0.73</v>
          </cell>
          <cell r="L542" t="str">
            <v>88/2</v>
          </cell>
          <cell r="M542" t="str">
            <v>45800</v>
          </cell>
          <cell r="N542" t="str">
            <v>16 2930100</v>
          </cell>
          <cell r="O542" t="str">
            <v>063</v>
          </cell>
          <cell r="P542">
            <v>10</v>
          </cell>
          <cell r="Q542">
            <v>0</v>
          </cell>
          <cell r="R542" t="str">
            <v>1</v>
          </cell>
          <cell r="S542" t="str">
            <v>45</v>
          </cell>
          <cell r="T542">
            <v>95</v>
          </cell>
          <cell r="U542">
            <v>5</v>
          </cell>
          <cell r="V542">
            <v>95</v>
          </cell>
          <cell r="W542">
            <v>5</v>
          </cell>
          <cell r="X542">
            <v>95</v>
          </cell>
          <cell r="Y542">
            <v>0</v>
          </cell>
          <cell r="Z542">
            <v>0</v>
          </cell>
          <cell r="AD542" t="str">
            <v>0</v>
          </cell>
          <cell r="AE542" t="str">
            <v>0</v>
          </cell>
          <cell r="AF542" t="str">
            <v>00</v>
          </cell>
          <cell r="AI542">
            <v>5997541</v>
          </cell>
          <cell r="AJ542">
            <v>1549364.76</v>
          </cell>
        </row>
        <row r="543">
          <cell r="A543" t="str">
            <v>02</v>
          </cell>
          <cell r="B543" t="str">
            <v>80</v>
          </cell>
          <cell r="C543" t="str">
            <v>1381</v>
          </cell>
          <cell r="D543" t="str">
            <v>Холодильник ТВ14</v>
          </cell>
          <cell r="E543" t="str">
            <v>DASWH</v>
          </cell>
          <cell r="G543" t="str">
            <v>01</v>
          </cell>
          <cell r="H543">
            <v>4350</v>
          </cell>
          <cell r="I543">
            <v>0</v>
          </cell>
          <cell r="J543">
            <v>0</v>
          </cell>
          <cell r="K543">
            <v>0.71</v>
          </cell>
          <cell r="L543" t="str">
            <v>88/2</v>
          </cell>
          <cell r="M543" t="str">
            <v>45800</v>
          </cell>
          <cell r="N543" t="str">
            <v>16 2930100</v>
          </cell>
          <cell r="O543" t="str">
            <v>063</v>
          </cell>
          <cell r="P543">
            <v>10</v>
          </cell>
          <cell r="Q543">
            <v>0</v>
          </cell>
          <cell r="R543" t="str">
            <v>1</v>
          </cell>
          <cell r="S543" t="str">
            <v>45</v>
          </cell>
          <cell r="T543">
            <v>95</v>
          </cell>
          <cell r="U543">
            <v>5</v>
          </cell>
          <cell r="V543">
            <v>95</v>
          </cell>
          <cell r="W543">
            <v>5</v>
          </cell>
          <cell r="X543">
            <v>95</v>
          </cell>
          <cell r="Y543">
            <v>0</v>
          </cell>
          <cell r="Z543">
            <v>0</v>
          </cell>
          <cell r="AD543" t="str">
            <v>0</v>
          </cell>
          <cell r="AE543" t="str">
            <v>0</v>
          </cell>
          <cell r="AF543" t="str">
            <v>00</v>
          </cell>
          <cell r="AI543">
            <v>6119939</v>
          </cell>
          <cell r="AJ543">
            <v>1580984.24</v>
          </cell>
        </row>
        <row r="544">
          <cell r="A544" t="str">
            <v>02</v>
          </cell>
          <cell r="B544" t="str">
            <v>80</v>
          </cell>
          <cell r="C544" t="str">
            <v>1382</v>
          </cell>
          <cell r="D544" t="str">
            <v>Холодильник BOSH</v>
          </cell>
          <cell r="G544" t="str">
            <v>01</v>
          </cell>
          <cell r="H544">
            <v>4289</v>
          </cell>
          <cell r="I544">
            <v>0</v>
          </cell>
          <cell r="J544">
            <v>0</v>
          </cell>
          <cell r="K544">
            <v>0.82</v>
          </cell>
          <cell r="L544" t="str">
            <v>88/2</v>
          </cell>
          <cell r="M544" t="str">
            <v>45800</v>
          </cell>
          <cell r="N544" t="str">
            <v>16 2930100</v>
          </cell>
          <cell r="O544" t="str">
            <v>063</v>
          </cell>
          <cell r="P544">
            <v>10</v>
          </cell>
          <cell r="Q544">
            <v>0</v>
          </cell>
          <cell r="R544" t="str">
            <v>1</v>
          </cell>
          <cell r="S544" t="str">
            <v>45</v>
          </cell>
          <cell r="T544">
            <v>95</v>
          </cell>
          <cell r="U544">
            <v>5</v>
          </cell>
          <cell r="V544">
            <v>95</v>
          </cell>
          <cell r="W544">
            <v>5</v>
          </cell>
          <cell r="X544">
            <v>95</v>
          </cell>
          <cell r="Y544">
            <v>0</v>
          </cell>
          <cell r="Z544">
            <v>0</v>
          </cell>
          <cell r="AD544" t="str">
            <v>0</v>
          </cell>
          <cell r="AE544" t="str">
            <v>0</v>
          </cell>
          <cell r="AF544" t="str">
            <v>00</v>
          </cell>
          <cell r="AI544">
            <v>5215547</v>
          </cell>
          <cell r="AJ544">
            <v>1347349.64</v>
          </cell>
        </row>
        <row r="545">
          <cell r="A545" t="str">
            <v>02</v>
          </cell>
          <cell r="B545" t="str">
            <v>80</v>
          </cell>
          <cell r="C545" t="str">
            <v>1383</v>
          </cell>
          <cell r="D545" t="str">
            <v>Холодильник BOSH</v>
          </cell>
          <cell r="G545" t="str">
            <v>01</v>
          </cell>
          <cell r="H545">
            <v>4289</v>
          </cell>
          <cell r="I545">
            <v>0</v>
          </cell>
          <cell r="J545">
            <v>0</v>
          </cell>
          <cell r="K545">
            <v>0.82</v>
          </cell>
          <cell r="L545" t="str">
            <v>88/2</v>
          </cell>
          <cell r="M545" t="str">
            <v>45800</v>
          </cell>
          <cell r="N545" t="str">
            <v>16 2930100</v>
          </cell>
          <cell r="O545" t="str">
            <v>063</v>
          </cell>
          <cell r="P545">
            <v>10</v>
          </cell>
          <cell r="Q545">
            <v>0</v>
          </cell>
          <cell r="R545" t="str">
            <v>1</v>
          </cell>
          <cell r="S545" t="str">
            <v>45</v>
          </cell>
          <cell r="T545">
            <v>95</v>
          </cell>
          <cell r="U545">
            <v>5</v>
          </cell>
          <cell r="V545">
            <v>95</v>
          </cell>
          <cell r="W545">
            <v>5</v>
          </cell>
          <cell r="X545">
            <v>95</v>
          </cell>
          <cell r="Y545">
            <v>0</v>
          </cell>
          <cell r="Z545">
            <v>0</v>
          </cell>
          <cell r="AD545" t="str">
            <v>0</v>
          </cell>
          <cell r="AE545" t="str">
            <v>0</v>
          </cell>
          <cell r="AF545" t="str">
            <v>00</v>
          </cell>
          <cell r="AI545">
            <v>5215547</v>
          </cell>
          <cell r="AJ545">
            <v>1347349.64</v>
          </cell>
        </row>
        <row r="546">
          <cell r="A546" t="str">
            <v>02</v>
          </cell>
          <cell r="B546" t="str">
            <v>80</v>
          </cell>
          <cell r="C546" t="str">
            <v>1384</v>
          </cell>
          <cell r="D546" t="str">
            <v>Холодильник SIEVENS</v>
          </cell>
          <cell r="G546" t="str">
            <v>01</v>
          </cell>
          <cell r="H546">
            <v>3271</v>
          </cell>
          <cell r="I546">
            <v>0</v>
          </cell>
          <cell r="J546">
            <v>0</v>
          </cell>
          <cell r="K546">
            <v>0.6</v>
          </cell>
          <cell r="L546" t="str">
            <v>88/2</v>
          </cell>
          <cell r="M546" t="str">
            <v>45800</v>
          </cell>
          <cell r="N546" t="str">
            <v>16 2930100</v>
          </cell>
          <cell r="O546" t="str">
            <v>063</v>
          </cell>
          <cell r="P546">
            <v>10</v>
          </cell>
          <cell r="Q546">
            <v>0</v>
          </cell>
          <cell r="R546" t="str">
            <v>1</v>
          </cell>
          <cell r="S546" t="str">
            <v>45</v>
          </cell>
          <cell r="T546">
            <v>95</v>
          </cell>
          <cell r="U546">
            <v>5</v>
          </cell>
          <cell r="V546">
            <v>95</v>
          </cell>
          <cell r="W546">
            <v>5</v>
          </cell>
          <cell r="X546">
            <v>95</v>
          </cell>
          <cell r="Y546">
            <v>0</v>
          </cell>
          <cell r="Z546">
            <v>0</v>
          </cell>
          <cell r="AD546" t="str">
            <v>0</v>
          </cell>
          <cell r="AE546" t="str">
            <v>0</v>
          </cell>
          <cell r="AF546" t="str">
            <v>00</v>
          </cell>
          <cell r="AI546">
            <v>5446747</v>
          </cell>
          <cell r="AJ546">
            <v>1407076.31</v>
          </cell>
        </row>
        <row r="547">
          <cell r="A547" t="str">
            <v>02</v>
          </cell>
          <cell r="B547" t="str">
            <v>80</v>
          </cell>
          <cell r="C547" t="str">
            <v>1385</v>
          </cell>
          <cell r="D547" t="str">
            <v>Холодильник VESTUROS</v>
          </cell>
          <cell r="E547" t="str">
            <v>T</v>
          </cell>
          <cell r="G547" t="str">
            <v>01</v>
          </cell>
          <cell r="H547">
            <v>4618</v>
          </cell>
          <cell r="I547">
            <v>0</v>
          </cell>
          <cell r="J547">
            <v>0</v>
          </cell>
          <cell r="K547">
            <v>0.88</v>
          </cell>
          <cell r="L547" t="str">
            <v>88/2</v>
          </cell>
          <cell r="M547" t="str">
            <v>45800</v>
          </cell>
          <cell r="N547" t="str">
            <v>16 2930100</v>
          </cell>
          <cell r="O547" t="str">
            <v>063</v>
          </cell>
          <cell r="P547">
            <v>10</v>
          </cell>
          <cell r="Q547">
            <v>0</v>
          </cell>
          <cell r="R547" t="str">
            <v>1</v>
          </cell>
          <cell r="S547" t="str">
            <v>45</v>
          </cell>
          <cell r="T547">
            <v>95</v>
          </cell>
          <cell r="U547">
            <v>5</v>
          </cell>
          <cell r="V547">
            <v>95</v>
          </cell>
          <cell r="W547">
            <v>5</v>
          </cell>
          <cell r="X547">
            <v>95</v>
          </cell>
          <cell r="Y547">
            <v>0</v>
          </cell>
          <cell r="Z547">
            <v>0</v>
          </cell>
          <cell r="AD547" t="str">
            <v>0</v>
          </cell>
          <cell r="AE547" t="str">
            <v>0</v>
          </cell>
          <cell r="AF547" t="str">
            <v>00</v>
          </cell>
          <cell r="AI547">
            <v>5249547</v>
          </cell>
          <cell r="AJ547">
            <v>1356132.98</v>
          </cell>
        </row>
        <row r="548">
          <cell r="A548" t="str">
            <v>02</v>
          </cell>
          <cell r="B548" t="str">
            <v>80</v>
          </cell>
          <cell r="C548" t="str">
            <v>1386</v>
          </cell>
          <cell r="D548" t="str">
            <v>Холодильник VESTUROS</v>
          </cell>
          <cell r="E548" t="str">
            <v>T</v>
          </cell>
          <cell r="G548" t="str">
            <v>01</v>
          </cell>
          <cell r="H548">
            <v>4618</v>
          </cell>
          <cell r="I548">
            <v>0</v>
          </cell>
          <cell r="J548">
            <v>0</v>
          </cell>
          <cell r="K548">
            <v>0.88</v>
          </cell>
          <cell r="L548" t="str">
            <v>88/2</v>
          </cell>
          <cell r="M548" t="str">
            <v>45800</v>
          </cell>
          <cell r="N548" t="str">
            <v>16 2930100</v>
          </cell>
          <cell r="O548" t="str">
            <v>063</v>
          </cell>
          <cell r="P548">
            <v>10</v>
          </cell>
          <cell r="Q548">
            <v>0</v>
          </cell>
          <cell r="R548" t="str">
            <v>1</v>
          </cell>
          <cell r="S548" t="str">
            <v>45</v>
          </cell>
          <cell r="T548">
            <v>95</v>
          </cell>
          <cell r="U548">
            <v>5</v>
          </cell>
          <cell r="V548">
            <v>95</v>
          </cell>
          <cell r="W548">
            <v>5</v>
          </cell>
          <cell r="X548">
            <v>95</v>
          </cell>
          <cell r="Y548">
            <v>0</v>
          </cell>
          <cell r="Z548">
            <v>0</v>
          </cell>
          <cell r="AD548" t="str">
            <v>0</v>
          </cell>
          <cell r="AE548" t="str">
            <v>0</v>
          </cell>
          <cell r="AF548" t="str">
            <v>00</v>
          </cell>
          <cell r="AI548">
            <v>5249547</v>
          </cell>
          <cell r="AJ548">
            <v>1356132.98</v>
          </cell>
        </row>
        <row r="549">
          <cell r="A549" t="str">
            <v>02</v>
          </cell>
          <cell r="B549" t="str">
            <v>02</v>
          </cell>
          <cell r="C549" t="str">
            <v>1387</v>
          </cell>
          <cell r="D549" t="str">
            <v>Холодильник VESTUROS</v>
          </cell>
          <cell r="E549" t="str">
            <v>T Белоруссия</v>
          </cell>
          <cell r="G549" t="str">
            <v>01</v>
          </cell>
          <cell r="H549">
            <v>4618</v>
          </cell>
          <cell r="I549">
            <v>0</v>
          </cell>
          <cell r="J549">
            <v>0</v>
          </cell>
          <cell r="K549">
            <v>0.87</v>
          </cell>
          <cell r="L549" t="str">
            <v>20</v>
          </cell>
          <cell r="M549" t="str">
            <v>45800</v>
          </cell>
          <cell r="N549" t="str">
            <v>16 2930100</v>
          </cell>
          <cell r="O549" t="str">
            <v>063</v>
          </cell>
          <cell r="P549">
            <v>10</v>
          </cell>
          <cell r="Q549">
            <v>0</v>
          </cell>
          <cell r="R549" t="str">
            <v>1</v>
          </cell>
          <cell r="S549" t="str">
            <v>45</v>
          </cell>
          <cell r="T549">
            <v>95</v>
          </cell>
          <cell r="U549">
            <v>5</v>
          </cell>
          <cell r="V549">
            <v>95</v>
          </cell>
          <cell r="W549">
            <v>5</v>
          </cell>
          <cell r="X549">
            <v>95</v>
          </cell>
          <cell r="Y549">
            <v>0</v>
          </cell>
          <cell r="Z549">
            <v>0</v>
          </cell>
          <cell r="AD549" t="str">
            <v>0</v>
          </cell>
          <cell r="AE549" t="str">
            <v>0</v>
          </cell>
          <cell r="AF549" t="str">
            <v>00</v>
          </cell>
          <cell r="AI549">
            <v>5311224</v>
          </cell>
          <cell r="AJ549">
            <v>1372066.2</v>
          </cell>
        </row>
        <row r="550">
          <cell r="A550" t="str">
            <v>02</v>
          </cell>
          <cell r="B550" t="str">
            <v>02</v>
          </cell>
          <cell r="C550" t="str">
            <v>1388</v>
          </cell>
          <cell r="D550" t="str">
            <v>Холодильник VESTUROS</v>
          </cell>
          <cell r="E550" t="str">
            <v>T Белоруссия</v>
          </cell>
          <cell r="G550" t="str">
            <v>01</v>
          </cell>
          <cell r="H550">
            <v>4618</v>
          </cell>
          <cell r="I550">
            <v>0</v>
          </cell>
          <cell r="J550">
            <v>0</v>
          </cell>
          <cell r="K550">
            <v>0.87</v>
          </cell>
          <cell r="L550" t="str">
            <v>20</v>
          </cell>
          <cell r="M550" t="str">
            <v>45800</v>
          </cell>
          <cell r="N550" t="str">
            <v>16 2930100</v>
          </cell>
          <cell r="O550" t="str">
            <v>063</v>
          </cell>
          <cell r="P550">
            <v>10</v>
          </cell>
          <cell r="Q550">
            <v>0</v>
          </cell>
          <cell r="R550" t="str">
            <v>1</v>
          </cell>
          <cell r="S550" t="str">
            <v>45</v>
          </cell>
          <cell r="T550">
            <v>95</v>
          </cell>
          <cell r="U550">
            <v>5</v>
          </cell>
          <cell r="V550">
            <v>95</v>
          </cell>
          <cell r="W550">
            <v>5</v>
          </cell>
          <cell r="X550">
            <v>95</v>
          </cell>
          <cell r="Y550">
            <v>0</v>
          </cell>
          <cell r="Z550">
            <v>0</v>
          </cell>
          <cell r="AD550" t="str">
            <v>0</v>
          </cell>
          <cell r="AE550" t="str">
            <v>0</v>
          </cell>
          <cell r="AF550" t="str">
            <v>00</v>
          </cell>
          <cell r="AI550">
            <v>5311224</v>
          </cell>
          <cell r="AJ550">
            <v>1372066.2</v>
          </cell>
        </row>
        <row r="551">
          <cell r="A551" t="str">
            <v>02</v>
          </cell>
          <cell r="B551" t="str">
            <v>90</v>
          </cell>
          <cell r="C551" t="str">
            <v>1389</v>
          </cell>
          <cell r="D551" t="str">
            <v>Холодильние SIEMENS</v>
          </cell>
          <cell r="G551" t="str">
            <v>01</v>
          </cell>
          <cell r="H551">
            <v>3271</v>
          </cell>
          <cell r="I551">
            <v>0</v>
          </cell>
          <cell r="J551">
            <v>0</v>
          </cell>
          <cell r="K551">
            <v>0.59</v>
          </cell>
          <cell r="L551" t="str">
            <v>23</v>
          </cell>
          <cell r="M551" t="str">
            <v>45800</v>
          </cell>
          <cell r="N551" t="str">
            <v>16 2930100</v>
          </cell>
          <cell r="O551" t="str">
            <v>063</v>
          </cell>
          <cell r="P551">
            <v>10</v>
          </cell>
          <cell r="Q551">
            <v>0</v>
          </cell>
          <cell r="R551" t="str">
            <v>1</v>
          </cell>
          <cell r="S551" t="str">
            <v>45</v>
          </cell>
          <cell r="T551">
            <v>95</v>
          </cell>
          <cell r="U551">
            <v>5</v>
          </cell>
          <cell r="V551">
            <v>95</v>
          </cell>
          <cell r="W551">
            <v>5</v>
          </cell>
          <cell r="X551">
            <v>95</v>
          </cell>
          <cell r="Y551">
            <v>0</v>
          </cell>
          <cell r="Z551">
            <v>0</v>
          </cell>
          <cell r="AB551" t="str">
            <v>14</v>
          </cell>
          <cell r="AC551">
            <v>11</v>
          </cell>
          <cell r="AD551" t="str">
            <v>0</v>
          </cell>
          <cell r="AE551" t="str">
            <v>0</v>
          </cell>
          <cell r="AF551" t="str">
            <v>00</v>
          </cell>
          <cell r="AI551">
            <v>5514411</v>
          </cell>
          <cell r="AJ551">
            <v>1424556.18</v>
          </cell>
        </row>
        <row r="552">
          <cell r="A552" t="str">
            <v>02</v>
          </cell>
          <cell r="B552" t="str">
            <v>99</v>
          </cell>
          <cell r="C552" t="str">
            <v>1391</v>
          </cell>
          <cell r="D552" t="str">
            <v>Изоляц.машина МИ-530</v>
          </cell>
          <cell r="E552" t="str">
            <v>в к-те с машиной очи</v>
          </cell>
          <cell r="F552" t="str">
            <v>ст НПП-530 Уфа ИПЭТР</v>
          </cell>
          <cell r="G552" t="str">
            <v>01</v>
          </cell>
          <cell r="H552">
            <v>94870</v>
          </cell>
          <cell r="I552">
            <v>0</v>
          </cell>
          <cell r="J552">
            <v>0</v>
          </cell>
          <cell r="K552">
            <v>0.71</v>
          </cell>
          <cell r="L552" t="str">
            <v>20</v>
          </cell>
          <cell r="M552" t="str">
            <v>43803</v>
          </cell>
          <cell r="N552" t="str">
            <v>14 2947195</v>
          </cell>
          <cell r="O552" t="str">
            <v>067</v>
          </cell>
          <cell r="P552">
            <v>33.299999999999997</v>
          </cell>
          <cell r="Q552">
            <v>0</v>
          </cell>
          <cell r="R552" t="str">
            <v>1</v>
          </cell>
          <cell r="S552" t="str">
            <v>43</v>
          </cell>
          <cell r="T552">
            <v>95</v>
          </cell>
          <cell r="U552">
            <v>5</v>
          </cell>
          <cell r="V552">
            <v>95</v>
          </cell>
          <cell r="W552">
            <v>5</v>
          </cell>
          <cell r="X552">
            <v>95</v>
          </cell>
          <cell r="Y552">
            <v>0</v>
          </cell>
          <cell r="Z552">
            <v>0</v>
          </cell>
          <cell r="AB552" t="str">
            <v>14</v>
          </cell>
          <cell r="AC552">
            <v>4</v>
          </cell>
          <cell r="AD552" t="str">
            <v>0</v>
          </cell>
          <cell r="AE552" t="str">
            <v>0</v>
          </cell>
          <cell r="AF552" t="str">
            <v>00</v>
          </cell>
          <cell r="AI552">
            <v>134235000</v>
          </cell>
          <cell r="AJ552">
            <v>115475658.75</v>
          </cell>
        </row>
        <row r="553">
          <cell r="A553" t="str">
            <v>02</v>
          </cell>
          <cell r="B553" t="str">
            <v>23</v>
          </cell>
          <cell r="C553" t="str">
            <v>1395</v>
          </cell>
          <cell r="D553" t="str">
            <v>А/мУАЗ-3303 АПВ-У-05</v>
          </cell>
          <cell r="E553" t="str">
            <v>Фермер грузопассажир</v>
          </cell>
          <cell r="F553" t="str">
            <v>Nо А283ХУ дв50404838</v>
          </cell>
          <cell r="G553" t="str">
            <v>01</v>
          </cell>
          <cell r="H553">
            <v>53990</v>
          </cell>
          <cell r="I553">
            <v>0</v>
          </cell>
          <cell r="J553">
            <v>0</v>
          </cell>
          <cell r="K553">
            <v>0.98</v>
          </cell>
          <cell r="L553" t="str">
            <v>23</v>
          </cell>
          <cell r="M553" t="str">
            <v>50401</v>
          </cell>
          <cell r="N553" t="str">
            <v>15 3410170</v>
          </cell>
          <cell r="O553" t="str">
            <v>075</v>
          </cell>
          <cell r="P553">
            <v>14.3</v>
          </cell>
          <cell r="Q553">
            <v>0</v>
          </cell>
          <cell r="R553" t="str">
            <v>1</v>
          </cell>
          <cell r="S553" t="str">
            <v>50</v>
          </cell>
          <cell r="T553">
            <v>95</v>
          </cell>
          <cell r="U553">
            <v>6</v>
          </cell>
          <cell r="V553">
            <v>95</v>
          </cell>
          <cell r="W553">
            <v>6</v>
          </cell>
          <cell r="X553">
            <v>95</v>
          </cell>
          <cell r="Y553">
            <v>0</v>
          </cell>
          <cell r="Z553">
            <v>0</v>
          </cell>
          <cell r="AD553" t="str">
            <v>0</v>
          </cell>
          <cell r="AE553" t="str">
            <v>0</v>
          </cell>
          <cell r="AF553" t="str">
            <v>00</v>
          </cell>
          <cell r="AI553">
            <v>55308642</v>
          </cell>
          <cell r="AJ553">
            <v>19772839.52</v>
          </cell>
        </row>
        <row r="554">
          <cell r="A554" t="str">
            <v>02</v>
          </cell>
          <cell r="B554" t="str">
            <v>05</v>
          </cell>
          <cell r="C554" t="str">
            <v>1394</v>
          </cell>
          <cell r="D554" t="str">
            <v>Радиостанцияя КАМА</v>
          </cell>
          <cell r="E554" t="str">
            <v>г Горький</v>
          </cell>
          <cell r="G554" t="str">
            <v>01</v>
          </cell>
          <cell r="H554">
            <v>3846</v>
          </cell>
          <cell r="I554">
            <v>0</v>
          </cell>
          <cell r="J554">
            <v>0</v>
          </cell>
          <cell r="K554">
            <v>0.2</v>
          </cell>
          <cell r="L554" t="str">
            <v>20</v>
          </cell>
          <cell r="M554" t="str">
            <v>45620</v>
          </cell>
          <cell r="N554" t="str">
            <v>15 3511223</v>
          </cell>
          <cell r="O554" t="str">
            <v>067</v>
          </cell>
          <cell r="P554">
            <v>12.5</v>
          </cell>
          <cell r="Q554">
            <v>0</v>
          </cell>
          <cell r="R554" t="str">
            <v>1</v>
          </cell>
          <cell r="S554" t="str">
            <v>45</v>
          </cell>
          <cell r="T554">
            <v>95</v>
          </cell>
          <cell r="U554">
            <v>6</v>
          </cell>
          <cell r="V554">
            <v>95</v>
          </cell>
          <cell r="W554">
            <v>6</v>
          </cell>
          <cell r="X554">
            <v>95</v>
          </cell>
          <cell r="Y554">
            <v>0</v>
          </cell>
          <cell r="Z554">
            <v>0</v>
          </cell>
          <cell r="AD554" t="str">
            <v>0</v>
          </cell>
          <cell r="AE554" t="str">
            <v>0</v>
          </cell>
          <cell r="AF554" t="str">
            <v>00</v>
          </cell>
          <cell r="AI554">
            <v>19000000</v>
          </cell>
          <cell r="AJ554">
            <v>5937500</v>
          </cell>
        </row>
        <row r="555">
          <cell r="A555" t="str">
            <v>02</v>
          </cell>
          <cell r="B555" t="str">
            <v>05</v>
          </cell>
          <cell r="C555" t="str">
            <v>1396</v>
          </cell>
          <cell r="D555" t="str">
            <v>Радиостанция КАМА</v>
          </cell>
          <cell r="E555" t="str">
            <v>г Горький</v>
          </cell>
          <cell r="G555" t="str">
            <v>01</v>
          </cell>
          <cell r="H555">
            <v>3846</v>
          </cell>
          <cell r="I555">
            <v>0</v>
          </cell>
          <cell r="J555">
            <v>0</v>
          </cell>
          <cell r="K555">
            <v>0.2</v>
          </cell>
          <cell r="L555" t="str">
            <v>20</v>
          </cell>
          <cell r="M555" t="str">
            <v>45620</v>
          </cell>
          <cell r="N555" t="str">
            <v>14 3221102</v>
          </cell>
          <cell r="O555" t="str">
            <v>067</v>
          </cell>
          <cell r="P555">
            <v>12.5</v>
          </cell>
          <cell r="Q555">
            <v>0</v>
          </cell>
          <cell r="R555" t="str">
            <v>1</v>
          </cell>
          <cell r="S555" t="str">
            <v>45</v>
          </cell>
          <cell r="T555">
            <v>95</v>
          </cell>
          <cell r="U555">
            <v>6</v>
          </cell>
          <cell r="V555">
            <v>95</v>
          </cell>
          <cell r="W555">
            <v>6</v>
          </cell>
          <cell r="X555">
            <v>95</v>
          </cell>
          <cell r="Y555">
            <v>0</v>
          </cell>
          <cell r="Z555">
            <v>0</v>
          </cell>
          <cell r="AD555" t="str">
            <v>0</v>
          </cell>
          <cell r="AE555" t="str">
            <v>0</v>
          </cell>
          <cell r="AF555" t="str">
            <v>00</v>
          </cell>
          <cell r="AI555">
            <v>19000000</v>
          </cell>
          <cell r="AJ555">
            <v>5937500</v>
          </cell>
        </row>
        <row r="556">
          <cell r="A556" t="str">
            <v>02</v>
          </cell>
          <cell r="B556" t="str">
            <v>03</v>
          </cell>
          <cell r="C556" t="str">
            <v>1397</v>
          </cell>
          <cell r="D556" t="str">
            <v>Плита электрическая</v>
          </cell>
          <cell r="E556" t="str">
            <v>4-х камф.</v>
          </cell>
          <cell r="G556" t="str">
            <v>01</v>
          </cell>
          <cell r="H556">
            <v>3950</v>
          </cell>
          <cell r="I556">
            <v>0</v>
          </cell>
          <cell r="J556">
            <v>0</v>
          </cell>
          <cell r="K556">
            <v>0.57999999999999996</v>
          </cell>
          <cell r="L556" t="str">
            <v>26</v>
          </cell>
          <cell r="M556" t="str">
            <v>45804</v>
          </cell>
          <cell r="N556" t="str">
            <v>16 2930122</v>
          </cell>
          <cell r="O556" t="str">
            <v>067</v>
          </cell>
          <cell r="P556">
            <v>12.5</v>
          </cell>
          <cell r="Q556">
            <v>0</v>
          </cell>
          <cell r="R556" t="str">
            <v>1</v>
          </cell>
          <cell r="S556" t="str">
            <v>45</v>
          </cell>
          <cell r="T556">
            <v>93</v>
          </cell>
          <cell r="U556">
            <v>6</v>
          </cell>
          <cell r="V556">
            <v>95</v>
          </cell>
          <cell r="W556">
            <v>6</v>
          </cell>
          <cell r="X556">
            <v>95</v>
          </cell>
          <cell r="Y556">
            <v>0</v>
          </cell>
          <cell r="Z556">
            <v>0</v>
          </cell>
          <cell r="AB556" t="str">
            <v>14</v>
          </cell>
          <cell r="AC556">
            <v>8</v>
          </cell>
          <cell r="AD556" t="str">
            <v>0</v>
          </cell>
          <cell r="AE556" t="str">
            <v>0</v>
          </cell>
          <cell r="AF556" t="str">
            <v>00</v>
          </cell>
          <cell r="AG556">
            <v>0</v>
          </cell>
          <cell r="AI556">
            <v>6839787</v>
          </cell>
          <cell r="AJ556">
            <v>2137433.44</v>
          </cell>
        </row>
        <row r="557">
          <cell r="A557" t="str">
            <v>02</v>
          </cell>
          <cell r="B557" t="str">
            <v>99</v>
          </cell>
          <cell r="C557" t="str">
            <v>1420</v>
          </cell>
          <cell r="D557" t="str">
            <v>Полотенца мягкие</v>
          </cell>
          <cell r="E557" t="str">
            <v>ПМ-322</v>
          </cell>
          <cell r="G557" t="str">
            <v>01</v>
          </cell>
          <cell r="H557">
            <v>5890</v>
          </cell>
          <cell r="I557">
            <v>0</v>
          </cell>
          <cell r="J557">
            <v>0</v>
          </cell>
          <cell r="K557">
            <v>1.18</v>
          </cell>
          <cell r="L557" t="str">
            <v>20</v>
          </cell>
          <cell r="M557" t="str">
            <v>43815</v>
          </cell>
          <cell r="N557" t="str">
            <v>14 2922721</v>
          </cell>
          <cell r="O557" t="str">
            <v>067</v>
          </cell>
          <cell r="P557">
            <v>50</v>
          </cell>
          <cell r="Q557">
            <v>0</v>
          </cell>
          <cell r="R557" t="str">
            <v>1</v>
          </cell>
          <cell r="S557" t="str">
            <v>43</v>
          </cell>
          <cell r="T557">
            <v>95</v>
          </cell>
          <cell r="U557">
            <v>6</v>
          </cell>
          <cell r="V557">
            <v>95</v>
          </cell>
          <cell r="W557">
            <v>6</v>
          </cell>
          <cell r="X557">
            <v>95</v>
          </cell>
          <cell r="Y557">
            <v>0</v>
          </cell>
          <cell r="Z557">
            <v>0</v>
          </cell>
          <cell r="AB557" t="str">
            <v>14</v>
          </cell>
          <cell r="AC557">
            <v>1</v>
          </cell>
          <cell r="AD557" t="str">
            <v>0</v>
          </cell>
          <cell r="AE557" t="str">
            <v>0</v>
          </cell>
          <cell r="AF557" t="str">
            <v>00</v>
          </cell>
          <cell r="AI557">
            <v>5004448</v>
          </cell>
          <cell r="AJ557">
            <v>5004448</v>
          </cell>
        </row>
        <row r="558">
          <cell r="A558" t="str">
            <v>02</v>
          </cell>
          <cell r="B558" t="str">
            <v>05</v>
          </cell>
          <cell r="C558" t="str">
            <v>1421</v>
          </cell>
          <cell r="D558" t="str">
            <v>Полотенца мягкие</v>
          </cell>
          <cell r="E558" t="str">
            <v>ПМ-524</v>
          </cell>
          <cell r="G558" t="str">
            <v>01</v>
          </cell>
          <cell r="H558">
            <v>7050</v>
          </cell>
          <cell r="I558">
            <v>0</v>
          </cell>
          <cell r="J558">
            <v>0</v>
          </cell>
          <cell r="K558">
            <v>1.02</v>
          </cell>
          <cell r="L558" t="str">
            <v>20</v>
          </cell>
          <cell r="M558" t="str">
            <v>43815</v>
          </cell>
          <cell r="N558" t="str">
            <v>14 2922721</v>
          </cell>
          <cell r="O558" t="str">
            <v>067</v>
          </cell>
          <cell r="P558">
            <v>50</v>
          </cell>
          <cell r="Q558">
            <v>0</v>
          </cell>
          <cell r="R558" t="str">
            <v>1</v>
          </cell>
          <cell r="S558" t="str">
            <v>43</v>
          </cell>
          <cell r="T558">
            <v>95</v>
          </cell>
          <cell r="U558">
            <v>6</v>
          </cell>
          <cell r="V558">
            <v>95</v>
          </cell>
          <cell r="W558">
            <v>6</v>
          </cell>
          <cell r="X558">
            <v>95</v>
          </cell>
          <cell r="Y558">
            <v>0</v>
          </cell>
          <cell r="Z558">
            <v>0</v>
          </cell>
          <cell r="AB558" t="str">
            <v>14</v>
          </cell>
          <cell r="AC558">
            <v>6</v>
          </cell>
          <cell r="AD558" t="str">
            <v>0</v>
          </cell>
          <cell r="AE558" t="str">
            <v>0</v>
          </cell>
          <cell r="AF558" t="str">
            <v>00</v>
          </cell>
          <cell r="AI558">
            <v>6881116</v>
          </cell>
          <cell r="AJ558">
            <v>6881116</v>
          </cell>
        </row>
        <row r="559">
          <cell r="A559" t="str">
            <v>02</v>
          </cell>
          <cell r="B559" t="str">
            <v>05</v>
          </cell>
          <cell r="C559" t="str">
            <v>1422</v>
          </cell>
          <cell r="D559" t="str">
            <v>Полотенца мягкие</v>
          </cell>
          <cell r="E559" t="str">
            <v>ПМ-524</v>
          </cell>
          <cell r="G559" t="str">
            <v>01</v>
          </cell>
          <cell r="H559">
            <v>7050</v>
          </cell>
          <cell r="I559">
            <v>0</v>
          </cell>
          <cell r="J559">
            <v>0</v>
          </cell>
          <cell r="K559">
            <v>1.02</v>
          </cell>
          <cell r="L559" t="str">
            <v>20</v>
          </cell>
          <cell r="M559" t="str">
            <v>43815</v>
          </cell>
          <cell r="N559" t="str">
            <v>14 2922721</v>
          </cell>
          <cell r="O559" t="str">
            <v>067</v>
          </cell>
          <cell r="P559">
            <v>50</v>
          </cell>
          <cell r="Q559">
            <v>0</v>
          </cell>
          <cell r="R559" t="str">
            <v>1</v>
          </cell>
          <cell r="S559" t="str">
            <v>43</v>
          </cell>
          <cell r="T559">
            <v>95</v>
          </cell>
          <cell r="U559">
            <v>6</v>
          </cell>
          <cell r="V559">
            <v>95</v>
          </cell>
          <cell r="W559">
            <v>6</v>
          </cell>
          <cell r="X559">
            <v>95</v>
          </cell>
          <cell r="Y559">
            <v>0</v>
          </cell>
          <cell r="Z559">
            <v>0</v>
          </cell>
          <cell r="AB559" t="str">
            <v>14</v>
          </cell>
          <cell r="AC559">
            <v>6</v>
          </cell>
          <cell r="AD559" t="str">
            <v>0</v>
          </cell>
          <cell r="AE559" t="str">
            <v>0</v>
          </cell>
          <cell r="AF559" t="str">
            <v>00</v>
          </cell>
          <cell r="AI559">
            <v>6881116</v>
          </cell>
          <cell r="AJ559">
            <v>6881116</v>
          </cell>
        </row>
        <row r="560">
          <cell r="A560" t="str">
            <v>02</v>
          </cell>
          <cell r="B560" t="str">
            <v>02</v>
          </cell>
          <cell r="C560" t="str">
            <v>1423</v>
          </cell>
          <cell r="D560" t="str">
            <v>Полотенца мягкие</v>
          </cell>
          <cell r="E560" t="str">
            <v>ПМ-524</v>
          </cell>
          <cell r="G560" t="str">
            <v>01</v>
          </cell>
          <cell r="H560">
            <v>7050</v>
          </cell>
          <cell r="I560">
            <v>0</v>
          </cell>
          <cell r="J560">
            <v>0</v>
          </cell>
          <cell r="K560">
            <v>1.02</v>
          </cell>
          <cell r="L560" t="str">
            <v>20</v>
          </cell>
          <cell r="M560" t="str">
            <v>43815</v>
          </cell>
          <cell r="N560" t="str">
            <v>14 2922721</v>
          </cell>
          <cell r="O560" t="str">
            <v>067</v>
          </cell>
          <cell r="P560">
            <v>50</v>
          </cell>
          <cell r="Q560">
            <v>0</v>
          </cell>
          <cell r="R560" t="str">
            <v>1</v>
          </cell>
          <cell r="S560" t="str">
            <v>43</v>
          </cell>
          <cell r="T560">
            <v>95</v>
          </cell>
          <cell r="U560">
            <v>6</v>
          </cell>
          <cell r="V560">
            <v>95</v>
          </cell>
          <cell r="W560">
            <v>6</v>
          </cell>
          <cell r="X560">
            <v>95</v>
          </cell>
          <cell r="Y560">
            <v>0</v>
          </cell>
          <cell r="Z560">
            <v>0</v>
          </cell>
          <cell r="AB560" t="str">
            <v>14</v>
          </cell>
          <cell r="AC560">
            <v>12</v>
          </cell>
          <cell r="AD560" t="str">
            <v>0</v>
          </cell>
          <cell r="AE560" t="str">
            <v>0</v>
          </cell>
          <cell r="AF560" t="str">
            <v>00</v>
          </cell>
          <cell r="AI560">
            <v>6881116</v>
          </cell>
          <cell r="AJ560">
            <v>6881116</v>
          </cell>
        </row>
        <row r="561">
          <cell r="A561" t="str">
            <v>02</v>
          </cell>
          <cell r="B561" t="str">
            <v>02</v>
          </cell>
          <cell r="C561" t="str">
            <v>1424</v>
          </cell>
          <cell r="D561" t="str">
            <v>Полотенца мягкие</v>
          </cell>
          <cell r="E561" t="str">
            <v>ПМ-524</v>
          </cell>
          <cell r="G561" t="str">
            <v>01</v>
          </cell>
          <cell r="H561">
            <v>7050</v>
          </cell>
          <cell r="I561">
            <v>0</v>
          </cell>
          <cell r="J561">
            <v>0</v>
          </cell>
          <cell r="K561">
            <v>1.02</v>
          </cell>
          <cell r="L561" t="str">
            <v>20</v>
          </cell>
          <cell r="M561" t="str">
            <v>43815</v>
          </cell>
          <cell r="N561" t="str">
            <v>14 2922721</v>
          </cell>
          <cell r="O561" t="str">
            <v>067</v>
          </cell>
          <cell r="P561">
            <v>50</v>
          </cell>
          <cell r="Q561">
            <v>0</v>
          </cell>
          <cell r="R561" t="str">
            <v>1</v>
          </cell>
          <cell r="S561" t="str">
            <v>43</v>
          </cell>
          <cell r="T561">
            <v>95</v>
          </cell>
          <cell r="U561">
            <v>6</v>
          </cell>
          <cell r="V561">
            <v>95</v>
          </cell>
          <cell r="W561">
            <v>6</v>
          </cell>
          <cell r="X561">
            <v>95</v>
          </cell>
          <cell r="Y561">
            <v>0</v>
          </cell>
          <cell r="Z561">
            <v>0</v>
          </cell>
          <cell r="AB561" t="str">
            <v>14</v>
          </cell>
          <cell r="AC561">
            <v>12</v>
          </cell>
          <cell r="AD561" t="str">
            <v>0</v>
          </cell>
          <cell r="AE561" t="str">
            <v>0</v>
          </cell>
          <cell r="AF561" t="str">
            <v>00</v>
          </cell>
          <cell r="AI561">
            <v>6881116</v>
          </cell>
          <cell r="AJ561">
            <v>6881116</v>
          </cell>
        </row>
        <row r="562">
          <cell r="A562" t="str">
            <v>02</v>
          </cell>
          <cell r="B562" t="str">
            <v>03</v>
          </cell>
          <cell r="C562" t="str">
            <v>1425</v>
          </cell>
          <cell r="D562" t="str">
            <v>Полотенца мягкие</v>
          </cell>
          <cell r="E562" t="str">
            <v>ПМ-524</v>
          </cell>
          <cell r="G562" t="str">
            <v>01</v>
          </cell>
          <cell r="H562">
            <v>7050</v>
          </cell>
          <cell r="I562">
            <v>0</v>
          </cell>
          <cell r="J562">
            <v>0</v>
          </cell>
          <cell r="K562">
            <v>1.02</v>
          </cell>
          <cell r="L562" t="str">
            <v>26</v>
          </cell>
          <cell r="M562" t="str">
            <v>43815</v>
          </cell>
          <cell r="N562" t="str">
            <v>14 2922721</v>
          </cell>
          <cell r="O562" t="str">
            <v>067</v>
          </cell>
          <cell r="P562">
            <v>50</v>
          </cell>
          <cell r="Q562">
            <v>0</v>
          </cell>
          <cell r="R562" t="str">
            <v>1</v>
          </cell>
          <cell r="S562" t="str">
            <v>43</v>
          </cell>
          <cell r="T562">
            <v>95</v>
          </cell>
          <cell r="U562">
            <v>6</v>
          </cell>
          <cell r="V562">
            <v>95</v>
          </cell>
          <cell r="W562">
            <v>6</v>
          </cell>
          <cell r="X562">
            <v>95</v>
          </cell>
          <cell r="Y562">
            <v>0</v>
          </cell>
          <cell r="Z562">
            <v>0</v>
          </cell>
          <cell r="AD562" t="str">
            <v>0</v>
          </cell>
          <cell r="AE562" t="str">
            <v>0</v>
          </cell>
          <cell r="AF562" t="str">
            <v>00</v>
          </cell>
          <cell r="AI562">
            <v>6881116</v>
          </cell>
          <cell r="AJ562">
            <v>6881116</v>
          </cell>
        </row>
        <row r="563">
          <cell r="A563" t="str">
            <v>02</v>
          </cell>
          <cell r="B563" t="str">
            <v>03</v>
          </cell>
          <cell r="C563" t="str">
            <v>1426</v>
          </cell>
          <cell r="D563" t="str">
            <v>Полотенца мягкие</v>
          </cell>
          <cell r="E563" t="str">
            <v>ПМ-524</v>
          </cell>
          <cell r="G563" t="str">
            <v>01</v>
          </cell>
          <cell r="H563">
            <v>7050</v>
          </cell>
          <cell r="I563">
            <v>0</v>
          </cell>
          <cell r="J563">
            <v>0</v>
          </cell>
          <cell r="K563">
            <v>1.02</v>
          </cell>
          <cell r="L563" t="str">
            <v>26</v>
          </cell>
          <cell r="M563" t="str">
            <v>43815</v>
          </cell>
          <cell r="N563" t="str">
            <v>14 2922721</v>
          </cell>
          <cell r="O563" t="str">
            <v>067</v>
          </cell>
          <cell r="P563">
            <v>50</v>
          </cell>
          <cell r="Q563">
            <v>0</v>
          </cell>
          <cell r="R563" t="str">
            <v>1</v>
          </cell>
          <cell r="S563" t="str">
            <v>43</v>
          </cell>
          <cell r="T563">
            <v>95</v>
          </cell>
          <cell r="U563">
            <v>6</v>
          </cell>
          <cell r="V563">
            <v>95</v>
          </cell>
          <cell r="W563">
            <v>6</v>
          </cell>
          <cell r="X563">
            <v>95</v>
          </cell>
          <cell r="Y563">
            <v>0</v>
          </cell>
          <cell r="Z563">
            <v>0</v>
          </cell>
          <cell r="AD563" t="str">
            <v>0</v>
          </cell>
          <cell r="AE563" t="str">
            <v>0</v>
          </cell>
          <cell r="AF563" t="str">
            <v>00</v>
          </cell>
          <cell r="AI563">
            <v>6881116</v>
          </cell>
          <cell r="AJ563">
            <v>6881116</v>
          </cell>
        </row>
        <row r="564">
          <cell r="A564" t="str">
            <v>02</v>
          </cell>
          <cell r="B564" t="str">
            <v>03</v>
          </cell>
          <cell r="C564" t="str">
            <v>1427</v>
          </cell>
          <cell r="D564" t="str">
            <v>Полотенца мягкие</v>
          </cell>
          <cell r="E564" t="str">
            <v>ПМ-524</v>
          </cell>
          <cell r="G564" t="str">
            <v>01</v>
          </cell>
          <cell r="H564">
            <v>7050</v>
          </cell>
          <cell r="I564">
            <v>0</v>
          </cell>
          <cell r="J564">
            <v>0</v>
          </cell>
          <cell r="K564">
            <v>1.02</v>
          </cell>
          <cell r="L564" t="str">
            <v>26</v>
          </cell>
          <cell r="M564" t="str">
            <v>43815</v>
          </cell>
          <cell r="N564" t="str">
            <v>14 2922721</v>
          </cell>
          <cell r="O564" t="str">
            <v>067</v>
          </cell>
          <cell r="P564">
            <v>50</v>
          </cell>
          <cell r="Q564">
            <v>0</v>
          </cell>
          <cell r="R564" t="str">
            <v>1</v>
          </cell>
          <cell r="S564" t="str">
            <v>43</v>
          </cell>
          <cell r="T564">
            <v>95</v>
          </cell>
          <cell r="U564">
            <v>6</v>
          </cell>
          <cell r="V564">
            <v>95</v>
          </cell>
          <cell r="W564">
            <v>6</v>
          </cell>
          <cell r="X564">
            <v>95</v>
          </cell>
          <cell r="Y564">
            <v>0</v>
          </cell>
          <cell r="Z564">
            <v>0</v>
          </cell>
          <cell r="AD564" t="str">
            <v>0</v>
          </cell>
          <cell r="AE564" t="str">
            <v>0</v>
          </cell>
          <cell r="AF564" t="str">
            <v>00</v>
          </cell>
          <cell r="AI564">
            <v>6881116</v>
          </cell>
          <cell r="AJ564">
            <v>6881116</v>
          </cell>
        </row>
        <row r="565">
          <cell r="A565" t="str">
            <v>02</v>
          </cell>
          <cell r="B565" t="str">
            <v>03</v>
          </cell>
          <cell r="C565" t="str">
            <v>1428</v>
          </cell>
          <cell r="D565" t="str">
            <v>Полотенца мягкие</v>
          </cell>
          <cell r="E565" t="str">
            <v>ПМ-524</v>
          </cell>
          <cell r="G565" t="str">
            <v>01</v>
          </cell>
          <cell r="H565">
            <v>7050</v>
          </cell>
          <cell r="I565">
            <v>0</v>
          </cell>
          <cell r="J565">
            <v>0</v>
          </cell>
          <cell r="K565">
            <v>1.02</v>
          </cell>
          <cell r="L565" t="str">
            <v>26</v>
          </cell>
          <cell r="M565" t="str">
            <v>43815</v>
          </cell>
          <cell r="N565" t="str">
            <v>14 2922721</v>
          </cell>
          <cell r="O565" t="str">
            <v>067</v>
          </cell>
          <cell r="P565">
            <v>50</v>
          </cell>
          <cell r="Q565">
            <v>0</v>
          </cell>
          <cell r="R565" t="str">
            <v>1</v>
          </cell>
          <cell r="S565" t="str">
            <v>43</v>
          </cell>
          <cell r="T565">
            <v>95</v>
          </cell>
          <cell r="U565">
            <v>6</v>
          </cell>
          <cell r="V565">
            <v>95</v>
          </cell>
          <cell r="W565">
            <v>6</v>
          </cell>
          <cell r="X565">
            <v>95</v>
          </cell>
          <cell r="Y565">
            <v>0</v>
          </cell>
          <cell r="Z565">
            <v>0</v>
          </cell>
          <cell r="AD565" t="str">
            <v>0</v>
          </cell>
          <cell r="AE565" t="str">
            <v>0</v>
          </cell>
          <cell r="AF565" t="str">
            <v>00</v>
          </cell>
          <cell r="AI565">
            <v>6881116</v>
          </cell>
          <cell r="AJ565">
            <v>6881116</v>
          </cell>
        </row>
        <row r="566">
          <cell r="A566" t="str">
            <v>02</v>
          </cell>
          <cell r="B566" t="str">
            <v>03</v>
          </cell>
          <cell r="C566" t="str">
            <v>1438</v>
          </cell>
          <cell r="D566" t="str">
            <v>Полотенца мягкие</v>
          </cell>
          <cell r="E566" t="str">
            <v>ПМ-322</v>
          </cell>
          <cell r="G566" t="str">
            <v>01</v>
          </cell>
          <cell r="H566">
            <v>5890</v>
          </cell>
          <cell r="I566">
            <v>0</v>
          </cell>
          <cell r="J566">
            <v>0</v>
          </cell>
          <cell r="K566">
            <v>0.98</v>
          </cell>
          <cell r="L566" t="str">
            <v>26</v>
          </cell>
          <cell r="M566" t="str">
            <v>43815</v>
          </cell>
          <cell r="N566" t="str">
            <v>14 2922721</v>
          </cell>
          <cell r="O566" t="str">
            <v>067</v>
          </cell>
          <cell r="P566">
            <v>50</v>
          </cell>
          <cell r="Q566">
            <v>0</v>
          </cell>
          <cell r="R566" t="str">
            <v>1</v>
          </cell>
          <cell r="S566" t="str">
            <v>43</v>
          </cell>
          <cell r="T566">
            <v>95</v>
          </cell>
          <cell r="U566">
            <v>6</v>
          </cell>
          <cell r="V566">
            <v>95</v>
          </cell>
          <cell r="W566">
            <v>6</v>
          </cell>
          <cell r="X566">
            <v>95</v>
          </cell>
          <cell r="Y566">
            <v>9</v>
          </cell>
          <cell r="Z566">
            <v>95</v>
          </cell>
          <cell r="AD566" t="str">
            <v>0</v>
          </cell>
          <cell r="AE566" t="str">
            <v>0</v>
          </cell>
          <cell r="AF566" t="str">
            <v>00</v>
          </cell>
          <cell r="AI566">
            <v>5991846</v>
          </cell>
          <cell r="AJ566">
            <v>5991846</v>
          </cell>
        </row>
        <row r="567">
          <cell r="A567" t="str">
            <v>02</v>
          </cell>
          <cell r="B567" t="str">
            <v>03</v>
          </cell>
          <cell r="C567" t="str">
            <v>1441</v>
          </cell>
          <cell r="D567" t="str">
            <v>Стропы мягкие кольце</v>
          </cell>
          <cell r="E567" t="str">
            <v>вые СМК-43</v>
          </cell>
          <cell r="G567" t="str">
            <v>01</v>
          </cell>
          <cell r="H567">
            <v>7850</v>
          </cell>
          <cell r="I567">
            <v>0</v>
          </cell>
          <cell r="J567">
            <v>0</v>
          </cell>
          <cell r="K567">
            <v>1</v>
          </cell>
          <cell r="L567" t="str">
            <v>26</v>
          </cell>
          <cell r="M567" t="str">
            <v>43815</v>
          </cell>
          <cell r="N567" t="str">
            <v>14 2922721</v>
          </cell>
          <cell r="O567" t="str">
            <v>067</v>
          </cell>
          <cell r="P567">
            <v>50</v>
          </cell>
          <cell r="Q567">
            <v>0</v>
          </cell>
          <cell r="R567" t="str">
            <v>1</v>
          </cell>
          <cell r="S567" t="str">
            <v>43</v>
          </cell>
          <cell r="T567">
            <v>95</v>
          </cell>
          <cell r="U567">
            <v>6</v>
          </cell>
          <cell r="V567">
            <v>95</v>
          </cell>
          <cell r="W567">
            <v>6</v>
          </cell>
          <cell r="X567">
            <v>95</v>
          </cell>
          <cell r="Y567">
            <v>0</v>
          </cell>
          <cell r="Z567">
            <v>0</v>
          </cell>
          <cell r="AD567" t="str">
            <v>0</v>
          </cell>
          <cell r="AE567" t="str">
            <v>0</v>
          </cell>
          <cell r="AF567" t="str">
            <v>00</v>
          </cell>
          <cell r="AI567">
            <v>7819450</v>
          </cell>
          <cell r="AJ567">
            <v>7819450</v>
          </cell>
        </row>
        <row r="568">
          <cell r="A568" t="str">
            <v>02</v>
          </cell>
          <cell r="B568" t="str">
            <v>03</v>
          </cell>
          <cell r="C568" t="str">
            <v>1442</v>
          </cell>
          <cell r="D568" t="str">
            <v>Стропы мягкие кольце</v>
          </cell>
          <cell r="E568" t="str">
            <v>вые СМК-43</v>
          </cell>
          <cell r="G568" t="str">
            <v>01</v>
          </cell>
          <cell r="H568">
            <v>7850</v>
          </cell>
          <cell r="I568">
            <v>0</v>
          </cell>
          <cell r="J568">
            <v>0</v>
          </cell>
          <cell r="K568">
            <v>1</v>
          </cell>
          <cell r="L568" t="str">
            <v>26</v>
          </cell>
          <cell r="M568" t="str">
            <v>43815</v>
          </cell>
          <cell r="N568" t="str">
            <v>14 2922721</v>
          </cell>
          <cell r="O568" t="str">
            <v>067</v>
          </cell>
          <cell r="P568">
            <v>50</v>
          </cell>
          <cell r="Q568">
            <v>0</v>
          </cell>
          <cell r="R568" t="str">
            <v>1</v>
          </cell>
          <cell r="S568" t="str">
            <v>43</v>
          </cell>
          <cell r="T568">
            <v>95</v>
          </cell>
          <cell r="U568">
            <v>6</v>
          </cell>
          <cell r="V568">
            <v>95</v>
          </cell>
          <cell r="W568">
            <v>6</v>
          </cell>
          <cell r="X568">
            <v>95</v>
          </cell>
          <cell r="Y568">
            <v>0</v>
          </cell>
          <cell r="Z568">
            <v>0</v>
          </cell>
          <cell r="AD568" t="str">
            <v>0</v>
          </cell>
          <cell r="AE568" t="str">
            <v>0</v>
          </cell>
          <cell r="AF568" t="str">
            <v>00</v>
          </cell>
          <cell r="AI568">
            <v>7819450</v>
          </cell>
          <cell r="AJ568">
            <v>7819450</v>
          </cell>
        </row>
        <row r="569">
          <cell r="A569" t="str">
            <v>02</v>
          </cell>
          <cell r="B569" t="str">
            <v>03</v>
          </cell>
          <cell r="C569" t="str">
            <v>1443</v>
          </cell>
          <cell r="D569" t="str">
            <v>Стропы мягкие кольце</v>
          </cell>
          <cell r="E569" t="str">
            <v>вые СМК-43</v>
          </cell>
          <cell r="G569" t="str">
            <v>01</v>
          </cell>
          <cell r="H569">
            <v>7850</v>
          </cell>
          <cell r="I569">
            <v>0</v>
          </cell>
          <cell r="J569">
            <v>0</v>
          </cell>
          <cell r="K569">
            <v>1</v>
          </cell>
          <cell r="L569" t="str">
            <v>26</v>
          </cell>
          <cell r="M569" t="str">
            <v>43815</v>
          </cell>
          <cell r="N569" t="str">
            <v>14 2922721</v>
          </cell>
          <cell r="O569" t="str">
            <v>067</v>
          </cell>
          <cell r="P569">
            <v>50</v>
          </cell>
          <cell r="Q569">
            <v>0</v>
          </cell>
          <cell r="R569" t="str">
            <v>1</v>
          </cell>
          <cell r="S569" t="str">
            <v>43</v>
          </cell>
          <cell r="T569">
            <v>95</v>
          </cell>
          <cell r="U569">
            <v>6</v>
          </cell>
          <cell r="V569">
            <v>95</v>
          </cell>
          <cell r="W569">
            <v>6</v>
          </cell>
          <cell r="X569">
            <v>95</v>
          </cell>
          <cell r="Y569">
            <v>0</v>
          </cell>
          <cell r="Z569">
            <v>0</v>
          </cell>
          <cell r="AD569" t="str">
            <v>0</v>
          </cell>
          <cell r="AE569" t="str">
            <v>0</v>
          </cell>
          <cell r="AF569" t="str">
            <v>00</v>
          </cell>
          <cell r="AI569">
            <v>7819450</v>
          </cell>
          <cell r="AJ569">
            <v>7819450</v>
          </cell>
        </row>
        <row r="570">
          <cell r="A570" t="str">
            <v>02</v>
          </cell>
          <cell r="B570" t="str">
            <v>03</v>
          </cell>
          <cell r="C570" t="str">
            <v>1444</v>
          </cell>
          <cell r="D570" t="str">
            <v>Стропы мягкие кольце</v>
          </cell>
          <cell r="E570" t="str">
            <v>вые СМК-43</v>
          </cell>
          <cell r="G570" t="str">
            <v>01</v>
          </cell>
          <cell r="H570">
            <v>7850</v>
          </cell>
          <cell r="I570">
            <v>0</v>
          </cell>
          <cell r="J570">
            <v>0</v>
          </cell>
          <cell r="K570">
            <v>1</v>
          </cell>
          <cell r="L570" t="str">
            <v>26</v>
          </cell>
          <cell r="M570" t="str">
            <v>43815</v>
          </cell>
          <cell r="N570" t="str">
            <v>14 2922721</v>
          </cell>
          <cell r="O570" t="str">
            <v>067</v>
          </cell>
          <cell r="P570">
            <v>50</v>
          </cell>
          <cell r="Q570">
            <v>0</v>
          </cell>
          <cell r="R570" t="str">
            <v>1</v>
          </cell>
          <cell r="S570" t="str">
            <v>43</v>
          </cell>
          <cell r="T570">
            <v>95</v>
          </cell>
          <cell r="U570">
            <v>6</v>
          </cell>
          <cell r="V570">
            <v>95</v>
          </cell>
          <cell r="W570">
            <v>6</v>
          </cell>
          <cell r="X570">
            <v>95</v>
          </cell>
          <cell r="Y570">
            <v>0</v>
          </cell>
          <cell r="Z570">
            <v>0</v>
          </cell>
          <cell r="AD570" t="str">
            <v>0</v>
          </cell>
          <cell r="AE570" t="str">
            <v>0</v>
          </cell>
          <cell r="AF570" t="str">
            <v>00</v>
          </cell>
          <cell r="AI570">
            <v>7819450</v>
          </cell>
          <cell r="AJ570">
            <v>7819450</v>
          </cell>
        </row>
        <row r="571">
          <cell r="A571" t="str">
            <v>02</v>
          </cell>
          <cell r="B571" t="str">
            <v>03</v>
          </cell>
          <cell r="C571" t="str">
            <v>1445</v>
          </cell>
          <cell r="D571" t="str">
            <v>Стропы мягкие кольце</v>
          </cell>
          <cell r="E571" t="str">
            <v>вые СМК-43</v>
          </cell>
          <cell r="G571" t="str">
            <v>01</v>
          </cell>
          <cell r="H571">
            <v>7850</v>
          </cell>
          <cell r="I571">
            <v>0</v>
          </cell>
          <cell r="J571">
            <v>0</v>
          </cell>
          <cell r="K571">
            <v>1</v>
          </cell>
          <cell r="L571" t="str">
            <v>26</v>
          </cell>
          <cell r="M571" t="str">
            <v>43815</v>
          </cell>
          <cell r="N571" t="str">
            <v>14 2922721</v>
          </cell>
          <cell r="O571" t="str">
            <v>067</v>
          </cell>
          <cell r="P571">
            <v>50</v>
          </cell>
          <cell r="Q571">
            <v>0</v>
          </cell>
          <cell r="R571" t="str">
            <v>1</v>
          </cell>
          <cell r="S571" t="str">
            <v>43</v>
          </cell>
          <cell r="T571">
            <v>95</v>
          </cell>
          <cell r="U571">
            <v>6</v>
          </cell>
          <cell r="V571">
            <v>95</v>
          </cell>
          <cell r="W571">
            <v>6</v>
          </cell>
          <cell r="X571">
            <v>95</v>
          </cell>
          <cell r="Y571">
            <v>0</v>
          </cell>
          <cell r="Z571">
            <v>0</v>
          </cell>
          <cell r="AD571" t="str">
            <v>0</v>
          </cell>
          <cell r="AE571" t="str">
            <v>0</v>
          </cell>
          <cell r="AF571" t="str">
            <v>00</v>
          </cell>
          <cell r="AI571">
            <v>7819450</v>
          </cell>
          <cell r="AJ571">
            <v>7819450</v>
          </cell>
        </row>
        <row r="572">
          <cell r="A572" t="str">
            <v>02</v>
          </cell>
          <cell r="B572" t="str">
            <v>55</v>
          </cell>
          <cell r="C572" t="str">
            <v>1446</v>
          </cell>
          <cell r="D572" t="str">
            <v>Холодильник СТИНОЛ</v>
          </cell>
          <cell r="E572" t="str">
            <v>Ново-Липецкий мет.</v>
          </cell>
          <cell r="F572" t="str">
            <v>комб.</v>
          </cell>
          <cell r="G572" t="str">
            <v>01</v>
          </cell>
          <cell r="H572">
            <v>1800</v>
          </cell>
          <cell r="I572">
            <v>0</v>
          </cell>
          <cell r="J572">
            <v>0</v>
          </cell>
          <cell r="K572">
            <v>0.82</v>
          </cell>
          <cell r="L572" t="str">
            <v>26</v>
          </cell>
          <cell r="M572" t="str">
            <v>45800</v>
          </cell>
          <cell r="N572" t="str">
            <v>16 2930100</v>
          </cell>
          <cell r="O572" t="str">
            <v>063</v>
          </cell>
          <cell r="P572">
            <v>10</v>
          </cell>
          <cell r="Q572">
            <v>0</v>
          </cell>
          <cell r="R572" t="str">
            <v>1</v>
          </cell>
          <cell r="S572" t="str">
            <v>45</v>
          </cell>
          <cell r="T572">
            <v>95</v>
          </cell>
          <cell r="U572">
            <v>6</v>
          </cell>
          <cell r="V572">
            <v>95</v>
          </cell>
          <cell r="W572">
            <v>6</v>
          </cell>
          <cell r="X572">
            <v>95</v>
          </cell>
          <cell r="Y572">
            <v>0</v>
          </cell>
          <cell r="Z572">
            <v>0</v>
          </cell>
          <cell r="AD572" t="str">
            <v>0</v>
          </cell>
          <cell r="AE572" t="str">
            <v>0</v>
          </cell>
          <cell r="AF572" t="str">
            <v>00</v>
          </cell>
          <cell r="AI572">
            <v>2200458</v>
          </cell>
          <cell r="AJ572">
            <v>550114.5</v>
          </cell>
        </row>
        <row r="573">
          <cell r="A573" t="str">
            <v>02</v>
          </cell>
          <cell r="B573" t="str">
            <v>02</v>
          </cell>
          <cell r="C573" t="str">
            <v>1447</v>
          </cell>
          <cell r="D573" t="str">
            <v>Холодильник СТИНОЛ</v>
          </cell>
          <cell r="E573" t="str">
            <v>Ново-липецкий мет.</v>
          </cell>
          <cell r="F573" t="str">
            <v>комб.</v>
          </cell>
          <cell r="G573" t="str">
            <v>01</v>
          </cell>
          <cell r="H573">
            <v>1800</v>
          </cell>
          <cell r="I573">
            <v>0</v>
          </cell>
          <cell r="J573">
            <v>0</v>
          </cell>
          <cell r="K573">
            <v>0.82</v>
          </cell>
          <cell r="L573" t="str">
            <v>20</v>
          </cell>
          <cell r="M573" t="str">
            <v>45800</v>
          </cell>
          <cell r="N573" t="str">
            <v>16 2930100</v>
          </cell>
          <cell r="O573" t="str">
            <v>063</v>
          </cell>
          <cell r="P573">
            <v>10</v>
          </cell>
          <cell r="Q573">
            <v>0</v>
          </cell>
          <cell r="R573" t="str">
            <v>1</v>
          </cell>
          <cell r="S573" t="str">
            <v>45</v>
          </cell>
          <cell r="T573">
            <v>95</v>
          </cell>
          <cell r="U573">
            <v>6</v>
          </cell>
          <cell r="V573">
            <v>95</v>
          </cell>
          <cell r="W573">
            <v>6</v>
          </cell>
          <cell r="X573">
            <v>95</v>
          </cell>
          <cell r="Y573">
            <v>0</v>
          </cell>
          <cell r="Z573">
            <v>0</v>
          </cell>
          <cell r="AB573" t="str">
            <v>14</v>
          </cell>
          <cell r="AC573">
            <v>2</v>
          </cell>
          <cell r="AD573" t="str">
            <v>0</v>
          </cell>
          <cell r="AE573" t="str">
            <v>0</v>
          </cell>
          <cell r="AF573" t="str">
            <v>00</v>
          </cell>
          <cell r="AI573">
            <v>2200458</v>
          </cell>
          <cell r="AJ573">
            <v>550114.5</v>
          </cell>
        </row>
        <row r="574">
          <cell r="A574" t="str">
            <v>02</v>
          </cell>
          <cell r="B574" t="str">
            <v>02</v>
          </cell>
          <cell r="C574" t="str">
            <v>1448</v>
          </cell>
          <cell r="D574" t="str">
            <v>Холодильник СТИНОЛ</v>
          </cell>
          <cell r="E574" t="str">
            <v>Ново-Липецкий мет.</v>
          </cell>
          <cell r="F574" t="str">
            <v>комб.</v>
          </cell>
          <cell r="G574" t="str">
            <v>01</v>
          </cell>
          <cell r="H574">
            <v>1800</v>
          </cell>
          <cell r="I574">
            <v>0</v>
          </cell>
          <cell r="J574">
            <v>0</v>
          </cell>
          <cell r="K574">
            <v>0.82</v>
          </cell>
          <cell r="L574" t="str">
            <v>20</v>
          </cell>
          <cell r="M574" t="str">
            <v>45800</v>
          </cell>
          <cell r="N574" t="str">
            <v>16 2930100</v>
          </cell>
          <cell r="O574" t="str">
            <v>063</v>
          </cell>
          <cell r="P574">
            <v>10</v>
          </cell>
          <cell r="Q574">
            <v>0</v>
          </cell>
          <cell r="R574" t="str">
            <v>1</v>
          </cell>
          <cell r="S574" t="str">
            <v>45</v>
          </cell>
          <cell r="T574">
            <v>95</v>
          </cell>
          <cell r="U574">
            <v>6</v>
          </cell>
          <cell r="V574">
            <v>95</v>
          </cell>
          <cell r="W574">
            <v>6</v>
          </cell>
          <cell r="X574">
            <v>95</v>
          </cell>
          <cell r="Y574">
            <v>0</v>
          </cell>
          <cell r="Z574">
            <v>0</v>
          </cell>
          <cell r="AD574" t="str">
            <v>0</v>
          </cell>
          <cell r="AE574" t="str">
            <v>0</v>
          </cell>
          <cell r="AF574" t="str">
            <v>00</v>
          </cell>
          <cell r="AI574">
            <v>2200458</v>
          </cell>
          <cell r="AJ574">
            <v>550114.5</v>
          </cell>
        </row>
        <row r="575">
          <cell r="A575" t="str">
            <v>02</v>
          </cell>
          <cell r="B575" t="str">
            <v>02</v>
          </cell>
          <cell r="C575" t="str">
            <v>1450</v>
          </cell>
          <cell r="D575" t="str">
            <v>Холодильник Стинол</v>
          </cell>
          <cell r="E575" t="str">
            <v>Ново-Липецкий мет.</v>
          </cell>
          <cell r="F575" t="str">
            <v>комб</v>
          </cell>
          <cell r="G575" t="str">
            <v>01</v>
          </cell>
          <cell r="H575">
            <v>1800</v>
          </cell>
          <cell r="I575">
            <v>0</v>
          </cell>
          <cell r="J575">
            <v>0</v>
          </cell>
          <cell r="K575">
            <v>0.82</v>
          </cell>
          <cell r="L575" t="str">
            <v>20</v>
          </cell>
          <cell r="M575" t="str">
            <v>45800</v>
          </cell>
          <cell r="N575" t="str">
            <v>16 2930100</v>
          </cell>
          <cell r="O575" t="str">
            <v>063</v>
          </cell>
          <cell r="P575">
            <v>10</v>
          </cell>
          <cell r="Q575">
            <v>0</v>
          </cell>
          <cell r="R575" t="str">
            <v>1</v>
          </cell>
          <cell r="S575" t="str">
            <v>45</v>
          </cell>
          <cell r="T575">
            <v>95</v>
          </cell>
          <cell r="U575">
            <v>6</v>
          </cell>
          <cell r="V575">
            <v>95</v>
          </cell>
          <cell r="W575">
            <v>6</v>
          </cell>
          <cell r="X575">
            <v>95</v>
          </cell>
          <cell r="Y575">
            <v>0</v>
          </cell>
          <cell r="Z575">
            <v>0</v>
          </cell>
          <cell r="AB575" t="str">
            <v>14</v>
          </cell>
          <cell r="AC575">
            <v>2</v>
          </cell>
          <cell r="AD575" t="str">
            <v>0</v>
          </cell>
          <cell r="AE575" t="str">
            <v>0</v>
          </cell>
          <cell r="AF575" t="str">
            <v>00</v>
          </cell>
          <cell r="AI575">
            <v>2200458</v>
          </cell>
          <cell r="AJ575">
            <v>550114.5</v>
          </cell>
        </row>
        <row r="576">
          <cell r="A576" t="str">
            <v>15</v>
          </cell>
          <cell r="B576" t="str">
            <v>81</v>
          </cell>
          <cell r="C576" t="str">
            <v>1452</v>
          </cell>
          <cell r="D576" t="str">
            <v>Холодильник СТИНОЛ</v>
          </cell>
          <cell r="G576" t="str">
            <v>01</v>
          </cell>
          <cell r="H576">
            <v>1800</v>
          </cell>
          <cell r="I576">
            <v>0</v>
          </cell>
          <cell r="J576">
            <v>0</v>
          </cell>
          <cell r="K576">
            <v>0.82</v>
          </cell>
          <cell r="L576" t="str">
            <v>88/2</v>
          </cell>
          <cell r="M576" t="str">
            <v>45800</v>
          </cell>
          <cell r="N576" t="str">
            <v>16 2930100</v>
          </cell>
          <cell r="O576" t="str">
            <v>063</v>
          </cell>
          <cell r="P576">
            <v>10</v>
          </cell>
          <cell r="Q576">
            <v>0</v>
          </cell>
          <cell r="R576" t="str">
            <v>1</v>
          </cell>
          <cell r="S576" t="str">
            <v>45</v>
          </cell>
          <cell r="T576">
            <v>95</v>
          </cell>
          <cell r="U576">
            <v>6</v>
          </cell>
          <cell r="V576">
            <v>95</v>
          </cell>
          <cell r="W576">
            <v>6</v>
          </cell>
          <cell r="X576">
            <v>95</v>
          </cell>
          <cell r="Y576">
            <v>0</v>
          </cell>
          <cell r="Z576">
            <v>0</v>
          </cell>
          <cell r="AB576" t="str">
            <v>14</v>
          </cell>
          <cell r="AC576">
            <v>2</v>
          </cell>
          <cell r="AD576" t="str">
            <v>0</v>
          </cell>
          <cell r="AE576" t="str">
            <v>0</v>
          </cell>
          <cell r="AF576" t="str">
            <v>15</v>
          </cell>
          <cell r="AI576">
            <v>2200458</v>
          </cell>
          <cell r="AJ576">
            <v>550114.5</v>
          </cell>
        </row>
        <row r="577">
          <cell r="A577" t="str">
            <v>02</v>
          </cell>
          <cell r="B577" t="str">
            <v>61</v>
          </cell>
          <cell r="C577" t="str">
            <v>1453</v>
          </cell>
          <cell r="D577" t="str">
            <v>Холодильник СТИНОЛ</v>
          </cell>
          <cell r="E577" t="str">
            <v>Ново-липецкий мет.</v>
          </cell>
          <cell r="F577" t="str">
            <v>комб.</v>
          </cell>
          <cell r="G577" t="str">
            <v>01</v>
          </cell>
          <cell r="H577">
            <v>1800</v>
          </cell>
          <cell r="I577">
            <v>0</v>
          </cell>
          <cell r="J577">
            <v>0</v>
          </cell>
          <cell r="K577">
            <v>0.82</v>
          </cell>
          <cell r="L577" t="str">
            <v>23</v>
          </cell>
          <cell r="M577" t="str">
            <v>45800</v>
          </cell>
          <cell r="N577" t="str">
            <v>16 2930100</v>
          </cell>
          <cell r="O577" t="str">
            <v>063</v>
          </cell>
          <cell r="P577">
            <v>10</v>
          </cell>
          <cell r="Q577">
            <v>0</v>
          </cell>
          <cell r="R577" t="str">
            <v>1</v>
          </cell>
          <cell r="S577" t="str">
            <v>45</v>
          </cell>
          <cell r="T577">
            <v>95</v>
          </cell>
          <cell r="U577">
            <v>6</v>
          </cell>
          <cell r="V577">
            <v>95</v>
          </cell>
          <cell r="W577">
            <v>6</v>
          </cell>
          <cell r="X577">
            <v>95</v>
          </cell>
          <cell r="Y577">
            <v>0</v>
          </cell>
          <cell r="Z577">
            <v>0</v>
          </cell>
          <cell r="AB577" t="str">
            <v>14</v>
          </cell>
          <cell r="AC577">
            <v>8</v>
          </cell>
          <cell r="AD577" t="str">
            <v>0</v>
          </cell>
          <cell r="AE577" t="str">
            <v>0</v>
          </cell>
          <cell r="AF577" t="str">
            <v>00</v>
          </cell>
          <cell r="AI577">
            <v>2200458</v>
          </cell>
          <cell r="AJ577">
            <v>550114.5</v>
          </cell>
        </row>
        <row r="578">
          <cell r="A578" t="str">
            <v>15</v>
          </cell>
          <cell r="B578" t="str">
            <v>81</v>
          </cell>
          <cell r="C578" t="str">
            <v>1454</v>
          </cell>
          <cell r="D578" t="str">
            <v>Холодильник СТИНОЛ</v>
          </cell>
          <cell r="G578" t="str">
            <v>01</v>
          </cell>
          <cell r="H578">
            <v>1800</v>
          </cell>
          <cell r="I578">
            <v>0</v>
          </cell>
          <cell r="J578">
            <v>0</v>
          </cell>
          <cell r="K578">
            <v>0.82</v>
          </cell>
          <cell r="L578" t="str">
            <v>88/2</v>
          </cell>
          <cell r="M578" t="str">
            <v>45800</v>
          </cell>
          <cell r="N578" t="str">
            <v>16 2930100</v>
          </cell>
          <cell r="O578" t="str">
            <v>063</v>
          </cell>
          <cell r="P578">
            <v>10</v>
          </cell>
          <cell r="Q578">
            <v>0</v>
          </cell>
          <cell r="R578" t="str">
            <v>1</v>
          </cell>
          <cell r="S578" t="str">
            <v>45</v>
          </cell>
          <cell r="T578">
            <v>95</v>
          </cell>
          <cell r="U578">
            <v>6</v>
          </cell>
          <cell r="V578">
            <v>95</v>
          </cell>
          <cell r="W578">
            <v>6</v>
          </cell>
          <cell r="X578">
            <v>95</v>
          </cell>
          <cell r="Y578">
            <v>0</v>
          </cell>
          <cell r="Z578">
            <v>0</v>
          </cell>
          <cell r="AB578" t="str">
            <v>14</v>
          </cell>
          <cell r="AC578">
            <v>2</v>
          </cell>
          <cell r="AD578" t="str">
            <v>0</v>
          </cell>
          <cell r="AE578" t="str">
            <v>0</v>
          </cell>
          <cell r="AF578" t="str">
            <v>15</v>
          </cell>
          <cell r="AI578">
            <v>2200458</v>
          </cell>
          <cell r="AJ578">
            <v>550114.5</v>
          </cell>
        </row>
        <row r="579">
          <cell r="A579" t="str">
            <v>02</v>
          </cell>
          <cell r="B579" t="str">
            <v>04</v>
          </cell>
          <cell r="C579" t="str">
            <v>1455</v>
          </cell>
          <cell r="D579" t="str">
            <v>Холодильник СТИНОЛ</v>
          </cell>
          <cell r="G579" t="str">
            <v>01</v>
          </cell>
          <cell r="H579">
            <v>1800</v>
          </cell>
          <cell r="I579">
            <v>0</v>
          </cell>
          <cell r="J579">
            <v>0</v>
          </cell>
          <cell r="K579">
            <v>0.82</v>
          </cell>
          <cell r="L579" t="str">
            <v>23</v>
          </cell>
          <cell r="M579" t="str">
            <v>45800</v>
          </cell>
          <cell r="N579" t="str">
            <v>16 2930100</v>
          </cell>
          <cell r="O579" t="str">
            <v>063</v>
          </cell>
          <cell r="P579">
            <v>10</v>
          </cell>
          <cell r="Q579">
            <v>0</v>
          </cell>
          <cell r="R579" t="str">
            <v>1</v>
          </cell>
          <cell r="S579" t="str">
            <v>45</v>
          </cell>
          <cell r="T579">
            <v>95</v>
          </cell>
          <cell r="U579">
            <v>6</v>
          </cell>
          <cell r="V579">
            <v>95</v>
          </cell>
          <cell r="W579">
            <v>6</v>
          </cell>
          <cell r="X579">
            <v>95</v>
          </cell>
          <cell r="Y579">
            <v>0</v>
          </cell>
          <cell r="Z579">
            <v>0</v>
          </cell>
          <cell r="AB579" t="str">
            <v>14</v>
          </cell>
          <cell r="AC579">
            <v>2</v>
          </cell>
          <cell r="AD579" t="str">
            <v>0</v>
          </cell>
          <cell r="AE579" t="str">
            <v>0</v>
          </cell>
          <cell r="AF579" t="str">
            <v>00</v>
          </cell>
          <cell r="AI579">
            <v>2200458</v>
          </cell>
          <cell r="AJ579">
            <v>550114.5</v>
          </cell>
        </row>
        <row r="580">
          <cell r="A580" t="str">
            <v>02</v>
          </cell>
          <cell r="B580" t="str">
            <v>23</v>
          </cell>
          <cell r="C580" t="str">
            <v>1456</v>
          </cell>
          <cell r="D580" t="str">
            <v>КАМАЗ-532130 а/бетон</v>
          </cell>
          <cell r="E580" t="str">
            <v>онасос СБ-170 д02955</v>
          </cell>
          <cell r="F580" t="str">
            <v>5 ш1077112 NоА235 ХУ</v>
          </cell>
          <cell r="G580" t="str">
            <v>01</v>
          </cell>
          <cell r="H580">
            <v>46577.58</v>
          </cell>
          <cell r="I580">
            <v>0</v>
          </cell>
          <cell r="J580">
            <v>279450</v>
          </cell>
          <cell r="K580">
            <v>1.1200000000000001</v>
          </cell>
          <cell r="L580" t="str">
            <v>23</v>
          </cell>
          <cell r="M580" t="str">
            <v>42001</v>
          </cell>
          <cell r="N580" t="str">
            <v>15 3410196</v>
          </cell>
          <cell r="O580" t="str">
            <v>067</v>
          </cell>
          <cell r="P580">
            <v>10</v>
          </cell>
          <cell r="Q580">
            <v>0</v>
          </cell>
          <cell r="R580" t="str">
            <v>1</v>
          </cell>
          <cell r="S580" t="str">
            <v>42</v>
          </cell>
          <cell r="T580">
            <v>95</v>
          </cell>
          <cell r="U580">
            <v>6</v>
          </cell>
          <cell r="V580">
            <v>95</v>
          </cell>
          <cell r="W580">
            <v>6</v>
          </cell>
          <cell r="X580">
            <v>95</v>
          </cell>
          <cell r="Y580">
            <v>8</v>
          </cell>
          <cell r="Z580">
            <v>95</v>
          </cell>
          <cell r="AD580" t="str">
            <v>0</v>
          </cell>
          <cell r="AE580" t="str">
            <v>0</v>
          </cell>
          <cell r="AF580" t="str">
            <v>00</v>
          </cell>
          <cell r="AI580">
            <v>248888889</v>
          </cell>
          <cell r="AJ580">
            <v>58765470.439999998</v>
          </cell>
        </row>
        <row r="581">
          <cell r="A581" t="str">
            <v>02</v>
          </cell>
          <cell r="B581" t="str">
            <v>71</v>
          </cell>
          <cell r="C581" t="str">
            <v>1457</v>
          </cell>
          <cell r="D581" t="str">
            <v>Каток ДУ-47</v>
          </cell>
          <cell r="G581" t="str">
            <v>01</v>
          </cell>
          <cell r="H581">
            <v>81000</v>
          </cell>
          <cell r="I581">
            <v>0</v>
          </cell>
          <cell r="J581">
            <v>0</v>
          </cell>
          <cell r="K581">
            <v>1.19</v>
          </cell>
          <cell r="L581" t="str">
            <v>23</v>
          </cell>
          <cell r="M581" t="str">
            <v>42104</v>
          </cell>
          <cell r="N581" t="str">
            <v>14 2924440</v>
          </cell>
          <cell r="O581" t="str">
            <v>065</v>
          </cell>
          <cell r="P581">
            <v>16.7</v>
          </cell>
          <cell r="Q581">
            <v>0</v>
          </cell>
          <cell r="R581" t="str">
            <v>1</v>
          </cell>
          <cell r="S581" t="str">
            <v>42</v>
          </cell>
          <cell r="T581">
            <v>95</v>
          </cell>
          <cell r="U581">
            <v>6</v>
          </cell>
          <cell r="V581">
            <v>95</v>
          </cell>
          <cell r="W581">
            <v>6</v>
          </cell>
          <cell r="X581">
            <v>95</v>
          </cell>
          <cell r="Y581">
            <v>0</v>
          </cell>
          <cell r="Z581">
            <v>0</v>
          </cell>
          <cell r="AB581" t="str">
            <v>14</v>
          </cell>
          <cell r="AC581">
            <v>9</v>
          </cell>
          <cell r="AD581" t="str">
            <v>0</v>
          </cell>
          <cell r="AE581" t="str">
            <v>0</v>
          </cell>
          <cell r="AF581" t="str">
            <v>00</v>
          </cell>
          <cell r="AI581">
            <v>68089430</v>
          </cell>
          <cell r="AJ581">
            <v>28427337.030000001</v>
          </cell>
        </row>
        <row r="582">
          <cell r="A582" t="str">
            <v>02</v>
          </cell>
          <cell r="B582" t="str">
            <v>71</v>
          </cell>
          <cell r="C582" t="str">
            <v>1458</v>
          </cell>
          <cell r="D582" t="str">
            <v>Погрузчик КРУПИНА UN</v>
          </cell>
          <cell r="E582" t="str">
            <v>C-060 /Амкодор/</v>
          </cell>
          <cell r="F582" t="str">
            <v>зN16327830</v>
          </cell>
          <cell r="G582" t="str">
            <v>01</v>
          </cell>
          <cell r="H582">
            <v>134625</v>
          </cell>
          <cell r="I582">
            <v>0</v>
          </cell>
          <cell r="J582">
            <v>0</v>
          </cell>
          <cell r="K582">
            <v>0.8</v>
          </cell>
          <cell r="L582" t="str">
            <v>23</v>
          </cell>
          <cell r="M582" t="str">
            <v>41719</v>
          </cell>
          <cell r="N582" t="str">
            <v>14 2915541</v>
          </cell>
          <cell r="O582" t="str">
            <v>067</v>
          </cell>
          <cell r="P582">
            <v>12.5</v>
          </cell>
          <cell r="Q582">
            <v>0</v>
          </cell>
          <cell r="R582" t="str">
            <v>1</v>
          </cell>
          <cell r="S582" t="str">
            <v>41</v>
          </cell>
          <cell r="T582">
            <v>95</v>
          </cell>
          <cell r="U582">
            <v>6</v>
          </cell>
          <cell r="V582">
            <v>95</v>
          </cell>
          <cell r="W582">
            <v>6</v>
          </cell>
          <cell r="X582">
            <v>95</v>
          </cell>
          <cell r="Y582">
            <v>0</v>
          </cell>
          <cell r="Z582">
            <v>0</v>
          </cell>
          <cell r="AB582" t="str">
            <v>14</v>
          </cell>
          <cell r="AC582">
            <v>9</v>
          </cell>
          <cell r="AD582" t="str">
            <v>0</v>
          </cell>
          <cell r="AE582" t="str">
            <v>0</v>
          </cell>
          <cell r="AF582" t="str">
            <v>00</v>
          </cell>
          <cell r="AI582">
            <v>168217830</v>
          </cell>
          <cell r="AJ582">
            <v>52568071.880000003</v>
          </cell>
        </row>
        <row r="583">
          <cell r="A583" t="str">
            <v>02</v>
          </cell>
          <cell r="B583" t="str">
            <v>51</v>
          </cell>
          <cell r="C583" t="str">
            <v>1459</v>
          </cell>
          <cell r="D583" t="str">
            <v>Сварочный агрегат</v>
          </cell>
          <cell r="E583" t="str">
            <v>АДД-400</v>
          </cell>
          <cell r="G583" t="str">
            <v>01</v>
          </cell>
          <cell r="H583">
            <v>22659</v>
          </cell>
          <cell r="I583">
            <v>0</v>
          </cell>
          <cell r="J583">
            <v>0</v>
          </cell>
          <cell r="K583">
            <v>0.97</v>
          </cell>
          <cell r="L583" t="str">
            <v>20</v>
          </cell>
          <cell r="M583" t="str">
            <v>42502</v>
          </cell>
          <cell r="N583" t="str">
            <v>14 2947193</v>
          </cell>
          <cell r="O583" t="str">
            <v>067</v>
          </cell>
          <cell r="P583">
            <v>16.7</v>
          </cell>
          <cell r="Q583">
            <v>0</v>
          </cell>
          <cell r="R583" t="str">
            <v>1</v>
          </cell>
          <cell r="S583" t="str">
            <v>42</v>
          </cell>
          <cell r="T583">
            <v>95</v>
          </cell>
          <cell r="U583">
            <v>7</v>
          </cell>
          <cell r="V583">
            <v>95</v>
          </cell>
          <cell r="W583">
            <v>7</v>
          </cell>
          <cell r="X583">
            <v>95</v>
          </cell>
          <cell r="Y583">
            <v>0</v>
          </cell>
          <cell r="Z583">
            <v>0</v>
          </cell>
          <cell r="AB583" t="str">
            <v>14</v>
          </cell>
          <cell r="AC583">
            <v>7</v>
          </cell>
          <cell r="AD583" t="str">
            <v>0</v>
          </cell>
          <cell r="AE583" t="str">
            <v>0</v>
          </cell>
          <cell r="AF583" t="str">
            <v>00</v>
          </cell>
          <cell r="AI583">
            <v>23458350</v>
          </cell>
          <cell r="AJ583">
            <v>9467399.0899999999</v>
          </cell>
        </row>
        <row r="584">
          <cell r="A584" t="str">
            <v>02</v>
          </cell>
          <cell r="B584" t="str">
            <v>80</v>
          </cell>
          <cell r="C584" t="str">
            <v>1460</v>
          </cell>
          <cell r="D584" t="str">
            <v>Компьютер-486 ДХ266</v>
          </cell>
          <cell r="E584" t="str">
            <v>с монитором с принте</v>
          </cell>
          <cell r="F584" t="str">
            <v>ром EPSON LX-1050</v>
          </cell>
          <cell r="G584" t="str">
            <v>01</v>
          </cell>
          <cell r="H584">
            <v>4918.8999999999996</v>
          </cell>
          <cell r="I584">
            <v>0</v>
          </cell>
          <cell r="J584">
            <v>11924.9</v>
          </cell>
          <cell r="K584">
            <v>0.27</v>
          </cell>
          <cell r="L584" t="str">
            <v>26</v>
          </cell>
          <cell r="M584" t="str">
            <v>48008</v>
          </cell>
          <cell r="N584" t="str">
            <v>14 3020203</v>
          </cell>
          <cell r="O584" t="str">
            <v>063</v>
          </cell>
          <cell r="P584">
            <v>10</v>
          </cell>
          <cell r="Q584">
            <v>0</v>
          </cell>
          <cell r="R584" t="str">
            <v>1</v>
          </cell>
          <cell r="S584" t="str">
            <v>48</v>
          </cell>
          <cell r="T584">
            <v>95</v>
          </cell>
          <cell r="U584">
            <v>7</v>
          </cell>
          <cell r="V584">
            <v>95</v>
          </cell>
          <cell r="W584">
            <v>7</v>
          </cell>
          <cell r="X584">
            <v>95</v>
          </cell>
          <cell r="Y584">
            <v>6</v>
          </cell>
          <cell r="Z584">
            <v>99</v>
          </cell>
          <cell r="AB584" t="str">
            <v>14</v>
          </cell>
          <cell r="AC584">
            <v>11</v>
          </cell>
          <cell r="AD584" t="str">
            <v>0</v>
          </cell>
          <cell r="AE584" t="str">
            <v>0</v>
          </cell>
          <cell r="AF584" t="str">
            <v>00</v>
          </cell>
          <cell r="AI584">
            <v>11982705</v>
          </cell>
          <cell r="AJ584">
            <v>2895820.38</v>
          </cell>
        </row>
        <row r="585">
          <cell r="A585" t="str">
            <v>02</v>
          </cell>
          <cell r="B585" t="str">
            <v>80</v>
          </cell>
          <cell r="C585" t="str">
            <v>1461</v>
          </cell>
          <cell r="D585" t="str">
            <v>Компьютер-486 ДХ266</v>
          </cell>
          <cell r="E585" t="str">
            <v>с монитором</v>
          </cell>
          <cell r="G585" t="str">
            <v>01</v>
          </cell>
          <cell r="H585">
            <v>3250</v>
          </cell>
          <cell r="I585">
            <v>0</v>
          </cell>
          <cell r="J585">
            <v>7450</v>
          </cell>
          <cell r="K585">
            <v>0.27</v>
          </cell>
          <cell r="L585" t="str">
            <v>26</v>
          </cell>
          <cell r="M585" t="str">
            <v>48008</v>
          </cell>
          <cell r="N585" t="str">
            <v>14 3020203</v>
          </cell>
          <cell r="O585" t="str">
            <v>063</v>
          </cell>
          <cell r="P585">
            <v>10</v>
          </cell>
          <cell r="Q585">
            <v>0</v>
          </cell>
          <cell r="R585" t="str">
            <v>1</v>
          </cell>
          <cell r="S585" t="str">
            <v>48</v>
          </cell>
          <cell r="T585">
            <v>95</v>
          </cell>
          <cell r="U585">
            <v>7</v>
          </cell>
          <cell r="V585">
            <v>95</v>
          </cell>
          <cell r="W585">
            <v>7</v>
          </cell>
          <cell r="X585">
            <v>95</v>
          </cell>
          <cell r="Y585">
            <v>11</v>
          </cell>
          <cell r="Z585">
            <v>97</v>
          </cell>
          <cell r="AB585" t="str">
            <v>14</v>
          </cell>
          <cell r="AC585">
            <v>11</v>
          </cell>
          <cell r="AD585" t="str">
            <v>0</v>
          </cell>
          <cell r="AE585" t="str">
            <v>0</v>
          </cell>
          <cell r="AF585" t="str">
            <v>00</v>
          </cell>
          <cell r="AI585">
            <v>20382705</v>
          </cell>
          <cell r="AJ585">
            <v>2930820.38</v>
          </cell>
        </row>
        <row r="586">
          <cell r="A586" t="str">
            <v>02</v>
          </cell>
          <cell r="B586" t="str">
            <v>80</v>
          </cell>
          <cell r="C586" t="str">
            <v>1463</v>
          </cell>
          <cell r="D586" t="str">
            <v>Сейф ЕС-065</v>
          </cell>
          <cell r="G586" t="str">
            <v>01</v>
          </cell>
          <cell r="H586">
            <v>2548</v>
          </cell>
          <cell r="I586">
            <v>0</v>
          </cell>
          <cell r="J586">
            <v>0</v>
          </cell>
          <cell r="K586">
            <v>0.25</v>
          </cell>
          <cell r="L586" t="str">
            <v>26</v>
          </cell>
          <cell r="M586" t="str">
            <v>70001</v>
          </cell>
          <cell r="N586" t="str">
            <v>16 2899400</v>
          </cell>
          <cell r="O586" t="str">
            <v>08</v>
          </cell>
          <cell r="P586">
            <v>6.5</v>
          </cell>
          <cell r="Q586">
            <v>0</v>
          </cell>
          <cell r="R586" t="str">
            <v>1</v>
          </cell>
          <cell r="S586" t="str">
            <v>70</v>
          </cell>
          <cell r="T586">
            <v>95</v>
          </cell>
          <cell r="U586">
            <v>7</v>
          </cell>
          <cell r="V586">
            <v>95</v>
          </cell>
          <cell r="W586">
            <v>7</v>
          </cell>
          <cell r="X586">
            <v>95</v>
          </cell>
          <cell r="Y586">
            <v>0</v>
          </cell>
          <cell r="Z586">
            <v>0</v>
          </cell>
          <cell r="AD586" t="str">
            <v>0</v>
          </cell>
          <cell r="AE586" t="str">
            <v>0</v>
          </cell>
          <cell r="AF586" t="str">
            <v>00</v>
          </cell>
          <cell r="AI586">
            <v>10215137</v>
          </cell>
          <cell r="AJ586">
            <v>1604627.77</v>
          </cell>
        </row>
        <row r="587">
          <cell r="A587" t="str">
            <v>02</v>
          </cell>
          <cell r="B587" t="str">
            <v>05</v>
          </cell>
          <cell r="C587" t="str">
            <v>1464</v>
          </cell>
          <cell r="D587" t="str">
            <v>Дизели /части машин</v>
          </cell>
          <cell r="E587" t="str">
            <v>и оборудования/ Д-36</v>
          </cell>
          <cell r="G587" t="str">
            <v>01</v>
          </cell>
          <cell r="H587">
            <v>52155.92</v>
          </cell>
          <cell r="I587">
            <v>0</v>
          </cell>
          <cell r="J587">
            <v>0</v>
          </cell>
          <cell r="K587">
            <v>1.21</v>
          </cell>
          <cell r="L587" t="str">
            <v>20</v>
          </cell>
          <cell r="M587" t="str">
            <v>40411</v>
          </cell>
          <cell r="N587" t="str">
            <v>14 2911100</v>
          </cell>
          <cell r="O587" t="str">
            <v>063</v>
          </cell>
          <cell r="P587">
            <v>14.3</v>
          </cell>
          <cell r="Q587">
            <v>0</v>
          </cell>
          <cell r="R587" t="str">
            <v>1</v>
          </cell>
          <cell r="S587" t="str">
            <v>40</v>
          </cell>
          <cell r="T587">
            <v>95</v>
          </cell>
          <cell r="U587">
            <v>7</v>
          </cell>
          <cell r="V587">
            <v>95</v>
          </cell>
          <cell r="W587">
            <v>7</v>
          </cell>
          <cell r="X587">
            <v>95</v>
          </cell>
          <cell r="Y587">
            <v>0</v>
          </cell>
          <cell r="Z587">
            <v>0</v>
          </cell>
          <cell r="AD587" t="str">
            <v>0</v>
          </cell>
          <cell r="AE587" t="str">
            <v>0</v>
          </cell>
          <cell r="AF587" t="str">
            <v>00</v>
          </cell>
          <cell r="AI587">
            <v>43104068</v>
          </cell>
          <cell r="AJ587">
            <v>14896047.5</v>
          </cell>
        </row>
        <row r="588">
          <cell r="A588" t="str">
            <v>02</v>
          </cell>
          <cell r="B588" t="str">
            <v>02</v>
          </cell>
          <cell r="C588" t="str">
            <v>1465</v>
          </cell>
          <cell r="D588" t="str">
            <v>Центратор внутренний</v>
          </cell>
          <cell r="E588" t="str">
            <v>ЦВ-121</v>
          </cell>
          <cell r="G588" t="str">
            <v>01</v>
          </cell>
          <cell r="H588">
            <v>34827.25</v>
          </cell>
          <cell r="I588">
            <v>0</v>
          </cell>
          <cell r="J588">
            <v>46800</v>
          </cell>
          <cell r="K588">
            <v>0.88</v>
          </cell>
          <cell r="L588" t="str">
            <v>20</v>
          </cell>
          <cell r="M588" t="str">
            <v>43807</v>
          </cell>
          <cell r="N588" t="str">
            <v>14 2928286</v>
          </cell>
          <cell r="O588" t="str">
            <v>067</v>
          </cell>
          <cell r="P588">
            <v>25</v>
          </cell>
          <cell r="Q588">
            <v>0</v>
          </cell>
          <cell r="R588" t="str">
            <v>1</v>
          </cell>
          <cell r="S588" t="str">
            <v>43</v>
          </cell>
          <cell r="T588">
            <v>86</v>
          </cell>
          <cell r="U588">
            <v>7</v>
          </cell>
          <cell r="V588">
            <v>95</v>
          </cell>
          <cell r="W588">
            <v>7</v>
          </cell>
          <cell r="X588">
            <v>95</v>
          </cell>
          <cell r="Y588">
            <v>8</v>
          </cell>
          <cell r="Z588">
            <v>95</v>
          </cell>
          <cell r="AB588" t="str">
            <v>14</v>
          </cell>
          <cell r="AC588">
            <v>2</v>
          </cell>
          <cell r="AD588" t="str">
            <v>0</v>
          </cell>
          <cell r="AE588" t="str">
            <v>0</v>
          </cell>
          <cell r="AF588" t="str">
            <v>00</v>
          </cell>
          <cell r="AI588">
            <v>53087025</v>
          </cell>
          <cell r="AJ588">
            <v>31790470.309999999</v>
          </cell>
        </row>
        <row r="589">
          <cell r="A589" t="str">
            <v>02</v>
          </cell>
          <cell r="B589" t="str">
            <v>80</v>
          </cell>
          <cell r="C589" t="str">
            <v>1466</v>
          </cell>
          <cell r="D589" t="str">
            <v>Телефакс PANASONIC</v>
          </cell>
          <cell r="G589" t="str">
            <v>01</v>
          </cell>
          <cell r="H589">
            <v>1836</v>
          </cell>
          <cell r="I589">
            <v>0</v>
          </cell>
          <cell r="J589">
            <v>0</v>
          </cell>
          <cell r="K589">
            <v>0.21</v>
          </cell>
          <cell r="L589" t="str">
            <v>26</v>
          </cell>
          <cell r="M589" t="str">
            <v>48008</v>
          </cell>
          <cell r="N589" t="str">
            <v>14 3222146</v>
          </cell>
          <cell r="O589" t="str">
            <v>063</v>
          </cell>
          <cell r="P589">
            <v>10</v>
          </cell>
          <cell r="Q589">
            <v>0</v>
          </cell>
          <cell r="R589" t="str">
            <v>1</v>
          </cell>
          <cell r="S589" t="str">
            <v>48</v>
          </cell>
          <cell r="T589">
            <v>95</v>
          </cell>
          <cell r="U589">
            <v>7</v>
          </cell>
          <cell r="V589">
            <v>95</v>
          </cell>
          <cell r="W589">
            <v>7</v>
          </cell>
          <cell r="X589">
            <v>95</v>
          </cell>
          <cell r="Y589">
            <v>0</v>
          </cell>
          <cell r="Z589">
            <v>0</v>
          </cell>
          <cell r="AD589" t="str">
            <v>0</v>
          </cell>
          <cell r="AE589" t="str">
            <v>0</v>
          </cell>
          <cell r="AF589" t="str">
            <v>00</v>
          </cell>
          <cell r="AI589">
            <v>8680000</v>
          </cell>
          <cell r="AJ589">
            <v>2097666.67</v>
          </cell>
        </row>
        <row r="590">
          <cell r="A590" t="str">
            <v>02</v>
          </cell>
          <cell r="B590" t="str">
            <v>80</v>
          </cell>
          <cell r="C590" t="str">
            <v>1467</v>
          </cell>
          <cell r="D590" t="str">
            <v>К/а CANON NP-1215</v>
          </cell>
          <cell r="E590" t="str">
            <v>вкл. комплект расх.</v>
          </cell>
          <cell r="F590" t="str">
            <v>материалов</v>
          </cell>
          <cell r="G590" t="str">
            <v>01</v>
          </cell>
          <cell r="H590">
            <v>10300</v>
          </cell>
          <cell r="I590">
            <v>0</v>
          </cell>
          <cell r="J590">
            <v>0</v>
          </cell>
          <cell r="K590">
            <v>0.45</v>
          </cell>
          <cell r="L590" t="str">
            <v>26</v>
          </cell>
          <cell r="M590" t="str">
            <v>44804</v>
          </cell>
          <cell r="N590" t="str">
            <v>14 3010210</v>
          </cell>
          <cell r="O590" t="str">
            <v>063</v>
          </cell>
          <cell r="P590">
            <v>12.5</v>
          </cell>
          <cell r="Q590">
            <v>0</v>
          </cell>
          <cell r="R590" t="str">
            <v>1</v>
          </cell>
          <cell r="S590" t="str">
            <v>48</v>
          </cell>
          <cell r="T590">
            <v>95</v>
          </cell>
          <cell r="U590">
            <v>7</v>
          </cell>
          <cell r="V590">
            <v>95</v>
          </cell>
          <cell r="W590">
            <v>7</v>
          </cell>
          <cell r="X590">
            <v>95</v>
          </cell>
          <cell r="Y590">
            <v>0</v>
          </cell>
          <cell r="Z590">
            <v>0</v>
          </cell>
          <cell r="AD590" t="str">
            <v>0</v>
          </cell>
          <cell r="AE590" t="str">
            <v>0</v>
          </cell>
          <cell r="AF590" t="str">
            <v>00</v>
          </cell>
          <cell r="AI590">
            <v>22960000</v>
          </cell>
          <cell r="AJ590">
            <v>6935833.3300000001</v>
          </cell>
        </row>
        <row r="591">
          <cell r="A591" t="str">
            <v>02</v>
          </cell>
          <cell r="B591" t="str">
            <v>80</v>
          </cell>
          <cell r="C591" t="str">
            <v>1468</v>
          </cell>
          <cell r="D591" t="str">
            <v>Сетевое аппаратное</v>
          </cell>
          <cell r="E591" t="str">
            <v>обеспечение</v>
          </cell>
          <cell r="G591" t="str">
            <v>01</v>
          </cell>
          <cell r="H591">
            <v>18500</v>
          </cell>
          <cell r="I591">
            <v>0</v>
          </cell>
          <cell r="J591">
            <v>0</v>
          </cell>
          <cell r="K591">
            <v>0.8</v>
          </cell>
          <cell r="L591" t="str">
            <v>26</v>
          </cell>
          <cell r="M591" t="str">
            <v>48008</v>
          </cell>
          <cell r="N591" t="str">
            <v>14 3020380</v>
          </cell>
          <cell r="O591" t="str">
            <v>063</v>
          </cell>
          <cell r="P591">
            <v>10</v>
          </cell>
          <cell r="Q591">
            <v>0</v>
          </cell>
          <cell r="R591" t="str">
            <v>1</v>
          </cell>
          <cell r="S591" t="str">
            <v>48</v>
          </cell>
          <cell r="T591">
            <v>95</v>
          </cell>
          <cell r="U591">
            <v>7</v>
          </cell>
          <cell r="V591">
            <v>95</v>
          </cell>
          <cell r="W591">
            <v>7</v>
          </cell>
          <cell r="X591">
            <v>95</v>
          </cell>
          <cell r="Y591">
            <v>0</v>
          </cell>
          <cell r="Z591">
            <v>0</v>
          </cell>
          <cell r="AD591" t="str">
            <v>0</v>
          </cell>
          <cell r="AE591" t="str">
            <v>0</v>
          </cell>
          <cell r="AF591" t="str">
            <v>00</v>
          </cell>
          <cell r="AI591">
            <v>23045267</v>
          </cell>
          <cell r="AJ591">
            <v>5569272.8600000003</v>
          </cell>
        </row>
        <row r="592">
          <cell r="A592" t="str">
            <v>02</v>
          </cell>
          <cell r="B592" t="str">
            <v>80</v>
          </cell>
          <cell r="C592" t="str">
            <v>1469</v>
          </cell>
          <cell r="D592" t="str">
            <v>Сетевое программное</v>
          </cell>
          <cell r="E592" t="str">
            <v>обеспечение</v>
          </cell>
          <cell r="G592" t="str">
            <v>01</v>
          </cell>
          <cell r="H592">
            <v>16500</v>
          </cell>
          <cell r="I592">
            <v>0</v>
          </cell>
          <cell r="J592">
            <v>0</v>
          </cell>
          <cell r="K592">
            <v>0.9</v>
          </cell>
          <cell r="L592" t="str">
            <v>26</v>
          </cell>
          <cell r="M592" t="str">
            <v>48008</v>
          </cell>
          <cell r="N592" t="str">
            <v>14 3020380</v>
          </cell>
          <cell r="O592" t="str">
            <v>063</v>
          </cell>
          <cell r="P592">
            <v>10</v>
          </cell>
          <cell r="Q592">
            <v>0</v>
          </cell>
          <cell r="R592" t="str">
            <v>1</v>
          </cell>
          <cell r="S592" t="str">
            <v>48</v>
          </cell>
          <cell r="T592">
            <v>95</v>
          </cell>
          <cell r="U592">
            <v>7</v>
          </cell>
          <cell r="V592">
            <v>95</v>
          </cell>
          <cell r="W592">
            <v>7</v>
          </cell>
          <cell r="X592">
            <v>95</v>
          </cell>
          <cell r="Y592">
            <v>0</v>
          </cell>
          <cell r="Z592">
            <v>0</v>
          </cell>
          <cell r="AD592" t="str">
            <v>0</v>
          </cell>
          <cell r="AE592" t="str">
            <v>0</v>
          </cell>
          <cell r="AF592" t="str">
            <v>00</v>
          </cell>
          <cell r="AI592">
            <v>18254733</v>
          </cell>
          <cell r="AJ592">
            <v>4411560.47</v>
          </cell>
        </row>
        <row r="593">
          <cell r="A593" t="str">
            <v>02</v>
          </cell>
          <cell r="B593" t="str">
            <v>02</v>
          </cell>
          <cell r="C593" t="str">
            <v>1470</v>
          </cell>
          <cell r="D593" t="str">
            <v>Жилой вагон не уком-</v>
          </cell>
          <cell r="E593" t="str">
            <v>плектованный дерево-</v>
          </cell>
          <cell r="F593" t="str">
            <v>мет.3 х 6 Финляндия</v>
          </cell>
          <cell r="G593" t="str">
            <v>01</v>
          </cell>
          <cell r="H593">
            <v>28800</v>
          </cell>
          <cell r="I593">
            <v>0</v>
          </cell>
          <cell r="J593">
            <v>0</v>
          </cell>
          <cell r="K593">
            <v>0.41</v>
          </cell>
          <cell r="L593" t="str">
            <v>20</v>
          </cell>
          <cell r="M593" t="str">
            <v>10010</v>
          </cell>
          <cell r="N593" t="str">
            <v>13 2022261</v>
          </cell>
          <cell r="O593" t="str">
            <v>01</v>
          </cell>
          <cell r="P593">
            <v>12.5</v>
          </cell>
          <cell r="Q593">
            <v>0</v>
          </cell>
          <cell r="R593" t="str">
            <v>1</v>
          </cell>
          <cell r="S593" t="str">
            <v>10</v>
          </cell>
          <cell r="T593">
            <v>95</v>
          </cell>
          <cell r="U593">
            <v>8</v>
          </cell>
          <cell r="V593">
            <v>95</v>
          </cell>
          <cell r="W593">
            <v>8</v>
          </cell>
          <cell r="X593">
            <v>95</v>
          </cell>
          <cell r="Y593">
            <v>0</v>
          </cell>
          <cell r="Z593">
            <v>0</v>
          </cell>
          <cell r="AB593" t="str">
            <v>14</v>
          </cell>
          <cell r="AC593">
            <v>2</v>
          </cell>
          <cell r="AD593" t="str">
            <v>0</v>
          </cell>
          <cell r="AE593" t="str">
            <v>0</v>
          </cell>
          <cell r="AF593" t="str">
            <v>00</v>
          </cell>
          <cell r="AI593">
            <v>69783903</v>
          </cell>
          <cell r="AJ593">
            <v>20353638.379999999</v>
          </cell>
        </row>
        <row r="594">
          <cell r="A594" t="str">
            <v>02</v>
          </cell>
          <cell r="B594" t="str">
            <v>80</v>
          </cell>
          <cell r="C594" t="str">
            <v>1471</v>
          </cell>
          <cell r="D594" t="str">
            <v>Кондиционер БК 1800</v>
          </cell>
          <cell r="G594" t="str">
            <v>01</v>
          </cell>
          <cell r="H594">
            <v>1169.28</v>
          </cell>
          <cell r="I594">
            <v>0</v>
          </cell>
          <cell r="J594">
            <v>0</v>
          </cell>
          <cell r="K594">
            <v>0.96</v>
          </cell>
          <cell r="L594" t="str">
            <v>26</v>
          </cell>
          <cell r="M594" t="str">
            <v>41606</v>
          </cell>
          <cell r="N594" t="str">
            <v>16 2930274</v>
          </cell>
          <cell r="O594" t="str">
            <v>062</v>
          </cell>
          <cell r="P594">
            <v>11.1</v>
          </cell>
          <cell r="Q594">
            <v>0</v>
          </cell>
          <cell r="R594" t="str">
            <v>1</v>
          </cell>
          <cell r="S594" t="str">
            <v>41</v>
          </cell>
          <cell r="T594">
            <v>95</v>
          </cell>
          <cell r="U594">
            <v>8</v>
          </cell>
          <cell r="V594">
            <v>95</v>
          </cell>
          <cell r="W594">
            <v>8</v>
          </cell>
          <cell r="X594">
            <v>95</v>
          </cell>
          <cell r="Y594">
            <v>0</v>
          </cell>
          <cell r="Z594">
            <v>0</v>
          </cell>
          <cell r="AD594" t="str">
            <v>0</v>
          </cell>
          <cell r="AE594" t="str">
            <v>0</v>
          </cell>
          <cell r="AF594" t="str">
            <v>00</v>
          </cell>
          <cell r="AI594">
            <v>1218000</v>
          </cell>
          <cell r="AJ594">
            <v>315462</v>
          </cell>
        </row>
        <row r="595">
          <cell r="A595" t="str">
            <v>02</v>
          </cell>
          <cell r="B595" t="str">
            <v>80</v>
          </cell>
          <cell r="C595" t="str">
            <v>1472</v>
          </cell>
          <cell r="D595" t="str">
            <v>Кондиционер БК 1800</v>
          </cell>
          <cell r="G595" t="str">
            <v>01</v>
          </cell>
          <cell r="H595">
            <v>1169.28</v>
          </cell>
          <cell r="I595">
            <v>0</v>
          </cell>
          <cell r="J595">
            <v>0</v>
          </cell>
          <cell r="K595">
            <v>0.96</v>
          </cell>
          <cell r="L595" t="str">
            <v>26</v>
          </cell>
          <cell r="M595" t="str">
            <v>41606</v>
          </cell>
          <cell r="N595" t="str">
            <v>16 2930274</v>
          </cell>
          <cell r="O595" t="str">
            <v>062</v>
          </cell>
          <cell r="P595">
            <v>11.1</v>
          </cell>
          <cell r="Q595">
            <v>0</v>
          </cell>
          <cell r="R595" t="str">
            <v>1</v>
          </cell>
          <cell r="S595" t="str">
            <v>41</v>
          </cell>
          <cell r="T595">
            <v>95</v>
          </cell>
          <cell r="U595">
            <v>8</v>
          </cell>
          <cell r="V595">
            <v>95</v>
          </cell>
          <cell r="W595">
            <v>8</v>
          </cell>
          <cell r="X595">
            <v>95</v>
          </cell>
          <cell r="Y595">
            <v>0</v>
          </cell>
          <cell r="Z595">
            <v>0</v>
          </cell>
          <cell r="AD595" t="str">
            <v>0</v>
          </cell>
          <cell r="AE595" t="str">
            <v>0</v>
          </cell>
          <cell r="AF595" t="str">
            <v>00</v>
          </cell>
          <cell r="AI595">
            <v>1218000</v>
          </cell>
          <cell r="AJ595">
            <v>315462</v>
          </cell>
        </row>
        <row r="596">
          <cell r="A596" t="str">
            <v>02</v>
          </cell>
          <cell r="B596" t="str">
            <v>80</v>
          </cell>
          <cell r="C596" t="str">
            <v>1473</v>
          </cell>
          <cell r="D596" t="str">
            <v>Кондиционер БК 1800</v>
          </cell>
          <cell r="G596" t="str">
            <v>01</v>
          </cell>
          <cell r="H596">
            <v>1169.28</v>
          </cell>
          <cell r="I596">
            <v>0</v>
          </cell>
          <cell r="J596">
            <v>0</v>
          </cell>
          <cell r="K596">
            <v>0.96</v>
          </cell>
          <cell r="L596" t="str">
            <v>26</v>
          </cell>
          <cell r="M596" t="str">
            <v>41606</v>
          </cell>
          <cell r="N596" t="str">
            <v>16 2930274</v>
          </cell>
          <cell r="O596" t="str">
            <v>062</v>
          </cell>
          <cell r="P596">
            <v>11.1</v>
          </cell>
          <cell r="Q596">
            <v>0</v>
          </cell>
          <cell r="R596" t="str">
            <v>1</v>
          </cell>
          <cell r="S596" t="str">
            <v>41</v>
          </cell>
          <cell r="T596">
            <v>95</v>
          </cell>
          <cell r="U596">
            <v>8</v>
          </cell>
          <cell r="V596">
            <v>95</v>
          </cell>
          <cell r="W596">
            <v>8</v>
          </cell>
          <cell r="X596">
            <v>95</v>
          </cell>
          <cell r="Y596">
            <v>0</v>
          </cell>
          <cell r="Z596">
            <v>0</v>
          </cell>
          <cell r="AD596" t="str">
            <v>0</v>
          </cell>
          <cell r="AE596" t="str">
            <v>0</v>
          </cell>
          <cell r="AF596" t="str">
            <v>00</v>
          </cell>
          <cell r="AI596">
            <v>1218000</v>
          </cell>
          <cell r="AJ596">
            <v>315462</v>
          </cell>
        </row>
        <row r="597">
          <cell r="A597" t="str">
            <v>02</v>
          </cell>
          <cell r="B597" t="str">
            <v>41</v>
          </cell>
          <cell r="C597" t="str">
            <v>1474</v>
          </cell>
          <cell r="D597" t="str">
            <v>Кондиционер БК 1800</v>
          </cell>
          <cell r="G597" t="str">
            <v>01</v>
          </cell>
          <cell r="H597">
            <v>1169.28</v>
          </cell>
          <cell r="I597">
            <v>0</v>
          </cell>
          <cell r="J597">
            <v>0</v>
          </cell>
          <cell r="K597">
            <v>0.96</v>
          </cell>
          <cell r="L597" t="str">
            <v>20</v>
          </cell>
          <cell r="M597" t="str">
            <v>41606</v>
          </cell>
          <cell r="N597" t="str">
            <v>16 2930274</v>
          </cell>
          <cell r="O597" t="str">
            <v>062</v>
          </cell>
          <cell r="P597">
            <v>11.1</v>
          </cell>
          <cell r="Q597">
            <v>0</v>
          </cell>
          <cell r="R597" t="str">
            <v>1</v>
          </cell>
          <cell r="S597" t="str">
            <v>41</v>
          </cell>
          <cell r="T597">
            <v>95</v>
          </cell>
          <cell r="U597">
            <v>8</v>
          </cell>
          <cell r="V597">
            <v>95</v>
          </cell>
          <cell r="W597">
            <v>8</v>
          </cell>
          <cell r="X597">
            <v>95</v>
          </cell>
          <cell r="Y597">
            <v>0</v>
          </cell>
          <cell r="Z597">
            <v>0</v>
          </cell>
          <cell r="AB597" t="str">
            <v>14</v>
          </cell>
          <cell r="AC597">
            <v>2</v>
          </cell>
          <cell r="AD597" t="str">
            <v>0</v>
          </cell>
          <cell r="AE597" t="str">
            <v>0</v>
          </cell>
          <cell r="AF597" t="str">
            <v>00</v>
          </cell>
          <cell r="AI597">
            <v>1218000</v>
          </cell>
          <cell r="AJ597">
            <v>315462</v>
          </cell>
        </row>
        <row r="598">
          <cell r="A598" t="str">
            <v>15</v>
          </cell>
          <cell r="B598" t="str">
            <v>81</v>
          </cell>
          <cell r="C598" t="str">
            <v>1475</v>
          </cell>
          <cell r="D598" t="str">
            <v>Тестер офтальмологич</v>
          </cell>
          <cell r="E598" t="str">
            <v>еский</v>
          </cell>
          <cell r="G598" t="str">
            <v>01</v>
          </cell>
          <cell r="H598">
            <v>6615</v>
          </cell>
          <cell r="I598">
            <v>0</v>
          </cell>
          <cell r="J598">
            <v>0</v>
          </cell>
          <cell r="K598">
            <v>0.55000000000000004</v>
          </cell>
          <cell r="L598" t="str">
            <v>88/2</v>
          </cell>
          <cell r="M598" t="str">
            <v>46012</v>
          </cell>
          <cell r="N598" t="str">
            <v>14 3311269</v>
          </cell>
          <cell r="O598" t="str">
            <v>067</v>
          </cell>
          <cell r="P598">
            <v>10</v>
          </cell>
          <cell r="Q598">
            <v>0</v>
          </cell>
          <cell r="R598" t="str">
            <v>1</v>
          </cell>
          <cell r="S598" t="str">
            <v>46</v>
          </cell>
          <cell r="T598">
            <v>95</v>
          </cell>
          <cell r="U598">
            <v>8</v>
          </cell>
          <cell r="V598">
            <v>95</v>
          </cell>
          <cell r="W598">
            <v>8</v>
          </cell>
          <cell r="X598">
            <v>95</v>
          </cell>
          <cell r="Y598">
            <v>0</v>
          </cell>
          <cell r="Z598">
            <v>0</v>
          </cell>
          <cell r="AD598" t="str">
            <v>0</v>
          </cell>
          <cell r="AE598" t="str">
            <v>0</v>
          </cell>
          <cell r="AF598" t="str">
            <v>15</v>
          </cell>
          <cell r="AI598">
            <v>12000000</v>
          </cell>
          <cell r="AJ598">
            <v>2800000</v>
          </cell>
        </row>
        <row r="599">
          <cell r="A599" t="str">
            <v>02</v>
          </cell>
          <cell r="B599" t="str">
            <v>03</v>
          </cell>
          <cell r="C599" t="str">
            <v>1476</v>
          </cell>
          <cell r="D599" t="str">
            <v>Приспособление для р</v>
          </cell>
          <cell r="E599" t="str">
            <v>учной намотки липкой</v>
          </cell>
          <cell r="F599" t="str">
            <v>полдимерной ленты</v>
          </cell>
          <cell r="G599" t="str">
            <v>01</v>
          </cell>
          <cell r="H599">
            <v>5620</v>
          </cell>
          <cell r="I599">
            <v>0</v>
          </cell>
          <cell r="J599">
            <v>0</v>
          </cell>
          <cell r="K599">
            <v>0.99</v>
          </cell>
          <cell r="L599" t="str">
            <v>26</v>
          </cell>
          <cell r="M599" t="str">
            <v>43608</v>
          </cell>
          <cell r="N599" t="str">
            <v>14 2922722</v>
          </cell>
          <cell r="O599" t="str">
            <v>067</v>
          </cell>
          <cell r="P599">
            <v>16.7</v>
          </cell>
          <cell r="Q599">
            <v>0</v>
          </cell>
          <cell r="R599" t="str">
            <v>1</v>
          </cell>
          <cell r="S599" t="str">
            <v>43</v>
          </cell>
          <cell r="T599">
            <v>95</v>
          </cell>
          <cell r="U599">
            <v>8</v>
          </cell>
          <cell r="V599">
            <v>95</v>
          </cell>
          <cell r="W599">
            <v>8</v>
          </cell>
          <cell r="X599">
            <v>95</v>
          </cell>
          <cell r="Y599">
            <v>0</v>
          </cell>
          <cell r="Z599">
            <v>0</v>
          </cell>
          <cell r="AD599" t="str">
            <v>0</v>
          </cell>
          <cell r="AE599" t="str">
            <v>0</v>
          </cell>
          <cell r="AF599" t="str">
            <v>00</v>
          </cell>
          <cell r="AI599">
            <v>5700000</v>
          </cell>
          <cell r="AJ599">
            <v>2221100</v>
          </cell>
        </row>
        <row r="600">
          <cell r="A600" t="str">
            <v>02</v>
          </cell>
          <cell r="B600" t="str">
            <v>11</v>
          </cell>
          <cell r="C600" t="str">
            <v>1491</v>
          </cell>
          <cell r="D600" t="str">
            <v>Машина точной сварки</v>
          </cell>
          <cell r="E600" t="str">
            <v>МТ 2103</v>
          </cell>
          <cell r="G600" t="str">
            <v>01</v>
          </cell>
          <cell r="H600">
            <v>42650</v>
          </cell>
          <cell r="I600">
            <v>0</v>
          </cell>
          <cell r="J600">
            <v>0</v>
          </cell>
          <cell r="K600">
            <v>1.01</v>
          </cell>
          <cell r="L600" t="str">
            <v>20</v>
          </cell>
          <cell r="M600" t="str">
            <v>42503</v>
          </cell>
          <cell r="N600" t="str">
            <v>14 2922804</v>
          </cell>
          <cell r="O600" t="str">
            <v>067</v>
          </cell>
          <cell r="P600">
            <v>12.5</v>
          </cell>
          <cell r="Q600">
            <v>0</v>
          </cell>
          <cell r="R600" t="str">
            <v>1</v>
          </cell>
          <cell r="S600" t="str">
            <v>42</v>
          </cell>
          <cell r="T600">
            <v>95</v>
          </cell>
          <cell r="U600">
            <v>9</v>
          </cell>
          <cell r="V600">
            <v>95</v>
          </cell>
          <cell r="W600">
            <v>9</v>
          </cell>
          <cell r="X600">
            <v>95</v>
          </cell>
          <cell r="Y600">
            <v>0</v>
          </cell>
          <cell r="Z600">
            <v>0</v>
          </cell>
          <cell r="AB600" t="str">
            <v>14</v>
          </cell>
          <cell r="AC600">
            <v>9</v>
          </cell>
          <cell r="AD600" t="str">
            <v>2</v>
          </cell>
          <cell r="AE600" t="str">
            <v>1</v>
          </cell>
          <cell r="AF600" t="str">
            <v>00</v>
          </cell>
          <cell r="AG600">
            <v>42120000</v>
          </cell>
          <cell r="AI600">
            <v>42120000</v>
          </cell>
          <cell r="AJ600">
            <v>11846250</v>
          </cell>
        </row>
        <row r="601">
          <cell r="A601" t="str">
            <v>02</v>
          </cell>
          <cell r="B601" t="str">
            <v>11</v>
          </cell>
          <cell r="C601" t="str">
            <v>1492</v>
          </cell>
          <cell r="D601" t="str">
            <v>Сварочный выпрямител</v>
          </cell>
          <cell r="E601" t="str">
            <v>ь ВДУ-505</v>
          </cell>
          <cell r="G601" t="str">
            <v>01</v>
          </cell>
          <cell r="H601">
            <v>3396</v>
          </cell>
          <cell r="I601">
            <v>0</v>
          </cell>
          <cell r="J601">
            <v>0</v>
          </cell>
          <cell r="K601">
            <v>1</v>
          </cell>
          <cell r="L601" t="str">
            <v>20</v>
          </cell>
          <cell r="M601" t="str">
            <v>42502</v>
          </cell>
          <cell r="N601" t="str">
            <v>14 2922804</v>
          </cell>
          <cell r="O601" t="str">
            <v>067</v>
          </cell>
          <cell r="P601">
            <v>16.7</v>
          </cell>
          <cell r="Q601">
            <v>0</v>
          </cell>
          <cell r="R601" t="str">
            <v>1</v>
          </cell>
          <cell r="S601" t="str">
            <v>42</v>
          </cell>
          <cell r="T601">
            <v>95</v>
          </cell>
          <cell r="U601">
            <v>9</v>
          </cell>
          <cell r="V601">
            <v>95</v>
          </cell>
          <cell r="W601">
            <v>9</v>
          </cell>
          <cell r="X601">
            <v>95</v>
          </cell>
          <cell r="Y601">
            <v>0</v>
          </cell>
          <cell r="Z601">
            <v>0</v>
          </cell>
          <cell r="AB601" t="str">
            <v>14</v>
          </cell>
          <cell r="AC601">
            <v>9</v>
          </cell>
          <cell r="AD601" t="str">
            <v>2</v>
          </cell>
          <cell r="AE601" t="str">
            <v>0</v>
          </cell>
          <cell r="AF601" t="str">
            <v>00</v>
          </cell>
          <cell r="AG601">
            <v>3396000</v>
          </cell>
          <cell r="AI601">
            <v>3396000</v>
          </cell>
          <cell r="AJ601">
            <v>1276047</v>
          </cell>
        </row>
        <row r="602">
          <cell r="A602" t="str">
            <v>02</v>
          </cell>
          <cell r="B602" t="str">
            <v>11</v>
          </cell>
          <cell r="C602" t="str">
            <v>1493</v>
          </cell>
          <cell r="D602" t="str">
            <v>Сварочный выпрямител</v>
          </cell>
          <cell r="E602" t="str">
            <v>ь ВДУ-505</v>
          </cell>
          <cell r="G602" t="str">
            <v>01</v>
          </cell>
          <cell r="H602">
            <v>3396</v>
          </cell>
          <cell r="I602">
            <v>0</v>
          </cell>
          <cell r="J602">
            <v>0</v>
          </cell>
          <cell r="K602">
            <v>1</v>
          </cell>
          <cell r="L602" t="str">
            <v>20</v>
          </cell>
          <cell r="M602" t="str">
            <v>42502</v>
          </cell>
          <cell r="N602" t="str">
            <v>14 2922804</v>
          </cell>
          <cell r="O602" t="str">
            <v>067</v>
          </cell>
          <cell r="P602">
            <v>16.7</v>
          </cell>
          <cell r="Q602">
            <v>0</v>
          </cell>
          <cell r="R602" t="str">
            <v>1</v>
          </cell>
          <cell r="S602" t="str">
            <v>42</v>
          </cell>
          <cell r="T602">
            <v>95</v>
          </cell>
          <cell r="U602">
            <v>9</v>
          </cell>
          <cell r="V602">
            <v>95</v>
          </cell>
          <cell r="W602">
            <v>9</v>
          </cell>
          <cell r="X602">
            <v>95</v>
          </cell>
          <cell r="Y602">
            <v>0</v>
          </cell>
          <cell r="Z602">
            <v>0</v>
          </cell>
          <cell r="AB602" t="str">
            <v>14</v>
          </cell>
          <cell r="AC602">
            <v>9</v>
          </cell>
          <cell r="AD602" t="str">
            <v>2</v>
          </cell>
          <cell r="AE602" t="str">
            <v>0</v>
          </cell>
          <cell r="AF602" t="str">
            <v>00</v>
          </cell>
          <cell r="AG602">
            <v>3396000</v>
          </cell>
          <cell r="AI602">
            <v>3396000</v>
          </cell>
          <cell r="AJ602">
            <v>1276047</v>
          </cell>
        </row>
        <row r="603">
          <cell r="A603" t="str">
            <v>02</v>
          </cell>
          <cell r="B603" t="str">
            <v>80</v>
          </cell>
          <cell r="C603" t="str">
            <v>1494</v>
          </cell>
          <cell r="D603" t="str">
            <v>Компьютер АТ 486 с</v>
          </cell>
          <cell r="E603" t="str">
            <v>принтером EPSON LQ-5</v>
          </cell>
          <cell r="F603" t="str">
            <v>70 Япония</v>
          </cell>
          <cell r="G603" t="str">
            <v>01</v>
          </cell>
          <cell r="H603">
            <v>6302.81</v>
          </cell>
          <cell r="I603">
            <v>0</v>
          </cell>
          <cell r="J603">
            <v>0</v>
          </cell>
          <cell r="K603">
            <v>0.57999999999999996</v>
          </cell>
          <cell r="L603" t="str">
            <v>26</v>
          </cell>
          <cell r="M603" t="str">
            <v>48008</v>
          </cell>
          <cell r="N603" t="str">
            <v>14 3020203</v>
          </cell>
          <cell r="O603" t="str">
            <v>063</v>
          </cell>
          <cell r="P603">
            <v>10</v>
          </cell>
          <cell r="Q603">
            <v>0</v>
          </cell>
          <cell r="R603" t="str">
            <v>1</v>
          </cell>
          <cell r="S603" t="str">
            <v>48</v>
          </cell>
          <cell r="T603">
            <v>95</v>
          </cell>
          <cell r="U603">
            <v>9</v>
          </cell>
          <cell r="V603">
            <v>95</v>
          </cell>
          <cell r="W603">
            <v>9</v>
          </cell>
          <cell r="X603">
            <v>95</v>
          </cell>
          <cell r="Y603">
            <v>0</v>
          </cell>
          <cell r="Z603">
            <v>0</v>
          </cell>
          <cell r="AD603" t="str">
            <v>0</v>
          </cell>
          <cell r="AE603" t="str">
            <v>0</v>
          </cell>
          <cell r="AF603" t="str">
            <v>00</v>
          </cell>
          <cell r="AI603">
            <v>7280000</v>
          </cell>
          <cell r="AJ603">
            <v>1638000</v>
          </cell>
        </row>
        <row r="604">
          <cell r="A604" t="str">
            <v>02</v>
          </cell>
          <cell r="B604" t="str">
            <v>80</v>
          </cell>
          <cell r="C604" t="str">
            <v>1495</v>
          </cell>
          <cell r="D604" t="str">
            <v>Компьютер АТ-486 с</v>
          </cell>
          <cell r="E604" t="str">
            <v>принтером EPSON LQ-</v>
          </cell>
          <cell r="F604" t="str">
            <v>570 Япония</v>
          </cell>
          <cell r="G604" t="str">
            <v>01</v>
          </cell>
          <cell r="H604">
            <v>6302.81</v>
          </cell>
          <cell r="I604">
            <v>0</v>
          </cell>
          <cell r="J604">
            <v>9821.2099999999991</v>
          </cell>
          <cell r="K604">
            <v>0.57999999999999996</v>
          </cell>
          <cell r="L604" t="str">
            <v>26</v>
          </cell>
          <cell r="M604" t="str">
            <v>48008</v>
          </cell>
          <cell r="N604" t="str">
            <v>14 3020203</v>
          </cell>
          <cell r="O604" t="str">
            <v>063</v>
          </cell>
          <cell r="P604">
            <v>10</v>
          </cell>
          <cell r="Q604">
            <v>0</v>
          </cell>
          <cell r="R604" t="str">
            <v>1</v>
          </cell>
          <cell r="S604" t="str">
            <v>48</v>
          </cell>
          <cell r="T604">
            <v>95</v>
          </cell>
          <cell r="U604">
            <v>9</v>
          </cell>
          <cell r="V604">
            <v>95</v>
          </cell>
          <cell r="W604">
            <v>9</v>
          </cell>
          <cell r="X604">
            <v>95</v>
          </cell>
          <cell r="Y604">
            <v>6</v>
          </cell>
          <cell r="Z604">
            <v>99</v>
          </cell>
          <cell r="AD604" t="str">
            <v>0</v>
          </cell>
          <cell r="AE604" t="str">
            <v>0</v>
          </cell>
          <cell r="AF604" t="str">
            <v>00</v>
          </cell>
          <cell r="AI604">
            <v>7280000</v>
          </cell>
          <cell r="AJ604">
            <v>1638000</v>
          </cell>
        </row>
        <row r="605">
          <cell r="A605" t="str">
            <v>02</v>
          </cell>
          <cell r="B605" t="str">
            <v>23</v>
          </cell>
          <cell r="C605" t="str">
            <v>1496</v>
          </cell>
          <cell r="D605" t="str">
            <v>А/топ/запрАТЗ-4.2ГАЗ</v>
          </cell>
          <cell r="E605" t="str">
            <v>-3307мод3616 NВ632ХО</v>
          </cell>
          <cell r="F605" t="str">
            <v>дв0010217 ш1549555</v>
          </cell>
          <cell r="G605" t="str">
            <v>01</v>
          </cell>
          <cell r="H605">
            <v>98000</v>
          </cell>
          <cell r="I605">
            <v>0</v>
          </cell>
          <cell r="J605">
            <v>0</v>
          </cell>
          <cell r="K605">
            <v>0.88</v>
          </cell>
          <cell r="L605" t="str">
            <v>23</v>
          </cell>
          <cell r="M605" t="str">
            <v>50426</v>
          </cell>
          <cell r="N605" t="str">
            <v>15 3410362</v>
          </cell>
          <cell r="O605" t="str">
            <v>073</v>
          </cell>
          <cell r="P605">
            <v>10</v>
          </cell>
          <cell r="Q605">
            <v>0</v>
          </cell>
          <cell r="R605" t="str">
            <v>1</v>
          </cell>
          <cell r="S605" t="str">
            <v>50</v>
          </cell>
          <cell r="T605">
            <v>95</v>
          </cell>
          <cell r="U605">
            <v>9</v>
          </cell>
          <cell r="V605">
            <v>95</v>
          </cell>
          <cell r="W605">
            <v>9</v>
          </cell>
          <cell r="X605">
            <v>95</v>
          </cell>
          <cell r="Y605">
            <v>0</v>
          </cell>
          <cell r="Z605">
            <v>0</v>
          </cell>
          <cell r="AD605" t="str">
            <v>0</v>
          </cell>
          <cell r="AE605" t="str">
            <v>0</v>
          </cell>
          <cell r="AF605" t="str">
            <v>00</v>
          </cell>
          <cell r="AI605">
            <v>111739679</v>
          </cell>
          <cell r="AJ605">
            <v>25141427.780000001</v>
          </cell>
        </row>
        <row r="606">
          <cell r="A606" t="str">
            <v>02</v>
          </cell>
          <cell r="B606" t="str">
            <v>02</v>
          </cell>
          <cell r="C606" t="str">
            <v>1497</v>
          </cell>
          <cell r="D606" t="str">
            <v>Машина для подкопки</v>
          </cell>
          <cell r="E606" t="str">
            <v>труб МПТ-720</v>
          </cell>
          <cell r="G606" t="str">
            <v>01</v>
          </cell>
          <cell r="H606">
            <v>78000</v>
          </cell>
          <cell r="I606">
            <v>0</v>
          </cell>
          <cell r="J606">
            <v>0</v>
          </cell>
          <cell r="K606">
            <v>1</v>
          </cell>
          <cell r="L606" t="str">
            <v>20</v>
          </cell>
          <cell r="M606" t="str">
            <v>43803</v>
          </cell>
          <cell r="N606" t="str">
            <v>14 2947195</v>
          </cell>
          <cell r="O606" t="str">
            <v>067</v>
          </cell>
          <cell r="P606">
            <v>33.299999999999997</v>
          </cell>
          <cell r="Q606">
            <v>0</v>
          </cell>
          <cell r="R606" t="str">
            <v>1</v>
          </cell>
          <cell r="S606" t="str">
            <v>43</v>
          </cell>
          <cell r="T606">
            <v>95</v>
          </cell>
          <cell r="U606">
            <v>10</v>
          </cell>
          <cell r="V606">
            <v>95</v>
          </cell>
          <cell r="W606">
            <v>10</v>
          </cell>
          <cell r="X606">
            <v>95</v>
          </cell>
          <cell r="Y606">
            <v>0</v>
          </cell>
          <cell r="Z606">
            <v>0</v>
          </cell>
          <cell r="AB606" t="str">
            <v>14</v>
          </cell>
          <cell r="AC606">
            <v>5</v>
          </cell>
          <cell r="AD606" t="str">
            <v>0</v>
          </cell>
          <cell r="AE606" t="str">
            <v>0</v>
          </cell>
          <cell r="AF606" t="str">
            <v>00</v>
          </cell>
          <cell r="AI606">
            <v>77988000</v>
          </cell>
          <cell r="AJ606">
            <v>56268342</v>
          </cell>
        </row>
        <row r="607">
          <cell r="A607" t="str">
            <v>02</v>
          </cell>
          <cell r="B607" t="str">
            <v>23</v>
          </cell>
          <cell r="C607" t="str">
            <v>1498</v>
          </cell>
          <cell r="D607" t="str">
            <v>Автомашина КРАЗ 260-</v>
          </cell>
          <cell r="E607" t="str">
            <v>010 бортов.NоВ863 КТ</v>
          </cell>
          <cell r="F607" t="str">
            <v>дв37117 ш0779516</v>
          </cell>
          <cell r="G607" t="str">
            <v>01</v>
          </cell>
          <cell r="H607">
            <v>144260.06</v>
          </cell>
          <cell r="I607">
            <v>0</v>
          </cell>
          <cell r="J607">
            <v>182600</v>
          </cell>
          <cell r="K607">
            <v>0.98</v>
          </cell>
          <cell r="L607" t="str">
            <v>23</v>
          </cell>
          <cell r="M607" t="str">
            <v>50402</v>
          </cell>
          <cell r="N607" t="str">
            <v>15 3410196</v>
          </cell>
          <cell r="O607" t="str">
            <v>075</v>
          </cell>
          <cell r="P607">
            <v>0.37</v>
          </cell>
          <cell r="Q607">
            <v>0</v>
          </cell>
          <cell r="R607" t="str">
            <v>1</v>
          </cell>
          <cell r="S607" t="str">
            <v>50</v>
          </cell>
          <cell r="T607">
            <v>95</v>
          </cell>
          <cell r="U607">
            <v>10</v>
          </cell>
          <cell r="V607">
            <v>95</v>
          </cell>
          <cell r="W607">
            <v>10</v>
          </cell>
          <cell r="X607">
            <v>95</v>
          </cell>
          <cell r="Y607">
            <v>12</v>
          </cell>
          <cell r="Z607">
            <v>95</v>
          </cell>
          <cell r="AD607" t="str">
            <v>0</v>
          </cell>
          <cell r="AE607" t="str">
            <v>0</v>
          </cell>
          <cell r="AF607" t="str">
            <v>00</v>
          </cell>
          <cell r="AI607">
            <v>185771224</v>
          </cell>
          <cell r="AJ607">
            <v>75707867.079999998</v>
          </cell>
        </row>
        <row r="608">
          <cell r="A608" t="str">
            <v>02</v>
          </cell>
          <cell r="B608" t="str">
            <v>23</v>
          </cell>
          <cell r="C608" t="str">
            <v>1499</v>
          </cell>
          <cell r="D608" t="str">
            <v>Автомашина Вольво850</v>
          </cell>
          <cell r="E608" t="str">
            <v>Nо А 324 СМ двВ525ЧF</v>
          </cell>
          <cell r="F608" t="str">
            <v>F8810886</v>
          </cell>
          <cell r="G608" t="str">
            <v>01</v>
          </cell>
          <cell r="H608">
            <v>194873.38</v>
          </cell>
          <cell r="I608">
            <v>3.02</v>
          </cell>
          <cell r="J608">
            <v>195000</v>
          </cell>
          <cell r="K608">
            <v>1.24</v>
          </cell>
          <cell r="L608" t="str">
            <v>23</v>
          </cell>
          <cell r="M608" t="str">
            <v>50416</v>
          </cell>
          <cell r="N608" t="str">
            <v>15 3410120</v>
          </cell>
          <cell r="O608" t="str">
            <v>071</v>
          </cell>
          <cell r="P608">
            <v>14.3</v>
          </cell>
          <cell r="Q608">
            <v>0</v>
          </cell>
          <cell r="R608" t="str">
            <v>1</v>
          </cell>
          <cell r="S608" t="str">
            <v>50</v>
          </cell>
          <cell r="T608">
            <v>93</v>
          </cell>
          <cell r="U608">
            <v>10</v>
          </cell>
          <cell r="V608">
            <v>95</v>
          </cell>
          <cell r="W608">
            <v>10</v>
          </cell>
          <cell r="X608">
            <v>95</v>
          </cell>
          <cell r="Y608">
            <v>12</v>
          </cell>
          <cell r="Z608">
            <v>95</v>
          </cell>
          <cell r="AD608" t="str">
            <v>0</v>
          </cell>
          <cell r="AE608" t="str">
            <v>0</v>
          </cell>
          <cell r="AF608" t="str">
            <v>00</v>
          </cell>
          <cell r="AI608">
            <v>157237416</v>
          </cell>
          <cell r="AJ608">
            <v>48717392.700000003</v>
          </cell>
        </row>
        <row r="609">
          <cell r="A609" t="str">
            <v>02</v>
          </cell>
          <cell r="B609" t="str">
            <v>90</v>
          </cell>
          <cell r="C609" t="str">
            <v>1505</v>
          </cell>
          <cell r="D609" t="str">
            <v>Мягкая мебель Мечта</v>
          </cell>
          <cell r="G609" t="str">
            <v>01</v>
          </cell>
          <cell r="H609">
            <v>2500</v>
          </cell>
          <cell r="I609">
            <v>0</v>
          </cell>
          <cell r="J609">
            <v>0</v>
          </cell>
          <cell r="K609">
            <v>0.56000000000000005</v>
          </cell>
          <cell r="L609" t="str">
            <v>88/3</v>
          </cell>
          <cell r="M609" t="str">
            <v>70004</v>
          </cell>
          <cell r="N609" t="str">
            <v>16 3612510</v>
          </cell>
          <cell r="O609" t="str">
            <v>08</v>
          </cell>
          <cell r="P609">
            <v>6.7</v>
          </cell>
          <cell r="Q609">
            <v>0</v>
          </cell>
          <cell r="R609" t="str">
            <v>1</v>
          </cell>
          <cell r="S609" t="str">
            <v>70</v>
          </cell>
          <cell r="T609">
            <v>95</v>
          </cell>
          <cell r="U609">
            <v>10</v>
          </cell>
          <cell r="V609">
            <v>95</v>
          </cell>
          <cell r="W609">
            <v>10</v>
          </cell>
          <cell r="X609">
            <v>95</v>
          </cell>
          <cell r="Y609">
            <v>0</v>
          </cell>
          <cell r="Z609">
            <v>0</v>
          </cell>
          <cell r="AB609" t="str">
            <v>14</v>
          </cell>
          <cell r="AC609">
            <v>12</v>
          </cell>
          <cell r="AD609" t="str">
            <v>0</v>
          </cell>
          <cell r="AE609" t="str">
            <v>0</v>
          </cell>
          <cell r="AF609" t="str">
            <v>00</v>
          </cell>
          <cell r="AI609">
            <v>4444445</v>
          </cell>
          <cell r="AJ609">
            <v>645185.27</v>
          </cell>
        </row>
        <row r="610">
          <cell r="A610" t="str">
            <v>02</v>
          </cell>
          <cell r="B610" t="str">
            <v>90</v>
          </cell>
          <cell r="C610" t="str">
            <v>1503</v>
          </cell>
          <cell r="D610" t="str">
            <v>Стенка /к-т офисной</v>
          </cell>
          <cell r="E610" t="str">
            <v>мебели/</v>
          </cell>
          <cell r="G610" t="str">
            <v>01</v>
          </cell>
          <cell r="H610">
            <v>3850</v>
          </cell>
          <cell r="I610">
            <v>0</v>
          </cell>
          <cell r="J610">
            <v>0</v>
          </cell>
          <cell r="K610">
            <v>0.89</v>
          </cell>
          <cell r="L610" t="str">
            <v>23</v>
          </cell>
          <cell r="M610" t="str">
            <v>70004</v>
          </cell>
          <cell r="N610" t="str">
            <v>16 3612510</v>
          </cell>
          <cell r="O610" t="str">
            <v>08</v>
          </cell>
          <cell r="P610">
            <v>6.7</v>
          </cell>
          <cell r="Q610">
            <v>0</v>
          </cell>
          <cell r="R610" t="str">
            <v>1</v>
          </cell>
          <cell r="S610" t="str">
            <v>70</v>
          </cell>
          <cell r="T610">
            <v>95</v>
          </cell>
          <cell r="U610">
            <v>10</v>
          </cell>
          <cell r="V610">
            <v>95</v>
          </cell>
          <cell r="W610">
            <v>10</v>
          </cell>
          <cell r="X610">
            <v>95</v>
          </cell>
          <cell r="Y610">
            <v>0</v>
          </cell>
          <cell r="Z610">
            <v>0</v>
          </cell>
          <cell r="AB610" t="str">
            <v>14</v>
          </cell>
          <cell r="AC610">
            <v>12</v>
          </cell>
          <cell r="AD610" t="str">
            <v>0</v>
          </cell>
          <cell r="AE610" t="str">
            <v>0</v>
          </cell>
          <cell r="AF610" t="str">
            <v>00</v>
          </cell>
          <cell r="AI610">
            <v>4340741</v>
          </cell>
          <cell r="AJ610">
            <v>630130.9</v>
          </cell>
        </row>
        <row r="611">
          <cell r="A611" t="str">
            <v>02</v>
          </cell>
          <cell r="B611" t="str">
            <v>55</v>
          </cell>
          <cell r="C611" t="str">
            <v>1504</v>
          </cell>
          <cell r="D611" t="str">
            <v>Стул 475 В</v>
          </cell>
          <cell r="G611" t="str">
            <v>01</v>
          </cell>
          <cell r="H611">
            <v>157</v>
          </cell>
          <cell r="I611">
            <v>0</v>
          </cell>
          <cell r="J611">
            <v>0</v>
          </cell>
          <cell r="K611">
            <v>0.19</v>
          </cell>
          <cell r="L611" t="str">
            <v>26</v>
          </cell>
          <cell r="M611" t="str">
            <v>70003</v>
          </cell>
          <cell r="N611" t="str">
            <v>16 3612550</v>
          </cell>
          <cell r="O611" t="str">
            <v>08</v>
          </cell>
          <cell r="P611">
            <v>10</v>
          </cell>
          <cell r="Q611">
            <v>0</v>
          </cell>
          <cell r="R611" t="str">
            <v>1</v>
          </cell>
          <cell r="S611" t="str">
            <v>70</v>
          </cell>
          <cell r="T611">
            <v>95</v>
          </cell>
          <cell r="U611">
            <v>10</v>
          </cell>
          <cell r="V611">
            <v>95</v>
          </cell>
          <cell r="W611">
            <v>10</v>
          </cell>
          <cell r="X611">
            <v>95</v>
          </cell>
          <cell r="Y611">
            <v>0</v>
          </cell>
          <cell r="Z611">
            <v>0</v>
          </cell>
          <cell r="AB611" t="str">
            <v>14</v>
          </cell>
          <cell r="AC611">
            <v>12</v>
          </cell>
          <cell r="AD611" t="str">
            <v>0</v>
          </cell>
          <cell r="AE611" t="str">
            <v>0</v>
          </cell>
          <cell r="AF611" t="str">
            <v>00</v>
          </cell>
          <cell r="AI611">
            <v>835555</v>
          </cell>
          <cell r="AJ611">
            <v>181036.92</v>
          </cell>
        </row>
        <row r="612">
          <cell r="A612" t="str">
            <v>02</v>
          </cell>
          <cell r="B612" t="str">
            <v>55</v>
          </cell>
          <cell r="C612" t="str">
            <v>1506</v>
          </cell>
          <cell r="D612" t="str">
            <v>Стул 475 В</v>
          </cell>
          <cell r="G612" t="str">
            <v>01</v>
          </cell>
          <cell r="H612">
            <v>157</v>
          </cell>
          <cell r="I612">
            <v>0</v>
          </cell>
          <cell r="J612">
            <v>0</v>
          </cell>
          <cell r="K612">
            <v>0.19</v>
          </cell>
          <cell r="L612" t="str">
            <v>26</v>
          </cell>
          <cell r="M612" t="str">
            <v>70003</v>
          </cell>
          <cell r="N612" t="str">
            <v>16 3612550</v>
          </cell>
          <cell r="O612" t="str">
            <v>08</v>
          </cell>
          <cell r="P612">
            <v>10</v>
          </cell>
          <cell r="Q612">
            <v>0</v>
          </cell>
          <cell r="R612" t="str">
            <v>1</v>
          </cell>
          <cell r="S612" t="str">
            <v>70</v>
          </cell>
          <cell r="T612">
            <v>95</v>
          </cell>
          <cell r="U612">
            <v>10</v>
          </cell>
          <cell r="V612">
            <v>95</v>
          </cell>
          <cell r="W612">
            <v>10</v>
          </cell>
          <cell r="X612">
            <v>95</v>
          </cell>
          <cell r="Y612">
            <v>9</v>
          </cell>
          <cell r="Z612">
            <v>96</v>
          </cell>
          <cell r="AB612" t="str">
            <v>14</v>
          </cell>
          <cell r="AC612">
            <v>9</v>
          </cell>
          <cell r="AD612" t="str">
            <v>0</v>
          </cell>
          <cell r="AE612" t="str">
            <v>0</v>
          </cell>
          <cell r="AF612" t="str">
            <v>00</v>
          </cell>
          <cell r="AI612">
            <v>835555</v>
          </cell>
          <cell r="AJ612">
            <v>181036.92</v>
          </cell>
        </row>
        <row r="613">
          <cell r="A613" t="str">
            <v>02</v>
          </cell>
          <cell r="B613" t="str">
            <v>02</v>
          </cell>
          <cell r="C613" t="str">
            <v>1508</v>
          </cell>
          <cell r="D613" t="str">
            <v>Сварочная установка</v>
          </cell>
          <cell r="E613" t="str">
            <v>АС-42 на базе тракто</v>
          </cell>
          <cell r="F613" t="str">
            <v>ра Т-150</v>
          </cell>
          <cell r="G613" t="str">
            <v>01</v>
          </cell>
          <cell r="H613">
            <v>91000</v>
          </cell>
          <cell r="I613">
            <v>0</v>
          </cell>
          <cell r="J613">
            <v>0</v>
          </cell>
          <cell r="K613">
            <v>0.24</v>
          </cell>
          <cell r="L613" t="str">
            <v>20</v>
          </cell>
          <cell r="M613" t="str">
            <v>42503</v>
          </cell>
          <cell r="N613" t="str">
            <v>14 2947193</v>
          </cell>
          <cell r="O613" t="str">
            <v>067</v>
          </cell>
          <cell r="P613">
            <v>12.5</v>
          </cell>
          <cell r="Q613">
            <v>0</v>
          </cell>
          <cell r="R613" t="str">
            <v>1</v>
          </cell>
          <cell r="S613" t="str">
            <v>42</v>
          </cell>
          <cell r="T613">
            <v>95</v>
          </cell>
          <cell r="U613">
            <v>11</v>
          </cell>
          <cell r="V613">
            <v>95</v>
          </cell>
          <cell r="W613">
            <v>11</v>
          </cell>
          <cell r="X613">
            <v>95</v>
          </cell>
          <cell r="Y613">
            <v>0</v>
          </cell>
          <cell r="Z613">
            <v>0</v>
          </cell>
          <cell r="AB613" t="str">
            <v>14</v>
          </cell>
          <cell r="AC613">
            <v>3</v>
          </cell>
          <cell r="AD613" t="str">
            <v>0</v>
          </cell>
          <cell r="AE613" t="str">
            <v>0</v>
          </cell>
          <cell r="AF613" t="str">
            <v>00</v>
          </cell>
          <cell r="AI613">
            <v>375198694</v>
          </cell>
          <cell r="AJ613">
            <v>97707993.230000004</v>
          </cell>
        </row>
        <row r="614">
          <cell r="A614" t="str">
            <v>02</v>
          </cell>
          <cell r="B614" t="str">
            <v>51</v>
          </cell>
          <cell r="C614" t="str">
            <v>1509</v>
          </cell>
          <cell r="D614" t="str">
            <v>Вагон жилой Кедр-4</v>
          </cell>
          <cell r="E614" t="str">
            <v>дерево-металлич.</v>
          </cell>
          <cell r="G614" t="str">
            <v>01</v>
          </cell>
          <cell r="H614">
            <v>85000</v>
          </cell>
          <cell r="I614">
            <v>0</v>
          </cell>
          <cell r="J614">
            <v>0</v>
          </cell>
          <cell r="K614">
            <v>1.2</v>
          </cell>
          <cell r="L614" t="str">
            <v>20</v>
          </cell>
          <cell r="M614" t="str">
            <v>10010</v>
          </cell>
          <cell r="N614" t="str">
            <v>13 2022261</v>
          </cell>
          <cell r="O614" t="str">
            <v>01</v>
          </cell>
          <cell r="P614">
            <v>12.5</v>
          </cell>
          <cell r="Q614">
            <v>0</v>
          </cell>
          <cell r="R614" t="str">
            <v>1</v>
          </cell>
          <cell r="S614" t="str">
            <v>10</v>
          </cell>
          <cell r="T614">
            <v>95</v>
          </cell>
          <cell r="U614">
            <v>11</v>
          </cell>
          <cell r="V614">
            <v>95</v>
          </cell>
          <cell r="W614">
            <v>11</v>
          </cell>
          <cell r="X614">
            <v>95</v>
          </cell>
          <cell r="Y614">
            <v>0</v>
          </cell>
          <cell r="Z614">
            <v>0</v>
          </cell>
          <cell r="AD614" t="str">
            <v>0</v>
          </cell>
          <cell r="AE614" t="str">
            <v>0</v>
          </cell>
          <cell r="AF614" t="str">
            <v>00</v>
          </cell>
          <cell r="AI614">
            <v>71111111</v>
          </cell>
          <cell r="AJ614">
            <v>18518518.489999998</v>
          </cell>
        </row>
        <row r="615">
          <cell r="A615" t="str">
            <v>02</v>
          </cell>
          <cell r="B615" t="str">
            <v>80</v>
          </cell>
          <cell r="C615" t="str">
            <v>1510</v>
          </cell>
          <cell r="D615" t="str">
            <v>Комплект мебели</v>
          </cell>
          <cell r="E615" t="str">
            <v>от ТОО"Подъем"</v>
          </cell>
          <cell r="G615" t="str">
            <v>01</v>
          </cell>
          <cell r="H615">
            <v>13283.75</v>
          </cell>
          <cell r="I615">
            <v>0</v>
          </cell>
          <cell r="J615">
            <v>0</v>
          </cell>
          <cell r="K615">
            <v>0.91</v>
          </cell>
          <cell r="L615" t="str">
            <v>26</v>
          </cell>
          <cell r="M615" t="str">
            <v>70003</v>
          </cell>
          <cell r="N615" t="str">
            <v>16 3612454</v>
          </cell>
          <cell r="O615" t="str">
            <v>08</v>
          </cell>
          <cell r="P615">
            <v>10</v>
          </cell>
          <cell r="Q615">
            <v>0</v>
          </cell>
          <cell r="R615" t="str">
            <v>1</v>
          </cell>
          <cell r="S615" t="str">
            <v>70</v>
          </cell>
          <cell r="T615">
            <v>95</v>
          </cell>
          <cell r="U615">
            <v>11</v>
          </cell>
          <cell r="V615">
            <v>95</v>
          </cell>
          <cell r="W615">
            <v>11</v>
          </cell>
          <cell r="X615">
            <v>95</v>
          </cell>
          <cell r="Y615">
            <v>0</v>
          </cell>
          <cell r="Z615">
            <v>0</v>
          </cell>
          <cell r="AB615" t="str">
            <v>14</v>
          </cell>
          <cell r="AC615">
            <v>1</v>
          </cell>
          <cell r="AD615" t="str">
            <v>0</v>
          </cell>
          <cell r="AE615" t="str">
            <v>0</v>
          </cell>
          <cell r="AF615" t="str">
            <v>00</v>
          </cell>
          <cell r="AI615">
            <v>14597531</v>
          </cell>
          <cell r="AJ615">
            <v>3041152.29</v>
          </cell>
        </row>
        <row r="616">
          <cell r="A616" t="str">
            <v>02</v>
          </cell>
          <cell r="B616" t="str">
            <v>99</v>
          </cell>
          <cell r="C616" t="str">
            <v>1511</v>
          </cell>
          <cell r="D616" t="str">
            <v>Центратор внутренний</v>
          </cell>
          <cell r="E616" t="str">
            <v>ЦВ-1270000000</v>
          </cell>
          <cell r="G616" t="str">
            <v>01</v>
          </cell>
          <cell r="H616">
            <v>46800</v>
          </cell>
          <cell r="I616">
            <v>0</v>
          </cell>
          <cell r="J616">
            <v>0</v>
          </cell>
          <cell r="K616">
            <v>0.89</v>
          </cell>
          <cell r="L616" t="str">
            <v>20</v>
          </cell>
          <cell r="M616" t="str">
            <v>43507</v>
          </cell>
          <cell r="N616" t="str">
            <v>14 2928286</v>
          </cell>
          <cell r="O616" t="str">
            <v>067</v>
          </cell>
          <cell r="P616">
            <v>25</v>
          </cell>
          <cell r="Q616">
            <v>0</v>
          </cell>
          <cell r="R616" t="str">
            <v>1</v>
          </cell>
          <cell r="S616" t="str">
            <v>43</v>
          </cell>
          <cell r="T616">
            <v>95</v>
          </cell>
          <cell r="U616">
            <v>11</v>
          </cell>
          <cell r="V616">
            <v>95</v>
          </cell>
          <cell r="W616">
            <v>11</v>
          </cell>
          <cell r="X616">
            <v>95</v>
          </cell>
          <cell r="Y616">
            <v>0</v>
          </cell>
          <cell r="Z616">
            <v>0</v>
          </cell>
          <cell r="AB616" t="str">
            <v>14</v>
          </cell>
          <cell r="AC616">
            <v>12</v>
          </cell>
          <cell r="AD616" t="str">
            <v>0</v>
          </cell>
          <cell r="AE616" t="str">
            <v>0</v>
          </cell>
          <cell r="AF616" t="str">
            <v>00</v>
          </cell>
          <cell r="AI616">
            <v>52482469</v>
          </cell>
          <cell r="AJ616">
            <v>27334619.27</v>
          </cell>
        </row>
        <row r="617">
          <cell r="A617" t="str">
            <v>02</v>
          </cell>
          <cell r="B617" t="str">
            <v>99</v>
          </cell>
          <cell r="C617" t="str">
            <v>1512</v>
          </cell>
          <cell r="D617" t="str">
            <v>Центратор внутренний</v>
          </cell>
          <cell r="E617" t="str">
            <v>ЦВ-1270000000</v>
          </cell>
          <cell r="G617" t="str">
            <v>01</v>
          </cell>
          <cell r="H617">
            <v>46800</v>
          </cell>
          <cell r="I617">
            <v>0</v>
          </cell>
          <cell r="J617">
            <v>0</v>
          </cell>
          <cell r="K617">
            <v>0.89</v>
          </cell>
          <cell r="L617" t="str">
            <v>20</v>
          </cell>
          <cell r="M617" t="str">
            <v>43507</v>
          </cell>
          <cell r="N617" t="str">
            <v>14 2928286</v>
          </cell>
          <cell r="O617" t="str">
            <v>067</v>
          </cell>
          <cell r="P617">
            <v>25</v>
          </cell>
          <cell r="Q617">
            <v>0</v>
          </cell>
          <cell r="R617" t="str">
            <v>1</v>
          </cell>
          <cell r="S617" t="str">
            <v>43</v>
          </cell>
          <cell r="T617">
            <v>95</v>
          </cell>
          <cell r="U617">
            <v>11</v>
          </cell>
          <cell r="V617">
            <v>95</v>
          </cell>
          <cell r="W617">
            <v>11</v>
          </cell>
          <cell r="X617">
            <v>95</v>
          </cell>
          <cell r="Y617">
            <v>0</v>
          </cell>
          <cell r="Z617">
            <v>0</v>
          </cell>
          <cell r="AB617" t="str">
            <v>14</v>
          </cell>
          <cell r="AC617">
            <v>12</v>
          </cell>
          <cell r="AD617" t="str">
            <v>0</v>
          </cell>
          <cell r="AE617" t="str">
            <v>0</v>
          </cell>
          <cell r="AF617" t="str">
            <v>00</v>
          </cell>
          <cell r="AI617">
            <v>52482469</v>
          </cell>
          <cell r="AJ617">
            <v>27334619.27</v>
          </cell>
        </row>
        <row r="618">
          <cell r="A618" t="str">
            <v>02</v>
          </cell>
          <cell r="B618" t="str">
            <v>71</v>
          </cell>
          <cell r="C618" t="str">
            <v>1514</v>
          </cell>
          <cell r="D618" t="str">
            <v>Стол V 121</v>
          </cell>
          <cell r="G618" t="str">
            <v>01</v>
          </cell>
          <cell r="H618">
            <v>801</v>
          </cell>
          <cell r="I618">
            <v>0</v>
          </cell>
          <cell r="J618">
            <v>0</v>
          </cell>
          <cell r="K618">
            <v>0.91</v>
          </cell>
          <cell r="L618" t="str">
            <v>23</v>
          </cell>
          <cell r="M618" t="str">
            <v>70003</v>
          </cell>
          <cell r="N618" t="str">
            <v>16 3612421</v>
          </cell>
          <cell r="O618" t="str">
            <v>08</v>
          </cell>
          <cell r="P618">
            <v>10</v>
          </cell>
          <cell r="Q618">
            <v>0</v>
          </cell>
          <cell r="R618" t="str">
            <v>1</v>
          </cell>
          <cell r="S618" t="str">
            <v>70</v>
          </cell>
          <cell r="T618">
            <v>94</v>
          </cell>
          <cell r="U618">
            <v>11</v>
          </cell>
          <cell r="V618">
            <v>95</v>
          </cell>
          <cell r="W618">
            <v>11</v>
          </cell>
          <cell r="X618">
            <v>95</v>
          </cell>
          <cell r="Y618">
            <v>0</v>
          </cell>
          <cell r="Z618">
            <v>0</v>
          </cell>
          <cell r="AD618" t="str">
            <v>0</v>
          </cell>
          <cell r="AE618" t="str">
            <v>0</v>
          </cell>
          <cell r="AF618" t="str">
            <v>00</v>
          </cell>
          <cell r="AI618">
            <v>884009</v>
          </cell>
          <cell r="AJ618">
            <v>184168.54</v>
          </cell>
        </row>
        <row r="619">
          <cell r="A619" t="str">
            <v>02</v>
          </cell>
          <cell r="B619" t="str">
            <v>71</v>
          </cell>
          <cell r="C619" t="str">
            <v>1515</v>
          </cell>
          <cell r="D619" t="str">
            <v>Стол V 123</v>
          </cell>
          <cell r="G619" t="str">
            <v>01</v>
          </cell>
          <cell r="H619">
            <v>832</v>
          </cell>
          <cell r="I619">
            <v>0</v>
          </cell>
          <cell r="J619">
            <v>0</v>
          </cell>
          <cell r="K619">
            <v>0.89</v>
          </cell>
          <cell r="L619" t="str">
            <v>23</v>
          </cell>
          <cell r="M619" t="str">
            <v>70003</v>
          </cell>
          <cell r="N619" t="str">
            <v>16 3612421</v>
          </cell>
          <cell r="O619" t="str">
            <v>08</v>
          </cell>
          <cell r="P619">
            <v>10</v>
          </cell>
          <cell r="Q619">
            <v>0</v>
          </cell>
          <cell r="R619" t="str">
            <v>1</v>
          </cell>
          <cell r="S619" t="str">
            <v>70</v>
          </cell>
          <cell r="T619">
            <v>94</v>
          </cell>
          <cell r="U619">
            <v>11</v>
          </cell>
          <cell r="V619">
            <v>95</v>
          </cell>
          <cell r="W619">
            <v>11</v>
          </cell>
          <cell r="X619">
            <v>95</v>
          </cell>
          <cell r="Y619">
            <v>0</v>
          </cell>
          <cell r="Z619">
            <v>0</v>
          </cell>
          <cell r="AD619" t="str">
            <v>0</v>
          </cell>
          <cell r="AE619" t="str">
            <v>0</v>
          </cell>
          <cell r="AF619" t="str">
            <v>00</v>
          </cell>
          <cell r="AI619">
            <v>938334</v>
          </cell>
          <cell r="AJ619">
            <v>195486.25</v>
          </cell>
        </row>
        <row r="620">
          <cell r="A620" t="str">
            <v>02</v>
          </cell>
          <cell r="B620" t="str">
            <v>71</v>
          </cell>
          <cell r="C620" t="str">
            <v>1516</v>
          </cell>
          <cell r="D620" t="str">
            <v>Тумба</v>
          </cell>
          <cell r="G620" t="str">
            <v>01</v>
          </cell>
          <cell r="H620">
            <v>512</v>
          </cell>
          <cell r="I620">
            <v>0</v>
          </cell>
          <cell r="J620">
            <v>0</v>
          </cell>
          <cell r="K620">
            <v>0.65</v>
          </cell>
          <cell r="L620" t="str">
            <v>23</v>
          </cell>
          <cell r="M620" t="str">
            <v>70003</v>
          </cell>
          <cell r="N620" t="str">
            <v>16 3612461</v>
          </cell>
          <cell r="O620" t="str">
            <v>08</v>
          </cell>
          <cell r="P620">
            <v>10</v>
          </cell>
          <cell r="Q620">
            <v>0</v>
          </cell>
          <cell r="R620" t="str">
            <v>1</v>
          </cell>
          <cell r="S620" t="str">
            <v>70</v>
          </cell>
          <cell r="T620">
            <v>94</v>
          </cell>
          <cell r="U620">
            <v>11</v>
          </cell>
          <cell r="V620">
            <v>95</v>
          </cell>
          <cell r="W620">
            <v>11</v>
          </cell>
          <cell r="X620">
            <v>95</v>
          </cell>
          <cell r="Y620">
            <v>0</v>
          </cell>
          <cell r="Z620">
            <v>0</v>
          </cell>
          <cell r="AD620" t="str">
            <v>0</v>
          </cell>
          <cell r="AE620" t="str">
            <v>0</v>
          </cell>
          <cell r="AF620" t="str">
            <v>00</v>
          </cell>
          <cell r="AI620">
            <v>790176</v>
          </cell>
          <cell r="AJ620">
            <v>164620</v>
          </cell>
        </row>
        <row r="621">
          <cell r="A621" t="str">
            <v>02</v>
          </cell>
          <cell r="B621" t="str">
            <v>71</v>
          </cell>
          <cell r="C621" t="str">
            <v>1517</v>
          </cell>
          <cell r="D621" t="str">
            <v>Шкаф V 125</v>
          </cell>
          <cell r="G621" t="str">
            <v>01</v>
          </cell>
          <cell r="H621">
            <v>584.24</v>
          </cell>
          <cell r="I621">
            <v>0</v>
          </cell>
          <cell r="J621">
            <v>0</v>
          </cell>
          <cell r="K621">
            <v>0.91</v>
          </cell>
          <cell r="L621" t="str">
            <v>23</v>
          </cell>
          <cell r="M621" t="str">
            <v>70003</v>
          </cell>
          <cell r="N621" t="str">
            <v>16 3612480</v>
          </cell>
          <cell r="O621" t="str">
            <v>08</v>
          </cell>
          <cell r="P621">
            <v>10</v>
          </cell>
          <cell r="Q621">
            <v>0</v>
          </cell>
          <cell r="R621" t="str">
            <v>1</v>
          </cell>
          <cell r="S621" t="str">
            <v>70</v>
          </cell>
          <cell r="T621">
            <v>94</v>
          </cell>
          <cell r="U621">
            <v>11</v>
          </cell>
          <cell r="V621">
            <v>95</v>
          </cell>
          <cell r="W621">
            <v>11</v>
          </cell>
          <cell r="X621">
            <v>95</v>
          </cell>
          <cell r="Y621">
            <v>0</v>
          </cell>
          <cell r="Z621">
            <v>0</v>
          </cell>
          <cell r="AD621" t="str">
            <v>0</v>
          </cell>
          <cell r="AE621" t="str">
            <v>0</v>
          </cell>
          <cell r="AF621" t="str">
            <v>00</v>
          </cell>
          <cell r="AI621">
            <v>642018</v>
          </cell>
          <cell r="AJ621">
            <v>133753.75</v>
          </cell>
        </row>
        <row r="622">
          <cell r="A622" t="str">
            <v>02</v>
          </cell>
          <cell r="B622" t="str">
            <v>90</v>
          </cell>
          <cell r="C622" t="str">
            <v>1518</v>
          </cell>
          <cell r="D622" t="str">
            <v>К-т офисной мебели</v>
          </cell>
          <cell r="G622" t="str">
            <v>01</v>
          </cell>
          <cell r="H622">
            <v>2433.3200000000002</v>
          </cell>
          <cell r="I622">
            <v>0</v>
          </cell>
          <cell r="J622">
            <v>0</v>
          </cell>
          <cell r="K622">
            <v>0.91</v>
          </cell>
          <cell r="L622" t="str">
            <v>23</v>
          </cell>
          <cell r="M622" t="str">
            <v>70004</v>
          </cell>
          <cell r="N622" t="str">
            <v>16 3612510</v>
          </cell>
          <cell r="O622" t="str">
            <v>08</v>
          </cell>
          <cell r="P622">
            <v>6.7</v>
          </cell>
          <cell r="Q622">
            <v>0</v>
          </cell>
          <cell r="R622" t="str">
            <v>1</v>
          </cell>
          <cell r="S622" t="str">
            <v>70</v>
          </cell>
          <cell r="T622">
            <v>95</v>
          </cell>
          <cell r="U622">
            <v>11</v>
          </cell>
          <cell r="V622">
            <v>95</v>
          </cell>
          <cell r="W622">
            <v>11</v>
          </cell>
          <cell r="X622">
            <v>95</v>
          </cell>
          <cell r="Y622">
            <v>0</v>
          </cell>
          <cell r="Z622">
            <v>0</v>
          </cell>
          <cell r="AD622" t="str">
            <v>0</v>
          </cell>
          <cell r="AE622" t="str">
            <v>0</v>
          </cell>
          <cell r="AF622" t="str">
            <v>00</v>
          </cell>
          <cell r="AI622">
            <v>2673977</v>
          </cell>
          <cell r="AJ622">
            <v>373242.62</v>
          </cell>
        </row>
        <row r="623">
          <cell r="A623" t="str">
            <v>02</v>
          </cell>
          <cell r="B623" t="str">
            <v>90</v>
          </cell>
          <cell r="C623" t="str">
            <v>1521</v>
          </cell>
          <cell r="D623" t="str">
            <v>Шлифмашинка МА-2000</v>
          </cell>
          <cell r="G623" t="str">
            <v>01</v>
          </cell>
          <cell r="H623">
            <v>880</v>
          </cell>
          <cell r="I623">
            <v>0</v>
          </cell>
          <cell r="J623">
            <v>0</v>
          </cell>
          <cell r="K623">
            <v>0.54</v>
          </cell>
          <cell r="L623" t="str">
            <v>23</v>
          </cell>
          <cell r="M623" t="str">
            <v>60000</v>
          </cell>
          <cell r="N623" t="str">
            <v>14 2947196</v>
          </cell>
          <cell r="O623" t="str">
            <v>08</v>
          </cell>
          <cell r="P623">
            <v>50</v>
          </cell>
          <cell r="Q623">
            <v>0</v>
          </cell>
          <cell r="R623" t="str">
            <v>1</v>
          </cell>
          <cell r="S623" t="str">
            <v>60</v>
          </cell>
          <cell r="T623">
            <v>95</v>
          </cell>
          <cell r="U623">
            <v>11</v>
          </cell>
          <cell r="V623">
            <v>95</v>
          </cell>
          <cell r="W623">
            <v>11</v>
          </cell>
          <cell r="X623">
            <v>95</v>
          </cell>
          <cell r="Y623">
            <v>0</v>
          </cell>
          <cell r="Z623">
            <v>0</v>
          </cell>
          <cell r="AD623" t="str">
            <v>0</v>
          </cell>
          <cell r="AE623" t="str">
            <v>0</v>
          </cell>
          <cell r="AF623" t="str">
            <v>00</v>
          </cell>
          <cell r="AI623">
            <v>1629738</v>
          </cell>
          <cell r="AJ623">
            <v>1629738</v>
          </cell>
        </row>
        <row r="624">
          <cell r="A624" t="str">
            <v>02</v>
          </cell>
          <cell r="B624" t="str">
            <v>99</v>
          </cell>
          <cell r="C624" t="str">
            <v>1523</v>
          </cell>
          <cell r="D624" t="str">
            <v>Шлифмашинка МА-2000</v>
          </cell>
          <cell r="G624" t="str">
            <v>01</v>
          </cell>
          <cell r="H624">
            <v>880</v>
          </cell>
          <cell r="I624">
            <v>0</v>
          </cell>
          <cell r="J624">
            <v>0</v>
          </cell>
          <cell r="K624">
            <v>0.54</v>
          </cell>
          <cell r="L624" t="str">
            <v>20</v>
          </cell>
          <cell r="M624" t="str">
            <v>60000</v>
          </cell>
          <cell r="N624" t="str">
            <v>14 2947196</v>
          </cell>
          <cell r="O624" t="str">
            <v>08</v>
          </cell>
          <cell r="P624">
            <v>50</v>
          </cell>
          <cell r="Q624">
            <v>0</v>
          </cell>
          <cell r="R624" t="str">
            <v>1</v>
          </cell>
          <cell r="S624" t="str">
            <v>60</v>
          </cell>
          <cell r="T624">
            <v>95</v>
          </cell>
          <cell r="U624">
            <v>11</v>
          </cell>
          <cell r="V624">
            <v>95</v>
          </cell>
          <cell r="W624">
            <v>11</v>
          </cell>
          <cell r="X624">
            <v>95</v>
          </cell>
          <cell r="Y624">
            <v>0</v>
          </cell>
          <cell r="Z624">
            <v>0</v>
          </cell>
          <cell r="AD624" t="str">
            <v>0</v>
          </cell>
          <cell r="AE624" t="str">
            <v>0</v>
          </cell>
          <cell r="AF624" t="str">
            <v>00</v>
          </cell>
          <cell r="AI624">
            <v>1629738</v>
          </cell>
          <cell r="AJ624">
            <v>1629738</v>
          </cell>
        </row>
        <row r="625">
          <cell r="A625" t="str">
            <v>02</v>
          </cell>
          <cell r="B625" t="str">
            <v>99</v>
          </cell>
          <cell r="C625" t="str">
            <v>1524</v>
          </cell>
          <cell r="D625" t="str">
            <v>Шлифмашинка МА-2000</v>
          </cell>
          <cell r="G625" t="str">
            <v>01</v>
          </cell>
          <cell r="H625">
            <v>880</v>
          </cell>
          <cell r="I625">
            <v>0</v>
          </cell>
          <cell r="J625">
            <v>0</v>
          </cell>
          <cell r="K625">
            <v>0.54</v>
          </cell>
          <cell r="L625" t="str">
            <v>20</v>
          </cell>
          <cell r="M625" t="str">
            <v>60000</v>
          </cell>
          <cell r="N625" t="str">
            <v>14 2947196</v>
          </cell>
          <cell r="O625" t="str">
            <v>08</v>
          </cell>
          <cell r="P625">
            <v>50</v>
          </cell>
          <cell r="Q625">
            <v>0</v>
          </cell>
          <cell r="R625" t="str">
            <v>1</v>
          </cell>
          <cell r="S625" t="str">
            <v>60</v>
          </cell>
          <cell r="T625">
            <v>95</v>
          </cell>
          <cell r="U625">
            <v>11</v>
          </cell>
          <cell r="V625">
            <v>95</v>
          </cell>
          <cell r="W625">
            <v>11</v>
          </cell>
          <cell r="X625">
            <v>95</v>
          </cell>
          <cell r="Y625">
            <v>0</v>
          </cell>
          <cell r="Z625">
            <v>0</v>
          </cell>
          <cell r="AD625" t="str">
            <v>0</v>
          </cell>
          <cell r="AE625" t="str">
            <v>0</v>
          </cell>
          <cell r="AF625" t="str">
            <v>00</v>
          </cell>
          <cell r="AI625">
            <v>1629738</v>
          </cell>
          <cell r="AJ625">
            <v>1629738</v>
          </cell>
        </row>
        <row r="626">
          <cell r="A626" t="str">
            <v>02</v>
          </cell>
          <cell r="B626" t="str">
            <v>90</v>
          </cell>
          <cell r="C626" t="str">
            <v>1525</v>
          </cell>
          <cell r="D626" t="str">
            <v>Стол "BODEQA"</v>
          </cell>
          <cell r="G626" t="str">
            <v>01</v>
          </cell>
          <cell r="H626">
            <v>1140.0899999999999</v>
          </cell>
          <cell r="I626">
            <v>0</v>
          </cell>
          <cell r="J626">
            <v>0</v>
          </cell>
          <cell r="K626">
            <v>0.41</v>
          </cell>
          <cell r="L626" t="str">
            <v>23</v>
          </cell>
          <cell r="M626" t="str">
            <v>70003</v>
          </cell>
          <cell r="N626" t="str">
            <v>16 3612421</v>
          </cell>
          <cell r="O626" t="str">
            <v>08</v>
          </cell>
          <cell r="P626">
            <v>10</v>
          </cell>
          <cell r="Q626">
            <v>0</v>
          </cell>
          <cell r="R626" t="str">
            <v>1</v>
          </cell>
          <cell r="S626" t="str">
            <v>70</v>
          </cell>
          <cell r="T626">
            <v>95</v>
          </cell>
          <cell r="U626">
            <v>11</v>
          </cell>
          <cell r="V626">
            <v>95</v>
          </cell>
          <cell r="W626">
            <v>11</v>
          </cell>
          <cell r="X626">
            <v>95</v>
          </cell>
          <cell r="Y626">
            <v>0</v>
          </cell>
          <cell r="Z626">
            <v>0</v>
          </cell>
          <cell r="AD626" t="str">
            <v>0</v>
          </cell>
          <cell r="AE626" t="str">
            <v>0</v>
          </cell>
          <cell r="AF626" t="str">
            <v>00</v>
          </cell>
          <cell r="AI626">
            <v>2814815</v>
          </cell>
          <cell r="AJ626">
            <v>586419.79</v>
          </cell>
        </row>
        <row r="627">
          <cell r="A627" t="str">
            <v>02</v>
          </cell>
          <cell r="B627" t="str">
            <v>70</v>
          </cell>
          <cell r="C627" t="str">
            <v>1526</v>
          </cell>
          <cell r="D627" t="str">
            <v>Блок управления</v>
          </cell>
          <cell r="E627" t="str">
            <v>БУ-6ДЭ-382079</v>
          </cell>
          <cell r="G627" t="str">
            <v>01</v>
          </cell>
          <cell r="H627">
            <v>1865</v>
          </cell>
          <cell r="I627">
            <v>0</v>
          </cell>
          <cell r="J627">
            <v>0</v>
          </cell>
          <cell r="K627">
            <v>0.82</v>
          </cell>
          <cell r="L627" t="str">
            <v>20</v>
          </cell>
          <cell r="M627" t="str">
            <v>42502</v>
          </cell>
          <cell r="N627" t="str">
            <v>14 2922810</v>
          </cell>
          <cell r="O627" t="str">
            <v>067</v>
          </cell>
          <cell r="P627">
            <v>16.7</v>
          </cell>
          <cell r="Q627">
            <v>0</v>
          </cell>
          <cell r="R627" t="str">
            <v>1</v>
          </cell>
          <cell r="S627" t="str">
            <v>42</v>
          </cell>
          <cell r="T627">
            <v>95</v>
          </cell>
          <cell r="U627">
            <v>11</v>
          </cell>
          <cell r="V627">
            <v>95</v>
          </cell>
          <cell r="W627">
            <v>11</v>
          </cell>
          <cell r="X627">
            <v>95</v>
          </cell>
          <cell r="Y627">
            <v>0</v>
          </cell>
          <cell r="Z627">
            <v>0</v>
          </cell>
          <cell r="AB627" t="str">
            <v>14</v>
          </cell>
          <cell r="AC627">
            <v>12</v>
          </cell>
          <cell r="AD627" t="str">
            <v>0</v>
          </cell>
          <cell r="AE627" t="str">
            <v>0</v>
          </cell>
          <cell r="AF627" t="str">
            <v>00</v>
          </cell>
          <cell r="AI627">
            <v>2280000</v>
          </cell>
          <cell r="AJ627">
            <v>793250</v>
          </cell>
        </row>
        <row r="628">
          <cell r="A628" t="str">
            <v>02</v>
          </cell>
          <cell r="B628" t="str">
            <v>70</v>
          </cell>
          <cell r="C628" t="str">
            <v>1527</v>
          </cell>
          <cell r="D628" t="str">
            <v>Блок управления</v>
          </cell>
          <cell r="E628" t="str">
            <v>БУ-6ДЭ-382079</v>
          </cell>
          <cell r="G628" t="str">
            <v>01</v>
          </cell>
          <cell r="H628">
            <v>1865</v>
          </cell>
          <cell r="I628">
            <v>0</v>
          </cell>
          <cell r="J628">
            <v>0</v>
          </cell>
          <cell r="K628">
            <v>0.82</v>
          </cell>
          <cell r="L628" t="str">
            <v>20</v>
          </cell>
          <cell r="M628" t="str">
            <v>42502</v>
          </cell>
          <cell r="N628" t="str">
            <v>14 2922810</v>
          </cell>
          <cell r="O628" t="str">
            <v>067</v>
          </cell>
          <cell r="P628">
            <v>16.7</v>
          </cell>
          <cell r="Q628">
            <v>0</v>
          </cell>
          <cell r="R628" t="str">
            <v>1</v>
          </cell>
          <cell r="S628" t="str">
            <v>42</v>
          </cell>
          <cell r="T628">
            <v>95</v>
          </cell>
          <cell r="U628">
            <v>11</v>
          </cell>
          <cell r="V628">
            <v>95</v>
          </cell>
          <cell r="W628">
            <v>11</v>
          </cell>
          <cell r="X628">
            <v>95</v>
          </cell>
          <cell r="Y628">
            <v>0</v>
          </cell>
          <cell r="Z628">
            <v>0</v>
          </cell>
          <cell r="AB628" t="str">
            <v>14</v>
          </cell>
          <cell r="AC628">
            <v>12</v>
          </cell>
          <cell r="AD628" t="str">
            <v>0</v>
          </cell>
          <cell r="AE628" t="str">
            <v>0</v>
          </cell>
          <cell r="AF628" t="str">
            <v>00</v>
          </cell>
          <cell r="AI628">
            <v>2280000</v>
          </cell>
          <cell r="AJ628">
            <v>793250</v>
          </cell>
        </row>
        <row r="629">
          <cell r="A629" t="str">
            <v>02</v>
          </cell>
          <cell r="B629" t="str">
            <v>23</v>
          </cell>
          <cell r="C629" t="str">
            <v>1531</v>
          </cell>
          <cell r="D629" t="str">
            <v>Седельный тягач</v>
          </cell>
          <cell r="E629" t="str">
            <v>КРАЗ-260В NоВ 804 ОВ</v>
          </cell>
          <cell r="F629" t="str">
            <v>дв19349 ш0754268</v>
          </cell>
          <cell r="G629" t="str">
            <v>01</v>
          </cell>
          <cell r="H629">
            <v>180025.64</v>
          </cell>
          <cell r="I629">
            <v>0</v>
          </cell>
          <cell r="J629">
            <v>210000</v>
          </cell>
          <cell r="K629">
            <v>1</v>
          </cell>
          <cell r="L629" t="str">
            <v>23</v>
          </cell>
          <cell r="M629" t="str">
            <v>50402</v>
          </cell>
          <cell r="N629" t="str">
            <v>15 3410216</v>
          </cell>
          <cell r="O629" t="str">
            <v>075</v>
          </cell>
          <cell r="P629">
            <v>0.37</v>
          </cell>
          <cell r="Q629">
            <v>0</v>
          </cell>
          <cell r="R629" t="str">
            <v>1</v>
          </cell>
          <cell r="S629" t="str">
            <v>50</v>
          </cell>
          <cell r="T629">
            <v>95</v>
          </cell>
          <cell r="U629">
            <v>12</v>
          </cell>
          <cell r="V629">
            <v>95</v>
          </cell>
          <cell r="W629">
            <v>12</v>
          </cell>
          <cell r="X629">
            <v>95</v>
          </cell>
          <cell r="Y629">
            <v>3</v>
          </cell>
          <cell r="Z629">
            <v>96</v>
          </cell>
          <cell r="AD629" t="str">
            <v>0</v>
          </cell>
          <cell r="AE629" t="str">
            <v>0</v>
          </cell>
          <cell r="AF629" t="str">
            <v>00</v>
          </cell>
          <cell r="AI629">
            <v>209918209</v>
          </cell>
          <cell r="AJ629">
            <v>64683459.329999998</v>
          </cell>
        </row>
        <row r="630">
          <cell r="A630" t="str">
            <v>02</v>
          </cell>
          <cell r="B630" t="str">
            <v>23</v>
          </cell>
          <cell r="C630" t="str">
            <v>1532</v>
          </cell>
          <cell r="D630" t="str">
            <v>А/м УАЗ-3909 грузо-</v>
          </cell>
          <cell r="E630" t="str">
            <v>пассажир.Nо В 927 МТ</v>
          </cell>
          <cell r="F630" t="str">
            <v>дв51103128 ш339437</v>
          </cell>
          <cell r="G630" t="str">
            <v>01</v>
          </cell>
          <cell r="H630">
            <v>40551.4</v>
          </cell>
          <cell r="I630">
            <v>0</v>
          </cell>
          <cell r="J630">
            <v>47990</v>
          </cell>
          <cell r="K630">
            <v>0.87</v>
          </cell>
          <cell r="L630" t="str">
            <v>23</v>
          </cell>
          <cell r="M630" t="str">
            <v>50401</v>
          </cell>
          <cell r="N630" t="str">
            <v>15 3410170</v>
          </cell>
          <cell r="O630" t="str">
            <v>075</v>
          </cell>
          <cell r="P630">
            <v>14.3</v>
          </cell>
          <cell r="Q630">
            <v>0</v>
          </cell>
          <cell r="R630" t="str">
            <v>1</v>
          </cell>
          <cell r="S630" t="str">
            <v>50</v>
          </cell>
          <cell r="T630">
            <v>95</v>
          </cell>
          <cell r="U630">
            <v>12</v>
          </cell>
          <cell r="V630">
            <v>95</v>
          </cell>
          <cell r="W630">
            <v>12</v>
          </cell>
          <cell r="X630">
            <v>95</v>
          </cell>
          <cell r="Y630">
            <v>12</v>
          </cell>
          <cell r="Z630">
            <v>95</v>
          </cell>
          <cell r="AD630" t="str">
            <v>0</v>
          </cell>
          <cell r="AE630" t="str">
            <v>0</v>
          </cell>
          <cell r="AF630" t="str">
            <v>00</v>
          </cell>
          <cell r="AI630">
            <v>55308624</v>
          </cell>
          <cell r="AJ630">
            <v>15818266.460000001</v>
          </cell>
        </row>
        <row r="631">
          <cell r="A631" t="str">
            <v>02</v>
          </cell>
          <cell r="B631" t="str">
            <v>23</v>
          </cell>
          <cell r="C631" t="str">
            <v>1533</v>
          </cell>
          <cell r="D631" t="str">
            <v>А/м УАЗ-3909 грузо</v>
          </cell>
          <cell r="E631" t="str">
            <v>пассажир.NоВ 928 МТ</v>
          </cell>
          <cell r="F631" t="str">
            <v>дв50708941 ш328074</v>
          </cell>
          <cell r="G631" t="str">
            <v>01</v>
          </cell>
          <cell r="H631">
            <v>40551.4</v>
          </cell>
          <cell r="I631">
            <v>0</v>
          </cell>
          <cell r="J631">
            <v>47990</v>
          </cell>
          <cell r="K631">
            <v>0.87</v>
          </cell>
          <cell r="L631" t="str">
            <v>23</v>
          </cell>
          <cell r="M631" t="str">
            <v>50401</v>
          </cell>
          <cell r="N631" t="str">
            <v>15 3410170</v>
          </cell>
          <cell r="O631" t="str">
            <v>075</v>
          </cell>
          <cell r="P631">
            <v>14.3</v>
          </cell>
          <cell r="Q631">
            <v>0</v>
          </cell>
          <cell r="R631" t="str">
            <v>1</v>
          </cell>
          <cell r="S631" t="str">
            <v>50</v>
          </cell>
          <cell r="T631">
            <v>95</v>
          </cell>
          <cell r="U631">
            <v>12</v>
          </cell>
          <cell r="V631">
            <v>95</v>
          </cell>
          <cell r="W631">
            <v>12</v>
          </cell>
          <cell r="X631">
            <v>95</v>
          </cell>
          <cell r="Y631">
            <v>12</v>
          </cell>
          <cell r="Z631">
            <v>95</v>
          </cell>
          <cell r="AD631" t="str">
            <v>0</v>
          </cell>
          <cell r="AE631" t="str">
            <v>0</v>
          </cell>
          <cell r="AF631" t="str">
            <v>00</v>
          </cell>
          <cell r="AI631">
            <v>55308642</v>
          </cell>
          <cell r="AJ631">
            <v>15818271.609999999</v>
          </cell>
        </row>
        <row r="632">
          <cell r="A632" t="str">
            <v>02</v>
          </cell>
          <cell r="B632" t="str">
            <v>41</v>
          </cell>
          <cell r="C632" t="str">
            <v>1534</v>
          </cell>
          <cell r="D632" t="str">
            <v>Рентгенаппарат Арина</v>
          </cell>
          <cell r="G632" t="str">
            <v>01</v>
          </cell>
          <cell r="H632">
            <v>3327.5</v>
          </cell>
          <cell r="I632">
            <v>0</v>
          </cell>
          <cell r="J632">
            <v>0</v>
          </cell>
          <cell r="K632">
            <v>1.21</v>
          </cell>
          <cell r="L632" t="str">
            <v>20</v>
          </cell>
          <cell r="M632" t="str">
            <v>47024</v>
          </cell>
          <cell r="N632" t="str">
            <v>14 3313341</v>
          </cell>
          <cell r="O632" t="str">
            <v>063</v>
          </cell>
          <cell r="P632">
            <v>10.4</v>
          </cell>
          <cell r="Q632">
            <v>0</v>
          </cell>
          <cell r="R632" t="str">
            <v>1</v>
          </cell>
          <cell r="S632" t="str">
            <v>47</v>
          </cell>
          <cell r="T632">
            <v>95</v>
          </cell>
          <cell r="U632">
            <v>12</v>
          </cell>
          <cell r="V632">
            <v>95</v>
          </cell>
          <cell r="W632">
            <v>12</v>
          </cell>
          <cell r="X632">
            <v>95</v>
          </cell>
          <cell r="Y632">
            <v>0</v>
          </cell>
          <cell r="Z632">
            <v>0</v>
          </cell>
          <cell r="AD632" t="str">
            <v>0</v>
          </cell>
          <cell r="AE632" t="str">
            <v>0</v>
          </cell>
          <cell r="AF632" t="str">
            <v>00</v>
          </cell>
          <cell r="AI632">
            <v>2750000</v>
          </cell>
          <cell r="AJ632">
            <v>572000</v>
          </cell>
        </row>
        <row r="633">
          <cell r="A633" t="str">
            <v>02</v>
          </cell>
          <cell r="B633" t="str">
            <v>41</v>
          </cell>
          <cell r="C633" t="str">
            <v>1535</v>
          </cell>
          <cell r="D633" t="str">
            <v>Рентгенаппарат Арина</v>
          </cell>
          <cell r="G633" t="str">
            <v>01</v>
          </cell>
          <cell r="H633">
            <v>3327.5</v>
          </cell>
          <cell r="I633">
            <v>0</v>
          </cell>
          <cell r="J633">
            <v>0</v>
          </cell>
          <cell r="K633">
            <v>1.21</v>
          </cell>
          <cell r="L633" t="str">
            <v>20</v>
          </cell>
          <cell r="M633" t="str">
            <v>47024</v>
          </cell>
          <cell r="N633" t="str">
            <v>14 3313341</v>
          </cell>
          <cell r="O633" t="str">
            <v>063</v>
          </cell>
          <cell r="P633">
            <v>10.4</v>
          </cell>
          <cell r="Q633">
            <v>0</v>
          </cell>
          <cell r="R633" t="str">
            <v>1</v>
          </cell>
          <cell r="S633" t="str">
            <v>47</v>
          </cell>
          <cell r="T633">
            <v>95</v>
          </cell>
          <cell r="U633">
            <v>12</v>
          </cell>
          <cell r="V633">
            <v>95</v>
          </cell>
          <cell r="W633">
            <v>12</v>
          </cell>
          <cell r="X633">
            <v>95</v>
          </cell>
          <cell r="Y633">
            <v>0</v>
          </cell>
          <cell r="Z633">
            <v>0</v>
          </cell>
          <cell r="AD633" t="str">
            <v>0</v>
          </cell>
          <cell r="AE633" t="str">
            <v>0</v>
          </cell>
          <cell r="AF633" t="str">
            <v>00</v>
          </cell>
          <cell r="AI633">
            <v>2750000</v>
          </cell>
          <cell r="AJ633">
            <v>572000</v>
          </cell>
        </row>
        <row r="634">
          <cell r="A634" t="str">
            <v>02</v>
          </cell>
          <cell r="B634" t="str">
            <v>41</v>
          </cell>
          <cell r="C634" t="str">
            <v>1536</v>
          </cell>
          <cell r="D634" t="str">
            <v>Рентгенаппарат Арина</v>
          </cell>
          <cell r="G634" t="str">
            <v>01</v>
          </cell>
          <cell r="H634">
            <v>3327.5</v>
          </cell>
          <cell r="I634">
            <v>0</v>
          </cell>
          <cell r="J634">
            <v>0</v>
          </cell>
          <cell r="K634">
            <v>1.21</v>
          </cell>
          <cell r="L634" t="str">
            <v>20</v>
          </cell>
          <cell r="M634" t="str">
            <v>47024</v>
          </cell>
          <cell r="N634" t="str">
            <v>14 3313341</v>
          </cell>
          <cell r="O634" t="str">
            <v>063</v>
          </cell>
          <cell r="P634">
            <v>10.4</v>
          </cell>
          <cell r="Q634">
            <v>0</v>
          </cell>
          <cell r="R634" t="str">
            <v>1</v>
          </cell>
          <cell r="S634" t="str">
            <v>47</v>
          </cell>
          <cell r="T634">
            <v>95</v>
          </cell>
          <cell r="U634">
            <v>12</v>
          </cell>
          <cell r="V634">
            <v>95</v>
          </cell>
          <cell r="W634">
            <v>12</v>
          </cell>
          <cell r="X634">
            <v>95</v>
          </cell>
          <cell r="Y634">
            <v>0</v>
          </cell>
          <cell r="Z634">
            <v>0</v>
          </cell>
          <cell r="AD634" t="str">
            <v>0</v>
          </cell>
          <cell r="AE634" t="str">
            <v>0</v>
          </cell>
          <cell r="AF634" t="str">
            <v>00</v>
          </cell>
          <cell r="AI634">
            <v>2750000</v>
          </cell>
          <cell r="AJ634">
            <v>572000</v>
          </cell>
        </row>
        <row r="635">
          <cell r="A635" t="str">
            <v>02</v>
          </cell>
          <cell r="B635" t="str">
            <v>71</v>
          </cell>
          <cell r="C635" t="str">
            <v>1539</v>
          </cell>
          <cell r="D635" t="str">
            <v>Трактор МТЗ-82 со св</v>
          </cell>
          <cell r="E635" t="str">
            <v>арочным агрегатом и</v>
          </cell>
          <cell r="F635" t="str">
            <v>ЗИПом</v>
          </cell>
          <cell r="G635" t="str">
            <v>01</v>
          </cell>
          <cell r="H635">
            <v>57630</v>
          </cell>
          <cell r="I635">
            <v>0</v>
          </cell>
          <cell r="J635">
            <v>0</v>
          </cell>
          <cell r="K635">
            <v>0.76</v>
          </cell>
          <cell r="L635" t="str">
            <v>23</v>
          </cell>
          <cell r="M635" t="str">
            <v>40609</v>
          </cell>
          <cell r="N635" t="str">
            <v>14 2918102</v>
          </cell>
          <cell r="O635" t="str">
            <v>064</v>
          </cell>
          <cell r="P635">
            <v>9.1</v>
          </cell>
          <cell r="Q635">
            <v>0</v>
          </cell>
          <cell r="R635" t="str">
            <v>1</v>
          </cell>
          <cell r="S635" t="str">
            <v>40</v>
          </cell>
          <cell r="T635">
            <v>95</v>
          </cell>
          <cell r="U635">
            <v>12</v>
          </cell>
          <cell r="V635">
            <v>95</v>
          </cell>
          <cell r="W635">
            <v>12</v>
          </cell>
          <cell r="X635">
            <v>95</v>
          </cell>
          <cell r="Y635">
            <v>0</v>
          </cell>
          <cell r="Z635">
            <v>0</v>
          </cell>
          <cell r="AD635" t="str">
            <v>0</v>
          </cell>
          <cell r="AE635" t="str">
            <v>1</v>
          </cell>
          <cell r="AF635" t="str">
            <v>00</v>
          </cell>
          <cell r="AI635">
            <v>75753086</v>
          </cell>
          <cell r="AJ635">
            <v>13787061.65</v>
          </cell>
        </row>
        <row r="636">
          <cell r="A636" t="str">
            <v>02</v>
          </cell>
          <cell r="B636" t="str">
            <v>02</v>
          </cell>
          <cell r="C636" t="str">
            <v>1540</v>
          </cell>
          <cell r="D636" t="str">
            <v>Тележка большегрузна</v>
          </cell>
          <cell r="E636" t="str">
            <v>я ТБ-20</v>
          </cell>
          <cell r="G636" t="str">
            <v>01</v>
          </cell>
          <cell r="H636">
            <v>12058</v>
          </cell>
          <cell r="I636">
            <v>0</v>
          </cell>
          <cell r="J636">
            <v>0</v>
          </cell>
          <cell r="K636">
            <v>0.99</v>
          </cell>
          <cell r="L636" t="str">
            <v>20</v>
          </cell>
          <cell r="M636" t="str">
            <v>43415</v>
          </cell>
          <cell r="N636" t="str">
            <v>15 3420183</v>
          </cell>
          <cell r="O636" t="str">
            <v>064</v>
          </cell>
          <cell r="P636">
            <v>18</v>
          </cell>
          <cell r="Q636">
            <v>0</v>
          </cell>
          <cell r="R636" t="str">
            <v>1</v>
          </cell>
          <cell r="S636" t="str">
            <v>43</v>
          </cell>
          <cell r="T636">
            <v>95</v>
          </cell>
          <cell r="U636">
            <v>12</v>
          </cell>
          <cell r="V636">
            <v>95</v>
          </cell>
          <cell r="W636">
            <v>12</v>
          </cell>
          <cell r="X636">
            <v>95</v>
          </cell>
          <cell r="Y636">
            <v>0</v>
          </cell>
          <cell r="Z636">
            <v>0</v>
          </cell>
          <cell r="AD636" t="str">
            <v>0</v>
          </cell>
          <cell r="AE636" t="str">
            <v>0</v>
          </cell>
          <cell r="AF636" t="str">
            <v>00</v>
          </cell>
          <cell r="AI636">
            <v>12181428</v>
          </cell>
          <cell r="AJ636">
            <v>4385314.08</v>
          </cell>
        </row>
        <row r="637">
          <cell r="A637" t="str">
            <v>02</v>
          </cell>
          <cell r="B637" t="str">
            <v>71</v>
          </cell>
          <cell r="C637" t="str">
            <v>1541</v>
          </cell>
          <cell r="D637" t="str">
            <v>КомпьюторАТ-486Дх2 с</v>
          </cell>
          <cell r="E637" t="str">
            <v>принтеромEPSON LX300</v>
          </cell>
          <cell r="F637" t="str">
            <v>c каб.и сетев.фильтр</v>
          </cell>
          <cell r="G637" t="str">
            <v>01</v>
          </cell>
          <cell r="H637">
            <v>4318.1000000000004</v>
          </cell>
          <cell r="I637">
            <v>0</v>
          </cell>
          <cell r="J637">
            <v>4571.1000000000004</v>
          </cell>
          <cell r="K637">
            <v>0.66</v>
          </cell>
          <cell r="L637" t="str">
            <v>23</v>
          </cell>
          <cell r="M637" t="str">
            <v>48008</v>
          </cell>
          <cell r="N637" t="str">
            <v>14 3020000</v>
          </cell>
          <cell r="O637" t="str">
            <v>063</v>
          </cell>
          <cell r="P637">
            <v>10</v>
          </cell>
          <cell r="Q637">
            <v>0</v>
          </cell>
          <cell r="R637" t="str">
            <v>1</v>
          </cell>
          <cell r="S637" t="str">
            <v>48</v>
          </cell>
          <cell r="T637">
            <v>95</v>
          </cell>
          <cell r="U637">
            <v>12</v>
          </cell>
          <cell r="V637">
            <v>95</v>
          </cell>
          <cell r="W637">
            <v>12</v>
          </cell>
          <cell r="X637">
            <v>95</v>
          </cell>
          <cell r="Y637">
            <v>6</v>
          </cell>
          <cell r="Z637">
            <v>99</v>
          </cell>
          <cell r="AD637" t="str">
            <v>0</v>
          </cell>
          <cell r="AE637" t="str">
            <v>0</v>
          </cell>
          <cell r="AF637" t="str">
            <v>00</v>
          </cell>
          <cell r="AI637">
            <v>4890015</v>
          </cell>
          <cell r="AJ637">
            <v>978003</v>
          </cell>
        </row>
        <row r="638">
          <cell r="A638" t="str">
            <v>02</v>
          </cell>
          <cell r="B638" t="str">
            <v>05</v>
          </cell>
          <cell r="C638" t="str">
            <v>1543</v>
          </cell>
          <cell r="D638" t="str">
            <v>Полотенце мягкое</v>
          </cell>
          <cell r="E638" t="str">
            <v>ПМ-1428</v>
          </cell>
          <cell r="G638" t="str">
            <v>01</v>
          </cell>
          <cell r="H638">
            <v>30150</v>
          </cell>
          <cell r="I638">
            <v>0</v>
          </cell>
          <cell r="J638">
            <v>0</v>
          </cell>
          <cell r="K638">
            <v>0.94</v>
          </cell>
          <cell r="L638" t="str">
            <v>20</v>
          </cell>
          <cell r="M638" t="str">
            <v>43815</v>
          </cell>
          <cell r="N638" t="str">
            <v>14 2947192</v>
          </cell>
          <cell r="O638" t="str">
            <v>067</v>
          </cell>
          <cell r="P638">
            <v>50</v>
          </cell>
          <cell r="Q638">
            <v>0</v>
          </cell>
          <cell r="R638" t="str">
            <v>1</v>
          </cell>
          <cell r="S638" t="str">
            <v>43</v>
          </cell>
          <cell r="T638">
            <v>95</v>
          </cell>
          <cell r="U638">
            <v>12</v>
          </cell>
          <cell r="V638">
            <v>95</v>
          </cell>
          <cell r="W638">
            <v>12</v>
          </cell>
          <cell r="X638">
            <v>95</v>
          </cell>
          <cell r="Y638">
            <v>0</v>
          </cell>
          <cell r="Z638">
            <v>0</v>
          </cell>
          <cell r="AB638" t="str">
            <v>14</v>
          </cell>
          <cell r="AC638">
            <v>1</v>
          </cell>
          <cell r="AD638" t="str">
            <v>0</v>
          </cell>
          <cell r="AE638" t="str">
            <v>0</v>
          </cell>
          <cell r="AF638" t="str">
            <v>00</v>
          </cell>
          <cell r="AI638">
            <v>32076000</v>
          </cell>
          <cell r="AJ638">
            <v>32076000</v>
          </cell>
        </row>
        <row r="639">
          <cell r="A639" t="str">
            <v>02</v>
          </cell>
          <cell r="B639" t="str">
            <v>11</v>
          </cell>
          <cell r="C639" t="str">
            <v>1528</v>
          </cell>
          <cell r="D639" t="str">
            <v>Трансформаторная под</v>
          </cell>
          <cell r="E639" t="str">
            <v>станция КТП-400х16</v>
          </cell>
          <cell r="G639" t="str">
            <v>01</v>
          </cell>
          <cell r="H639">
            <v>4801.1400000000003</v>
          </cell>
          <cell r="I639">
            <v>0</v>
          </cell>
          <cell r="J639">
            <v>0</v>
          </cell>
          <cell r="K639">
            <v>1.21</v>
          </cell>
          <cell r="L639" t="str">
            <v>20</v>
          </cell>
          <cell r="M639" t="str">
            <v>40701</v>
          </cell>
          <cell r="N639" t="str">
            <v>14 3115202</v>
          </cell>
          <cell r="O639" t="str">
            <v>067</v>
          </cell>
          <cell r="P639">
            <v>6.6</v>
          </cell>
          <cell r="Q639">
            <v>0</v>
          </cell>
          <cell r="R639" t="str">
            <v>1</v>
          </cell>
          <cell r="S639" t="str">
            <v>40</v>
          </cell>
          <cell r="T639">
            <v>95</v>
          </cell>
          <cell r="U639">
            <v>12</v>
          </cell>
          <cell r="V639">
            <v>95</v>
          </cell>
          <cell r="W639">
            <v>12</v>
          </cell>
          <cell r="X639">
            <v>95</v>
          </cell>
          <cell r="Y639">
            <v>0</v>
          </cell>
          <cell r="Z639">
            <v>0</v>
          </cell>
          <cell r="AD639" t="str">
            <v>2</v>
          </cell>
          <cell r="AE639" t="str">
            <v>0</v>
          </cell>
          <cell r="AF639" t="str">
            <v>00</v>
          </cell>
          <cell r="AG639">
            <v>3967880</v>
          </cell>
          <cell r="AI639">
            <v>3967880</v>
          </cell>
          <cell r="AJ639">
            <v>523760.16</v>
          </cell>
        </row>
        <row r="640">
          <cell r="A640" t="str">
            <v>02</v>
          </cell>
          <cell r="B640" t="str">
            <v>11</v>
          </cell>
          <cell r="C640" t="str">
            <v>1529</v>
          </cell>
          <cell r="D640" t="str">
            <v>Щит ПР-3709</v>
          </cell>
          <cell r="G640" t="str">
            <v>01</v>
          </cell>
          <cell r="H640">
            <v>1389.78</v>
          </cell>
          <cell r="I640">
            <v>0</v>
          </cell>
          <cell r="J640">
            <v>0</v>
          </cell>
          <cell r="K640">
            <v>1.21</v>
          </cell>
          <cell r="L640" t="str">
            <v>20</v>
          </cell>
          <cell r="M640" t="str">
            <v>40707</v>
          </cell>
          <cell r="N640" t="str">
            <v>14 3120390</v>
          </cell>
          <cell r="O640" t="str">
            <v>067</v>
          </cell>
          <cell r="P640">
            <v>14.8</v>
          </cell>
          <cell r="Q640">
            <v>0</v>
          </cell>
          <cell r="R640" t="str">
            <v>1</v>
          </cell>
          <cell r="S640" t="str">
            <v>40</v>
          </cell>
          <cell r="T640">
            <v>95</v>
          </cell>
          <cell r="U640">
            <v>12</v>
          </cell>
          <cell r="V640">
            <v>95</v>
          </cell>
          <cell r="W640">
            <v>12</v>
          </cell>
          <cell r="X640">
            <v>95</v>
          </cell>
          <cell r="Y640">
            <v>0</v>
          </cell>
          <cell r="Z640">
            <v>0</v>
          </cell>
          <cell r="AD640" t="str">
            <v>2</v>
          </cell>
          <cell r="AE640" t="str">
            <v>0</v>
          </cell>
          <cell r="AF640" t="str">
            <v>00</v>
          </cell>
          <cell r="AG640">
            <v>1148580</v>
          </cell>
          <cell r="AI640">
            <v>1148580</v>
          </cell>
          <cell r="AJ640">
            <v>339979.68</v>
          </cell>
        </row>
        <row r="641">
          <cell r="A641" t="str">
            <v>02</v>
          </cell>
          <cell r="B641" t="str">
            <v>11</v>
          </cell>
          <cell r="C641" t="str">
            <v>1530</v>
          </cell>
          <cell r="D641" t="str">
            <v>Распределительный пу</v>
          </cell>
          <cell r="E641" t="str">
            <v>нкт С-9522-13</v>
          </cell>
          <cell r="G641" t="str">
            <v>01</v>
          </cell>
          <cell r="H641">
            <v>2822.1</v>
          </cell>
          <cell r="I641">
            <v>0</v>
          </cell>
          <cell r="J641">
            <v>0</v>
          </cell>
          <cell r="K641">
            <v>1.21</v>
          </cell>
          <cell r="L641" t="str">
            <v>20</v>
          </cell>
          <cell r="M641" t="str">
            <v>40707</v>
          </cell>
          <cell r="N641" t="str">
            <v>14 3120390</v>
          </cell>
          <cell r="O641" t="str">
            <v>067</v>
          </cell>
          <cell r="P641">
            <v>14.8</v>
          </cell>
          <cell r="Q641">
            <v>0</v>
          </cell>
          <cell r="R641" t="str">
            <v>1</v>
          </cell>
          <cell r="S641" t="str">
            <v>40</v>
          </cell>
          <cell r="T641">
            <v>95</v>
          </cell>
          <cell r="U641">
            <v>12</v>
          </cell>
          <cell r="V641">
            <v>95</v>
          </cell>
          <cell r="W641">
            <v>12</v>
          </cell>
          <cell r="X641">
            <v>95</v>
          </cell>
          <cell r="Y641">
            <v>0</v>
          </cell>
          <cell r="Z641">
            <v>0</v>
          </cell>
          <cell r="AD641" t="str">
            <v>2</v>
          </cell>
          <cell r="AE641" t="str">
            <v>0</v>
          </cell>
          <cell r="AF641" t="str">
            <v>00</v>
          </cell>
          <cell r="AG641">
            <v>2332312</v>
          </cell>
          <cell r="AI641">
            <v>2332312</v>
          </cell>
          <cell r="AJ641">
            <v>6530.47</v>
          </cell>
        </row>
        <row r="642">
          <cell r="A642" t="str">
            <v>02</v>
          </cell>
          <cell r="B642" t="str">
            <v>11</v>
          </cell>
          <cell r="C642" t="str">
            <v>1547</v>
          </cell>
          <cell r="D642" t="str">
            <v>Задвижка 500х75</v>
          </cell>
          <cell r="G642" t="str">
            <v>01</v>
          </cell>
          <cell r="H642">
            <v>3968.23</v>
          </cell>
          <cell r="I642">
            <v>0</v>
          </cell>
          <cell r="J642">
            <v>0</v>
          </cell>
          <cell r="K642">
            <v>1.1000000000000001</v>
          </cell>
          <cell r="L642" t="str">
            <v>20</v>
          </cell>
          <cell r="M642" t="str">
            <v>50604</v>
          </cell>
          <cell r="N642" t="str">
            <v>14 2928142</v>
          </cell>
          <cell r="O642" t="str">
            <v>075</v>
          </cell>
          <cell r="P642">
            <v>5.5</v>
          </cell>
          <cell r="Q642">
            <v>0</v>
          </cell>
          <cell r="R642" t="str">
            <v>1</v>
          </cell>
          <cell r="S642" t="str">
            <v>50</v>
          </cell>
          <cell r="T642">
            <v>95</v>
          </cell>
          <cell r="U642">
            <v>12</v>
          </cell>
          <cell r="V642">
            <v>95</v>
          </cell>
          <cell r="W642">
            <v>12</v>
          </cell>
          <cell r="X642">
            <v>95</v>
          </cell>
          <cell r="Y642">
            <v>0</v>
          </cell>
          <cell r="Z642">
            <v>0</v>
          </cell>
          <cell r="AD642" t="str">
            <v>0</v>
          </cell>
          <cell r="AE642" t="str">
            <v>0</v>
          </cell>
          <cell r="AF642" t="str">
            <v>00</v>
          </cell>
          <cell r="AI642">
            <v>3594767</v>
          </cell>
          <cell r="AJ642">
            <v>395424.37</v>
          </cell>
        </row>
        <row r="643">
          <cell r="A643" t="str">
            <v>19</v>
          </cell>
          <cell r="B643" t="str">
            <v>19</v>
          </cell>
          <cell r="C643" t="str">
            <v>1609</v>
          </cell>
          <cell r="D643" t="str">
            <v>Котельная ПКН-2М</v>
          </cell>
          <cell r="G643" t="str">
            <v>01</v>
          </cell>
          <cell r="H643">
            <v>27014.93</v>
          </cell>
          <cell r="I643">
            <v>0</v>
          </cell>
          <cell r="J643">
            <v>0</v>
          </cell>
          <cell r="K643">
            <v>1.51</v>
          </cell>
          <cell r="L643" t="str">
            <v>88/4</v>
          </cell>
          <cell r="M643" t="str">
            <v>40001</v>
          </cell>
          <cell r="N643" t="str">
            <v>14 2813101</v>
          </cell>
          <cell r="O643" t="str">
            <v>064</v>
          </cell>
          <cell r="P643">
            <v>4.2</v>
          </cell>
          <cell r="Q643">
            <v>0</v>
          </cell>
          <cell r="R643" t="str">
            <v>1</v>
          </cell>
          <cell r="S643" t="str">
            <v>40</v>
          </cell>
          <cell r="T643">
            <v>95</v>
          </cell>
          <cell r="U643">
            <v>12</v>
          </cell>
          <cell r="V643">
            <v>95</v>
          </cell>
          <cell r="W643">
            <v>12</v>
          </cell>
          <cell r="X643">
            <v>95</v>
          </cell>
          <cell r="Y643">
            <v>0</v>
          </cell>
          <cell r="Z643">
            <v>0</v>
          </cell>
          <cell r="AB643" t="str">
            <v>14</v>
          </cell>
          <cell r="AC643">
            <v>1</v>
          </cell>
          <cell r="AD643" t="str">
            <v>0</v>
          </cell>
          <cell r="AE643" t="str">
            <v>0</v>
          </cell>
          <cell r="AF643" t="str">
            <v>19</v>
          </cell>
          <cell r="AI643">
            <v>13373562</v>
          </cell>
          <cell r="AJ643">
            <v>1123379.21</v>
          </cell>
        </row>
        <row r="644">
          <cell r="A644" t="str">
            <v>02</v>
          </cell>
          <cell r="B644" t="str">
            <v>11</v>
          </cell>
          <cell r="C644" t="str">
            <v>1548</v>
          </cell>
          <cell r="D644" t="str">
            <v>Емкость V-25 м3</v>
          </cell>
          <cell r="G644" t="str">
            <v>01</v>
          </cell>
          <cell r="H644">
            <v>20549.099999999999</v>
          </cell>
          <cell r="I644">
            <v>0</v>
          </cell>
          <cell r="J644">
            <v>0</v>
          </cell>
          <cell r="K644">
            <v>1.43</v>
          </cell>
          <cell r="L644" t="str">
            <v>20</v>
          </cell>
          <cell r="M644" t="str">
            <v>42906</v>
          </cell>
          <cell r="N644" t="str">
            <v>12 2812151</v>
          </cell>
          <cell r="O644" t="str">
            <v>067</v>
          </cell>
          <cell r="P644">
            <v>11</v>
          </cell>
          <cell r="Q644">
            <v>0</v>
          </cell>
          <cell r="R644" t="str">
            <v>1</v>
          </cell>
          <cell r="S644" t="str">
            <v>42</v>
          </cell>
          <cell r="T644">
            <v>95</v>
          </cell>
          <cell r="U644">
            <v>12</v>
          </cell>
          <cell r="V644">
            <v>95</v>
          </cell>
          <cell r="W644">
            <v>12</v>
          </cell>
          <cell r="X644">
            <v>95</v>
          </cell>
          <cell r="Y644">
            <v>0</v>
          </cell>
          <cell r="Z644">
            <v>0</v>
          </cell>
          <cell r="AD644" t="str">
            <v>2</v>
          </cell>
          <cell r="AE644" t="str">
            <v>0</v>
          </cell>
          <cell r="AF644" t="str">
            <v>00</v>
          </cell>
          <cell r="AG644">
            <v>14370000</v>
          </cell>
          <cell r="AI644">
            <v>14370000</v>
          </cell>
          <cell r="AJ644">
            <v>3161400</v>
          </cell>
        </row>
        <row r="645">
          <cell r="A645" t="str">
            <v>02</v>
          </cell>
          <cell r="B645" t="str">
            <v>11</v>
          </cell>
          <cell r="C645" t="str">
            <v>1549</v>
          </cell>
          <cell r="D645" t="str">
            <v>Емкость V-25м3</v>
          </cell>
          <cell r="G645" t="str">
            <v>01</v>
          </cell>
          <cell r="H645">
            <v>19800.39</v>
          </cell>
          <cell r="I645">
            <v>0</v>
          </cell>
          <cell r="J645">
            <v>0</v>
          </cell>
          <cell r="K645">
            <v>1.43</v>
          </cell>
          <cell r="L645" t="str">
            <v>20</v>
          </cell>
          <cell r="M645" t="str">
            <v>42906</v>
          </cell>
          <cell r="N645" t="str">
            <v>12 2812151</v>
          </cell>
          <cell r="O645" t="str">
            <v>067</v>
          </cell>
          <cell r="P645">
            <v>11</v>
          </cell>
          <cell r="Q645">
            <v>0</v>
          </cell>
          <cell r="R645" t="str">
            <v>1</v>
          </cell>
          <cell r="S645" t="str">
            <v>42</v>
          </cell>
          <cell r="T645">
            <v>95</v>
          </cell>
          <cell r="U645">
            <v>12</v>
          </cell>
          <cell r="V645">
            <v>95</v>
          </cell>
          <cell r="W645">
            <v>12</v>
          </cell>
          <cell r="X645">
            <v>95</v>
          </cell>
          <cell r="Y645">
            <v>0</v>
          </cell>
          <cell r="Z645">
            <v>0</v>
          </cell>
          <cell r="AD645" t="str">
            <v>2</v>
          </cell>
          <cell r="AE645" t="str">
            <v>0</v>
          </cell>
          <cell r="AF645" t="str">
            <v>00</v>
          </cell>
          <cell r="AG645">
            <v>13846428</v>
          </cell>
          <cell r="AI645">
            <v>13846428</v>
          </cell>
          <cell r="AJ645">
            <v>3046214.16</v>
          </cell>
        </row>
        <row r="646">
          <cell r="A646" t="str">
            <v>02</v>
          </cell>
          <cell r="B646" t="str">
            <v>11</v>
          </cell>
          <cell r="C646" t="str">
            <v>1550</v>
          </cell>
          <cell r="D646" t="str">
            <v>Установка котельная</v>
          </cell>
          <cell r="E646" t="str">
            <v>ПКН-2М</v>
          </cell>
          <cell r="G646" t="str">
            <v>01</v>
          </cell>
          <cell r="H646">
            <v>16957.990000000002</v>
          </cell>
          <cell r="I646">
            <v>0</v>
          </cell>
          <cell r="J646">
            <v>0</v>
          </cell>
          <cell r="K646">
            <v>1.51</v>
          </cell>
          <cell r="L646" t="str">
            <v>20</v>
          </cell>
          <cell r="M646" t="str">
            <v>40001</v>
          </cell>
          <cell r="N646" t="str">
            <v>14 2813101</v>
          </cell>
          <cell r="O646" t="str">
            <v>064</v>
          </cell>
          <cell r="P646">
            <v>4.2</v>
          </cell>
          <cell r="Q646">
            <v>0</v>
          </cell>
          <cell r="R646" t="str">
            <v>1</v>
          </cell>
          <cell r="S646" t="str">
            <v>40</v>
          </cell>
          <cell r="T646">
            <v>95</v>
          </cell>
          <cell r="U646">
            <v>12</v>
          </cell>
          <cell r="V646">
            <v>95</v>
          </cell>
          <cell r="W646">
            <v>12</v>
          </cell>
          <cell r="X646">
            <v>95</v>
          </cell>
          <cell r="Y646">
            <v>0</v>
          </cell>
          <cell r="Z646">
            <v>0</v>
          </cell>
          <cell r="AB646" t="str">
            <v>14</v>
          </cell>
          <cell r="AC646">
            <v>6</v>
          </cell>
          <cell r="AD646" t="str">
            <v>2</v>
          </cell>
          <cell r="AE646" t="str">
            <v>0</v>
          </cell>
          <cell r="AF646" t="str">
            <v>00</v>
          </cell>
          <cell r="AG646">
            <v>11230457</v>
          </cell>
          <cell r="AI646">
            <v>11230457</v>
          </cell>
          <cell r="AJ646">
            <v>943358.39</v>
          </cell>
        </row>
        <row r="647">
          <cell r="A647" t="str">
            <v>02</v>
          </cell>
          <cell r="B647" t="str">
            <v>11</v>
          </cell>
          <cell r="C647" t="str">
            <v>1551</v>
          </cell>
          <cell r="D647" t="str">
            <v>Установка котельная</v>
          </cell>
          <cell r="E647" t="str">
            <v>ПКН-2М</v>
          </cell>
          <cell r="G647" t="str">
            <v>01</v>
          </cell>
          <cell r="H647">
            <v>16957.990000000002</v>
          </cell>
          <cell r="I647">
            <v>0</v>
          </cell>
          <cell r="J647">
            <v>0</v>
          </cell>
          <cell r="K647">
            <v>1.51</v>
          </cell>
          <cell r="L647" t="str">
            <v>20</v>
          </cell>
          <cell r="M647" t="str">
            <v>40001</v>
          </cell>
          <cell r="N647" t="str">
            <v>14 2813101</v>
          </cell>
          <cell r="O647" t="str">
            <v>064</v>
          </cell>
          <cell r="P647">
            <v>4.2</v>
          </cell>
          <cell r="Q647">
            <v>0</v>
          </cell>
          <cell r="R647" t="str">
            <v>1</v>
          </cell>
          <cell r="S647" t="str">
            <v>40</v>
          </cell>
          <cell r="T647">
            <v>95</v>
          </cell>
          <cell r="U647">
            <v>12</v>
          </cell>
          <cell r="V647">
            <v>95</v>
          </cell>
          <cell r="W647">
            <v>12</v>
          </cell>
          <cell r="X647">
            <v>95</v>
          </cell>
          <cell r="Y647">
            <v>0</v>
          </cell>
          <cell r="Z647">
            <v>0</v>
          </cell>
          <cell r="AD647" t="str">
            <v>2</v>
          </cell>
          <cell r="AE647" t="str">
            <v>0</v>
          </cell>
          <cell r="AF647" t="str">
            <v>00</v>
          </cell>
          <cell r="AG647">
            <v>11230457</v>
          </cell>
          <cell r="AI647">
            <v>11230457</v>
          </cell>
          <cell r="AJ647">
            <v>943358.39</v>
          </cell>
        </row>
        <row r="648">
          <cell r="A648" t="str">
            <v>02</v>
          </cell>
          <cell r="B648" t="str">
            <v>11</v>
          </cell>
          <cell r="C648" t="str">
            <v>1552</v>
          </cell>
          <cell r="D648" t="str">
            <v>Коквейер СМд-150А</v>
          </cell>
          <cell r="G648" t="str">
            <v>01</v>
          </cell>
          <cell r="H648">
            <v>16595.37</v>
          </cell>
          <cell r="I648">
            <v>0</v>
          </cell>
          <cell r="J648">
            <v>0</v>
          </cell>
          <cell r="K648">
            <v>1.01</v>
          </cell>
          <cell r="L648" t="str">
            <v>20</v>
          </cell>
          <cell r="M648" t="str">
            <v>43813</v>
          </cell>
          <cell r="N648" t="str">
            <v>14 2915320</v>
          </cell>
          <cell r="O648" t="str">
            <v>067</v>
          </cell>
          <cell r="P648">
            <v>12.5</v>
          </cell>
          <cell r="Q648">
            <v>0</v>
          </cell>
          <cell r="R648" t="str">
            <v>1</v>
          </cell>
          <cell r="S648" t="str">
            <v>43</v>
          </cell>
          <cell r="T648">
            <v>95</v>
          </cell>
          <cell r="U648">
            <v>12</v>
          </cell>
          <cell r="V648">
            <v>95</v>
          </cell>
          <cell r="W648">
            <v>12</v>
          </cell>
          <cell r="X648">
            <v>95</v>
          </cell>
          <cell r="Y648">
            <v>0</v>
          </cell>
          <cell r="Z648">
            <v>0</v>
          </cell>
          <cell r="AD648" t="str">
            <v>2</v>
          </cell>
          <cell r="AE648" t="str">
            <v>0</v>
          </cell>
          <cell r="AF648" t="str">
            <v>00</v>
          </cell>
          <cell r="AG648">
            <v>16431054</v>
          </cell>
          <cell r="AI648">
            <v>16431054</v>
          </cell>
          <cell r="AJ648">
            <v>4107763.5</v>
          </cell>
        </row>
        <row r="649">
          <cell r="A649" t="str">
            <v>02</v>
          </cell>
          <cell r="B649" t="str">
            <v>11</v>
          </cell>
          <cell r="C649" t="str">
            <v>1553</v>
          </cell>
          <cell r="D649" t="str">
            <v>Конвейер СМд-150А</v>
          </cell>
          <cell r="G649" t="str">
            <v>01</v>
          </cell>
          <cell r="H649">
            <v>16595.37</v>
          </cell>
          <cell r="I649">
            <v>0</v>
          </cell>
          <cell r="J649">
            <v>0</v>
          </cell>
          <cell r="K649">
            <v>1.01</v>
          </cell>
          <cell r="L649" t="str">
            <v>20</v>
          </cell>
          <cell r="M649" t="str">
            <v>43813</v>
          </cell>
          <cell r="N649" t="str">
            <v>14 2915320</v>
          </cell>
          <cell r="O649" t="str">
            <v>067</v>
          </cell>
          <cell r="P649">
            <v>12.5</v>
          </cell>
          <cell r="Q649">
            <v>0</v>
          </cell>
          <cell r="R649" t="str">
            <v>1</v>
          </cell>
          <cell r="S649" t="str">
            <v>43</v>
          </cell>
          <cell r="T649">
            <v>95</v>
          </cell>
          <cell r="U649">
            <v>12</v>
          </cell>
          <cell r="V649">
            <v>95</v>
          </cell>
          <cell r="W649">
            <v>12</v>
          </cell>
          <cell r="X649">
            <v>95</v>
          </cell>
          <cell r="Y649">
            <v>0</v>
          </cell>
          <cell r="Z649">
            <v>0</v>
          </cell>
          <cell r="AD649" t="str">
            <v>2</v>
          </cell>
          <cell r="AE649" t="str">
            <v>0</v>
          </cell>
          <cell r="AF649" t="str">
            <v>00</v>
          </cell>
          <cell r="AG649">
            <v>16431054</v>
          </cell>
          <cell r="AI649">
            <v>16431054</v>
          </cell>
          <cell r="AJ649">
            <v>4107763.5</v>
          </cell>
        </row>
        <row r="650">
          <cell r="A650" t="str">
            <v>02</v>
          </cell>
          <cell r="B650" t="str">
            <v>11</v>
          </cell>
          <cell r="C650" t="str">
            <v>1554</v>
          </cell>
          <cell r="D650" t="str">
            <v>Конвейер СМд-150А</v>
          </cell>
          <cell r="G650" t="str">
            <v>01</v>
          </cell>
          <cell r="H650">
            <v>16595.37</v>
          </cell>
          <cell r="I650">
            <v>0</v>
          </cell>
          <cell r="J650">
            <v>0</v>
          </cell>
          <cell r="K650">
            <v>1.01</v>
          </cell>
          <cell r="L650" t="str">
            <v>20</v>
          </cell>
          <cell r="M650" t="str">
            <v>43813</v>
          </cell>
          <cell r="N650" t="str">
            <v>14 2915320</v>
          </cell>
          <cell r="O650" t="str">
            <v>067</v>
          </cell>
          <cell r="P650">
            <v>12.5</v>
          </cell>
          <cell r="Q650">
            <v>0</v>
          </cell>
          <cell r="R650" t="str">
            <v>1</v>
          </cell>
          <cell r="S650" t="str">
            <v>43</v>
          </cell>
          <cell r="T650">
            <v>95</v>
          </cell>
          <cell r="U650">
            <v>12</v>
          </cell>
          <cell r="V650">
            <v>95</v>
          </cell>
          <cell r="W650">
            <v>12</v>
          </cell>
          <cell r="X650">
            <v>95</v>
          </cell>
          <cell r="Y650">
            <v>0</v>
          </cell>
          <cell r="Z650">
            <v>0</v>
          </cell>
          <cell r="AD650" t="str">
            <v>2</v>
          </cell>
          <cell r="AE650" t="str">
            <v>0</v>
          </cell>
          <cell r="AF650" t="str">
            <v>00</v>
          </cell>
          <cell r="AG650">
            <v>16431054</v>
          </cell>
          <cell r="AI650">
            <v>16431054</v>
          </cell>
          <cell r="AJ650">
            <v>4107763.5</v>
          </cell>
        </row>
        <row r="651">
          <cell r="A651" t="str">
            <v>02</v>
          </cell>
          <cell r="B651" t="str">
            <v>11</v>
          </cell>
          <cell r="C651" t="str">
            <v>1555</v>
          </cell>
          <cell r="D651" t="str">
            <v>Агрегат СМД-187</v>
          </cell>
          <cell r="G651" t="str">
            <v>01</v>
          </cell>
          <cell r="H651">
            <v>131000</v>
          </cell>
          <cell r="I651">
            <v>0</v>
          </cell>
          <cell r="J651">
            <v>0</v>
          </cell>
          <cell r="K651">
            <v>1.04</v>
          </cell>
          <cell r="L651" t="str">
            <v>20</v>
          </cell>
          <cell r="M651" t="str">
            <v>42002</v>
          </cell>
          <cell r="N651" t="str">
            <v>14 2947100</v>
          </cell>
          <cell r="O651" t="str">
            <v>066</v>
          </cell>
          <cell r="P651">
            <v>16.7</v>
          </cell>
          <cell r="Q651">
            <v>0</v>
          </cell>
          <cell r="R651" t="str">
            <v>1</v>
          </cell>
          <cell r="S651" t="str">
            <v>42</v>
          </cell>
          <cell r="T651">
            <v>95</v>
          </cell>
          <cell r="U651">
            <v>12</v>
          </cell>
          <cell r="V651">
            <v>95</v>
          </cell>
          <cell r="W651">
            <v>12</v>
          </cell>
          <cell r="X651">
            <v>95</v>
          </cell>
          <cell r="Y651">
            <v>0</v>
          </cell>
          <cell r="Z651">
            <v>0</v>
          </cell>
          <cell r="AD651" t="str">
            <v>2</v>
          </cell>
          <cell r="AE651" t="str">
            <v>0</v>
          </cell>
          <cell r="AF651" t="str">
            <v>00</v>
          </cell>
          <cell r="AG651">
            <v>125600000</v>
          </cell>
          <cell r="AI651">
            <v>125600000</v>
          </cell>
          <cell r="AJ651">
            <v>41950400</v>
          </cell>
        </row>
        <row r="652">
          <cell r="A652" t="str">
            <v>02</v>
          </cell>
          <cell r="B652" t="str">
            <v>11</v>
          </cell>
          <cell r="C652" t="str">
            <v>1556</v>
          </cell>
          <cell r="D652" t="str">
            <v>Емкость V-25м3</v>
          </cell>
          <cell r="G652" t="str">
            <v>01</v>
          </cell>
          <cell r="H652">
            <v>516.89</v>
          </cell>
          <cell r="I652">
            <v>0</v>
          </cell>
          <cell r="J652">
            <v>0</v>
          </cell>
          <cell r="K652">
            <v>1.43</v>
          </cell>
          <cell r="L652" t="str">
            <v>20</v>
          </cell>
          <cell r="M652" t="str">
            <v>42906</v>
          </cell>
          <cell r="N652" t="str">
            <v>12 2812151</v>
          </cell>
          <cell r="O652" t="str">
            <v>067</v>
          </cell>
          <cell r="P652">
            <v>11</v>
          </cell>
          <cell r="Q652">
            <v>0</v>
          </cell>
          <cell r="R652" t="str">
            <v>1</v>
          </cell>
          <cell r="S652" t="str">
            <v>42</v>
          </cell>
          <cell r="T652">
            <v>95</v>
          </cell>
          <cell r="U652">
            <v>12</v>
          </cell>
          <cell r="V652">
            <v>95</v>
          </cell>
          <cell r="W652">
            <v>12</v>
          </cell>
          <cell r="X652">
            <v>95</v>
          </cell>
          <cell r="Y652">
            <v>0</v>
          </cell>
          <cell r="Z652">
            <v>0</v>
          </cell>
          <cell r="AD652" t="str">
            <v>2</v>
          </cell>
          <cell r="AE652" t="str">
            <v>0</v>
          </cell>
          <cell r="AF652" t="str">
            <v>00</v>
          </cell>
          <cell r="AG652">
            <v>361462</v>
          </cell>
          <cell r="AI652">
            <v>361462</v>
          </cell>
          <cell r="AJ652">
            <v>79521.64</v>
          </cell>
        </row>
        <row r="653">
          <cell r="A653" t="str">
            <v>02</v>
          </cell>
          <cell r="B653" t="str">
            <v>11</v>
          </cell>
          <cell r="C653" t="str">
            <v>1557</v>
          </cell>
          <cell r="D653" t="str">
            <v>Емкость V-25 м3</v>
          </cell>
          <cell r="G653" t="str">
            <v>01</v>
          </cell>
          <cell r="H653">
            <v>516.89</v>
          </cell>
          <cell r="I653">
            <v>0</v>
          </cell>
          <cell r="J653">
            <v>0</v>
          </cell>
          <cell r="K653">
            <v>1.43</v>
          </cell>
          <cell r="L653" t="str">
            <v>20</v>
          </cell>
          <cell r="M653" t="str">
            <v>42906</v>
          </cell>
          <cell r="N653" t="str">
            <v>12 2812151</v>
          </cell>
          <cell r="O653" t="str">
            <v>067</v>
          </cell>
          <cell r="P653">
            <v>11</v>
          </cell>
          <cell r="Q653">
            <v>11</v>
          </cell>
          <cell r="R653" t="str">
            <v>1</v>
          </cell>
          <cell r="S653" t="str">
            <v>42</v>
          </cell>
          <cell r="T653">
            <v>95</v>
          </cell>
          <cell r="U653">
            <v>12</v>
          </cell>
          <cell r="V653">
            <v>95</v>
          </cell>
          <cell r="W653">
            <v>12</v>
          </cell>
          <cell r="X653">
            <v>95</v>
          </cell>
          <cell r="Y653">
            <v>0</v>
          </cell>
          <cell r="Z653">
            <v>0</v>
          </cell>
          <cell r="AD653" t="str">
            <v>2</v>
          </cell>
          <cell r="AE653" t="str">
            <v>0</v>
          </cell>
          <cell r="AF653" t="str">
            <v>00</v>
          </cell>
          <cell r="AG653">
            <v>361462</v>
          </cell>
          <cell r="AI653">
            <v>361462</v>
          </cell>
          <cell r="AJ653">
            <v>79521.64</v>
          </cell>
        </row>
        <row r="654">
          <cell r="A654" t="str">
            <v>02</v>
          </cell>
          <cell r="B654" t="str">
            <v>11</v>
          </cell>
          <cell r="C654" t="str">
            <v>1558</v>
          </cell>
          <cell r="D654" t="str">
            <v>Кран-балка грузоподъ</v>
          </cell>
          <cell r="E654" t="str">
            <v>емностью 5 т</v>
          </cell>
          <cell r="G654" t="str">
            <v>01</v>
          </cell>
          <cell r="H654">
            <v>20450</v>
          </cell>
          <cell r="I654">
            <v>0</v>
          </cell>
          <cell r="J654">
            <v>0</v>
          </cell>
          <cell r="K654">
            <v>1</v>
          </cell>
          <cell r="L654" t="str">
            <v>20</v>
          </cell>
          <cell r="M654" t="str">
            <v>41722</v>
          </cell>
          <cell r="N654" t="str">
            <v>14 2915480</v>
          </cell>
          <cell r="O654" t="str">
            <v>063</v>
          </cell>
          <cell r="P654">
            <v>14.3</v>
          </cell>
          <cell r="Q654">
            <v>0</v>
          </cell>
          <cell r="R654" t="str">
            <v>1</v>
          </cell>
          <cell r="S654" t="str">
            <v>41</v>
          </cell>
          <cell r="T654">
            <v>95</v>
          </cell>
          <cell r="U654">
            <v>12</v>
          </cell>
          <cell r="V654">
            <v>95</v>
          </cell>
          <cell r="W654">
            <v>12</v>
          </cell>
          <cell r="X654">
            <v>95</v>
          </cell>
          <cell r="Y654">
            <v>0</v>
          </cell>
          <cell r="Z654">
            <v>0</v>
          </cell>
          <cell r="AD654" t="str">
            <v>2</v>
          </cell>
          <cell r="AE654" t="str">
            <v>0</v>
          </cell>
          <cell r="AF654" t="str">
            <v>00</v>
          </cell>
          <cell r="AG654">
            <v>20382000</v>
          </cell>
          <cell r="AI654">
            <v>20382000</v>
          </cell>
          <cell r="AJ654">
            <v>5829252</v>
          </cell>
        </row>
        <row r="655">
          <cell r="A655" t="str">
            <v>02</v>
          </cell>
          <cell r="B655" t="str">
            <v>11</v>
          </cell>
          <cell r="C655" t="str">
            <v>1559</v>
          </cell>
          <cell r="D655" t="str">
            <v>Виброплощадка СМЖ-18</v>
          </cell>
          <cell r="E655" t="str">
            <v>9</v>
          </cell>
          <cell r="G655" t="str">
            <v>01</v>
          </cell>
          <cell r="H655">
            <v>485.09</v>
          </cell>
          <cell r="I655">
            <v>0</v>
          </cell>
          <cell r="J655">
            <v>0</v>
          </cell>
          <cell r="K655">
            <v>1.01</v>
          </cell>
          <cell r="L655" t="str">
            <v>20</v>
          </cell>
          <cell r="M655" t="str">
            <v>42005</v>
          </cell>
          <cell r="N655" t="str">
            <v>14 2947131</v>
          </cell>
          <cell r="O655" t="str">
            <v>067</v>
          </cell>
          <cell r="P655">
            <v>20</v>
          </cell>
          <cell r="Q655">
            <v>0</v>
          </cell>
          <cell r="R655" t="str">
            <v>1</v>
          </cell>
          <cell r="S655" t="str">
            <v>42</v>
          </cell>
          <cell r="T655">
            <v>95</v>
          </cell>
          <cell r="U655">
            <v>12</v>
          </cell>
          <cell r="V655">
            <v>95</v>
          </cell>
          <cell r="W655">
            <v>12</v>
          </cell>
          <cell r="X655">
            <v>95</v>
          </cell>
          <cell r="Y655">
            <v>0</v>
          </cell>
          <cell r="Z655">
            <v>0</v>
          </cell>
          <cell r="AD655" t="str">
            <v>2</v>
          </cell>
          <cell r="AE655" t="str">
            <v>0</v>
          </cell>
          <cell r="AF655" t="str">
            <v>00</v>
          </cell>
          <cell r="AG655">
            <v>480288</v>
          </cell>
          <cell r="AI655">
            <v>480288</v>
          </cell>
          <cell r="AJ655">
            <v>192115.20000000001</v>
          </cell>
        </row>
        <row r="656">
          <cell r="A656" t="str">
            <v>02</v>
          </cell>
          <cell r="B656" t="str">
            <v>11</v>
          </cell>
          <cell r="C656" t="str">
            <v>1560</v>
          </cell>
          <cell r="D656" t="str">
            <v>Пресс кузнечный НСГ-</v>
          </cell>
          <cell r="E656" t="str">
            <v>3222</v>
          </cell>
          <cell r="G656" t="str">
            <v>01</v>
          </cell>
          <cell r="H656">
            <v>25234</v>
          </cell>
          <cell r="I656">
            <v>0</v>
          </cell>
          <cell r="J656">
            <v>0</v>
          </cell>
          <cell r="K656">
            <v>1.01</v>
          </cell>
          <cell r="L656" t="str">
            <v>20</v>
          </cell>
          <cell r="M656" t="str">
            <v>41202</v>
          </cell>
          <cell r="N656" t="str">
            <v>14 2922210</v>
          </cell>
          <cell r="O656" t="str">
            <v>062</v>
          </cell>
          <cell r="P656">
            <v>10</v>
          </cell>
          <cell r="Q656">
            <v>0</v>
          </cell>
          <cell r="R656" t="str">
            <v>1</v>
          </cell>
          <cell r="S656" t="str">
            <v>41</v>
          </cell>
          <cell r="T656">
            <v>95</v>
          </cell>
          <cell r="U656">
            <v>12</v>
          </cell>
          <cell r="V656">
            <v>95</v>
          </cell>
          <cell r="W656">
            <v>12</v>
          </cell>
          <cell r="X656">
            <v>95</v>
          </cell>
          <cell r="Y656">
            <v>0</v>
          </cell>
          <cell r="Z656">
            <v>0</v>
          </cell>
          <cell r="AD656" t="str">
            <v>2</v>
          </cell>
          <cell r="AE656" t="str">
            <v>0</v>
          </cell>
          <cell r="AF656" t="str">
            <v>00</v>
          </cell>
          <cell r="AG656">
            <v>25094000</v>
          </cell>
          <cell r="AI656">
            <v>25094000</v>
          </cell>
          <cell r="AJ656">
            <v>5018800</v>
          </cell>
        </row>
        <row r="657">
          <cell r="A657" t="str">
            <v>02</v>
          </cell>
          <cell r="B657" t="str">
            <v>11</v>
          </cell>
          <cell r="C657" t="str">
            <v>1561</v>
          </cell>
          <cell r="D657" t="str">
            <v>Агрегат СО-100</v>
          </cell>
          <cell r="G657" t="str">
            <v>01</v>
          </cell>
          <cell r="H657">
            <v>10000</v>
          </cell>
          <cell r="I657">
            <v>0</v>
          </cell>
          <cell r="J657">
            <v>0</v>
          </cell>
          <cell r="K657">
            <v>1.02</v>
          </cell>
          <cell r="L657" t="str">
            <v>20</v>
          </cell>
          <cell r="M657" t="str">
            <v>42002</v>
          </cell>
          <cell r="N657" t="str">
            <v>14 2947100</v>
          </cell>
          <cell r="O657" t="str">
            <v>066</v>
          </cell>
          <cell r="P657">
            <v>16.7</v>
          </cell>
          <cell r="Q657">
            <v>0</v>
          </cell>
          <cell r="R657" t="str">
            <v>1</v>
          </cell>
          <cell r="S657" t="str">
            <v>42</v>
          </cell>
          <cell r="T657">
            <v>95</v>
          </cell>
          <cell r="U657">
            <v>12</v>
          </cell>
          <cell r="V657">
            <v>95</v>
          </cell>
          <cell r="W657">
            <v>12</v>
          </cell>
          <cell r="X657">
            <v>95</v>
          </cell>
          <cell r="Y657">
            <v>0</v>
          </cell>
          <cell r="Z657">
            <v>0</v>
          </cell>
          <cell r="AD657" t="str">
            <v>2</v>
          </cell>
          <cell r="AE657" t="str">
            <v>0</v>
          </cell>
          <cell r="AF657" t="str">
            <v>00</v>
          </cell>
          <cell r="AG657">
            <v>9807000</v>
          </cell>
          <cell r="AI657">
            <v>9807000</v>
          </cell>
          <cell r="AJ657">
            <v>3275538</v>
          </cell>
        </row>
        <row r="658">
          <cell r="A658" t="str">
            <v>02</v>
          </cell>
          <cell r="B658" t="str">
            <v>11</v>
          </cell>
          <cell r="C658" t="str">
            <v>1562</v>
          </cell>
          <cell r="D658" t="str">
            <v>Фильтр НС</v>
          </cell>
          <cell r="G658" t="str">
            <v>01</v>
          </cell>
          <cell r="H658">
            <v>3350</v>
          </cell>
          <cell r="I658">
            <v>0</v>
          </cell>
          <cell r="J658">
            <v>0</v>
          </cell>
          <cell r="K658">
            <v>1.18</v>
          </cell>
          <cell r="L658" t="str">
            <v>20</v>
          </cell>
          <cell r="M658" t="str">
            <v>42004</v>
          </cell>
          <cell r="N658" t="str">
            <v>14 2919113</v>
          </cell>
          <cell r="O658" t="str">
            <v>067</v>
          </cell>
          <cell r="P658">
            <v>12.5</v>
          </cell>
          <cell r="Q658">
            <v>0</v>
          </cell>
          <cell r="R658" t="str">
            <v>1</v>
          </cell>
          <cell r="S658" t="str">
            <v>42</v>
          </cell>
          <cell r="T658">
            <v>95</v>
          </cell>
          <cell r="U658">
            <v>12</v>
          </cell>
          <cell r="V658">
            <v>95</v>
          </cell>
          <cell r="W658">
            <v>12</v>
          </cell>
          <cell r="X658">
            <v>95</v>
          </cell>
          <cell r="Y658">
            <v>0</v>
          </cell>
          <cell r="Z658">
            <v>0</v>
          </cell>
          <cell r="AD658" t="str">
            <v>2</v>
          </cell>
          <cell r="AE658" t="str">
            <v>0</v>
          </cell>
          <cell r="AF658" t="str">
            <v>00</v>
          </cell>
          <cell r="AI658">
            <v>2847509</v>
          </cell>
          <cell r="AJ658">
            <v>711877.25</v>
          </cell>
        </row>
        <row r="659">
          <cell r="A659" t="str">
            <v>02</v>
          </cell>
          <cell r="B659" t="str">
            <v>11</v>
          </cell>
          <cell r="C659" t="str">
            <v>1563</v>
          </cell>
          <cell r="D659" t="str">
            <v>Известегасилка СМ -</v>
          </cell>
          <cell r="E659" t="str">
            <v>12474</v>
          </cell>
          <cell r="G659" t="str">
            <v>01</v>
          </cell>
          <cell r="H659">
            <v>2175.85</v>
          </cell>
          <cell r="I659">
            <v>0</v>
          </cell>
          <cell r="J659">
            <v>0</v>
          </cell>
          <cell r="K659">
            <v>1.21</v>
          </cell>
          <cell r="L659" t="str">
            <v>20</v>
          </cell>
          <cell r="M659" t="str">
            <v>42002</v>
          </cell>
          <cell r="N659" t="str">
            <v>14 2947100</v>
          </cell>
          <cell r="O659" t="str">
            <v>066</v>
          </cell>
          <cell r="P659">
            <v>16.7</v>
          </cell>
          <cell r="Q659">
            <v>0</v>
          </cell>
          <cell r="R659" t="str">
            <v>1</v>
          </cell>
          <cell r="S659" t="str">
            <v>42</v>
          </cell>
          <cell r="T659">
            <v>95</v>
          </cell>
          <cell r="U659">
            <v>12</v>
          </cell>
          <cell r="V659">
            <v>95</v>
          </cell>
          <cell r="W659">
            <v>12</v>
          </cell>
          <cell r="X659">
            <v>95</v>
          </cell>
          <cell r="Y659">
            <v>0</v>
          </cell>
          <cell r="Z659">
            <v>0</v>
          </cell>
          <cell r="AD659" t="str">
            <v>2</v>
          </cell>
          <cell r="AE659" t="str">
            <v>0</v>
          </cell>
          <cell r="AF659" t="str">
            <v>00</v>
          </cell>
          <cell r="AG659">
            <v>1798226</v>
          </cell>
          <cell r="AI659">
            <v>1798226</v>
          </cell>
          <cell r="AJ659">
            <v>600607.48</v>
          </cell>
        </row>
        <row r="660">
          <cell r="A660" t="str">
            <v>02</v>
          </cell>
          <cell r="B660" t="str">
            <v>11</v>
          </cell>
          <cell r="C660" t="str">
            <v>1564</v>
          </cell>
          <cell r="D660" t="str">
            <v>Фильтр рукавный СМУ-</v>
          </cell>
          <cell r="E660" t="str">
            <v>1665</v>
          </cell>
          <cell r="G660" t="str">
            <v>01</v>
          </cell>
          <cell r="H660">
            <v>11500</v>
          </cell>
          <cell r="I660">
            <v>0</v>
          </cell>
          <cell r="J660">
            <v>0</v>
          </cell>
          <cell r="K660">
            <v>1.2</v>
          </cell>
          <cell r="L660" t="str">
            <v>20</v>
          </cell>
          <cell r="M660" t="str">
            <v>42044</v>
          </cell>
          <cell r="N660" t="str">
            <v>14 2919113</v>
          </cell>
          <cell r="O660" t="str">
            <v>067</v>
          </cell>
          <cell r="P660">
            <v>12.5</v>
          </cell>
          <cell r="Q660">
            <v>0</v>
          </cell>
          <cell r="R660" t="str">
            <v>1</v>
          </cell>
          <cell r="S660" t="str">
            <v>42</v>
          </cell>
          <cell r="T660">
            <v>95</v>
          </cell>
          <cell r="U660">
            <v>12</v>
          </cell>
          <cell r="V660">
            <v>95</v>
          </cell>
          <cell r="W660">
            <v>12</v>
          </cell>
          <cell r="X660">
            <v>95</v>
          </cell>
          <cell r="Y660">
            <v>0</v>
          </cell>
          <cell r="Z660">
            <v>0</v>
          </cell>
          <cell r="AD660" t="str">
            <v>2</v>
          </cell>
          <cell r="AE660" t="str">
            <v>0</v>
          </cell>
          <cell r="AF660" t="str">
            <v>00</v>
          </cell>
          <cell r="AI660">
            <v>9574488</v>
          </cell>
          <cell r="AJ660">
            <v>2393622</v>
          </cell>
        </row>
        <row r="661">
          <cell r="A661" t="str">
            <v>02</v>
          </cell>
          <cell r="B661" t="str">
            <v>15</v>
          </cell>
          <cell r="C661" t="str">
            <v>1565</v>
          </cell>
          <cell r="D661" t="str">
            <v>Подвеска троллейная</v>
          </cell>
          <cell r="E661" t="str">
            <v>ТПП-821</v>
          </cell>
          <cell r="G661" t="str">
            <v>01</v>
          </cell>
          <cell r="H661">
            <v>24000</v>
          </cell>
          <cell r="I661">
            <v>0</v>
          </cell>
          <cell r="J661">
            <v>0</v>
          </cell>
          <cell r="K661">
            <v>0.04</v>
          </cell>
          <cell r="L661" t="str">
            <v>88/2</v>
          </cell>
          <cell r="M661" t="str">
            <v>42000</v>
          </cell>
          <cell r="N661" t="str">
            <v>14 2947192</v>
          </cell>
          <cell r="O661" t="str">
            <v>064</v>
          </cell>
          <cell r="P661">
            <v>12.5</v>
          </cell>
          <cell r="Q661">
            <v>0</v>
          </cell>
          <cell r="R661" t="str">
            <v>1</v>
          </cell>
          <cell r="S661" t="str">
            <v>42</v>
          </cell>
          <cell r="T661">
            <v>95</v>
          </cell>
          <cell r="U661">
            <v>12</v>
          </cell>
          <cell r="V661">
            <v>95</v>
          </cell>
          <cell r="W661">
            <v>12</v>
          </cell>
          <cell r="X661">
            <v>95</v>
          </cell>
          <cell r="Y661">
            <v>0</v>
          </cell>
          <cell r="Z661">
            <v>0</v>
          </cell>
          <cell r="AB661" t="str">
            <v>14</v>
          </cell>
          <cell r="AC661">
            <v>10</v>
          </cell>
          <cell r="AD661" t="str">
            <v>0</v>
          </cell>
          <cell r="AE661" t="str">
            <v>0</v>
          </cell>
          <cell r="AF661" t="str">
            <v>00</v>
          </cell>
          <cell r="AG661">
            <v>685650000</v>
          </cell>
          <cell r="AI661">
            <v>685650000</v>
          </cell>
          <cell r="AJ661">
            <v>171412500</v>
          </cell>
        </row>
        <row r="662">
          <cell r="A662" t="str">
            <v>02</v>
          </cell>
          <cell r="B662" t="str">
            <v>15</v>
          </cell>
          <cell r="C662" t="str">
            <v>1566</v>
          </cell>
          <cell r="D662" t="str">
            <v>Подвеска троллейная</v>
          </cell>
          <cell r="E662" t="str">
            <v>ТПП-821</v>
          </cell>
          <cell r="G662" t="str">
            <v>01</v>
          </cell>
          <cell r="H662">
            <v>24000</v>
          </cell>
          <cell r="I662">
            <v>0</v>
          </cell>
          <cell r="J662">
            <v>0</v>
          </cell>
          <cell r="K662">
            <v>0.04</v>
          </cell>
          <cell r="L662" t="str">
            <v>88/2</v>
          </cell>
          <cell r="M662" t="str">
            <v>42000</v>
          </cell>
          <cell r="N662" t="str">
            <v>14 2947192</v>
          </cell>
          <cell r="O662" t="str">
            <v>064</v>
          </cell>
          <cell r="P662">
            <v>12.5</v>
          </cell>
          <cell r="Q662">
            <v>0</v>
          </cell>
          <cell r="R662" t="str">
            <v>1</v>
          </cell>
          <cell r="S662" t="str">
            <v>42</v>
          </cell>
          <cell r="T662">
            <v>95</v>
          </cell>
          <cell r="U662">
            <v>12</v>
          </cell>
          <cell r="V662">
            <v>95</v>
          </cell>
          <cell r="W662">
            <v>12</v>
          </cell>
          <cell r="X662">
            <v>95</v>
          </cell>
          <cell r="Y662">
            <v>0</v>
          </cell>
          <cell r="Z662">
            <v>0</v>
          </cell>
          <cell r="AB662" t="str">
            <v>14</v>
          </cell>
          <cell r="AC662">
            <v>10</v>
          </cell>
          <cell r="AD662" t="str">
            <v>0</v>
          </cell>
          <cell r="AE662" t="str">
            <v>0</v>
          </cell>
          <cell r="AF662" t="str">
            <v>00</v>
          </cell>
          <cell r="AG662">
            <v>685650000</v>
          </cell>
          <cell r="AI662">
            <v>685650000</v>
          </cell>
          <cell r="AJ662">
            <v>171412500</v>
          </cell>
        </row>
        <row r="663">
          <cell r="A663" t="str">
            <v>02</v>
          </cell>
          <cell r="B663" t="str">
            <v>15</v>
          </cell>
          <cell r="C663" t="str">
            <v>1567</v>
          </cell>
          <cell r="D663" t="str">
            <v>Подвеска троллейная</v>
          </cell>
          <cell r="E663" t="str">
            <v>ТПП-821</v>
          </cell>
          <cell r="G663" t="str">
            <v>01</v>
          </cell>
          <cell r="H663">
            <v>24000</v>
          </cell>
          <cell r="I663">
            <v>0</v>
          </cell>
          <cell r="J663">
            <v>0</v>
          </cell>
          <cell r="K663">
            <v>0.04</v>
          </cell>
          <cell r="L663" t="str">
            <v>88/2</v>
          </cell>
          <cell r="M663" t="str">
            <v>42000</v>
          </cell>
          <cell r="N663" t="str">
            <v>14 2947192</v>
          </cell>
          <cell r="O663" t="str">
            <v>064</v>
          </cell>
          <cell r="P663">
            <v>12.5</v>
          </cell>
          <cell r="Q663">
            <v>0</v>
          </cell>
          <cell r="R663" t="str">
            <v>1</v>
          </cell>
          <cell r="S663" t="str">
            <v>42</v>
          </cell>
          <cell r="T663">
            <v>95</v>
          </cell>
          <cell r="U663">
            <v>12</v>
          </cell>
          <cell r="V663">
            <v>95</v>
          </cell>
          <cell r="W663">
            <v>12</v>
          </cell>
          <cell r="X663">
            <v>95</v>
          </cell>
          <cell r="Y663">
            <v>0</v>
          </cell>
          <cell r="Z663">
            <v>0</v>
          </cell>
          <cell r="AB663" t="str">
            <v>14</v>
          </cell>
          <cell r="AC663">
            <v>10</v>
          </cell>
          <cell r="AD663" t="str">
            <v>0</v>
          </cell>
          <cell r="AE663" t="str">
            <v>0</v>
          </cell>
          <cell r="AF663" t="str">
            <v>00</v>
          </cell>
          <cell r="AG663">
            <v>685650000</v>
          </cell>
          <cell r="AI663">
            <v>685650000</v>
          </cell>
          <cell r="AJ663">
            <v>171412500</v>
          </cell>
        </row>
        <row r="664">
          <cell r="A664" t="str">
            <v>02</v>
          </cell>
          <cell r="B664" t="str">
            <v>15</v>
          </cell>
          <cell r="C664" t="str">
            <v>1568</v>
          </cell>
          <cell r="D664" t="str">
            <v>Подвеска троллейная</v>
          </cell>
          <cell r="E664" t="str">
            <v>ТПП-821</v>
          </cell>
          <cell r="G664" t="str">
            <v>01</v>
          </cell>
          <cell r="H664">
            <v>24000</v>
          </cell>
          <cell r="I664">
            <v>0</v>
          </cell>
          <cell r="J664">
            <v>0</v>
          </cell>
          <cell r="K664">
            <v>0.04</v>
          </cell>
          <cell r="L664" t="str">
            <v>88/2</v>
          </cell>
          <cell r="M664" t="str">
            <v>42000</v>
          </cell>
          <cell r="N664" t="str">
            <v>14 2947192</v>
          </cell>
          <cell r="O664" t="str">
            <v>064</v>
          </cell>
          <cell r="P664">
            <v>12.5</v>
          </cell>
          <cell r="Q664">
            <v>0</v>
          </cell>
          <cell r="R664" t="str">
            <v>1</v>
          </cell>
          <cell r="S664" t="str">
            <v>42</v>
          </cell>
          <cell r="T664">
            <v>95</v>
          </cell>
          <cell r="U664">
            <v>12</v>
          </cell>
          <cell r="V664">
            <v>95</v>
          </cell>
          <cell r="W664">
            <v>12</v>
          </cell>
          <cell r="X664">
            <v>95</v>
          </cell>
          <cell r="Y664">
            <v>0</v>
          </cell>
          <cell r="Z664">
            <v>0</v>
          </cell>
          <cell r="AB664" t="str">
            <v>14</v>
          </cell>
          <cell r="AC664">
            <v>10</v>
          </cell>
          <cell r="AD664" t="str">
            <v>0</v>
          </cell>
          <cell r="AE664" t="str">
            <v>0</v>
          </cell>
          <cell r="AF664" t="str">
            <v>00</v>
          </cell>
          <cell r="AG664">
            <v>685650000</v>
          </cell>
          <cell r="AI664">
            <v>685650000</v>
          </cell>
          <cell r="AJ664">
            <v>171412500</v>
          </cell>
        </row>
        <row r="665">
          <cell r="A665" t="str">
            <v>02</v>
          </cell>
          <cell r="B665" t="str">
            <v>11</v>
          </cell>
          <cell r="C665" t="str">
            <v>1569</v>
          </cell>
          <cell r="D665" t="str">
            <v>Станок СМЖ-1735</v>
          </cell>
          <cell r="G665" t="str">
            <v>01</v>
          </cell>
          <cell r="H665">
            <v>680</v>
          </cell>
          <cell r="I665">
            <v>0</v>
          </cell>
          <cell r="J665">
            <v>0</v>
          </cell>
          <cell r="K665">
            <v>1.04</v>
          </cell>
          <cell r="L665" t="str">
            <v>20</v>
          </cell>
          <cell r="M665" t="str">
            <v>41000</v>
          </cell>
          <cell r="N665" t="str">
            <v>14 2922176</v>
          </cell>
          <cell r="O665" t="str">
            <v>067</v>
          </cell>
          <cell r="P665">
            <v>5</v>
          </cell>
          <cell r="Q665">
            <v>0</v>
          </cell>
          <cell r="R665" t="str">
            <v>1</v>
          </cell>
          <cell r="S665" t="str">
            <v>41</v>
          </cell>
          <cell r="T665">
            <v>95</v>
          </cell>
          <cell r="U665">
            <v>12</v>
          </cell>
          <cell r="V665">
            <v>95</v>
          </cell>
          <cell r="W665">
            <v>12</v>
          </cell>
          <cell r="X665">
            <v>95</v>
          </cell>
          <cell r="Y665">
            <v>0</v>
          </cell>
          <cell r="Z665">
            <v>0</v>
          </cell>
          <cell r="AD665" t="str">
            <v>2</v>
          </cell>
          <cell r="AE665" t="str">
            <v>0</v>
          </cell>
          <cell r="AF665" t="str">
            <v>00</v>
          </cell>
          <cell r="AG665">
            <v>656000</v>
          </cell>
          <cell r="AI665">
            <v>656000</v>
          </cell>
          <cell r="AJ665">
            <v>65600</v>
          </cell>
        </row>
        <row r="666">
          <cell r="A666" t="str">
            <v>02</v>
          </cell>
          <cell r="B666" t="str">
            <v>15</v>
          </cell>
          <cell r="C666" t="str">
            <v>1570</v>
          </cell>
          <cell r="D666" t="str">
            <v>Переходник П-160х250</v>
          </cell>
          <cell r="G666" t="str">
            <v>01</v>
          </cell>
          <cell r="H666">
            <v>29.46</v>
          </cell>
          <cell r="I666">
            <v>0</v>
          </cell>
          <cell r="J666">
            <v>0</v>
          </cell>
          <cell r="K666">
            <v>1.21</v>
          </cell>
          <cell r="L666" t="str">
            <v>88/2</v>
          </cell>
          <cell r="M666" t="str">
            <v>30123</v>
          </cell>
          <cell r="N666" t="str">
            <v>14 2928666</v>
          </cell>
          <cell r="O666" t="str">
            <v>05</v>
          </cell>
          <cell r="P666">
            <v>12.5</v>
          </cell>
          <cell r="Q666">
            <v>0</v>
          </cell>
          <cell r="R666" t="str">
            <v>1</v>
          </cell>
          <cell r="S666" t="str">
            <v>30</v>
          </cell>
          <cell r="T666">
            <v>95</v>
          </cell>
          <cell r="U666">
            <v>12</v>
          </cell>
          <cell r="V666">
            <v>95</v>
          </cell>
          <cell r="W666">
            <v>12</v>
          </cell>
          <cell r="X666">
            <v>95</v>
          </cell>
          <cell r="Y666">
            <v>0</v>
          </cell>
          <cell r="Z666">
            <v>0</v>
          </cell>
          <cell r="AB666" t="str">
            <v>14</v>
          </cell>
          <cell r="AC666">
            <v>1</v>
          </cell>
          <cell r="AD666" t="str">
            <v>0</v>
          </cell>
          <cell r="AE666" t="str">
            <v>0</v>
          </cell>
          <cell r="AF666" t="str">
            <v>00</v>
          </cell>
          <cell r="AI666">
            <v>24348</v>
          </cell>
          <cell r="AJ666">
            <v>6087</v>
          </cell>
        </row>
        <row r="667">
          <cell r="A667" t="str">
            <v>02</v>
          </cell>
          <cell r="B667" t="str">
            <v>15</v>
          </cell>
          <cell r="C667" t="str">
            <v>1571</v>
          </cell>
          <cell r="D667" t="str">
            <v>Переходник П-160х250</v>
          </cell>
          <cell r="G667" t="str">
            <v>01</v>
          </cell>
          <cell r="H667">
            <v>29.46</v>
          </cell>
          <cell r="I667">
            <v>0</v>
          </cell>
          <cell r="J667">
            <v>0</v>
          </cell>
          <cell r="K667">
            <v>1.21</v>
          </cell>
          <cell r="L667" t="str">
            <v>88/2</v>
          </cell>
          <cell r="M667" t="str">
            <v>30123</v>
          </cell>
          <cell r="N667" t="str">
            <v>14 2928666</v>
          </cell>
          <cell r="O667" t="str">
            <v>05</v>
          </cell>
          <cell r="P667">
            <v>12.5</v>
          </cell>
          <cell r="Q667">
            <v>0</v>
          </cell>
          <cell r="R667" t="str">
            <v>1</v>
          </cell>
          <cell r="S667" t="str">
            <v>30</v>
          </cell>
          <cell r="T667">
            <v>95</v>
          </cell>
          <cell r="U667">
            <v>12</v>
          </cell>
          <cell r="V667">
            <v>95</v>
          </cell>
          <cell r="W667">
            <v>12</v>
          </cell>
          <cell r="X667">
            <v>95</v>
          </cell>
          <cell r="Y667">
            <v>0</v>
          </cell>
          <cell r="Z667">
            <v>0</v>
          </cell>
          <cell r="AB667" t="str">
            <v>14</v>
          </cell>
          <cell r="AC667">
            <v>1</v>
          </cell>
          <cell r="AD667" t="str">
            <v>0</v>
          </cell>
          <cell r="AE667" t="str">
            <v>0</v>
          </cell>
          <cell r="AF667" t="str">
            <v>00</v>
          </cell>
          <cell r="AI667">
            <v>24348</v>
          </cell>
          <cell r="AJ667">
            <v>6087</v>
          </cell>
        </row>
        <row r="668">
          <cell r="A668" t="str">
            <v>02</v>
          </cell>
          <cell r="B668" t="str">
            <v>15</v>
          </cell>
          <cell r="C668" t="str">
            <v>1572</v>
          </cell>
          <cell r="D668" t="str">
            <v>Переходник П-160х250</v>
          </cell>
          <cell r="G668" t="str">
            <v>01</v>
          </cell>
          <cell r="H668">
            <v>29.46</v>
          </cell>
          <cell r="I668">
            <v>0</v>
          </cell>
          <cell r="J668">
            <v>0</v>
          </cell>
          <cell r="K668">
            <v>1.21</v>
          </cell>
          <cell r="L668" t="str">
            <v>88/2</v>
          </cell>
          <cell r="M668" t="str">
            <v>30123</v>
          </cell>
          <cell r="N668" t="str">
            <v>14 2928666</v>
          </cell>
          <cell r="O668" t="str">
            <v>05</v>
          </cell>
          <cell r="P668">
            <v>12.5</v>
          </cell>
          <cell r="Q668">
            <v>0</v>
          </cell>
          <cell r="R668" t="str">
            <v>1</v>
          </cell>
          <cell r="S668" t="str">
            <v>30</v>
          </cell>
          <cell r="T668">
            <v>95</v>
          </cell>
          <cell r="U668">
            <v>12</v>
          </cell>
          <cell r="V668">
            <v>95</v>
          </cell>
          <cell r="W668">
            <v>12</v>
          </cell>
          <cell r="X668">
            <v>95</v>
          </cell>
          <cell r="Y668">
            <v>0</v>
          </cell>
          <cell r="Z668">
            <v>0</v>
          </cell>
          <cell r="AB668" t="str">
            <v>14</v>
          </cell>
          <cell r="AC668">
            <v>1</v>
          </cell>
          <cell r="AD668" t="str">
            <v>0</v>
          </cell>
          <cell r="AE668" t="str">
            <v>0</v>
          </cell>
          <cell r="AF668" t="str">
            <v>00</v>
          </cell>
          <cell r="AI668">
            <v>24348</v>
          </cell>
          <cell r="AJ668">
            <v>6087</v>
          </cell>
        </row>
        <row r="669">
          <cell r="A669" t="str">
            <v>02</v>
          </cell>
          <cell r="B669" t="str">
            <v>15</v>
          </cell>
          <cell r="C669" t="str">
            <v>1573</v>
          </cell>
          <cell r="D669" t="str">
            <v>Переходник П-160х250</v>
          </cell>
          <cell r="G669" t="str">
            <v>01</v>
          </cell>
          <cell r="H669">
            <v>29.46</v>
          </cell>
          <cell r="I669">
            <v>0</v>
          </cell>
          <cell r="J669">
            <v>0</v>
          </cell>
          <cell r="K669">
            <v>1.21</v>
          </cell>
          <cell r="L669" t="str">
            <v>88/2</v>
          </cell>
          <cell r="M669" t="str">
            <v>30123</v>
          </cell>
          <cell r="N669" t="str">
            <v>14 2928666</v>
          </cell>
          <cell r="O669" t="str">
            <v>05</v>
          </cell>
          <cell r="P669">
            <v>12.5</v>
          </cell>
          <cell r="Q669">
            <v>0</v>
          </cell>
          <cell r="R669" t="str">
            <v>1</v>
          </cell>
          <cell r="S669" t="str">
            <v>30</v>
          </cell>
          <cell r="T669">
            <v>95</v>
          </cell>
          <cell r="U669">
            <v>12</v>
          </cell>
          <cell r="V669">
            <v>95</v>
          </cell>
          <cell r="W669">
            <v>12</v>
          </cell>
          <cell r="X669">
            <v>95</v>
          </cell>
          <cell r="Y669">
            <v>0</v>
          </cell>
          <cell r="Z669">
            <v>0</v>
          </cell>
          <cell r="AB669" t="str">
            <v>14</v>
          </cell>
          <cell r="AC669">
            <v>1</v>
          </cell>
          <cell r="AD669" t="str">
            <v>0</v>
          </cell>
          <cell r="AE669" t="str">
            <v>0</v>
          </cell>
          <cell r="AF669" t="str">
            <v>00</v>
          </cell>
          <cell r="AI669">
            <v>24348</v>
          </cell>
          <cell r="AJ669">
            <v>6087</v>
          </cell>
        </row>
        <row r="670">
          <cell r="A670" t="str">
            <v>02</v>
          </cell>
          <cell r="B670" t="str">
            <v>15</v>
          </cell>
          <cell r="C670" t="str">
            <v>1574</v>
          </cell>
          <cell r="D670" t="str">
            <v>Переходник</v>
          </cell>
          <cell r="E670" t="str">
            <v>П-160х250</v>
          </cell>
          <cell r="G670" t="str">
            <v>01</v>
          </cell>
          <cell r="H670">
            <v>29.46</v>
          </cell>
          <cell r="I670">
            <v>0</v>
          </cell>
          <cell r="J670">
            <v>0</v>
          </cell>
          <cell r="K670">
            <v>1.21</v>
          </cell>
          <cell r="L670" t="str">
            <v>88/2</v>
          </cell>
          <cell r="M670" t="str">
            <v>30123</v>
          </cell>
          <cell r="N670" t="str">
            <v>14 2928666</v>
          </cell>
          <cell r="O670" t="str">
            <v>05</v>
          </cell>
          <cell r="P670">
            <v>12.5</v>
          </cell>
          <cell r="Q670">
            <v>0</v>
          </cell>
          <cell r="R670" t="str">
            <v>1</v>
          </cell>
          <cell r="S670" t="str">
            <v>30</v>
          </cell>
          <cell r="T670">
            <v>95</v>
          </cell>
          <cell r="U670">
            <v>12</v>
          </cell>
          <cell r="V670">
            <v>95</v>
          </cell>
          <cell r="W670">
            <v>12</v>
          </cell>
          <cell r="X670">
            <v>95</v>
          </cell>
          <cell r="Y670">
            <v>0</v>
          </cell>
          <cell r="Z670">
            <v>0</v>
          </cell>
          <cell r="AB670" t="str">
            <v>14</v>
          </cell>
          <cell r="AC670">
            <v>1</v>
          </cell>
          <cell r="AD670" t="str">
            <v>0</v>
          </cell>
          <cell r="AE670" t="str">
            <v>0</v>
          </cell>
          <cell r="AF670" t="str">
            <v>00</v>
          </cell>
          <cell r="AI670">
            <v>24349</v>
          </cell>
          <cell r="AJ670">
            <v>6087.25</v>
          </cell>
        </row>
        <row r="671">
          <cell r="A671" t="str">
            <v>02</v>
          </cell>
          <cell r="B671" t="str">
            <v>15</v>
          </cell>
          <cell r="C671" t="str">
            <v>1575</v>
          </cell>
          <cell r="D671" t="str">
            <v>Энергосборник ЕСУ</v>
          </cell>
          <cell r="G671" t="str">
            <v>01</v>
          </cell>
          <cell r="H671">
            <v>465</v>
          </cell>
          <cell r="I671">
            <v>0</v>
          </cell>
          <cell r="J671">
            <v>0</v>
          </cell>
          <cell r="K671">
            <v>1.04</v>
          </cell>
          <cell r="L671" t="str">
            <v>88/2</v>
          </cell>
          <cell r="M671" t="str">
            <v>40701</v>
          </cell>
          <cell r="N671" t="str">
            <v>14 2947193</v>
          </cell>
          <cell r="O671" t="str">
            <v>066</v>
          </cell>
          <cell r="P671">
            <v>4.4000000000000004</v>
          </cell>
          <cell r="Q671">
            <v>0</v>
          </cell>
          <cell r="R671" t="str">
            <v>1</v>
          </cell>
          <cell r="S671" t="str">
            <v>40</v>
          </cell>
          <cell r="T671">
            <v>95</v>
          </cell>
          <cell r="U671">
            <v>12</v>
          </cell>
          <cell r="V671">
            <v>95</v>
          </cell>
          <cell r="W671">
            <v>12</v>
          </cell>
          <cell r="X671">
            <v>95</v>
          </cell>
          <cell r="Y671">
            <v>0</v>
          </cell>
          <cell r="Z671">
            <v>0</v>
          </cell>
          <cell r="AB671" t="str">
            <v>14</v>
          </cell>
          <cell r="AC671">
            <v>10</v>
          </cell>
          <cell r="AD671" t="str">
            <v>0</v>
          </cell>
          <cell r="AE671" t="str">
            <v>0</v>
          </cell>
          <cell r="AF671" t="str">
            <v>00</v>
          </cell>
          <cell r="AI671">
            <v>446904</v>
          </cell>
          <cell r="AJ671">
            <v>39327.550000000003</v>
          </cell>
        </row>
        <row r="672">
          <cell r="A672" t="str">
            <v>02</v>
          </cell>
          <cell r="B672" t="str">
            <v>15</v>
          </cell>
          <cell r="C672" t="str">
            <v>1576</v>
          </cell>
          <cell r="D672" t="str">
            <v>Энергосборник ЕСУ</v>
          </cell>
          <cell r="G672" t="str">
            <v>01</v>
          </cell>
          <cell r="H672">
            <v>465</v>
          </cell>
          <cell r="I672">
            <v>0</v>
          </cell>
          <cell r="J672">
            <v>0</v>
          </cell>
          <cell r="K672">
            <v>1.04</v>
          </cell>
          <cell r="L672" t="str">
            <v>88/2</v>
          </cell>
          <cell r="M672" t="str">
            <v>40701</v>
          </cell>
          <cell r="N672" t="str">
            <v>14 2947193</v>
          </cell>
          <cell r="O672" t="str">
            <v>066</v>
          </cell>
          <cell r="P672">
            <v>4.4000000000000004</v>
          </cell>
          <cell r="Q672">
            <v>0</v>
          </cell>
          <cell r="R672" t="str">
            <v>1</v>
          </cell>
          <cell r="S672" t="str">
            <v>40</v>
          </cell>
          <cell r="T672">
            <v>95</v>
          </cell>
          <cell r="U672">
            <v>12</v>
          </cell>
          <cell r="V672">
            <v>95</v>
          </cell>
          <cell r="W672">
            <v>12</v>
          </cell>
          <cell r="X672">
            <v>95</v>
          </cell>
          <cell r="Y672">
            <v>0</v>
          </cell>
          <cell r="Z672">
            <v>0</v>
          </cell>
          <cell r="AB672" t="str">
            <v>14</v>
          </cell>
          <cell r="AC672">
            <v>10</v>
          </cell>
          <cell r="AD672" t="str">
            <v>0</v>
          </cell>
          <cell r="AE672" t="str">
            <v>0</v>
          </cell>
          <cell r="AF672" t="str">
            <v>00</v>
          </cell>
          <cell r="AI672">
            <v>446904</v>
          </cell>
          <cell r="AJ672">
            <v>39327.550000000003</v>
          </cell>
        </row>
        <row r="673">
          <cell r="A673" t="str">
            <v>02</v>
          </cell>
          <cell r="B673" t="str">
            <v>11</v>
          </cell>
          <cell r="C673" t="str">
            <v>1577</v>
          </cell>
          <cell r="D673" t="str">
            <v>Энергосборник ЕСУ</v>
          </cell>
          <cell r="G673" t="str">
            <v>01</v>
          </cell>
          <cell r="H673">
            <v>465</v>
          </cell>
          <cell r="I673">
            <v>0</v>
          </cell>
          <cell r="J673">
            <v>0</v>
          </cell>
          <cell r="K673">
            <v>1.04</v>
          </cell>
          <cell r="L673" t="str">
            <v>20</v>
          </cell>
          <cell r="M673" t="str">
            <v>40701</v>
          </cell>
          <cell r="N673" t="str">
            <v>14 2947193</v>
          </cell>
          <cell r="O673" t="str">
            <v>066</v>
          </cell>
          <cell r="P673">
            <v>4.4000000000000004</v>
          </cell>
          <cell r="Q673">
            <v>0</v>
          </cell>
          <cell r="R673" t="str">
            <v>1</v>
          </cell>
          <cell r="S673" t="str">
            <v>40</v>
          </cell>
          <cell r="T673">
            <v>95</v>
          </cell>
          <cell r="U673">
            <v>12</v>
          </cell>
          <cell r="V673">
            <v>95</v>
          </cell>
          <cell r="W673">
            <v>12</v>
          </cell>
          <cell r="X673">
            <v>95</v>
          </cell>
          <cell r="Y673">
            <v>0</v>
          </cell>
          <cell r="Z673">
            <v>0</v>
          </cell>
          <cell r="AD673" t="str">
            <v>2</v>
          </cell>
          <cell r="AE673" t="str">
            <v>0</v>
          </cell>
          <cell r="AF673" t="str">
            <v>00</v>
          </cell>
          <cell r="AI673">
            <v>446902</v>
          </cell>
          <cell r="AJ673">
            <v>39327.379999999997</v>
          </cell>
        </row>
        <row r="674">
          <cell r="A674" t="str">
            <v>02</v>
          </cell>
          <cell r="B674" t="str">
            <v>15</v>
          </cell>
          <cell r="C674" t="str">
            <v>1578</v>
          </cell>
          <cell r="D674" t="str">
            <v>Вентилятор ФУН-300</v>
          </cell>
          <cell r="G674" t="str">
            <v>01</v>
          </cell>
          <cell r="H674">
            <v>1174.0899999999999</v>
          </cell>
          <cell r="I674">
            <v>0</v>
          </cell>
          <cell r="J674">
            <v>0</v>
          </cell>
          <cell r="K674">
            <v>1.21</v>
          </cell>
          <cell r="L674" t="str">
            <v>88/2</v>
          </cell>
          <cell r="M674" t="str">
            <v>41604</v>
          </cell>
          <cell r="N674" t="str">
            <v>14 3699000</v>
          </cell>
          <cell r="O674" t="str">
            <v>062</v>
          </cell>
          <cell r="P674">
            <v>27</v>
          </cell>
          <cell r="Q674">
            <v>0</v>
          </cell>
          <cell r="R674" t="str">
            <v>1</v>
          </cell>
          <cell r="S674" t="str">
            <v>41</v>
          </cell>
          <cell r="T674">
            <v>95</v>
          </cell>
          <cell r="U674">
            <v>12</v>
          </cell>
          <cell r="V674">
            <v>95</v>
          </cell>
          <cell r="W674">
            <v>12</v>
          </cell>
          <cell r="X674">
            <v>95</v>
          </cell>
          <cell r="Y674">
            <v>0</v>
          </cell>
          <cell r="Z674">
            <v>0</v>
          </cell>
          <cell r="AB674" t="str">
            <v>14</v>
          </cell>
          <cell r="AC674">
            <v>10</v>
          </cell>
          <cell r="AD674" t="str">
            <v>0</v>
          </cell>
          <cell r="AE674" t="str">
            <v>0</v>
          </cell>
          <cell r="AF674" t="str">
            <v>00</v>
          </cell>
          <cell r="AG674">
            <v>970326</v>
          </cell>
          <cell r="AI674">
            <v>970326</v>
          </cell>
          <cell r="AJ674">
            <v>523976.04</v>
          </cell>
        </row>
        <row r="675">
          <cell r="A675" t="str">
            <v>02</v>
          </cell>
          <cell r="B675" t="str">
            <v>15</v>
          </cell>
          <cell r="C675" t="str">
            <v>1579</v>
          </cell>
          <cell r="D675" t="str">
            <v>Вентилятор ФУН-300</v>
          </cell>
          <cell r="G675" t="str">
            <v>01</v>
          </cell>
          <cell r="H675">
            <v>1174.0899999999999</v>
          </cell>
          <cell r="I675">
            <v>0</v>
          </cell>
          <cell r="J675">
            <v>0</v>
          </cell>
          <cell r="K675">
            <v>1.21</v>
          </cell>
          <cell r="L675" t="str">
            <v>88/2</v>
          </cell>
          <cell r="M675" t="str">
            <v>41604</v>
          </cell>
          <cell r="N675" t="str">
            <v>14 3699000</v>
          </cell>
          <cell r="O675" t="str">
            <v>062</v>
          </cell>
          <cell r="P675">
            <v>27</v>
          </cell>
          <cell r="Q675">
            <v>0</v>
          </cell>
          <cell r="R675" t="str">
            <v>1</v>
          </cell>
          <cell r="S675" t="str">
            <v>41</v>
          </cell>
          <cell r="T675">
            <v>95</v>
          </cell>
          <cell r="U675">
            <v>12</v>
          </cell>
          <cell r="V675">
            <v>95</v>
          </cell>
          <cell r="W675">
            <v>12</v>
          </cell>
          <cell r="X675">
            <v>95</v>
          </cell>
          <cell r="Y675">
            <v>0</v>
          </cell>
          <cell r="Z675">
            <v>0</v>
          </cell>
          <cell r="AB675" t="str">
            <v>14</v>
          </cell>
          <cell r="AC675">
            <v>10</v>
          </cell>
          <cell r="AD675" t="str">
            <v>0</v>
          </cell>
          <cell r="AE675" t="str">
            <v>0</v>
          </cell>
          <cell r="AF675" t="str">
            <v>00</v>
          </cell>
          <cell r="AG675">
            <v>970326</v>
          </cell>
          <cell r="AI675">
            <v>970326</v>
          </cell>
          <cell r="AJ675">
            <v>523976.04</v>
          </cell>
        </row>
        <row r="676">
          <cell r="A676" t="str">
            <v>02</v>
          </cell>
          <cell r="B676" t="str">
            <v>15</v>
          </cell>
          <cell r="C676" t="str">
            <v>1580</v>
          </cell>
          <cell r="D676" t="str">
            <v>Вентилятор ФУН-300</v>
          </cell>
          <cell r="G676" t="str">
            <v>01</v>
          </cell>
          <cell r="H676">
            <v>1174.0899999999999</v>
          </cell>
          <cell r="I676">
            <v>0</v>
          </cell>
          <cell r="J676">
            <v>0</v>
          </cell>
          <cell r="K676">
            <v>1.21</v>
          </cell>
          <cell r="L676" t="str">
            <v>88/2</v>
          </cell>
          <cell r="M676" t="str">
            <v>41604</v>
          </cell>
          <cell r="N676" t="str">
            <v>14 3699000</v>
          </cell>
          <cell r="O676" t="str">
            <v>062</v>
          </cell>
          <cell r="P676">
            <v>27</v>
          </cell>
          <cell r="Q676">
            <v>0</v>
          </cell>
          <cell r="R676" t="str">
            <v>1</v>
          </cell>
          <cell r="S676" t="str">
            <v>41</v>
          </cell>
          <cell r="T676">
            <v>95</v>
          </cell>
          <cell r="U676">
            <v>12</v>
          </cell>
          <cell r="V676">
            <v>95</v>
          </cell>
          <cell r="W676">
            <v>12</v>
          </cell>
          <cell r="X676">
            <v>95</v>
          </cell>
          <cell r="Y676">
            <v>0</v>
          </cell>
          <cell r="Z676">
            <v>0</v>
          </cell>
          <cell r="AB676" t="str">
            <v>14</v>
          </cell>
          <cell r="AC676">
            <v>10</v>
          </cell>
          <cell r="AD676" t="str">
            <v>0</v>
          </cell>
          <cell r="AE676" t="str">
            <v>0</v>
          </cell>
          <cell r="AF676" t="str">
            <v>00</v>
          </cell>
          <cell r="AG676">
            <v>970326</v>
          </cell>
          <cell r="AI676">
            <v>970326</v>
          </cell>
          <cell r="AJ676">
            <v>523976.04</v>
          </cell>
        </row>
        <row r="677">
          <cell r="A677" t="str">
            <v>02</v>
          </cell>
          <cell r="B677" t="str">
            <v>15</v>
          </cell>
          <cell r="C677" t="str">
            <v>1581</v>
          </cell>
          <cell r="D677" t="str">
            <v>Вентилятор ФУН-300</v>
          </cell>
          <cell r="G677" t="str">
            <v>01</v>
          </cell>
          <cell r="H677">
            <v>1174.0899999999999</v>
          </cell>
          <cell r="I677">
            <v>0</v>
          </cell>
          <cell r="J677">
            <v>0</v>
          </cell>
          <cell r="K677">
            <v>1.21</v>
          </cell>
          <cell r="L677" t="str">
            <v>88/2</v>
          </cell>
          <cell r="M677" t="str">
            <v>41604</v>
          </cell>
          <cell r="N677" t="str">
            <v>14 3699000</v>
          </cell>
          <cell r="O677" t="str">
            <v>062</v>
          </cell>
          <cell r="P677">
            <v>27</v>
          </cell>
          <cell r="Q677">
            <v>0</v>
          </cell>
          <cell r="R677" t="str">
            <v>1</v>
          </cell>
          <cell r="S677" t="str">
            <v>41</v>
          </cell>
          <cell r="T677">
            <v>95</v>
          </cell>
          <cell r="U677">
            <v>12</v>
          </cell>
          <cell r="V677">
            <v>95</v>
          </cell>
          <cell r="W677">
            <v>12</v>
          </cell>
          <cell r="X677">
            <v>95</v>
          </cell>
          <cell r="Y677">
            <v>0</v>
          </cell>
          <cell r="Z677">
            <v>0</v>
          </cell>
          <cell r="AB677" t="str">
            <v>14</v>
          </cell>
          <cell r="AC677">
            <v>10</v>
          </cell>
          <cell r="AD677" t="str">
            <v>0</v>
          </cell>
          <cell r="AE677" t="str">
            <v>0</v>
          </cell>
          <cell r="AF677" t="str">
            <v>00</v>
          </cell>
          <cell r="AG677">
            <v>970326</v>
          </cell>
          <cell r="AI677">
            <v>970326</v>
          </cell>
          <cell r="AJ677">
            <v>523976.04</v>
          </cell>
        </row>
        <row r="678">
          <cell r="A678" t="str">
            <v>02</v>
          </cell>
          <cell r="B678" t="str">
            <v>15</v>
          </cell>
          <cell r="C678" t="str">
            <v>1582</v>
          </cell>
          <cell r="D678" t="str">
            <v>Вентилятор ФУН-300</v>
          </cell>
          <cell r="G678" t="str">
            <v>01</v>
          </cell>
          <cell r="H678">
            <v>1174.0899999999999</v>
          </cell>
          <cell r="I678">
            <v>0</v>
          </cell>
          <cell r="J678">
            <v>0</v>
          </cell>
          <cell r="K678">
            <v>1.21</v>
          </cell>
          <cell r="L678" t="str">
            <v>88/2</v>
          </cell>
          <cell r="M678" t="str">
            <v>41604</v>
          </cell>
          <cell r="N678" t="str">
            <v>14 3699000</v>
          </cell>
          <cell r="O678" t="str">
            <v>062</v>
          </cell>
          <cell r="P678">
            <v>27</v>
          </cell>
          <cell r="Q678">
            <v>0</v>
          </cell>
          <cell r="R678" t="str">
            <v>1</v>
          </cell>
          <cell r="S678" t="str">
            <v>41</v>
          </cell>
          <cell r="T678">
            <v>95</v>
          </cell>
          <cell r="U678">
            <v>12</v>
          </cell>
          <cell r="V678">
            <v>95</v>
          </cell>
          <cell r="W678">
            <v>12</v>
          </cell>
          <cell r="X678">
            <v>95</v>
          </cell>
          <cell r="Y678">
            <v>0</v>
          </cell>
          <cell r="Z678">
            <v>0</v>
          </cell>
          <cell r="AB678" t="str">
            <v>14</v>
          </cell>
          <cell r="AC678">
            <v>10</v>
          </cell>
          <cell r="AD678" t="str">
            <v>0</v>
          </cell>
          <cell r="AE678" t="str">
            <v>0</v>
          </cell>
          <cell r="AF678" t="str">
            <v>00</v>
          </cell>
          <cell r="AG678">
            <v>970326</v>
          </cell>
          <cell r="AI678">
            <v>970326</v>
          </cell>
          <cell r="AJ678">
            <v>523976.04</v>
          </cell>
        </row>
        <row r="679">
          <cell r="A679" t="str">
            <v>02</v>
          </cell>
          <cell r="B679" t="str">
            <v>15</v>
          </cell>
          <cell r="C679" t="str">
            <v>1610</v>
          </cell>
          <cell r="D679" t="str">
            <v>Подвесное устройство</v>
          </cell>
          <cell r="E679" t="str">
            <v>Р-25-100</v>
          </cell>
          <cell r="G679" t="str">
            <v>01</v>
          </cell>
          <cell r="H679">
            <v>985</v>
          </cell>
          <cell r="I679">
            <v>0</v>
          </cell>
          <cell r="J679">
            <v>0</v>
          </cell>
          <cell r="K679">
            <v>1.04</v>
          </cell>
          <cell r="L679" t="str">
            <v>88/2</v>
          </cell>
          <cell r="M679" t="str">
            <v>42000</v>
          </cell>
          <cell r="N679" t="str">
            <v>14 2947192</v>
          </cell>
          <cell r="O679" t="str">
            <v>064</v>
          </cell>
          <cell r="P679">
            <v>12.5</v>
          </cell>
          <cell r="Q679">
            <v>0</v>
          </cell>
          <cell r="R679" t="str">
            <v>1</v>
          </cell>
          <cell r="S679" t="str">
            <v>42</v>
          </cell>
          <cell r="T679">
            <v>95</v>
          </cell>
          <cell r="U679">
            <v>12</v>
          </cell>
          <cell r="V679">
            <v>95</v>
          </cell>
          <cell r="W679">
            <v>12</v>
          </cell>
          <cell r="X679">
            <v>95</v>
          </cell>
          <cell r="Y679">
            <v>0</v>
          </cell>
          <cell r="Z679">
            <v>0</v>
          </cell>
          <cell r="AB679" t="str">
            <v>14</v>
          </cell>
          <cell r="AC679">
            <v>10</v>
          </cell>
          <cell r="AD679" t="str">
            <v>0</v>
          </cell>
          <cell r="AE679" t="str">
            <v>0</v>
          </cell>
          <cell r="AF679" t="str">
            <v>00</v>
          </cell>
          <cell r="AG679">
            <v>949000</v>
          </cell>
          <cell r="AI679">
            <v>949000</v>
          </cell>
          <cell r="AJ679">
            <v>237250</v>
          </cell>
        </row>
        <row r="680">
          <cell r="A680" t="str">
            <v>02</v>
          </cell>
          <cell r="B680" t="str">
            <v>15</v>
          </cell>
          <cell r="C680" t="str">
            <v>1584</v>
          </cell>
          <cell r="D680" t="str">
            <v>Подвесное устройство</v>
          </cell>
          <cell r="E680" t="str">
            <v>Р-25-100</v>
          </cell>
          <cell r="G680" t="str">
            <v>01</v>
          </cell>
          <cell r="H680">
            <v>985</v>
          </cell>
          <cell r="I680">
            <v>0</v>
          </cell>
          <cell r="J680">
            <v>0</v>
          </cell>
          <cell r="K680">
            <v>1.04</v>
          </cell>
          <cell r="L680" t="str">
            <v>88/2</v>
          </cell>
          <cell r="M680" t="str">
            <v>42000</v>
          </cell>
          <cell r="N680" t="str">
            <v>14 2947192</v>
          </cell>
          <cell r="O680" t="str">
            <v>064</v>
          </cell>
          <cell r="P680">
            <v>12.5</v>
          </cell>
          <cell r="Q680">
            <v>0</v>
          </cell>
          <cell r="R680" t="str">
            <v>1</v>
          </cell>
          <cell r="S680" t="str">
            <v>42</v>
          </cell>
          <cell r="T680">
            <v>95</v>
          </cell>
          <cell r="U680">
            <v>12</v>
          </cell>
          <cell r="V680">
            <v>95</v>
          </cell>
          <cell r="W680">
            <v>12</v>
          </cell>
          <cell r="X680">
            <v>95</v>
          </cell>
          <cell r="Y680">
            <v>0</v>
          </cell>
          <cell r="Z680">
            <v>0</v>
          </cell>
          <cell r="AB680" t="str">
            <v>14</v>
          </cell>
          <cell r="AC680">
            <v>10</v>
          </cell>
          <cell r="AD680" t="str">
            <v>0</v>
          </cell>
          <cell r="AE680" t="str">
            <v>0</v>
          </cell>
          <cell r="AF680" t="str">
            <v>00</v>
          </cell>
          <cell r="AG680">
            <v>949000</v>
          </cell>
          <cell r="AI680">
            <v>949000</v>
          </cell>
          <cell r="AJ680">
            <v>237250</v>
          </cell>
        </row>
        <row r="681">
          <cell r="A681" t="str">
            <v>02</v>
          </cell>
          <cell r="B681" t="str">
            <v>15</v>
          </cell>
          <cell r="C681" t="str">
            <v>1585</v>
          </cell>
          <cell r="D681" t="str">
            <v>Консольное поворотно</v>
          </cell>
          <cell r="E681" t="str">
            <v>е устройство</v>
          </cell>
          <cell r="G681" t="str">
            <v>01</v>
          </cell>
          <cell r="H681">
            <v>1125.1300000000001</v>
          </cell>
          <cell r="I681">
            <v>0</v>
          </cell>
          <cell r="J681">
            <v>0</v>
          </cell>
          <cell r="K681">
            <v>1.21</v>
          </cell>
          <cell r="L681" t="str">
            <v>88/2</v>
          </cell>
          <cell r="M681" t="str">
            <v>41722</v>
          </cell>
          <cell r="N681" t="str">
            <v>14 2915202</v>
          </cell>
          <cell r="O681" t="str">
            <v>063</v>
          </cell>
          <cell r="P681">
            <v>14.3</v>
          </cell>
          <cell r="Q681">
            <v>0</v>
          </cell>
          <cell r="R681" t="str">
            <v>1</v>
          </cell>
          <cell r="S681" t="str">
            <v>41</v>
          </cell>
          <cell r="T681">
            <v>95</v>
          </cell>
          <cell r="U681">
            <v>12</v>
          </cell>
          <cell r="V681">
            <v>95</v>
          </cell>
          <cell r="W681">
            <v>12</v>
          </cell>
          <cell r="X681">
            <v>95</v>
          </cell>
          <cell r="Y681">
            <v>0</v>
          </cell>
          <cell r="Z681">
            <v>0</v>
          </cell>
          <cell r="AB681" t="str">
            <v>14</v>
          </cell>
          <cell r="AC681">
            <v>1</v>
          </cell>
          <cell r="AD681" t="str">
            <v>0</v>
          </cell>
          <cell r="AE681" t="str">
            <v>0</v>
          </cell>
          <cell r="AF681" t="str">
            <v>00</v>
          </cell>
          <cell r="AI681">
            <v>929863</v>
          </cell>
          <cell r="AJ681">
            <v>265940.82</v>
          </cell>
        </row>
        <row r="682">
          <cell r="A682" t="str">
            <v>02</v>
          </cell>
          <cell r="B682" t="str">
            <v>15</v>
          </cell>
          <cell r="C682" t="str">
            <v>1586</v>
          </cell>
          <cell r="D682" t="str">
            <v>Коксольно-поворотное</v>
          </cell>
          <cell r="E682" t="str">
            <v>мест. УК 4516</v>
          </cell>
          <cell r="G682" t="str">
            <v>01</v>
          </cell>
          <cell r="H682">
            <v>1432.69</v>
          </cell>
          <cell r="I682">
            <v>0</v>
          </cell>
          <cell r="J682">
            <v>0</v>
          </cell>
          <cell r="K682">
            <v>1.21</v>
          </cell>
          <cell r="L682" t="str">
            <v>88/2</v>
          </cell>
          <cell r="M682" t="str">
            <v>41722</v>
          </cell>
          <cell r="N682" t="str">
            <v>14 2915202</v>
          </cell>
          <cell r="O682" t="str">
            <v>063</v>
          </cell>
          <cell r="P682">
            <v>14.3</v>
          </cell>
          <cell r="Q682">
            <v>0</v>
          </cell>
          <cell r="R682" t="str">
            <v>1</v>
          </cell>
          <cell r="S682" t="str">
            <v>41</v>
          </cell>
          <cell r="T682">
            <v>95</v>
          </cell>
          <cell r="U682">
            <v>12</v>
          </cell>
          <cell r="V682">
            <v>95</v>
          </cell>
          <cell r="W682">
            <v>12</v>
          </cell>
          <cell r="X682">
            <v>95</v>
          </cell>
          <cell r="Y682">
            <v>0</v>
          </cell>
          <cell r="Z682">
            <v>0</v>
          </cell>
          <cell r="AB682" t="str">
            <v>14</v>
          </cell>
          <cell r="AC682">
            <v>1</v>
          </cell>
          <cell r="AD682" t="str">
            <v>0</v>
          </cell>
          <cell r="AE682" t="str">
            <v>0</v>
          </cell>
          <cell r="AF682" t="str">
            <v>00</v>
          </cell>
          <cell r="AI682">
            <v>1184040</v>
          </cell>
          <cell r="AJ682">
            <v>338635.44</v>
          </cell>
        </row>
        <row r="683">
          <cell r="A683" t="str">
            <v>02</v>
          </cell>
          <cell r="B683" t="str">
            <v>15</v>
          </cell>
          <cell r="C683" t="str">
            <v>1587</v>
          </cell>
          <cell r="D683" t="str">
            <v>Консольно-поворотное</v>
          </cell>
          <cell r="E683" t="str">
            <v>мест. УК 4516</v>
          </cell>
          <cell r="G683" t="str">
            <v>01</v>
          </cell>
          <cell r="H683">
            <v>1432.69</v>
          </cell>
          <cell r="I683">
            <v>0</v>
          </cell>
          <cell r="J683">
            <v>0</v>
          </cell>
          <cell r="K683">
            <v>1.21</v>
          </cell>
          <cell r="L683" t="str">
            <v>88/2</v>
          </cell>
          <cell r="M683" t="str">
            <v>41722</v>
          </cell>
          <cell r="N683" t="str">
            <v>14 2915202</v>
          </cell>
          <cell r="O683" t="str">
            <v>063</v>
          </cell>
          <cell r="P683">
            <v>14.3</v>
          </cell>
          <cell r="Q683">
            <v>0</v>
          </cell>
          <cell r="R683" t="str">
            <v>1</v>
          </cell>
          <cell r="S683" t="str">
            <v>41</v>
          </cell>
          <cell r="T683">
            <v>95</v>
          </cell>
          <cell r="U683">
            <v>12</v>
          </cell>
          <cell r="V683">
            <v>95</v>
          </cell>
          <cell r="W683">
            <v>12</v>
          </cell>
          <cell r="X683">
            <v>95</v>
          </cell>
          <cell r="Y683">
            <v>0</v>
          </cell>
          <cell r="Z683">
            <v>0</v>
          </cell>
          <cell r="AB683" t="str">
            <v>14</v>
          </cell>
          <cell r="AC683">
            <v>1</v>
          </cell>
          <cell r="AD683" t="str">
            <v>0</v>
          </cell>
          <cell r="AE683" t="str">
            <v>0</v>
          </cell>
          <cell r="AF683" t="str">
            <v>00</v>
          </cell>
          <cell r="AI683">
            <v>1184040</v>
          </cell>
          <cell r="AJ683">
            <v>338635.44</v>
          </cell>
        </row>
        <row r="684">
          <cell r="A684" t="str">
            <v>02</v>
          </cell>
          <cell r="B684" t="str">
            <v>15</v>
          </cell>
          <cell r="C684" t="str">
            <v>1588</v>
          </cell>
          <cell r="D684" t="str">
            <v>Емкость V-25м3</v>
          </cell>
          <cell r="G684" t="str">
            <v>01</v>
          </cell>
          <cell r="H684">
            <v>10965.24</v>
          </cell>
          <cell r="I684">
            <v>0</v>
          </cell>
          <cell r="J684">
            <v>0</v>
          </cell>
          <cell r="K684">
            <v>1.43</v>
          </cell>
          <cell r="L684" t="str">
            <v>88/2</v>
          </cell>
          <cell r="M684" t="str">
            <v>42906</v>
          </cell>
          <cell r="N684" t="str">
            <v>12 2812157</v>
          </cell>
          <cell r="O684" t="str">
            <v>067</v>
          </cell>
          <cell r="P684">
            <v>11</v>
          </cell>
          <cell r="Q684">
            <v>0</v>
          </cell>
          <cell r="R684" t="str">
            <v>1</v>
          </cell>
          <cell r="S684" t="str">
            <v>42</v>
          </cell>
          <cell r="T684">
            <v>95</v>
          </cell>
          <cell r="U684">
            <v>12</v>
          </cell>
          <cell r="V684">
            <v>95</v>
          </cell>
          <cell r="W684">
            <v>12</v>
          </cell>
          <cell r="X684">
            <v>95</v>
          </cell>
          <cell r="Y684">
            <v>0</v>
          </cell>
          <cell r="Z684">
            <v>0</v>
          </cell>
          <cell r="AB684" t="str">
            <v>14</v>
          </cell>
          <cell r="AC684">
            <v>10</v>
          </cell>
          <cell r="AD684" t="str">
            <v>0</v>
          </cell>
          <cell r="AE684" t="str">
            <v>0</v>
          </cell>
          <cell r="AF684" t="str">
            <v>00</v>
          </cell>
          <cell r="AG684">
            <v>7668000</v>
          </cell>
          <cell r="AI684">
            <v>7668000</v>
          </cell>
          <cell r="AJ684">
            <v>1686960</v>
          </cell>
        </row>
        <row r="685">
          <cell r="A685" t="str">
            <v>02</v>
          </cell>
          <cell r="B685" t="str">
            <v>15</v>
          </cell>
          <cell r="C685" t="str">
            <v>1589</v>
          </cell>
          <cell r="D685" t="str">
            <v>Емкость V-25м3</v>
          </cell>
          <cell r="G685" t="str">
            <v>01</v>
          </cell>
          <cell r="H685">
            <v>10965.24</v>
          </cell>
          <cell r="I685">
            <v>0</v>
          </cell>
          <cell r="J685">
            <v>0</v>
          </cell>
          <cell r="K685">
            <v>1.43</v>
          </cell>
          <cell r="L685" t="str">
            <v>88/2</v>
          </cell>
          <cell r="M685" t="str">
            <v>42906</v>
          </cell>
          <cell r="N685" t="str">
            <v>12 2812157</v>
          </cell>
          <cell r="O685" t="str">
            <v>067</v>
          </cell>
          <cell r="P685">
            <v>11</v>
          </cell>
          <cell r="Q685">
            <v>0</v>
          </cell>
          <cell r="R685" t="str">
            <v>1</v>
          </cell>
          <cell r="S685" t="str">
            <v>42</v>
          </cell>
          <cell r="T685">
            <v>95</v>
          </cell>
          <cell r="U685">
            <v>12</v>
          </cell>
          <cell r="V685">
            <v>95</v>
          </cell>
          <cell r="W685">
            <v>12</v>
          </cell>
          <cell r="X685">
            <v>95</v>
          </cell>
          <cell r="Y685">
            <v>0</v>
          </cell>
          <cell r="Z685">
            <v>0</v>
          </cell>
          <cell r="AB685" t="str">
            <v>14</v>
          </cell>
          <cell r="AC685">
            <v>10</v>
          </cell>
          <cell r="AD685" t="str">
            <v>0</v>
          </cell>
          <cell r="AE685" t="str">
            <v>0</v>
          </cell>
          <cell r="AF685" t="str">
            <v>00</v>
          </cell>
          <cell r="AG685">
            <v>7668000</v>
          </cell>
          <cell r="AI685">
            <v>7668000</v>
          </cell>
          <cell r="AJ685">
            <v>1686960</v>
          </cell>
        </row>
        <row r="686">
          <cell r="A686" t="str">
            <v>02</v>
          </cell>
          <cell r="B686" t="str">
            <v>15</v>
          </cell>
          <cell r="C686" t="str">
            <v>1590</v>
          </cell>
          <cell r="D686" t="str">
            <v>Компрессор без аккум</v>
          </cell>
          <cell r="E686" t="str">
            <v>улятора</v>
          </cell>
          <cell r="G686" t="str">
            <v>01</v>
          </cell>
          <cell r="H686">
            <v>7965</v>
          </cell>
          <cell r="I686">
            <v>0</v>
          </cell>
          <cell r="J686">
            <v>0</v>
          </cell>
          <cell r="K686">
            <v>1.01</v>
          </cell>
          <cell r="L686" t="str">
            <v>88/2</v>
          </cell>
          <cell r="M686" t="str">
            <v>41404</v>
          </cell>
          <cell r="N686" t="str">
            <v>14 2912132</v>
          </cell>
          <cell r="O686" t="str">
            <v>067</v>
          </cell>
          <cell r="P686">
            <v>14.3</v>
          </cell>
          <cell r="Q686">
            <v>0</v>
          </cell>
          <cell r="R686" t="str">
            <v>1</v>
          </cell>
          <cell r="S686" t="str">
            <v>41</v>
          </cell>
          <cell r="T686">
            <v>95</v>
          </cell>
          <cell r="U686">
            <v>12</v>
          </cell>
          <cell r="V686">
            <v>95</v>
          </cell>
          <cell r="W686">
            <v>12</v>
          </cell>
          <cell r="X686">
            <v>95</v>
          </cell>
          <cell r="Y686">
            <v>0</v>
          </cell>
          <cell r="Z686">
            <v>0</v>
          </cell>
          <cell r="AB686" t="str">
            <v>14</v>
          </cell>
          <cell r="AC686">
            <v>10</v>
          </cell>
          <cell r="AD686" t="str">
            <v>0</v>
          </cell>
          <cell r="AE686" t="str">
            <v>0</v>
          </cell>
          <cell r="AF686" t="str">
            <v>00</v>
          </cell>
          <cell r="AG686">
            <v>7873000</v>
          </cell>
          <cell r="AI686">
            <v>7873000</v>
          </cell>
          <cell r="AJ686">
            <v>2251678</v>
          </cell>
        </row>
        <row r="687">
          <cell r="A687" t="str">
            <v>02</v>
          </cell>
          <cell r="B687" t="str">
            <v>15</v>
          </cell>
          <cell r="C687" t="str">
            <v>1591</v>
          </cell>
          <cell r="D687" t="str">
            <v>Компрессор без аккум</v>
          </cell>
          <cell r="E687" t="str">
            <v>улятора</v>
          </cell>
          <cell r="G687" t="str">
            <v>01</v>
          </cell>
          <cell r="H687">
            <v>7965</v>
          </cell>
          <cell r="I687">
            <v>0</v>
          </cell>
          <cell r="J687">
            <v>0</v>
          </cell>
          <cell r="K687">
            <v>1.01</v>
          </cell>
          <cell r="L687" t="str">
            <v>88/2</v>
          </cell>
          <cell r="M687" t="str">
            <v>41404</v>
          </cell>
          <cell r="N687" t="str">
            <v>14 2912132</v>
          </cell>
          <cell r="O687" t="str">
            <v>067</v>
          </cell>
          <cell r="P687">
            <v>14.3</v>
          </cell>
          <cell r="Q687">
            <v>0</v>
          </cell>
          <cell r="R687" t="str">
            <v>1</v>
          </cell>
          <cell r="S687" t="str">
            <v>41</v>
          </cell>
          <cell r="T687">
            <v>95</v>
          </cell>
          <cell r="U687">
            <v>12</v>
          </cell>
          <cell r="V687">
            <v>95</v>
          </cell>
          <cell r="W687">
            <v>12</v>
          </cell>
          <cell r="X687">
            <v>95</v>
          </cell>
          <cell r="Y687">
            <v>0</v>
          </cell>
          <cell r="Z687">
            <v>0</v>
          </cell>
          <cell r="AB687" t="str">
            <v>14</v>
          </cell>
          <cell r="AC687">
            <v>10</v>
          </cell>
          <cell r="AD687" t="str">
            <v>0</v>
          </cell>
          <cell r="AE687" t="str">
            <v>0</v>
          </cell>
          <cell r="AF687" t="str">
            <v>00</v>
          </cell>
          <cell r="AG687">
            <v>7873000</v>
          </cell>
          <cell r="AI687">
            <v>7873000</v>
          </cell>
          <cell r="AJ687">
            <v>2251678</v>
          </cell>
        </row>
        <row r="688">
          <cell r="A688" t="str">
            <v>02</v>
          </cell>
          <cell r="B688" t="str">
            <v>15</v>
          </cell>
          <cell r="C688" t="str">
            <v>1592</v>
          </cell>
          <cell r="D688" t="str">
            <v>Емкость V-4.5 м</v>
          </cell>
          <cell r="G688" t="str">
            <v>01</v>
          </cell>
          <cell r="H688">
            <v>353.21</v>
          </cell>
          <cell r="I688">
            <v>0</v>
          </cell>
          <cell r="J688">
            <v>0</v>
          </cell>
          <cell r="K688">
            <v>1.43</v>
          </cell>
          <cell r="L688" t="str">
            <v>88/2</v>
          </cell>
          <cell r="M688" t="str">
            <v>42906</v>
          </cell>
          <cell r="N688" t="str">
            <v>12 2812157</v>
          </cell>
          <cell r="O688" t="str">
            <v>067</v>
          </cell>
          <cell r="P688">
            <v>11</v>
          </cell>
          <cell r="Q688">
            <v>0</v>
          </cell>
          <cell r="R688" t="str">
            <v>1</v>
          </cell>
          <cell r="S688" t="str">
            <v>42</v>
          </cell>
          <cell r="T688">
            <v>0</v>
          </cell>
          <cell r="U688">
            <v>12</v>
          </cell>
          <cell r="V688">
            <v>95</v>
          </cell>
          <cell r="W688">
            <v>12</v>
          </cell>
          <cell r="X688">
            <v>95</v>
          </cell>
          <cell r="Y688">
            <v>0</v>
          </cell>
          <cell r="Z688">
            <v>0</v>
          </cell>
          <cell r="AB688" t="str">
            <v>14</v>
          </cell>
          <cell r="AC688">
            <v>10</v>
          </cell>
          <cell r="AD688" t="str">
            <v>0</v>
          </cell>
          <cell r="AE688" t="str">
            <v>0</v>
          </cell>
          <cell r="AF688" t="str">
            <v>00</v>
          </cell>
          <cell r="AG688">
            <v>247000</v>
          </cell>
          <cell r="AI688">
            <v>247000</v>
          </cell>
          <cell r="AJ688">
            <v>54340</v>
          </cell>
        </row>
        <row r="689">
          <cell r="A689" t="str">
            <v>02</v>
          </cell>
          <cell r="B689" t="str">
            <v>15</v>
          </cell>
          <cell r="C689" t="str">
            <v>1593</v>
          </cell>
          <cell r="D689" t="str">
            <v>Редуктор У-24-200</v>
          </cell>
          <cell r="G689" t="str">
            <v>01</v>
          </cell>
          <cell r="H689">
            <v>7534.67</v>
          </cell>
          <cell r="I689">
            <v>0</v>
          </cell>
          <cell r="J689">
            <v>0</v>
          </cell>
          <cell r="K689">
            <v>1.21</v>
          </cell>
          <cell r="L689" t="str">
            <v>88/2</v>
          </cell>
          <cell r="M689" t="str">
            <v>41726</v>
          </cell>
          <cell r="N689" t="str">
            <v>14 2915299</v>
          </cell>
          <cell r="O689" t="str">
            <v>067</v>
          </cell>
          <cell r="P689">
            <v>16.7</v>
          </cell>
          <cell r="Q689">
            <v>0</v>
          </cell>
          <cell r="R689" t="str">
            <v>1</v>
          </cell>
          <cell r="S689" t="str">
            <v>41</v>
          </cell>
          <cell r="T689">
            <v>95</v>
          </cell>
          <cell r="U689">
            <v>12</v>
          </cell>
          <cell r="V689">
            <v>95</v>
          </cell>
          <cell r="W689">
            <v>12</v>
          </cell>
          <cell r="X689">
            <v>95</v>
          </cell>
          <cell r="Y689">
            <v>0</v>
          </cell>
          <cell r="Z689">
            <v>0</v>
          </cell>
          <cell r="AB689" t="str">
            <v>14</v>
          </cell>
          <cell r="AC689">
            <v>10</v>
          </cell>
          <cell r="AD689" t="str">
            <v>0</v>
          </cell>
          <cell r="AE689" t="str">
            <v>0</v>
          </cell>
          <cell r="AF689" t="str">
            <v>00</v>
          </cell>
          <cell r="AG689">
            <v>6227000</v>
          </cell>
          <cell r="AI689">
            <v>6227000</v>
          </cell>
          <cell r="AJ689">
            <v>2079818</v>
          </cell>
        </row>
        <row r="690">
          <cell r="A690" t="str">
            <v>02</v>
          </cell>
          <cell r="B690" t="str">
            <v>15</v>
          </cell>
          <cell r="C690" t="str">
            <v>1594</v>
          </cell>
          <cell r="D690" t="str">
            <v>Редуктор У-24-200</v>
          </cell>
          <cell r="G690" t="str">
            <v>01</v>
          </cell>
          <cell r="H690">
            <v>7534.67</v>
          </cell>
          <cell r="I690">
            <v>0</v>
          </cell>
          <cell r="J690">
            <v>0</v>
          </cell>
          <cell r="K690">
            <v>1.21</v>
          </cell>
          <cell r="L690" t="str">
            <v>88/2</v>
          </cell>
          <cell r="M690" t="str">
            <v>41726</v>
          </cell>
          <cell r="N690" t="str">
            <v>14 2915299</v>
          </cell>
          <cell r="O690" t="str">
            <v>067</v>
          </cell>
          <cell r="P690">
            <v>16.7</v>
          </cell>
          <cell r="Q690">
            <v>0</v>
          </cell>
          <cell r="R690" t="str">
            <v>1</v>
          </cell>
          <cell r="S690" t="str">
            <v>41</v>
          </cell>
          <cell r="T690">
            <v>95</v>
          </cell>
          <cell r="U690">
            <v>12</v>
          </cell>
          <cell r="V690">
            <v>95</v>
          </cell>
          <cell r="W690">
            <v>12</v>
          </cell>
          <cell r="X690">
            <v>95</v>
          </cell>
          <cell r="Y690">
            <v>0</v>
          </cell>
          <cell r="Z690">
            <v>0</v>
          </cell>
          <cell r="AB690" t="str">
            <v>14</v>
          </cell>
          <cell r="AC690">
            <v>10</v>
          </cell>
          <cell r="AD690" t="str">
            <v>0</v>
          </cell>
          <cell r="AE690" t="str">
            <v>0</v>
          </cell>
          <cell r="AF690" t="str">
            <v>00</v>
          </cell>
          <cell r="AG690">
            <v>6227000</v>
          </cell>
          <cell r="AI690">
            <v>6227000</v>
          </cell>
          <cell r="AJ690">
            <v>2079818</v>
          </cell>
        </row>
        <row r="691">
          <cell r="A691" t="str">
            <v>02</v>
          </cell>
          <cell r="B691" t="str">
            <v>15</v>
          </cell>
          <cell r="C691" t="str">
            <v>1611</v>
          </cell>
          <cell r="D691" t="str">
            <v>Редуктор У-24-200</v>
          </cell>
          <cell r="G691" t="str">
            <v>01</v>
          </cell>
          <cell r="H691">
            <v>7534.67</v>
          </cell>
          <cell r="I691">
            <v>0</v>
          </cell>
          <cell r="J691">
            <v>0</v>
          </cell>
          <cell r="K691">
            <v>1.21</v>
          </cell>
          <cell r="L691" t="str">
            <v>88/2</v>
          </cell>
          <cell r="M691" t="str">
            <v>41726</v>
          </cell>
          <cell r="N691" t="str">
            <v>14 2915299</v>
          </cell>
          <cell r="O691" t="str">
            <v>067</v>
          </cell>
          <cell r="P691">
            <v>16.7</v>
          </cell>
          <cell r="Q691">
            <v>0</v>
          </cell>
          <cell r="R691" t="str">
            <v>1</v>
          </cell>
          <cell r="S691" t="str">
            <v>41</v>
          </cell>
          <cell r="T691">
            <v>95</v>
          </cell>
          <cell r="U691">
            <v>12</v>
          </cell>
          <cell r="V691">
            <v>95</v>
          </cell>
          <cell r="W691">
            <v>12</v>
          </cell>
          <cell r="X691">
            <v>95</v>
          </cell>
          <cell r="Y691">
            <v>0</v>
          </cell>
          <cell r="Z691">
            <v>0</v>
          </cell>
          <cell r="AB691" t="str">
            <v>14</v>
          </cell>
          <cell r="AC691">
            <v>10</v>
          </cell>
          <cell r="AD691" t="str">
            <v>0</v>
          </cell>
          <cell r="AE691" t="str">
            <v>0</v>
          </cell>
          <cell r="AF691" t="str">
            <v>00</v>
          </cell>
          <cell r="AG691">
            <v>6227000</v>
          </cell>
          <cell r="AI691">
            <v>6227000</v>
          </cell>
          <cell r="AJ691">
            <v>2079818</v>
          </cell>
        </row>
        <row r="692">
          <cell r="A692" t="str">
            <v>02</v>
          </cell>
          <cell r="B692" t="str">
            <v>15</v>
          </cell>
          <cell r="C692" t="str">
            <v>1596</v>
          </cell>
          <cell r="D692" t="str">
            <v>Редуктор У-24-200</v>
          </cell>
          <cell r="G692" t="str">
            <v>01</v>
          </cell>
          <cell r="H692">
            <v>7534.67</v>
          </cell>
          <cell r="I692">
            <v>0</v>
          </cell>
          <cell r="J692">
            <v>0</v>
          </cell>
          <cell r="K692">
            <v>1.21</v>
          </cell>
          <cell r="L692" t="str">
            <v>88/2</v>
          </cell>
          <cell r="M692" t="str">
            <v>41726</v>
          </cell>
          <cell r="N692" t="str">
            <v>14 2915299</v>
          </cell>
          <cell r="O692" t="str">
            <v>067</v>
          </cell>
          <cell r="P692">
            <v>16.7</v>
          </cell>
          <cell r="Q692">
            <v>0</v>
          </cell>
          <cell r="R692" t="str">
            <v>1</v>
          </cell>
          <cell r="S692" t="str">
            <v>41</v>
          </cell>
          <cell r="T692">
            <v>95</v>
          </cell>
          <cell r="U692">
            <v>12</v>
          </cell>
          <cell r="V692">
            <v>95</v>
          </cell>
          <cell r="W692">
            <v>12</v>
          </cell>
          <cell r="X692">
            <v>95</v>
          </cell>
          <cell r="Y692">
            <v>0</v>
          </cell>
          <cell r="Z692">
            <v>0</v>
          </cell>
          <cell r="AB692" t="str">
            <v>14</v>
          </cell>
          <cell r="AC692">
            <v>10</v>
          </cell>
          <cell r="AD692" t="str">
            <v>0</v>
          </cell>
          <cell r="AE692" t="str">
            <v>0</v>
          </cell>
          <cell r="AF692" t="str">
            <v>00</v>
          </cell>
          <cell r="AG692">
            <v>6227000</v>
          </cell>
          <cell r="AI692">
            <v>6227000</v>
          </cell>
          <cell r="AJ692">
            <v>2079818</v>
          </cell>
        </row>
        <row r="693">
          <cell r="A693" t="str">
            <v>02</v>
          </cell>
          <cell r="B693" t="str">
            <v>15</v>
          </cell>
          <cell r="C693" t="str">
            <v>1597</v>
          </cell>
          <cell r="D693" t="str">
            <v>Кран козловой грузоп</v>
          </cell>
          <cell r="E693" t="str">
            <v>одъемностью 25 тн</v>
          </cell>
          <cell r="G693" t="str">
            <v>01</v>
          </cell>
          <cell r="H693">
            <v>250227</v>
          </cell>
          <cell r="I693">
            <v>0</v>
          </cell>
          <cell r="J693">
            <v>0</v>
          </cell>
          <cell r="K693">
            <v>1.05</v>
          </cell>
          <cell r="L693" t="str">
            <v>88/2</v>
          </cell>
          <cell r="M693" t="str">
            <v>41705</v>
          </cell>
          <cell r="N693" t="str">
            <v>14 2915163</v>
          </cell>
          <cell r="O693" t="str">
            <v>064</v>
          </cell>
          <cell r="P693">
            <v>5</v>
          </cell>
          <cell r="Q693">
            <v>0</v>
          </cell>
          <cell r="R693" t="str">
            <v>1</v>
          </cell>
          <cell r="S693" t="str">
            <v>41</v>
          </cell>
          <cell r="T693">
            <v>95</v>
          </cell>
          <cell r="U693">
            <v>12</v>
          </cell>
          <cell r="V693">
            <v>95</v>
          </cell>
          <cell r="W693">
            <v>12</v>
          </cell>
          <cell r="X693">
            <v>95</v>
          </cell>
          <cell r="Y693">
            <v>0</v>
          </cell>
          <cell r="Z693">
            <v>0</v>
          </cell>
          <cell r="AB693" t="str">
            <v>14</v>
          </cell>
          <cell r="AC693">
            <v>10</v>
          </cell>
          <cell r="AD693" t="str">
            <v>0</v>
          </cell>
          <cell r="AE693" t="str">
            <v>0</v>
          </cell>
          <cell r="AF693" t="str">
            <v>00</v>
          </cell>
          <cell r="AG693">
            <v>239003000</v>
          </cell>
          <cell r="AI693">
            <v>239003000</v>
          </cell>
          <cell r="AJ693">
            <v>23900300</v>
          </cell>
        </row>
        <row r="694">
          <cell r="A694" t="str">
            <v>02</v>
          </cell>
          <cell r="B694" t="str">
            <v>15</v>
          </cell>
          <cell r="C694" t="str">
            <v>1612</v>
          </cell>
          <cell r="D694" t="str">
            <v>Здание арочное /одно</v>
          </cell>
          <cell r="E694" t="str">
            <v>этажное/</v>
          </cell>
          <cell r="G694" t="str">
            <v>01</v>
          </cell>
          <cell r="H694">
            <v>67500.11</v>
          </cell>
          <cell r="I694">
            <v>0</v>
          </cell>
          <cell r="J694">
            <v>0</v>
          </cell>
          <cell r="K694">
            <v>1.03</v>
          </cell>
          <cell r="L694" t="str">
            <v>88/2</v>
          </cell>
          <cell r="M694" t="str">
            <v>10005</v>
          </cell>
          <cell r="N694" t="str">
            <v>11 4527204</v>
          </cell>
          <cell r="O694" t="str">
            <v>064</v>
          </cell>
          <cell r="P694">
            <v>5</v>
          </cell>
          <cell r="Q694">
            <v>0</v>
          </cell>
          <cell r="R694" t="str">
            <v>1</v>
          </cell>
          <cell r="S694" t="str">
            <v>41</v>
          </cell>
          <cell r="T694">
            <v>95</v>
          </cell>
          <cell r="U694">
            <v>12</v>
          </cell>
          <cell r="V694">
            <v>95</v>
          </cell>
          <cell r="W694">
            <v>12</v>
          </cell>
          <cell r="X694">
            <v>95</v>
          </cell>
          <cell r="Y694">
            <v>0</v>
          </cell>
          <cell r="Z694">
            <v>0</v>
          </cell>
          <cell r="AB694" t="str">
            <v>14</v>
          </cell>
          <cell r="AC694">
            <v>10</v>
          </cell>
          <cell r="AD694" t="str">
            <v>0</v>
          </cell>
          <cell r="AE694" t="str">
            <v>0</v>
          </cell>
          <cell r="AF694" t="str">
            <v>00</v>
          </cell>
          <cell r="AG694">
            <v>65535000</v>
          </cell>
          <cell r="AI694">
            <v>65535000</v>
          </cell>
          <cell r="AJ694">
            <v>6553500</v>
          </cell>
        </row>
        <row r="695">
          <cell r="A695" t="str">
            <v>02</v>
          </cell>
          <cell r="B695" t="str">
            <v>15</v>
          </cell>
          <cell r="C695" t="str">
            <v>1599</v>
          </cell>
          <cell r="D695" t="str">
            <v>Платформа транспорти</v>
          </cell>
          <cell r="E695" t="str">
            <v>ровочная</v>
          </cell>
          <cell r="G695" t="str">
            <v>01</v>
          </cell>
          <cell r="H695">
            <v>70000</v>
          </cell>
          <cell r="I695">
            <v>0</v>
          </cell>
          <cell r="J695">
            <v>0</v>
          </cell>
          <cell r="K695">
            <v>1.01</v>
          </cell>
          <cell r="L695" t="str">
            <v>88/2</v>
          </cell>
          <cell r="M695" t="str">
            <v>50007</v>
          </cell>
          <cell r="N695" t="str">
            <v>14 2915000</v>
          </cell>
          <cell r="O695" t="str">
            <v>075</v>
          </cell>
          <cell r="P695">
            <v>3.1</v>
          </cell>
          <cell r="Q695">
            <v>0</v>
          </cell>
          <cell r="R695" t="str">
            <v>1</v>
          </cell>
          <cell r="S695" t="str">
            <v>50</v>
          </cell>
          <cell r="T695">
            <v>95</v>
          </cell>
          <cell r="U695">
            <v>12</v>
          </cell>
          <cell r="V695">
            <v>95</v>
          </cell>
          <cell r="W695">
            <v>12</v>
          </cell>
          <cell r="X695">
            <v>95</v>
          </cell>
          <cell r="Y695">
            <v>0</v>
          </cell>
          <cell r="Z695">
            <v>0</v>
          </cell>
          <cell r="AB695" t="str">
            <v>14</v>
          </cell>
          <cell r="AC695">
            <v>10</v>
          </cell>
          <cell r="AD695" t="str">
            <v>0</v>
          </cell>
          <cell r="AE695" t="str">
            <v>0</v>
          </cell>
          <cell r="AF695" t="str">
            <v>00</v>
          </cell>
          <cell r="AG695">
            <v>69417000</v>
          </cell>
          <cell r="AI695">
            <v>69417000</v>
          </cell>
          <cell r="AJ695">
            <v>4303854</v>
          </cell>
        </row>
        <row r="696">
          <cell r="A696" t="str">
            <v>02</v>
          </cell>
          <cell r="B696" t="str">
            <v>11</v>
          </cell>
          <cell r="C696" t="str">
            <v>1600</v>
          </cell>
          <cell r="D696" t="str">
            <v>Подогреватель ПП-6-8</v>
          </cell>
          <cell r="G696" t="str">
            <v>01</v>
          </cell>
          <cell r="H696">
            <v>1468.23</v>
          </cell>
          <cell r="I696">
            <v>0</v>
          </cell>
          <cell r="J696">
            <v>0</v>
          </cell>
          <cell r="K696">
            <v>1.21</v>
          </cell>
          <cell r="L696" t="str">
            <v>20</v>
          </cell>
          <cell r="M696" t="str">
            <v>40700</v>
          </cell>
          <cell r="N696" t="str">
            <v>14 2813181</v>
          </cell>
          <cell r="O696" t="str">
            <v>067</v>
          </cell>
          <cell r="P696">
            <v>3.7</v>
          </cell>
          <cell r="Q696">
            <v>0</v>
          </cell>
          <cell r="R696" t="str">
            <v>1</v>
          </cell>
          <cell r="S696" t="str">
            <v>40</v>
          </cell>
          <cell r="T696">
            <v>95</v>
          </cell>
          <cell r="U696">
            <v>12</v>
          </cell>
          <cell r="V696">
            <v>95</v>
          </cell>
          <cell r="W696">
            <v>12</v>
          </cell>
          <cell r="X696">
            <v>95</v>
          </cell>
          <cell r="Y696">
            <v>0</v>
          </cell>
          <cell r="Z696">
            <v>0</v>
          </cell>
          <cell r="AD696" t="str">
            <v>0</v>
          </cell>
          <cell r="AE696" t="str">
            <v>1</v>
          </cell>
          <cell r="AF696" t="str">
            <v>00</v>
          </cell>
          <cell r="AI696">
            <v>1213411</v>
          </cell>
          <cell r="AJ696">
            <v>89792.41</v>
          </cell>
        </row>
        <row r="697">
          <cell r="A697" t="str">
            <v>02</v>
          </cell>
          <cell r="B697" t="str">
            <v>11</v>
          </cell>
          <cell r="C697" t="str">
            <v>1601</v>
          </cell>
          <cell r="D697" t="str">
            <v>Подогреватель ПП-6-8</v>
          </cell>
          <cell r="G697" t="str">
            <v>01</v>
          </cell>
          <cell r="H697">
            <v>1468.23</v>
          </cell>
          <cell r="I697">
            <v>0</v>
          </cell>
          <cell r="J697">
            <v>0</v>
          </cell>
          <cell r="K697">
            <v>1.21</v>
          </cell>
          <cell r="L697" t="str">
            <v>20</v>
          </cell>
          <cell r="M697" t="str">
            <v>40700</v>
          </cell>
          <cell r="N697" t="str">
            <v>14 2813181</v>
          </cell>
          <cell r="O697" t="str">
            <v>067</v>
          </cell>
          <cell r="P697">
            <v>3.7</v>
          </cell>
          <cell r="Q697">
            <v>0</v>
          </cell>
          <cell r="R697" t="str">
            <v>1</v>
          </cell>
          <cell r="S697" t="str">
            <v>40</v>
          </cell>
          <cell r="T697">
            <v>95</v>
          </cell>
          <cell r="U697">
            <v>12</v>
          </cell>
          <cell r="V697">
            <v>95</v>
          </cell>
          <cell r="W697">
            <v>12</v>
          </cell>
          <cell r="X697">
            <v>95</v>
          </cell>
          <cell r="Y697">
            <v>0</v>
          </cell>
          <cell r="Z697">
            <v>0</v>
          </cell>
          <cell r="AD697" t="str">
            <v>0</v>
          </cell>
          <cell r="AE697" t="str">
            <v>0</v>
          </cell>
          <cell r="AF697" t="str">
            <v>00</v>
          </cell>
          <cell r="AI697">
            <v>1213412</v>
          </cell>
          <cell r="AJ697">
            <v>89792.49</v>
          </cell>
        </row>
        <row r="698">
          <cell r="A698" t="str">
            <v>02</v>
          </cell>
          <cell r="B698" t="str">
            <v>11</v>
          </cell>
          <cell r="C698" t="str">
            <v>1602</v>
          </cell>
          <cell r="D698" t="str">
            <v>Котельная ПКН-2М</v>
          </cell>
          <cell r="G698" t="str">
            <v>01</v>
          </cell>
          <cell r="H698">
            <v>141648.62</v>
          </cell>
          <cell r="I698">
            <v>0</v>
          </cell>
          <cell r="J698">
            <v>0</v>
          </cell>
          <cell r="K698">
            <v>1.51</v>
          </cell>
          <cell r="L698" t="str">
            <v>20</v>
          </cell>
          <cell r="M698" t="str">
            <v>40001</v>
          </cell>
          <cell r="N698" t="str">
            <v>14 2813101</v>
          </cell>
          <cell r="O698" t="str">
            <v>064</v>
          </cell>
          <cell r="P698">
            <v>4.2</v>
          </cell>
          <cell r="Q698">
            <v>0</v>
          </cell>
          <cell r="R698" t="str">
            <v>1</v>
          </cell>
          <cell r="S698" t="str">
            <v>40</v>
          </cell>
          <cell r="T698">
            <v>95</v>
          </cell>
          <cell r="U698">
            <v>12</v>
          </cell>
          <cell r="V698">
            <v>95</v>
          </cell>
          <cell r="W698">
            <v>12</v>
          </cell>
          <cell r="X698">
            <v>95</v>
          </cell>
          <cell r="Y698">
            <v>0</v>
          </cell>
          <cell r="Z698">
            <v>0</v>
          </cell>
          <cell r="AD698" t="str">
            <v>2</v>
          </cell>
          <cell r="AE698" t="str">
            <v>0</v>
          </cell>
          <cell r="AF698" t="str">
            <v>00</v>
          </cell>
          <cell r="AI698">
            <v>93807032</v>
          </cell>
          <cell r="AJ698">
            <v>7879790.6900000004</v>
          </cell>
        </row>
        <row r="699">
          <cell r="A699" t="str">
            <v>02</v>
          </cell>
          <cell r="B699" t="str">
            <v>11</v>
          </cell>
          <cell r="C699" t="str">
            <v>1603</v>
          </cell>
          <cell r="D699" t="str">
            <v>Котельная ПКН-2М</v>
          </cell>
          <cell r="G699" t="str">
            <v>01</v>
          </cell>
          <cell r="H699">
            <v>141648.62</v>
          </cell>
          <cell r="I699">
            <v>0</v>
          </cell>
          <cell r="J699">
            <v>0</v>
          </cell>
          <cell r="K699">
            <v>1.51</v>
          </cell>
          <cell r="L699" t="str">
            <v>20</v>
          </cell>
          <cell r="M699" t="str">
            <v>40001</v>
          </cell>
          <cell r="N699" t="str">
            <v>14 2813101</v>
          </cell>
          <cell r="O699" t="str">
            <v>064</v>
          </cell>
          <cell r="P699">
            <v>4.2</v>
          </cell>
          <cell r="Q699">
            <v>0</v>
          </cell>
          <cell r="R699" t="str">
            <v>1</v>
          </cell>
          <cell r="S699" t="str">
            <v>40</v>
          </cell>
          <cell r="T699">
            <v>95</v>
          </cell>
          <cell r="U699">
            <v>12</v>
          </cell>
          <cell r="V699">
            <v>95</v>
          </cell>
          <cell r="W699">
            <v>12</v>
          </cell>
          <cell r="X699">
            <v>95</v>
          </cell>
          <cell r="Y699">
            <v>0</v>
          </cell>
          <cell r="Z699">
            <v>0</v>
          </cell>
          <cell r="AD699" t="str">
            <v>2</v>
          </cell>
          <cell r="AE699" t="str">
            <v>0</v>
          </cell>
          <cell r="AF699" t="str">
            <v>00</v>
          </cell>
          <cell r="AI699">
            <v>93807032</v>
          </cell>
          <cell r="AJ699">
            <v>7879790.6900000004</v>
          </cell>
        </row>
        <row r="700">
          <cell r="A700" t="str">
            <v>02</v>
          </cell>
          <cell r="B700" t="str">
            <v>15</v>
          </cell>
          <cell r="C700" t="str">
            <v>1604</v>
          </cell>
          <cell r="D700" t="str">
            <v>Распределительный шк</v>
          </cell>
          <cell r="E700" t="str">
            <v>аф С-9522-14</v>
          </cell>
          <cell r="G700" t="str">
            <v>01</v>
          </cell>
          <cell r="H700">
            <v>2155.23</v>
          </cell>
          <cell r="I700">
            <v>0</v>
          </cell>
          <cell r="J700">
            <v>0</v>
          </cell>
          <cell r="K700">
            <v>1.21</v>
          </cell>
          <cell r="L700" t="str">
            <v>88/2</v>
          </cell>
          <cell r="M700" t="str">
            <v>40702</v>
          </cell>
          <cell r="N700" t="str">
            <v>14 3120390</v>
          </cell>
          <cell r="O700" t="str">
            <v>067</v>
          </cell>
          <cell r="P700">
            <v>9.1</v>
          </cell>
          <cell r="Q700">
            <v>0</v>
          </cell>
          <cell r="R700" t="str">
            <v>1</v>
          </cell>
          <cell r="S700" t="str">
            <v>40</v>
          </cell>
          <cell r="T700">
            <v>95</v>
          </cell>
          <cell r="U700">
            <v>12</v>
          </cell>
          <cell r="V700">
            <v>95</v>
          </cell>
          <cell r="W700">
            <v>12</v>
          </cell>
          <cell r="X700">
            <v>95</v>
          </cell>
          <cell r="Y700">
            <v>0</v>
          </cell>
          <cell r="Z700">
            <v>0</v>
          </cell>
          <cell r="AB700" t="str">
            <v>14</v>
          </cell>
          <cell r="AC700">
            <v>10</v>
          </cell>
          <cell r="AD700" t="str">
            <v>0</v>
          </cell>
          <cell r="AE700" t="str">
            <v>0</v>
          </cell>
          <cell r="AF700" t="str">
            <v>00</v>
          </cell>
          <cell r="AG700">
            <v>1781184</v>
          </cell>
          <cell r="AI700">
            <v>1781184</v>
          </cell>
          <cell r="AJ700">
            <v>324175.49</v>
          </cell>
        </row>
        <row r="701">
          <cell r="A701" t="str">
            <v>02</v>
          </cell>
          <cell r="B701" t="str">
            <v>15</v>
          </cell>
          <cell r="C701" t="str">
            <v>1605</v>
          </cell>
          <cell r="D701" t="str">
            <v>Рольганг /механическ</v>
          </cell>
          <cell r="E701" t="str">
            <v>ий под трубы/</v>
          </cell>
          <cell r="G701" t="str">
            <v>01</v>
          </cell>
          <cell r="H701">
            <v>87000</v>
          </cell>
          <cell r="I701">
            <v>0</v>
          </cell>
          <cell r="J701">
            <v>0</v>
          </cell>
          <cell r="K701">
            <v>1</v>
          </cell>
          <cell r="L701" t="str">
            <v>88/2</v>
          </cell>
          <cell r="M701" t="str">
            <v>43813</v>
          </cell>
          <cell r="N701" t="str">
            <v>14 2915000</v>
          </cell>
          <cell r="O701" t="str">
            <v>067</v>
          </cell>
          <cell r="P701">
            <v>12.5</v>
          </cell>
          <cell r="Q701">
            <v>0</v>
          </cell>
          <cell r="R701" t="str">
            <v>1</v>
          </cell>
          <cell r="S701" t="str">
            <v>43</v>
          </cell>
          <cell r="T701">
            <v>95</v>
          </cell>
          <cell r="U701">
            <v>12</v>
          </cell>
          <cell r="V701">
            <v>95</v>
          </cell>
          <cell r="W701">
            <v>12</v>
          </cell>
          <cell r="X701">
            <v>95</v>
          </cell>
          <cell r="Y701">
            <v>0</v>
          </cell>
          <cell r="Z701">
            <v>0</v>
          </cell>
          <cell r="AB701" t="str">
            <v>14</v>
          </cell>
          <cell r="AC701">
            <v>10</v>
          </cell>
          <cell r="AD701" t="str">
            <v>0</v>
          </cell>
          <cell r="AE701" t="str">
            <v>0</v>
          </cell>
          <cell r="AF701" t="str">
            <v>00</v>
          </cell>
          <cell r="AG701">
            <v>86592000</v>
          </cell>
          <cell r="AI701">
            <v>86592000</v>
          </cell>
          <cell r="AJ701">
            <v>21648000</v>
          </cell>
        </row>
        <row r="702">
          <cell r="A702" t="str">
            <v>02</v>
          </cell>
          <cell r="B702" t="str">
            <v>15</v>
          </cell>
          <cell r="C702" t="str">
            <v>1606</v>
          </cell>
          <cell r="D702" t="str">
            <v>Рольганг /механическ</v>
          </cell>
          <cell r="E702" t="str">
            <v>ий под трубы/</v>
          </cell>
          <cell r="G702" t="str">
            <v>01</v>
          </cell>
          <cell r="H702">
            <v>87000</v>
          </cell>
          <cell r="I702">
            <v>0</v>
          </cell>
          <cell r="J702">
            <v>0</v>
          </cell>
          <cell r="K702">
            <v>1</v>
          </cell>
          <cell r="L702" t="str">
            <v>88/2</v>
          </cell>
          <cell r="M702" t="str">
            <v>43813</v>
          </cell>
          <cell r="N702" t="str">
            <v>14 2915000</v>
          </cell>
          <cell r="O702" t="str">
            <v>067</v>
          </cell>
          <cell r="P702">
            <v>12.5</v>
          </cell>
          <cell r="Q702">
            <v>0</v>
          </cell>
          <cell r="R702" t="str">
            <v>1</v>
          </cell>
          <cell r="S702" t="str">
            <v>43</v>
          </cell>
          <cell r="T702">
            <v>95</v>
          </cell>
          <cell r="U702">
            <v>12</v>
          </cell>
          <cell r="V702">
            <v>95</v>
          </cell>
          <cell r="W702">
            <v>12</v>
          </cell>
          <cell r="X702">
            <v>95</v>
          </cell>
          <cell r="Y702">
            <v>0</v>
          </cell>
          <cell r="Z702">
            <v>0</v>
          </cell>
          <cell r="AB702" t="str">
            <v>14</v>
          </cell>
          <cell r="AC702">
            <v>10</v>
          </cell>
          <cell r="AD702" t="str">
            <v>0</v>
          </cell>
          <cell r="AE702" t="str">
            <v>0</v>
          </cell>
          <cell r="AF702" t="str">
            <v>00</v>
          </cell>
          <cell r="AG702">
            <v>86592000</v>
          </cell>
          <cell r="AI702">
            <v>86592000</v>
          </cell>
          <cell r="AJ702">
            <v>21648000</v>
          </cell>
        </row>
        <row r="703">
          <cell r="A703" t="str">
            <v>02</v>
          </cell>
          <cell r="B703" t="str">
            <v>15</v>
          </cell>
          <cell r="C703" t="str">
            <v>1607</v>
          </cell>
          <cell r="D703" t="str">
            <v>Рольганг /механическ</v>
          </cell>
          <cell r="E703" t="str">
            <v>ий под трубы/</v>
          </cell>
          <cell r="G703" t="str">
            <v>01</v>
          </cell>
          <cell r="H703">
            <v>87000</v>
          </cell>
          <cell r="I703">
            <v>0</v>
          </cell>
          <cell r="J703">
            <v>0</v>
          </cell>
          <cell r="K703">
            <v>1</v>
          </cell>
          <cell r="L703" t="str">
            <v>88/2</v>
          </cell>
          <cell r="M703" t="str">
            <v>43813</v>
          </cell>
          <cell r="N703" t="str">
            <v>14 2915000</v>
          </cell>
          <cell r="O703" t="str">
            <v>067</v>
          </cell>
          <cell r="P703">
            <v>12.5</v>
          </cell>
          <cell r="Q703">
            <v>0</v>
          </cell>
          <cell r="R703" t="str">
            <v>1</v>
          </cell>
          <cell r="S703" t="str">
            <v>43</v>
          </cell>
          <cell r="T703">
            <v>95</v>
          </cell>
          <cell r="U703">
            <v>12</v>
          </cell>
          <cell r="V703">
            <v>95</v>
          </cell>
          <cell r="W703">
            <v>12</v>
          </cell>
          <cell r="X703">
            <v>95</v>
          </cell>
          <cell r="Y703">
            <v>0</v>
          </cell>
          <cell r="Z703">
            <v>0</v>
          </cell>
          <cell r="AB703" t="str">
            <v>14</v>
          </cell>
          <cell r="AC703">
            <v>10</v>
          </cell>
          <cell r="AD703" t="str">
            <v>0</v>
          </cell>
          <cell r="AE703" t="str">
            <v>0</v>
          </cell>
          <cell r="AF703" t="str">
            <v>00</v>
          </cell>
          <cell r="AG703">
            <v>86592000</v>
          </cell>
          <cell r="AI703">
            <v>86592000</v>
          </cell>
          <cell r="AJ703">
            <v>21648000</v>
          </cell>
        </row>
        <row r="704">
          <cell r="A704" t="str">
            <v>02</v>
          </cell>
          <cell r="B704" t="str">
            <v>15</v>
          </cell>
          <cell r="C704" t="str">
            <v>1608</v>
          </cell>
          <cell r="D704" t="str">
            <v>Рольганг /механическ</v>
          </cell>
          <cell r="E704" t="str">
            <v>ий под трубы/</v>
          </cell>
          <cell r="G704" t="str">
            <v>01</v>
          </cell>
          <cell r="H704">
            <v>87000</v>
          </cell>
          <cell r="I704">
            <v>0</v>
          </cell>
          <cell r="J704">
            <v>0</v>
          </cell>
          <cell r="K704">
            <v>1</v>
          </cell>
          <cell r="L704" t="str">
            <v>88/2</v>
          </cell>
          <cell r="M704" t="str">
            <v>43813</v>
          </cell>
          <cell r="N704" t="str">
            <v>14 2915000</v>
          </cell>
          <cell r="O704" t="str">
            <v>067</v>
          </cell>
          <cell r="P704">
            <v>12.5</v>
          </cell>
          <cell r="Q704">
            <v>0</v>
          </cell>
          <cell r="R704" t="str">
            <v>1</v>
          </cell>
          <cell r="S704" t="str">
            <v>43</v>
          </cell>
          <cell r="T704">
            <v>95</v>
          </cell>
          <cell r="U704">
            <v>12</v>
          </cell>
          <cell r="V704">
            <v>95</v>
          </cell>
          <cell r="W704">
            <v>12</v>
          </cell>
          <cell r="X704">
            <v>95</v>
          </cell>
          <cell r="Y704">
            <v>0</v>
          </cell>
          <cell r="Z704">
            <v>0</v>
          </cell>
          <cell r="AB704" t="str">
            <v>14</v>
          </cell>
          <cell r="AC704">
            <v>10</v>
          </cell>
          <cell r="AD704" t="str">
            <v>0</v>
          </cell>
          <cell r="AE704" t="str">
            <v>0</v>
          </cell>
          <cell r="AF704" t="str">
            <v>00</v>
          </cell>
          <cell r="AG704">
            <v>86592000</v>
          </cell>
          <cell r="AI704">
            <v>86592000</v>
          </cell>
          <cell r="AJ704">
            <v>21648000</v>
          </cell>
        </row>
        <row r="705">
          <cell r="A705" t="str">
            <v>16</v>
          </cell>
          <cell r="B705" t="str">
            <v>06</v>
          </cell>
          <cell r="C705" t="str">
            <v>1613</v>
          </cell>
          <cell r="D705" t="str">
            <v>ВЛ-10 воздушная</v>
          </cell>
          <cell r="E705" t="str">
            <v>3600м</v>
          </cell>
          <cell r="G705" t="str">
            <v>01</v>
          </cell>
          <cell r="H705">
            <v>549805.82999999996</v>
          </cell>
          <cell r="I705">
            <v>0</v>
          </cell>
          <cell r="J705">
            <v>556800</v>
          </cell>
          <cell r="K705">
            <v>1.42</v>
          </cell>
          <cell r="L705" t="str">
            <v>88/1</v>
          </cell>
          <cell r="M705" t="str">
            <v>30009</v>
          </cell>
          <cell r="N705" t="str">
            <v>14 3131101</v>
          </cell>
          <cell r="O705" t="str">
            <v>05</v>
          </cell>
          <cell r="P705">
            <v>2</v>
          </cell>
          <cell r="Q705">
            <v>0</v>
          </cell>
          <cell r="R705" t="str">
            <v>1</v>
          </cell>
          <cell r="S705" t="str">
            <v>30</v>
          </cell>
          <cell r="T705">
            <v>95</v>
          </cell>
          <cell r="U705">
            <v>12</v>
          </cell>
          <cell r="V705">
            <v>95</v>
          </cell>
          <cell r="W705">
            <v>12</v>
          </cell>
          <cell r="X705">
            <v>95</v>
          </cell>
          <cell r="Y705">
            <v>12</v>
          </cell>
          <cell r="Z705">
            <v>95</v>
          </cell>
          <cell r="AB705" t="str">
            <v>14</v>
          </cell>
          <cell r="AC705">
            <v>2</v>
          </cell>
          <cell r="AD705" t="str">
            <v>0</v>
          </cell>
          <cell r="AE705" t="str">
            <v>0</v>
          </cell>
          <cell r="AF705" t="str">
            <v>16</v>
          </cell>
          <cell r="AI705">
            <v>390935707</v>
          </cell>
          <cell r="AJ705">
            <v>15637428.279999999</v>
          </cell>
        </row>
        <row r="706">
          <cell r="A706" t="str">
            <v>02</v>
          </cell>
          <cell r="B706" t="str">
            <v>80</v>
          </cell>
          <cell r="C706" t="str">
            <v>1614</v>
          </cell>
          <cell r="D706" t="str">
            <v>Компьютер Notebooc</v>
          </cell>
          <cell r="E706" t="str">
            <v>Panasonic 486</v>
          </cell>
          <cell r="G706" t="str">
            <v>01</v>
          </cell>
          <cell r="H706">
            <v>12794.9</v>
          </cell>
          <cell r="I706">
            <v>0</v>
          </cell>
          <cell r="J706">
            <v>0</v>
          </cell>
          <cell r="K706">
            <v>0.97</v>
          </cell>
          <cell r="L706" t="str">
            <v>26</v>
          </cell>
          <cell r="M706" t="str">
            <v>48008</v>
          </cell>
          <cell r="N706" t="str">
            <v>14 3020203</v>
          </cell>
          <cell r="P706">
            <v>10</v>
          </cell>
          <cell r="Q706">
            <v>0</v>
          </cell>
          <cell r="R706" t="str">
            <v>1</v>
          </cell>
          <cell r="S706" t="str">
            <v>48</v>
          </cell>
          <cell r="T706">
            <v>95</v>
          </cell>
          <cell r="U706">
            <v>1</v>
          </cell>
          <cell r="V706">
            <v>96</v>
          </cell>
          <cell r="W706">
            <v>1</v>
          </cell>
          <cell r="X706">
            <v>96</v>
          </cell>
          <cell r="Y706">
            <v>0</v>
          </cell>
          <cell r="Z706">
            <v>0</v>
          </cell>
          <cell r="AD706" t="str">
            <v>0</v>
          </cell>
          <cell r="AE706" t="str">
            <v>0</v>
          </cell>
          <cell r="AF706" t="str">
            <v>00</v>
          </cell>
          <cell r="AI706">
            <v>13200000</v>
          </cell>
          <cell r="AJ706">
            <v>2530000</v>
          </cell>
        </row>
        <row r="707">
          <cell r="A707" t="str">
            <v>02</v>
          </cell>
          <cell r="B707" t="str">
            <v>80</v>
          </cell>
          <cell r="C707" t="str">
            <v>1615</v>
          </cell>
          <cell r="D707" t="str">
            <v>Плоттер AL Rolland</v>
          </cell>
          <cell r="G707" t="str">
            <v>01</v>
          </cell>
          <cell r="H707">
            <v>16677.87</v>
          </cell>
          <cell r="I707">
            <v>0</v>
          </cell>
          <cell r="J707">
            <v>0</v>
          </cell>
          <cell r="K707">
            <v>0.93</v>
          </cell>
          <cell r="L707" t="str">
            <v>26</v>
          </cell>
          <cell r="M707" t="str">
            <v>48003</v>
          </cell>
          <cell r="N707" t="str">
            <v>14 3020350</v>
          </cell>
          <cell r="P707">
            <v>11.1</v>
          </cell>
          <cell r="Q707">
            <v>0</v>
          </cell>
          <cell r="R707" t="str">
            <v>1</v>
          </cell>
          <cell r="S707" t="str">
            <v>48</v>
          </cell>
          <cell r="T707">
            <v>95</v>
          </cell>
          <cell r="U707">
            <v>1</v>
          </cell>
          <cell r="V707">
            <v>96</v>
          </cell>
          <cell r="W707">
            <v>1</v>
          </cell>
          <cell r="X707">
            <v>96</v>
          </cell>
          <cell r="Y707">
            <v>0</v>
          </cell>
          <cell r="Z707">
            <v>0</v>
          </cell>
          <cell r="AD707" t="str">
            <v>0</v>
          </cell>
          <cell r="AE707" t="str">
            <v>0</v>
          </cell>
          <cell r="AF707" t="str">
            <v>00</v>
          </cell>
          <cell r="AI707">
            <v>18000000</v>
          </cell>
          <cell r="AJ707">
            <v>3829500</v>
          </cell>
        </row>
        <row r="708">
          <cell r="A708" t="str">
            <v>02</v>
          </cell>
          <cell r="B708" t="str">
            <v>80</v>
          </cell>
          <cell r="C708" t="str">
            <v>1616</v>
          </cell>
          <cell r="D708" t="str">
            <v>Стойка с поворотной</v>
          </cell>
          <cell r="E708" t="str">
            <v>плоскостью для Rolla</v>
          </cell>
          <cell r="F708" t="str">
            <v>nd</v>
          </cell>
          <cell r="G708" t="str">
            <v>01</v>
          </cell>
          <cell r="H708">
            <v>15200</v>
          </cell>
          <cell r="I708">
            <v>0</v>
          </cell>
          <cell r="J708">
            <v>0</v>
          </cell>
          <cell r="K708">
            <v>1.01</v>
          </cell>
          <cell r="L708" t="str">
            <v>26</v>
          </cell>
          <cell r="M708" t="str">
            <v>48010</v>
          </cell>
          <cell r="N708" t="str">
            <v>14 3010010</v>
          </cell>
          <cell r="P708">
            <v>10</v>
          </cell>
          <cell r="Q708">
            <v>0</v>
          </cell>
          <cell r="R708" t="str">
            <v>1</v>
          </cell>
          <cell r="S708" t="str">
            <v>48</v>
          </cell>
          <cell r="T708">
            <v>95</v>
          </cell>
          <cell r="U708">
            <v>1</v>
          </cell>
          <cell r="V708">
            <v>96</v>
          </cell>
          <cell r="W708">
            <v>1</v>
          </cell>
          <cell r="X708">
            <v>96</v>
          </cell>
          <cell r="Y708">
            <v>0</v>
          </cell>
          <cell r="Z708">
            <v>0</v>
          </cell>
          <cell r="AD708" t="str">
            <v>0</v>
          </cell>
          <cell r="AE708" t="str">
            <v>0</v>
          </cell>
          <cell r="AF708" t="str">
            <v>00</v>
          </cell>
          <cell r="AI708">
            <v>15000000</v>
          </cell>
          <cell r="AJ708">
            <v>2875000</v>
          </cell>
        </row>
        <row r="709">
          <cell r="A709" t="str">
            <v>02</v>
          </cell>
          <cell r="B709" t="str">
            <v>05</v>
          </cell>
          <cell r="C709" t="str">
            <v>1617</v>
          </cell>
          <cell r="D709" t="str">
            <v>Снегоход БУРАН</v>
          </cell>
          <cell r="E709" t="str">
            <v>зав. N 85040040</v>
          </cell>
          <cell r="G709" t="str">
            <v>01</v>
          </cell>
          <cell r="H709">
            <v>15800</v>
          </cell>
          <cell r="I709">
            <v>0</v>
          </cell>
          <cell r="J709">
            <v>0</v>
          </cell>
          <cell r="K709">
            <v>1.1499999999999999</v>
          </cell>
          <cell r="L709" t="str">
            <v>20</v>
          </cell>
          <cell r="M709" t="str">
            <v>50511</v>
          </cell>
          <cell r="N709" t="str">
            <v>15 3591102</v>
          </cell>
          <cell r="P709">
            <v>21.3</v>
          </cell>
          <cell r="Q709">
            <v>0</v>
          </cell>
          <cell r="R709" t="str">
            <v>1</v>
          </cell>
          <cell r="S709" t="str">
            <v>50</v>
          </cell>
          <cell r="T709">
            <v>95</v>
          </cell>
          <cell r="U709">
            <v>1</v>
          </cell>
          <cell r="V709">
            <v>96</v>
          </cell>
          <cell r="W709">
            <v>1</v>
          </cell>
          <cell r="X709">
            <v>96</v>
          </cell>
          <cell r="Y709">
            <v>0</v>
          </cell>
          <cell r="Z709">
            <v>0</v>
          </cell>
          <cell r="AD709" t="str">
            <v>0</v>
          </cell>
          <cell r="AE709" t="str">
            <v>0</v>
          </cell>
          <cell r="AF709" t="str">
            <v>00</v>
          </cell>
          <cell r="AI709">
            <v>13750000</v>
          </cell>
          <cell r="AJ709">
            <v>5613437.5</v>
          </cell>
        </row>
        <row r="710">
          <cell r="A710" t="str">
            <v>15</v>
          </cell>
          <cell r="B710" t="str">
            <v>81</v>
          </cell>
          <cell r="C710" t="str">
            <v>1620</v>
          </cell>
          <cell r="D710" t="str">
            <v>Б/х анализаторBIOSED</v>
          </cell>
          <cell r="E710" t="str">
            <v>в к-те с реагентами</v>
          </cell>
          <cell r="G710" t="str">
            <v>01</v>
          </cell>
          <cell r="H710">
            <v>54790</v>
          </cell>
          <cell r="I710">
            <v>0</v>
          </cell>
          <cell r="J710">
            <v>0</v>
          </cell>
          <cell r="K710">
            <v>1.02</v>
          </cell>
          <cell r="L710" t="str">
            <v>88/2</v>
          </cell>
          <cell r="M710" t="str">
            <v>46012</v>
          </cell>
          <cell r="N710" t="str">
            <v>14 3311269</v>
          </cell>
          <cell r="P710">
            <v>10</v>
          </cell>
          <cell r="Q710">
            <v>0</v>
          </cell>
          <cell r="R710" t="str">
            <v>1</v>
          </cell>
          <cell r="S710" t="str">
            <v>46</v>
          </cell>
          <cell r="T710">
            <v>96</v>
          </cell>
          <cell r="U710">
            <v>2</v>
          </cell>
          <cell r="V710">
            <v>96</v>
          </cell>
          <cell r="W710">
            <v>2</v>
          </cell>
          <cell r="X710">
            <v>96</v>
          </cell>
          <cell r="Y710">
            <v>0</v>
          </cell>
          <cell r="Z710">
            <v>0</v>
          </cell>
          <cell r="AB710" t="str">
            <v>14</v>
          </cell>
          <cell r="AC710">
            <v>2</v>
          </cell>
          <cell r="AD710" t="str">
            <v>0</v>
          </cell>
          <cell r="AE710" t="str">
            <v>0</v>
          </cell>
          <cell r="AF710" t="str">
            <v>15</v>
          </cell>
          <cell r="AI710">
            <v>53874849</v>
          </cell>
          <cell r="AJ710">
            <v>9877055.6500000004</v>
          </cell>
        </row>
        <row r="711">
          <cell r="A711" t="str">
            <v>15</v>
          </cell>
          <cell r="B711" t="str">
            <v>81</v>
          </cell>
          <cell r="C711" t="str">
            <v>1621</v>
          </cell>
          <cell r="D711" t="str">
            <v>Анализатор мочи IMAC</v>
          </cell>
          <cell r="E711" t="str">
            <v>O /Германия/ с т/по-</v>
          </cell>
          <cell r="F711" t="str">
            <v>лосками и бумагой</v>
          </cell>
          <cell r="G711" t="str">
            <v>01</v>
          </cell>
          <cell r="H711">
            <v>22252</v>
          </cell>
          <cell r="I711">
            <v>0</v>
          </cell>
          <cell r="J711">
            <v>0</v>
          </cell>
          <cell r="K711">
            <v>0.92</v>
          </cell>
          <cell r="L711" t="str">
            <v>88/2</v>
          </cell>
          <cell r="M711" t="str">
            <v>46012</v>
          </cell>
          <cell r="N711" t="str">
            <v>14 3311269</v>
          </cell>
          <cell r="P711">
            <v>10</v>
          </cell>
          <cell r="Q711">
            <v>0</v>
          </cell>
          <cell r="R711" t="str">
            <v>1</v>
          </cell>
          <cell r="S711" t="str">
            <v>46</v>
          </cell>
          <cell r="T711">
            <v>96</v>
          </cell>
          <cell r="U711">
            <v>2</v>
          </cell>
          <cell r="V711">
            <v>96</v>
          </cell>
          <cell r="W711">
            <v>2</v>
          </cell>
          <cell r="X711">
            <v>96</v>
          </cell>
          <cell r="Y711">
            <v>0</v>
          </cell>
          <cell r="Z711">
            <v>0</v>
          </cell>
          <cell r="AB711" t="str">
            <v>14</v>
          </cell>
          <cell r="AC711">
            <v>2</v>
          </cell>
          <cell r="AD711" t="str">
            <v>0</v>
          </cell>
          <cell r="AE711" t="str">
            <v>0</v>
          </cell>
          <cell r="AF711" t="str">
            <v>15</v>
          </cell>
          <cell r="AI711">
            <v>24295717</v>
          </cell>
          <cell r="AJ711">
            <v>4454214.78</v>
          </cell>
        </row>
        <row r="712">
          <cell r="A712" t="str">
            <v>15</v>
          </cell>
          <cell r="B712" t="str">
            <v>81</v>
          </cell>
          <cell r="C712" t="str">
            <v>1622</v>
          </cell>
          <cell r="D712" t="str">
            <v>Алкогольметр /Велико</v>
          </cell>
          <cell r="E712" t="str">
            <v>британия/</v>
          </cell>
          <cell r="G712" t="str">
            <v>01</v>
          </cell>
          <cell r="H712">
            <v>6500</v>
          </cell>
          <cell r="I712">
            <v>0</v>
          </cell>
          <cell r="J712">
            <v>0</v>
          </cell>
          <cell r="K712">
            <v>1</v>
          </cell>
          <cell r="L712" t="str">
            <v>88/2</v>
          </cell>
          <cell r="M712" t="str">
            <v>46012</v>
          </cell>
          <cell r="N712" t="str">
            <v>14 3311269</v>
          </cell>
          <cell r="P712">
            <v>10</v>
          </cell>
          <cell r="Q712">
            <v>0</v>
          </cell>
          <cell r="R712" t="str">
            <v>1</v>
          </cell>
          <cell r="S712" t="str">
            <v>46</v>
          </cell>
          <cell r="T712">
            <v>96</v>
          </cell>
          <cell r="U712">
            <v>2</v>
          </cell>
          <cell r="V712">
            <v>96</v>
          </cell>
          <cell r="W712">
            <v>2</v>
          </cell>
          <cell r="X712">
            <v>96</v>
          </cell>
          <cell r="Y712">
            <v>0</v>
          </cell>
          <cell r="Z712">
            <v>0</v>
          </cell>
          <cell r="AB712" t="str">
            <v>14</v>
          </cell>
          <cell r="AC712">
            <v>2</v>
          </cell>
          <cell r="AD712" t="str">
            <v>0</v>
          </cell>
          <cell r="AE712" t="str">
            <v>0</v>
          </cell>
          <cell r="AF712" t="str">
            <v>15</v>
          </cell>
          <cell r="AI712">
            <v>6497413</v>
          </cell>
          <cell r="AJ712">
            <v>1191192.3799999999</v>
          </cell>
        </row>
        <row r="713">
          <cell r="A713" t="str">
            <v>15</v>
          </cell>
          <cell r="B713" t="str">
            <v>81</v>
          </cell>
          <cell r="C713" t="str">
            <v>1623</v>
          </cell>
          <cell r="D713" t="str">
            <v>Алкогольметр /Велико</v>
          </cell>
          <cell r="E713" t="str">
            <v>британия/</v>
          </cell>
          <cell r="G713" t="str">
            <v>01</v>
          </cell>
          <cell r="H713">
            <v>6500</v>
          </cell>
          <cell r="I713">
            <v>0</v>
          </cell>
          <cell r="J713">
            <v>0</v>
          </cell>
          <cell r="K713">
            <v>1</v>
          </cell>
          <cell r="L713" t="str">
            <v>88/2</v>
          </cell>
          <cell r="M713" t="str">
            <v>46012</v>
          </cell>
          <cell r="N713" t="str">
            <v>14 3311269</v>
          </cell>
          <cell r="P713">
            <v>10</v>
          </cell>
          <cell r="Q713">
            <v>0</v>
          </cell>
          <cell r="R713" t="str">
            <v>1</v>
          </cell>
          <cell r="S713" t="str">
            <v>46</v>
          </cell>
          <cell r="T713">
            <v>96</v>
          </cell>
          <cell r="U713">
            <v>2</v>
          </cell>
          <cell r="V713">
            <v>96</v>
          </cell>
          <cell r="W713">
            <v>2</v>
          </cell>
          <cell r="X713">
            <v>96</v>
          </cell>
          <cell r="Y713">
            <v>0</v>
          </cell>
          <cell r="Z713">
            <v>0</v>
          </cell>
          <cell r="AB713" t="str">
            <v>14</v>
          </cell>
          <cell r="AC713">
            <v>2</v>
          </cell>
          <cell r="AD713" t="str">
            <v>0</v>
          </cell>
          <cell r="AE713" t="str">
            <v>0</v>
          </cell>
          <cell r="AF713" t="str">
            <v>15</v>
          </cell>
          <cell r="AI713">
            <v>6497413</v>
          </cell>
          <cell r="AJ713">
            <v>1191192.3799999999</v>
          </cell>
        </row>
        <row r="714">
          <cell r="A714" t="str">
            <v>02</v>
          </cell>
          <cell r="B714" t="str">
            <v>80</v>
          </cell>
          <cell r="C714" t="str">
            <v>1624</v>
          </cell>
          <cell r="D714" t="str">
            <v>Модем</v>
          </cell>
          <cell r="G714" t="str">
            <v>01</v>
          </cell>
          <cell r="H714">
            <v>2042</v>
          </cell>
          <cell r="I714">
            <v>491.1</v>
          </cell>
          <cell r="J714">
            <v>0</v>
          </cell>
          <cell r="K714">
            <v>0.34</v>
          </cell>
          <cell r="L714" t="str">
            <v>26</v>
          </cell>
          <cell r="M714" t="str">
            <v>48003</v>
          </cell>
          <cell r="N714" t="str">
            <v>14 3020380</v>
          </cell>
          <cell r="P714">
            <v>11.1</v>
          </cell>
          <cell r="Q714">
            <v>0</v>
          </cell>
          <cell r="R714" t="str">
            <v>1</v>
          </cell>
          <cell r="S714" t="str">
            <v>45</v>
          </cell>
          <cell r="T714">
            <v>93</v>
          </cell>
          <cell r="U714">
            <v>2</v>
          </cell>
          <cell r="V714">
            <v>96</v>
          </cell>
          <cell r="W714">
            <v>2</v>
          </cell>
          <cell r="X714">
            <v>96</v>
          </cell>
          <cell r="Y714">
            <v>0</v>
          </cell>
          <cell r="Z714">
            <v>0</v>
          </cell>
          <cell r="AD714" t="str">
            <v>0</v>
          </cell>
          <cell r="AE714" t="str">
            <v>0</v>
          </cell>
          <cell r="AF714" t="str">
            <v>00</v>
          </cell>
          <cell r="AI714">
            <v>6032977</v>
          </cell>
          <cell r="AJ714">
            <v>2678641.8199999998</v>
          </cell>
        </row>
        <row r="715">
          <cell r="A715" t="str">
            <v>02</v>
          </cell>
          <cell r="B715" t="str">
            <v>41</v>
          </cell>
          <cell r="C715" t="str">
            <v>1618</v>
          </cell>
          <cell r="D715" t="str">
            <v>Рентген. аппарат АРИ</v>
          </cell>
          <cell r="E715" t="str">
            <v>НА-2-02</v>
          </cell>
          <cell r="G715" t="str">
            <v>01</v>
          </cell>
          <cell r="H715">
            <v>6350</v>
          </cell>
          <cell r="I715">
            <v>0</v>
          </cell>
          <cell r="J715">
            <v>0</v>
          </cell>
          <cell r="K715">
            <v>1.06</v>
          </cell>
          <cell r="L715" t="str">
            <v>20</v>
          </cell>
          <cell r="M715" t="str">
            <v>47024</v>
          </cell>
          <cell r="N715" t="str">
            <v>14 3313341</v>
          </cell>
          <cell r="P715">
            <v>10.4</v>
          </cell>
          <cell r="Q715">
            <v>0</v>
          </cell>
          <cell r="R715" t="str">
            <v>1</v>
          </cell>
          <cell r="S715" t="str">
            <v>47</v>
          </cell>
          <cell r="T715">
            <v>95</v>
          </cell>
          <cell r="U715">
            <v>2</v>
          </cell>
          <cell r="V715">
            <v>96</v>
          </cell>
          <cell r="W715">
            <v>2</v>
          </cell>
          <cell r="X715">
            <v>96</v>
          </cell>
          <cell r="Y715">
            <v>0</v>
          </cell>
          <cell r="Z715">
            <v>0</v>
          </cell>
          <cell r="AD715" t="str">
            <v>0</v>
          </cell>
          <cell r="AE715" t="str">
            <v>0</v>
          </cell>
          <cell r="AF715" t="str">
            <v>00</v>
          </cell>
          <cell r="AI715">
            <v>6000000</v>
          </cell>
          <cell r="AJ715">
            <v>1144000</v>
          </cell>
        </row>
        <row r="716">
          <cell r="A716" t="str">
            <v>02</v>
          </cell>
          <cell r="B716" t="str">
            <v>41</v>
          </cell>
          <cell r="C716" t="str">
            <v>1619</v>
          </cell>
          <cell r="D716" t="str">
            <v>Рентген.аппарат АРИН</v>
          </cell>
          <cell r="E716" t="str">
            <v>А-2-02</v>
          </cell>
          <cell r="G716" t="str">
            <v>01</v>
          </cell>
          <cell r="H716">
            <v>6350</v>
          </cell>
          <cell r="I716">
            <v>0</v>
          </cell>
          <cell r="J716">
            <v>0</v>
          </cell>
          <cell r="K716">
            <v>1.06</v>
          </cell>
          <cell r="L716" t="str">
            <v>20</v>
          </cell>
          <cell r="M716" t="str">
            <v>47024</v>
          </cell>
          <cell r="N716" t="str">
            <v>14 3313341</v>
          </cell>
          <cell r="P716">
            <v>10.4</v>
          </cell>
          <cell r="Q716">
            <v>0</v>
          </cell>
          <cell r="R716" t="str">
            <v>1</v>
          </cell>
          <cell r="S716" t="str">
            <v>47</v>
          </cell>
          <cell r="T716">
            <v>95</v>
          </cell>
          <cell r="U716">
            <v>2</v>
          </cell>
          <cell r="V716">
            <v>96</v>
          </cell>
          <cell r="W716">
            <v>2</v>
          </cell>
          <cell r="X716">
            <v>96</v>
          </cell>
          <cell r="Y716">
            <v>0</v>
          </cell>
          <cell r="Z716">
            <v>0</v>
          </cell>
          <cell r="AD716" t="str">
            <v>0</v>
          </cell>
          <cell r="AE716" t="str">
            <v>0</v>
          </cell>
          <cell r="AF716" t="str">
            <v>00</v>
          </cell>
          <cell r="AI716">
            <v>6000000</v>
          </cell>
          <cell r="AJ716">
            <v>1144000</v>
          </cell>
        </row>
        <row r="717">
          <cell r="A717" t="str">
            <v>02</v>
          </cell>
          <cell r="B717" t="str">
            <v>80</v>
          </cell>
          <cell r="C717" t="str">
            <v>1625</v>
          </cell>
          <cell r="D717" t="str">
            <v>Факс SAMSUNG</v>
          </cell>
          <cell r="G717" t="str">
            <v>01</v>
          </cell>
          <cell r="H717">
            <v>1418.57</v>
          </cell>
          <cell r="I717">
            <v>0</v>
          </cell>
          <cell r="J717">
            <v>0</v>
          </cell>
          <cell r="K717">
            <v>0.68</v>
          </cell>
          <cell r="L717" t="str">
            <v>26</v>
          </cell>
          <cell r="M717" t="str">
            <v>45613</v>
          </cell>
          <cell r="N717" t="str">
            <v>14 3222146</v>
          </cell>
          <cell r="P717">
            <v>7.4</v>
          </cell>
          <cell r="Q717">
            <v>0</v>
          </cell>
          <cell r="R717" t="str">
            <v>1</v>
          </cell>
          <cell r="S717" t="str">
            <v>45</v>
          </cell>
          <cell r="T717">
            <v>95</v>
          </cell>
          <cell r="U717">
            <v>2</v>
          </cell>
          <cell r="V717">
            <v>96</v>
          </cell>
          <cell r="W717">
            <v>2</v>
          </cell>
          <cell r="X717">
            <v>96</v>
          </cell>
          <cell r="Y717">
            <v>0</v>
          </cell>
          <cell r="Z717">
            <v>0</v>
          </cell>
          <cell r="AD717" t="str">
            <v>0</v>
          </cell>
          <cell r="AE717" t="str">
            <v>0</v>
          </cell>
          <cell r="AF717" t="str">
            <v>00</v>
          </cell>
          <cell r="AI717">
            <v>2072388</v>
          </cell>
          <cell r="AJ717">
            <v>281153.96999999997</v>
          </cell>
        </row>
        <row r="718">
          <cell r="A718" t="str">
            <v>02</v>
          </cell>
          <cell r="B718" t="str">
            <v>80</v>
          </cell>
          <cell r="C718" t="str">
            <v>1626</v>
          </cell>
          <cell r="D718" t="str">
            <v>Компьютер TOSHIBA c</v>
          </cell>
          <cell r="E718" t="str">
            <v>принтером EPSON</v>
          </cell>
          <cell r="G718" t="str">
            <v>01</v>
          </cell>
          <cell r="H718">
            <v>11868.9</v>
          </cell>
          <cell r="I718">
            <v>0</v>
          </cell>
          <cell r="J718">
            <v>0</v>
          </cell>
          <cell r="K718">
            <v>0.98</v>
          </cell>
          <cell r="L718" t="str">
            <v>26</v>
          </cell>
          <cell r="M718" t="str">
            <v>48008</v>
          </cell>
          <cell r="N718" t="str">
            <v>14 3020203</v>
          </cell>
          <cell r="P718">
            <v>10</v>
          </cell>
          <cell r="Q718">
            <v>0</v>
          </cell>
          <cell r="R718" t="str">
            <v>1</v>
          </cell>
          <cell r="S718" t="str">
            <v>48</v>
          </cell>
          <cell r="T718">
            <v>95</v>
          </cell>
          <cell r="U718">
            <v>2</v>
          </cell>
          <cell r="V718">
            <v>96</v>
          </cell>
          <cell r="W718">
            <v>2</v>
          </cell>
          <cell r="X718">
            <v>96</v>
          </cell>
          <cell r="Y718">
            <v>0</v>
          </cell>
          <cell r="Z718">
            <v>0</v>
          </cell>
          <cell r="AD718" t="str">
            <v>0</v>
          </cell>
          <cell r="AE718" t="str">
            <v>0</v>
          </cell>
          <cell r="AF718" t="str">
            <v>00</v>
          </cell>
          <cell r="AI718">
            <v>10400000</v>
          </cell>
          <cell r="AJ718">
            <v>1906666.67</v>
          </cell>
        </row>
        <row r="719">
          <cell r="A719" t="str">
            <v>02</v>
          </cell>
          <cell r="B719" t="str">
            <v>80</v>
          </cell>
          <cell r="C719" t="str">
            <v>1627</v>
          </cell>
          <cell r="D719" t="str">
            <v>Компьютер 486-ДХ 4-1</v>
          </cell>
          <cell r="E719" t="str">
            <v>00</v>
          </cell>
          <cell r="G719" t="str">
            <v>01</v>
          </cell>
          <cell r="H719">
            <v>3500</v>
          </cell>
          <cell r="I719">
            <v>0</v>
          </cell>
          <cell r="J719">
            <v>0</v>
          </cell>
          <cell r="K719">
            <v>0.39</v>
          </cell>
          <cell r="L719" t="str">
            <v>26</v>
          </cell>
          <cell r="M719" t="str">
            <v>48008</v>
          </cell>
          <cell r="N719" t="str">
            <v>14 3020203</v>
          </cell>
          <cell r="P719">
            <v>10</v>
          </cell>
          <cell r="Q719">
            <v>0</v>
          </cell>
          <cell r="R719" t="str">
            <v>1</v>
          </cell>
          <cell r="S719" t="str">
            <v>48</v>
          </cell>
          <cell r="T719">
            <v>95</v>
          </cell>
          <cell r="U719">
            <v>2</v>
          </cell>
          <cell r="V719">
            <v>96</v>
          </cell>
          <cell r="W719">
            <v>2</v>
          </cell>
          <cell r="X719">
            <v>96</v>
          </cell>
          <cell r="Y719">
            <v>0</v>
          </cell>
          <cell r="Z719">
            <v>0</v>
          </cell>
          <cell r="AD719" t="str">
            <v>0</v>
          </cell>
          <cell r="AE719" t="str">
            <v>0</v>
          </cell>
          <cell r="AF719" t="str">
            <v>00</v>
          </cell>
          <cell r="AI719">
            <v>9000000</v>
          </cell>
          <cell r="AJ719">
            <v>1650000</v>
          </cell>
        </row>
        <row r="720">
          <cell r="A720" t="str">
            <v>02</v>
          </cell>
          <cell r="B720" t="str">
            <v>23</v>
          </cell>
          <cell r="C720" t="str">
            <v>1628</v>
          </cell>
          <cell r="D720" t="str">
            <v>Компьютер 486-ДХ 4-1</v>
          </cell>
          <cell r="E720" t="str">
            <v>00 с принтером EPSON</v>
          </cell>
          <cell r="F720" t="str">
            <v>LX-100</v>
          </cell>
          <cell r="G720" t="str">
            <v>01</v>
          </cell>
          <cell r="H720">
            <v>4390.08</v>
          </cell>
          <cell r="I720">
            <v>0</v>
          </cell>
          <cell r="J720">
            <v>11390.08</v>
          </cell>
          <cell r="K720">
            <v>0.39</v>
          </cell>
          <cell r="L720" t="str">
            <v>23</v>
          </cell>
          <cell r="M720" t="str">
            <v>48008</v>
          </cell>
          <cell r="N720" t="str">
            <v>22 0000000</v>
          </cell>
          <cell r="P720">
            <v>10</v>
          </cell>
          <cell r="Q720">
            <v>0</v>
          </cell>
          <cell r="R720" t="str">
            <v>1</v>
          </cell>
          <cell r="S720" t="str">
            <v>48</v>
          </cell>
          <cell r="T720">
            <v>95</v>
          </cell>
          <cell r="U720">
            <v>2</v>
          </cell>
          <cell r="V720">
            <v>96</v>
          </cell>
          <cell r="W720">
            <v>2</v>
          </cell>
          <cell r="X720">
            <v>96</v>
          </cell>
          <cell r="Y720">
            <v>5</v>
          </cell>
          <cell r="Z720">
            <v>99</v>
          </cell>
          <cell r="AB720" t="str">
            <v>14</v>
          </cell>
          <cell r="AC720">
            <v>10</v>
          </cell>
          <cell r="AD720" t="str">
            <v>0</v>
          </cell>
          <cell r="AE720" t="str">
            <v>0</v>
          </cell>
          <cell r="AF720" t="str">
            <v>00</v>
          </cell>
          <cell r="AI720">
            <v>9000000</v>
          </cell>
          <cell r="AJ720">
            <v>1650000</v>
          </cell>
        </row>
        <row r="721">
          <cell r="A721" t="str">
            <v>02</v>
          </cell>
          <cell r="B721" t="str">
            <v>05</v>
          </cell>
          <cell r="C721" t="str">
            <v>1631</v>
          </cell>
          <cell r="D721" t="str">
            <v>Мотопомпа ММ-27/100</v>
          </cell>
          <cell r="E721" t="str">
            <v>с двигателем Дружба</v>
          </cell>
          <cell r="G721" t="str">
            <v>01</v>
          </cell>
          <cell r="H721">
            <v>35697</v>
          </cell>
          <cell r="I721">
            <v>0</v>
          </cell>
          <cell r="J721">
            <v>0</v>
          </cell>
          <cell r="K721">
            <v>1.1000000000000001</v>
          </cell>
          <cell r="L721" t="str">
            <v>20</v>
          </cell>
          <cell r="M721" t="str">
            <v>42405</v>
          </cell>
          <cell r="N721" t="str">
            <v>14 2912000</v>
          </cell>
          <cell r="P721">
            <v>12.5</v>
          </cell>
          <cell r="Q721">
            <v>0</v>
          </cell>
          <cell r="R721" t="str">
            <v>1</v>
          </cell>
          <cell r="S721" t="str">
            <v>42</v>
          </cell>
          <cell r="T721">
            <v>95</v>
          </cell>
          <cell r="U721">
            <v>3</v>
          </cell>
          <cell r="V721">
            <v>96</v>
          </cell>
          <cell r="W721">
            <v>3</v>
          </cell>
          <cell r="X721">
            <v>96</v>
          </cell>
          <cell r="Y721">
            <v>0</v>
          </cell>
          <cell r="Z721">
            <v>0</v>
          </cell>
          <cell r="AB721" t="str">
            <v>14</v>
          </cell>
          <cell r="AC721">
            <v>11</v>
          </cell>
          <cell r="AD721" t="str">
            <v>0</v>
          </cell>
          <cell r="AE721" t="str">
            <v>0</v>
          </cell>
          <cell r="AF721" t="str">
            <v>00</v>
          </cell>
          <cell r="AI721">
            <v>32500000</v>
          </cell>
          <cell r="AJ721">
            <v>7109375</v>
          </cell>
        </row>
        <row r="722">
          <cell r="A722" t="str">
            <v>02</v>
          </cell>
          <cell r="B722" t="str">
            <v>99</v>
          </cell>
          <cell r="C722" t="str">
            <v>1633</v>
          </cell>
          <cell r="D722" t="str">
            <v>Вагон жилой КЕДР-4</v>
          </cell>
          <cell r="E722" t="str">
            <v>дерево-металлич.</v>
          </cell>
          <cell r="G722" t="str">
            <v>01</v>
          </cell>
          <cell r="H722">
            <v>85000</v>
          </cell>
          <cell r="I722">
            <v>3364.58</v>
          </cell>
          <cell r="J722">
            <v>0</v>
          </cell>
          <cell r="K722">
            <v>1.2</v>
          </cell>
          <cell r="L722" t="str">
            <v>20</v>
          </cell>
          <cell r="M722" t="str">
            <v>10010</v>
          </cell>
          <cell r="N722" t="str">
            <v>13 2022261</v>
          </cell>
          <cell r="P722">
            <v>12.5</v>
          </cell>
          <cell r="Q722">
            <v>0</v>
          </cell>
          <cell r="R722" t="str">
            <v>1</v>
          </cell>
          <cell r="S722" t="str">
            <v>10</v>
          </cell>
          <cell r="T722">
            <v>95</v>
          </cell>
          <cell r="U722">
            <v>3</v>
          </cell>
          <cell r="V722">
            <v>96</v>
          </cell>
          <cell r="W722">
            <v>3</v>
          </cell>
          <cell r="X722">
            <v>96</v>
          </cell>
          <cell r="Y722">
            <v>0</v>
          </cell>
          <cell r="Z722">
            <v>0</v>
          </cell>
          <cell r="AB722" t="str">
            <v>14</v>
          </cell>
          <cell r="AC722">
            <v>3</v>
          </cell>
          <cell r="AD722" t="str">
            <v>0</v>
          </cell>
          <cell r="AE722" t="str">
            <v>0</v>
          </cell>
          <cell r="AF722" t="str">
            <v>00</v>
          </cell>
          <cell r="AI722">
            <v>71111112</v>
          </cell>
          <cell r="AJ722">
            <v>18370369.75</v>
          </cell>
        </row>
        <row r="723">
          <cell r="A723" t="str">
            <v>02</v>
          </cell>
          <cell r="B723" t="str">
            <v>05</v>
          </cell>
          <cell r="C723" t="str">
            <v>1634</v>
          </cell>
          <cell r="D723" t="str">
            <v>Вагон жилой КЕДР-4</v>
          </cell>
          <cell r="E723" t="str">
            <v>дерево-мет.</v>
          </cell>
          <cell r="G723" t="str">
            <v>01</v>
          </cell>
          <cell r="H723">
            <v>85000</v>
          </cell>
          <cell r="I723">
            <v>3364.58</v>
          </cell>
          <cell r="J723">
            <v>0</v>
          </cell>
          <cell r="K723">
            <v>1.2</v>
          </cell>
          <cell r="L723" t="str">
            <v>20</v>
          </cell>
          <cell r="M723" t="str">
            <v>10010</v>
          </cell>
          <cell r="N723" t="str">
            <v>13 2022261</v>
          </cell>
          <cell r="P723">
            <v>12.5</v>
          </cell>
          <cell r="Q723">
            <v>0</v>
          </cell>
          <cell r="R723" t="str">
            <v>1</v>
          </cell>
          <cell r="S723" t="str">
            <v>10</v>
          </cell>
          <cell r="T723">
            <v>95</v>
          </cell>
          <cell r="U723">
            <v>3</v>
          </cell>
          <cell r="V723">
            <v>96</v>
          </cell>
          <cell r="W723">
            <v>3</v>
          </cell>
          <cell r="X723">
            <v>96</v>
          </cell>
          <cell r="Y723">
            <v>0</v>
          </cell>
          <cell r="Z723">
            <v>0</v>
          </cell>
          <cell r="AB723" t="str">
            <v>14</v>
          </cell>
          <cell r="AC723">
            <v>8</v>
          </cell>
          <cell r="AD723" t="str">
            <v>0</v>
          </cell>
          <cell r="AE723" t="str">
            <v>0</v>
          </cell>
          <cell r="AF723" t="str">
            <v>00</v>
          </cell>
          <cell r="AI723">
            <v>71111112</v>
          </cell>
          <cell r="AJ723">
            <v>18370369.75</v>
          </cell>
        </row>
        <row r="724">
          <cell r="A724" t="str">
            <v>02</v>
          </cell>
          <cell r="B724" t="str">
            <v>05</v>
          </cell>
          <cell r="C724" t="str">
            <v>1632</v>
          </cell>
          <cell r="D724" t="str">
            <v>Нефтесборщик на базе</v>
          </cell>
          <cell r="E724" t="str">
            <v>катера с дизел.гидав</v>
          </cell>
          <cell r="F724" t="str">
            <v>блоком и нефт.насосо</v>
          </cell>
          <cell r="G724" t="str">
            <v>01</v>
          </cell>
          <cell r="H724">
            <v>2650000</v>
          </cell>
          <cell r="I724">
            <v>0</v>
          </cell>
          <cell r="J724">
            <v>0</v>
          </cell>
          <cell r="K724">
            <v>1.03</v>
          </cell>
          <cell r="L724" t="str">
            <v>20</v>
          </cell>
          <cell r="M724" t="str">
            <v>50136</v>
          </cell>
          <cell r="N724" t="str">
            <v>15 3511225</v>
          </cell>
          <cell r="P724">
            <v>10</v>
          </cell>
          <cell r="Q724">
            <v>0</v>
          </cell>
          <cell r="R724" t="str">
            <v>1</v>
          </cell>
          <cell r="S724" t="str">
            <v>50</v>
          </cell>
          <cell r="T724">
            <v>95</v>
          </cell>
          <cell r="U724">
            <v>3</v>
          </cell>
          <cell r="V724">
            <v>96</v>
          </cell>
          <cell r="W724">
            <v>3</v>
          </cell>
          <cell r="X724">
            <v>96</v>
          </cell>
          <cell r="Y724">
            <v>0</v>
          </cell>
          <cell r="Z724">
            <v>0</v>
          </cell>
          <cell r="AD724" t="str">
            <v>0</v>
          </cell>
          <cell r="AE724" t="str">
            <v>0</v>
          </cell>
          <cell r="AF724" t="str">
            <v>00</v>
          </cell>
          <cell r="AI724">
            <v>2568619920</v>
          </cell>
          <cell r="AJ724">
            <v>449508486</v>
          </cell>
        </row>
        <row r="725">
          <cell r="A725" t="str">
            <v>19</v>
          </cell>
          <cell r="B725" t="str">
            <v>19</v>
          </cell>
          <cell r="C725" t="str">
            <v>1635</v>
          </cell>
          <cell r="D725" t="str">
            <v>К-кт ЗККМ на базе ЗИ</v>
          </cell>
          <cell r="E725" t="str">
            <v>Х-60LD 260 /Кассовый</v>
          </cell>
          <cell r="F725" t="str">
            <v>аппарат/</v>
          </cell>
          <cell r="G725" t="str">
            <v>01</v>
          </cell>
          <cell r="H725">
            <v>2745</v>
          </cell>
          <cell r="I725">
            <v>0</v>
          </cell>
          <cell r="J725">
            <v>0</v>
          </cell>
          <cell r="K725">
            <v>1</v>
          </cell>
          <cell r="L725" t="str">
            <v>88/4</v>
          </cell>
          <cell r="M725" t="str">
            <v>47013</v>
          </cell>
          <cell r="N725" t="str">
            <v>16 3697650</v>
          </cell>
          <cell r="P725">
            <v>11</v>
          </cell>
          <cell r="Q725">
            <v>0</v>
          </cell>
          <cell r="R725" t="str">
            <v>1</v>
          </cell>
          <cell r="S725" t="str">
            <v>47</v>
          </cell>
          <cell r="T725">
            <v>95</v>
          </cell>
          <cell r="U725">
            <v>3</v>
          </cell>
          <cell r="V725">
            <v>96</v>
          </cell>
          <cell r="W725">
            <v>3</v>
          </cell>
          <cell r="X725">
            <v>96</v>
          </cell>
          <cell r="Y725">
            <v>0</v>
          </cell>
          <cell r="Z725">
            <v>0</v>
          </cell>
          <cell r="AB725" t="str">
            <v>14</v>
          </cell>
          <cell r="AC725">
            <v>8</v>
          </cell>
          <cell r="AD725" t="str">
            <v>0</v>
          </cell>
          <cell r="AE725" t="str">
            <v>0</v>
          </cell>
          <cell r="AF725" t="str">
            <v>19</v>
          </cell>
          <cell r="AI725">
            <v>2750000</v>
          </cell>
          <cell r="AJ725">
            <v>529375</v>
          </cell>
        </row>
        <row r="726">
          <cell r="A726" t="str">
            <v>02</v>
          </cell>
          <cell r="B726" t="str">
            <v>80</v>
          </cell>
          <cell r="C726" t="str">
            <v>1636</v>
          </cell>
          <cell r="D726" t="str">
            <v>К-кт ЗККМ на базе ЗИ</v>
          </cell>
          <cell r="E726" t="str">
            <v>Х-60LD 260 /Кассовый</v>
          </cell>
          <cell r="F726" t="str">
            <v>аппарат/</v>
          </cell>
          <cell r="G726" t="str">
            <v>01</v>
          </cell>
          <cell r="H726">
            <v>2745</v>
          </cell>
          <cell r="I726">
            <v>0</v>
          </cell>
          <cell r="J726">
            <v>0</v>
          </cell>
          <cell r="K726">
            <v>1</v>
          </cell>
          <cell r="L726" t="str">
            <v>26</v>
          </cell>
          <cell r="M726" t="str">
            <v>47013</v>
          </cell>
          <cell r="N726" t="str">
            <v>14 2945119</v>
          </cell>
          <cell r="P726">
            <v>11</v>
          </cell>
          <cell r="Q726">
            <v>0</v>
          </cell>
          <cell r="R726" t="str">
            <v>1</v>
          </cell>
          <cell r="S726" t="str">
            <v>47</v>
          </cell>
          <cell r="T726">
            <v>95</v>
          </cell>
          <cell r="U726">
            <v>3</v>
          </cell>
          <cell r="V726">
            <v>96</v>
          </cell>
          <cell r="W726">
            <v>3</v>
          </cell>
          <cell r="X726">
            <v>96</v>
          </cell>
          <cell r="Y726">
            <v>0</v>
          </cell>
          <cell r="Z726">
            <v>0</v>
          </cell>
          <cell r="AD726" t="str">
            <v>0</v>
          </cell>
          <cell r="AE726" t="str">
            <v>0</v>
          </cell>
          <cell r="AF726" t="str">
            <v>00</v>
          </cell>
          <cell r="AI726">
            <v>2750000</v>
          </cell>
          <cell r="AJ726">
            <v>529375</v>
          </cell>
        </row>
        <row r="727">
          <cell r="A727" t="str">
            <v>17</v>
          </cell>
          <cell r="B727" t="str">
            <v>82</v>
          </cell>
          <cell r="C727" t="str">
            <v>1637</v>
          </cell>
          <cell r="D727" t="str">
            <v>К-кт ЗККМ на базе ЗИ</v>
          </cell>
          <cell r="E727" t="str">
            <v>Х-60LD 260 /Кассовый</v>
          </cell>
          <cell r="F727" t="str">
            <v>аппарат/</v>
          </cell>
          <cell r="G727" t="str">
            <v>01</v>
          </cell>
          <cell r="H727">
            <v>2745</v>
          </cell>
          <cell r="I727">
            <v>0</v>
          </cell>
          <cell r="J727">
            <v>0</v>
          </cell>
          <cell r="K727">
            <v>1</v>
          </cell>
          <cell r="L727" t="str">
            <v>26</v>
          </cell>
          <cell r="M727" t="str">
            <v>47013</v>
          </cell>
          <cell r="N727" t="str">
            <v>14 2945119</v>
          </cell>
          <cell r="P727">
            <v>11</v>
          </cell>
          <cell r="Q727">
            <v>0</v>
          </cell>
          <cell r="R727" t="str">
            <v>1</v>
          </cell>
          <cell r="S727" t="str">
            <v>47</v>
          </cell>
          <cell r="T727">
            <v>95</v>
          </cell>
          <cell r="U727">
            <v>3</v>
          </cell>
          <cell r="V727">
            <v>96</v>
          </cell>
          <cell r="W727">
            <v>3</v>
          </cell>
          <cell r="X727">
            <v>96</v>
          </cell>
          <cell r="Y727">
            <v>0</v>
          </cell>
          <cell r="Z727">
            <v>0</v>
          </cell>
          <cell r="AB727" t="str">
            <v>14</v>
          </cell>
          <cell r="AC727">
            <v>11</v>
          </cell>
          <cell r="AD727" t="str">
            <v>0</v>
          </cell>
          <cell r="AE727" t="str">
            <v>0</v>
          </cell>
          <cell r="AF727" t="str">
            <v>17</v>
          </cell>
          <cell r="AI727">
            <v>2750000</v>
          </cell>
          <cell r="AJ727">
            <v>529375</v>
          </cell>
        </row>
        <row r="728">
          <cell r="A728" t="str">
            <v>02</v>
          </cell>
          <cell r="B728" t="str">
            <v>70</v>
          </cell>
          <cell r="C728" t="str">
            <v>1638</v>
          </cell>
          <cell r="D728" t="str">
            <v>Сварочная установка</v>
          </cell>
          <cell r="E728" t="str">
            <v>АС-22 на базе тракто</v>
          </cell>
          <cell r="F728" t="str">
            <v>ра Беларусь /колесн/</v>
          </cell>
          <cell r="G728" t="str">
            <v>01</v>
          </cell>
          <cell r="H728">
            <v>91000</v>
          </cell>
          <cell r="I728">
            <v>0</v>
          </cell>
          <cell r="J728">
            <v>0</v>
          </cell>
          <cell r="K728">
            <v>1</v>
          </cell>
          <cell r="L728" t="str">
            <v>20</v>
          </cell>
          <cell r="M728" t="str">
            <v>40609</v>
          </cell>
          <cell r="N728" t="str">
            <v>14 2947193</v>
          </cell>
          <cell r="P728">
            <v>9.1</v>
          </cell>
          <cell r="Q728">
            <v>0</v>
          </cell>
          <cell r="R728" t="str">
            <v>1</v>
          </cell>
          <cell r="S728" t="str">
            <v>40</v>
          </cell>
          <cell r="T728">
            <v>95</v>
          </cell>
          <cell r="U728">
            <v>4</v>
          </cell>
          <cell r="V728">
            <v>96</v>
          </cell>
          <cell r="W728">
            <v>4</v>
          </cell>
          <cell r="X728">
            <v>96</v>
          </cell>
          <cell r="Y728">
            <v>0</v>
          </cell>
          <cell r="Z728">
            <v>0</v>
          </cell>
          <cell r="AB728" t="str">
            <v>14</v>
          </cell>
          <cell r="AC728">
            <v>12</v>
          </cell>
          <cell r="AD728" t="str">
            <v>0</v>
          </cell>
          <cell r="AE728" t="str">
            <v>0</v>
          </cell>
          <cell r="AF728" t="str">
            <v>00</v>
          </cell>
          <cell r="AI728">
            <v>90847736</v>
          </cell>
          <cell r="AJ728">
            <v>13778573.289999999</v>
          </cell>
        </row>
        <row r="729">
          <cell r="A729" t="str">
            <v>02</v>
          </cell>
          <cell r="B729" t="str">
            <v>99</v>
          </cell>
          <cell r="C729" t="str">
            <v>1639</v>
          </cell>
          <cell r="D729" t="str">
            <v>Сварочная установка</v>
          </cell>
          <cell r="E729" t="str">
            <v>АС-22 на базе тракто</v>
          </cell>
          <cell r="F729" t="str">
            <v>ра Беларусь /колесн/</v>
          </cell>
          <cell r="G729" t="str">
            <v>01</v>
          </cell>
          <cell r="H729">
            <v>91000</v>
          </cell>
          <cell r="I729">
            <v>0</v>
          </cell>
          <cell r="J729">
            <v>0</v>
          </cell>
          <cell r="K729">
            <v>1</v>
          </cell>
          <cell r="L729" t="str">
            <v>20</v>
          </cell>
          <cell r="M729" t="str">
            <v>40609</v>
          </cell>
          <cell r="N729" t="str">
            <v>14 2947193</v>
          </cell>
          <cell r="P729">
            <v>9.1</v>
          </cell>
          <cell r="Q729">
            <v>0</v>
          </cell>
          <cell r="R729" t="str">
            <v>1</v>
          </cell>
          <cell r="S729" t="str">
            <v>40</v>
          </cell>
          <cell r="T729">
            <v>95</v>
          </cell>
          <cell r="U729">
            <v>4</v>
          </cell>
          <cell r="V729">
            <v>96</v>
          </cell>
          <cell r="W729">
            <v>4</v>
          </cell>
          <cell r="X729">
            <v>96</v>
          </cell>
          <cell r="Y729">
            <v>0</v>
          </cell>
          <cell r="Z729">
            <v>0</v>
          </cell>
          <cell r="AB729" t="str">
            <v>14</v>
          </cell>
          <cell r="AC729">
            <v>10</v>
          </cell>
          <cell r="AD729" t="str">
            <v>0</v>
          </cell>
          <cell r="AE729" t="str">
            <v>0</v>
          </cell>
          <cell r="AF729" t="str">
            <v>00</v>
          </cell>
          <cell r="AI729">
            <v>90847737</v>
          </cell>
          <cell r="AJ729">
            <v>13778573.439999999</v>
          </cell>
        </row>
        <row r="730">
          <cell r="A730" t="str">
            <v>16</v>
          </cell>
          <cell r="B730" t="str">
            <v>06</v>
          </cell>
          <cell r="C730" t="str">
            <v>1640</v>
          </cell>
          <cell r="D730" t="str">
            <v>Трактор Т-16МГ</v>
          </cell>
          <cell r="E730" t="str">
            <v>зав.N528166. дв24438</v>
          </cell>
          <cell r="G730" t="str">
            <v>01</v>
          </cell>
          <cell r="H730">
            <v>28750</v>
          </cell>
          <cell r="I730">
            <v>0</v>
          </cell>
          <cell r="J730">
            <v>34500</v>
          </cell>
          <cell r="K730">
            <v>0.88</v>
          </cell>
          <cell r="L730" t="str">
            <v>88/1</v>
          </cell>
          <cell r="M730" t="str">
            <v>40610</v>
          </cell>
          <cell r="N730" t="str">
            <v>14 2918103</v>
          </cell>
          <cell r="P730">
            <v>12.5</v>
          </cell>
          <cell r="Q730">
            <v>0</v>
          </cell>
          <cell r="R730" t="str">
            <v>1</v>
          </cell>
          <cell r="S730" t="str">
            <v>40</v>
          </cell>
          <cell r="T730">
            <v>95</v>
          </cell>
          <cell r="U730">
            <v>4</v>
          </cell>
          <cell r="V730">
            <v>96</v>
          </cell>
          <cell r="W730">
            <v>4</v>
          </cell>
          <cell r="X730">
            <v>96</v>
          </cell>
          <cell r="Y730">
            <v>6</v>
          </cell>
          <cell r="Z730">
            <v>96</v>
          </cell>
          <cell r="AB730" t="str">
            <v>14</v>
          </cell>
          <cell r="AC730">
            <v>2</v>
          </cell>
          <cell r="AD730" t="str">
            <v>0</v>
          </cell>
          <cell r="AE730" t="str">
            <v>0</v>
          </cell>
          <cell r="AF730" t="str">
            <v>16</v>
          </cell>
          <cell r="AI730">
            <v>39000000</v>
          </cell>
          <cell r="AJ730">
            <v>7989583.3300000001</v>
          </cell>
        </row>
        <row r="731">
          <cell r="A731" t="str">
            <v>02</v>
          </cell>
          <cell r="B731" t="str">
            <v>71</v>
          </cell>
          <cell r="C731" t="str">
            <v>1641</v>
          </cell>
          <cell r="D731" t="str">
            <v>Холодильная камера</v>
          </cell>
          <cell r="E731" t="str">
            <v>КХСН-2-6 /4места/</v>
          </cell>
          <cell r="G731" t="str">
            <v>01</v>
          </cell>
          <cell r="H731">
            <v>22600</v>
          </cell>
          <cell r="I731">
            <v>0</v>
          </cell>
          <cell r="J731">
            <v>0</v>
          </cell>
          <cell r="K731">
            <v>0.95</v>
          </cell>
          <cell r="L731" t="str">
            <v>23</v>
          </cell>
          <cell r="M731" t="str">
            <v>45800</v>
          </cell>
          <cell r="N731" t="str">
            <v>16 2930100</v>
          </cell>
          <cell r="P731">
            <v>10</v>
          </cell>
          <cell r="Q731">
            <v>0</v>
          </cell>
          <cell r="R731" t="str">
            <v>1</v>
          </cell>
          <cell r="S731" t="str">
            <v>45</v>
          </cell>
          <cell r="T731">
            <v>94</v>
          </cell>
          <cell r="U731">
            <v>4</v>
          </cell>
          <cell r="V731">
            <v>96</v>
          </cell>
          <cell r="W731">
            <v>4</v>
          </cell>
          <cell r="X731">
            <v>96</v>
          </cell>
          <cell r="Y731">
            <v>0</v>
          </cell>
          <cell r="Z731">
            <v>0</v>
          </cell>
          <cell r="AD731" t="str">
            <v>0</v>
          </cell>
          <cell r="AE731" t="str">
            <v>0</v>
          </cell>
          <cell r="AF731" t="str">
            <v>00</v>
          </cell>
          <cell r="AI731">
            <v>23705280</v>
          </cell>
          <cell r="AJ731">
            <v>3950880</v>
          </cell>
        </row>
        <row r="732">
          <cell r="A732" t="str">
            <v>02</v>
          </cell>
          <cell r="B732" t="str">
            <v>05</v>
          </cell>
          <cell r="C732" t="str">
            <v>1642</v>
          </cell>
          <cell r="D732" t="str">
            <v>Двигатель АИУ -112-</v>
          </cell>
          <cell r="E732" t="str">
            <v>М2-2081  7,5/3000</v>
          </cell>
          <cell r="F732" t="str">
            <v>зав.N3651271</v>
          </cell>
          <cell r="G732" t="str">
            <v>01</v>
          </cell>
          <cell r="H732">
            <v>1968.41</v>
          </cell>
          <cell r="I732">
            <v>0</v>
          </cell>
          <cell r="J732">
            <v>0</v>
          </cell>
          <cell r="K732">
            <v>1.1100000000000001</v>
          </cell>
          <cell r="L732" t="str">
            <v>20</v>
          </cell>
          <cell r="M732" t="str">
            <v>40200</v>
          </cell>
          <cell r="N732" t="str">
            <v>14 3114104</v>
          </cell>
          <cell r="P732">
            <v>6.6</v>
          </cell>
          <cell r="Q732">
            <v>0</v>
          </cell>
          <cell r="R732" t="str">
            <v>1</v>
          </cell>
          <cell r="S732" t="str">
            <v>40</v>
          </cell>
          <cell r="T732">
            <v>95</v>
          </cell>
          <cell r="U732">
            <v>4</v>
          </cell>
          <cell r="V732">
            <v>96</v>
          </cell>
          <cell r="W732">
            <v>4</v>
          </cell>
          <cell r="X732">
            <v>96</v>
          </cell>
          <cell r="Y732">
            <v>0</v>
          </cell>
          <cell r="Z732">
            <v>0</v>
          </cell>
          <cell r="AD732" t="str">
            <v>0</v>
          </cell>
          <cell r="AE732" t="str">
            <v>0</v>
          </cell>
          <cell r="AF732" t="str">
            <v>00</v>
          </cell>
          <cell r="AI732">
            <v>1773338</v>
          </cell>
          <cell r="AJ732">
            <v>195067.18</v>
          </cell>
        </row>
        <row r="733">
          <cell r="A733" t="str">
            <v>02</v>
          </cell>
          <cell r="B733" t="str">
            <v>71</v>
          </cell>
          <cell r="C733" t="str">
            <v>1643</v>
          </cell>
          <cell r="D733" t="str">
            <v>Экскаватор одноковш.</v>
          </cell>
          <cell r="E733" t="str">
            <v>на пнев.ходу ем ковш</v>
          </cell>
          <cell r="F733" t="str">
            <v>до 0.4м ЭО-2621</v>
          </cell>
          <cell r="G733" t="str">
            <v>01</v>
          </cell>
          <cell r="H733">
            <v>73500</v>
          </cell>
          <cell r="I733">
            <v>0</v>
          </cell>
          <cell r="J733">
            <v>0</v>
          </cell>
          <cell r="K733">
            <v>0.98</v>
          </cell>
          <cell r="L733" t="str">
            <v>23</v>
          </cell>
          <cell r="M733" t="str">
            <v>41800</v>
          </cell>
          <cell r="N733" t="str">
            <v>14 2924331</v>
          </cell>
          <cell r="P733">
            <v>12.5</v>
          </cell>
          <cell r="Q733">
            <v>0</v>
          </cell>
          <cell r="R733" t="str">
            <v>1</v>
          </cell>
          <cell r="S733" t="str">
            <v>41</v>
          </cell>
          <cell r="T733">
            <v>95</v>
          </cell>
          <cell r="U733">
            <v>4</v>
          </cell>
          <cell r="V733">
            <v>96</v>
          </cell>
          <cell r="W733">
            <v>4</v>
          </cell>
          <cell r="X733">
            <v>96</v>
          </cell>
          <cell r="Y733">
            <v>0</v>
          </cell>
          <cell r="Z733">
            <v>0</v>
          </cell>
          <cell r="AD733" t="str">
            <v>0</v>
          </cell>
          <cell r="AE733" t="str">
            <v>0</v>
          </cell>
          <cell r="AF733" t="str">
            <v>00</v>
          </cell>
          <cell r="AI733">
            <v>75000000</v>
          </cell>
          <cell r="AJ733">
            <v>15625000</v>
          </cell>
        </row>
        <row r="734">
          <cell r="A734" t="str">
            <v>02</v>
          </cell>
          <cell r="B734" t="str">
            <v>05</v>
          </cell>
          <cell r="C734" t="str">
            <v>1644</v>
          </cell>
          <cell r="D734" t="str">
            <v>Машина очистная ОМГ-</v>
          </cell>
          <cell r="E734" t="str">
            <v>820</v>
          </cell>
          <cell r="G734" t="str">
            <v>01</v>
          </cell>
          <cell r="H734">
            <v>4000</v>
          </cell>
          <cell r="I734">
            <v>0</v>
          </cell>
          <cell r="J734">
            <v>0</v>
          </cell>
          <cell r="K734">
            <v>1</v>
          </cell>
          <cell r="L734" t="str">
            <v>20</v>
          </cell>
          <cell r="M734" t="str">
            <v>43803</v>
          </cell>
          <cell r="N734" t="str">
            <v>14 2920000</v>
          </cell>
          <cell r="P734">
            <v>33.299999999999997</v>
          </cell>
          <cell r="Q734">
            <v>0</v>
          </cell>
          <cell r="R734" t="str">
            <v>1</v>
          </cell>
          <cell r="S734" t="str">
            <v>43</v>
          </cell>
          <cell r="T734">
            <v>96</v>
          </cell>
          <cell r="U734">
            <v>5</v>
          </cell>
          <cell r="V734">
            <v>96</v>
          </cell>
          <cell r="W734">
            <v>5</v>
          </cell>
          <cell r="X734">
            <v>96</v>
          </cell>
          <cell r="Y734">
            <v>0</v>
          </cell>
          <cell r="Z734">
            <v>0</v>
          </cell>
          <cell r="AB734" t="str">
            <v>14</v>
          </cell>
          <cell r="AC734">
            <v>5</v>
          </cell>
          <cell r="AD734" t="str">
            <v>0</v>
          </cell>
          <cell r="AE734" t="str">
            <v>0</v>
          </cell>
          <cell r="AF734" t="str">
            <v>00</v>
          </cell>
          <cell r="AI734">
            <v>3988371</v>
          </cell>
          <cell r="AJ734">
            <v>2102868.61</v>
          </cell>
        </row>
        <row r="735">
          <cell r="A735" t="str">
            <v>02</v>
          </cell>
          <cell r="B735" t="str">
            <v>70</v>
          </cell>
          <cell r="C735" t="str">
            <v>1645</v>
          </cell>
          <cell r="D735" t="str">
            <v>Машина изоляционная</v>
          </cell>
          <cell r="E735" t="str">
            <v>ИМГ-820</v>
          </cell>
          <cell r="G735" t="str">
            <v>01</v>
          </cell>
          <cell r="H735">
            <v>4890</v>
          </cell>
          <cell r="I735">
            <v>0</v>
          </cell>
          <cell r="J735">
            <v>0</v>
          </cell>
          <cell r="K735">
            <v>0.99</v>
          </cell>
          <cell r="L735" t="str">
            <v>20</v>
          </cell>
          <cell r="M735" t="str">
            <v>43803</v>
          </cell>
          <cell r="N735" t="str">
            <v>14 2920000</v>
          </cell>
          <cell r="P735">
            <v>33.299999999999997</v>
          </cell>
          <cell r="Q735">
            <v>0</v>
          </cell>
          <cell r="R735" t="str">
            <v>1</v>
          </cell>
          <cell r="S735" t="str">
            <v>43</v>
          </cell>
          <cell r="T735">
            <v>96</v>
          </cell>
          <cell r="U735">
            <v>5</v>
          </cell>
          <cell r="V735">
            <v>96</v>
          </cell>
          <cell r="W735">
            <v>5</v>
          </cell>
          <cell r="X735">
            <v>96</v>
          </cell>
          <cell r="Y735">
            <v>0</v>
          </cell>
          <cell r="Z735">
            <v>0</v>
          </cell>
          <cell r="AB735" t="str">
            <v>14</v>
          </cell>
          <cell r="AC735">
            <v>3</v>
          </cell>
          <cell r="AD735" t="str">
            <v>0</v>
          </cell>
          <cell r="AE735" t="str">
            <v>0</v>
          </cell>
          <cell r="AF735" t="str">
            <v>00</v>
          </cell>
          <cell r="AI735">
            <v>4950000</v>
          </cell>
          <cell r="AJ735">
            <v>2609887.5</v>
          </cell>
        </row>
        <row r="736">
          <cell r="A736" t="str">
            <v>02</v>
          </cell>
          <cell r="B736" t="str">
            <v>15</v>
          </cell>
          <cell r="C736" t="str">
            <v>1646</v>
          </cell>
          <cell r="D736" t="str">
            <v>Гидравлическая устан</v>
          </cell>
          <cell r="E736" t="str">
            <v>овка ГУВД 70/63</v>
          </cell>
          <cell r="G736" t="str">
            <v>01</v>
          </cell>
          <cell r="H736">
            <v>102000</v>
          </cell>
          <cell r="I736">
            <v>0</v>
          </cell>
          <cell r="J736">
            <v>0</v>
          </cell>
          <cell r="K736">
            <v>1.01</v>
          </cell>
          <cell r="L736" t="str">
            <v>88/2</v>
          </cell>
          <cell r="M736" t="str">
            <v>43800</v>
          </cell>
          <cell r="N736" t="str">
            <v>14 2916340</v>
          </cell>
          <cell r="P736">
            <v>14.3</v>
          </cell>
          <cell r="Q736">
            <v>0</v>
          </cell>
          <cell r="R736" t="str">
            <v>1</v>
          </cell>
          <cell r="S736" t="str">
            <v>43</v>
          </cell>
          <cell r="T736">
            <v>95</v>
          </cell>
          <cell r="U736">
            <v>5</v>
          </cell>
          <cell r="V736">
            <v>96</v>
          </cell>
          <cell r="W736">
            <v>5</v>
          </cell>
          <cell r="X736">
            <v>96</v>
          </cell>
          <cell r="Y736">
            <v>0</v>
          </cell>
          <cell r="Z736">
            <v>0</v>
          </cell>
          <cell r="AB736" t="str">
            <v>14</v>
          </cell>
          <cell r="AC736">
            <v>10</v>
          </cell>
          <cell r="AD736" t="str">
            <v>0</v>
          </cell>
          <cell r="AE736" t="str">
            <v>0</v>
          </cell>
          <cell r="AF736" t="str">
            <v>00</v>
          </cell>
          <cell r="AI736">
            <v>100769922</v>
          </cell>
          <cell r="AJ736">
            <v>22815989.84</v>
          </cell>
        </row>
        <row r="737">
          <cell r="A737" t="str">
            <v>02</v>
          </cell>
          <cell r="B737" t="str">
            <v>03</v>
          </cell>
          <cell r="C737" t="str">
            <v>1649</v>
          </cell>
          <cell r="D737" t="str">
            <v>Устройство для врезк</v>
          </cell>
          <cell r="E737" t="str">
            <v>и отводов УВО-150</v>
          </cell>
          <cell r="G737" t="str">
            <v>01</v>
          </cell>
          <cell r="H737">
            <v>34600</v>
          </cell>
          <cell r="I737">
            <v>0</v>
          </cell>
          <cell r="J737">
            <v>0</v>
          </cell>
          <cell r="K737">
            <v>1.07</v>
          </cell>
          <cell r="L737" t="str">
            <v>26</v>
          </cell>
          <cell r="M737" t="str">
            <v>41000</v>
          </cell>
          <cell r="N737" t="str">
            <v>14 2894000</v>
          </cell>
          <cell r="P737">
            <v>5</v>
          </cell>
          <cell r="Q737">
            <v>0</v>
          </cell>
          <cell r="R737" t="str">
            <v>1</v>
          </cell>
          <cell r="S737" t="str">
            <v>41</v>
          </cell>
          <cell r="T737">
            <v>96</v>
          </cell>
          <cell r="U737">
            <v>5</v>
          </cell>
          <cell r="V737">
            <v>96</v>
          </cell>
          <cell r="W737">
            <v>5</v>
          </cell>
          <cell r="X737">
            <v>96</v>
          </cell>
          <cell r="Y737">
            <v>0</v>
          </cell>
          <cell r="Z737">
            <v>0</v>
          </cell>
          <cell r="AD737" t="str">
            <v>0</v>
          </cell>
          <cell r="AE737" t="str">
            <v>0</v>
          </cell>
          <cell r="AF737" t="str">
            <v>00</v>
          </cell>
          <cell r="AI737">
            <v>32284062</v>
          </cell>
          <cell r="AJ737">
            <v>2555821.5699999998</v>
          </cell>
        </row>
        <row r="738">
          <cell r="A738" t="str">
            <v>16</v>
          </cell>
          <cell r="B738" t="str">
            <v>06</v>
          </cell>
          <cell r="C738" t="str">
            <v>1647</v>
          </cell>
          <cell r="D738" t="str">
            <v>Щит ЩО-1-10</v>
          </cell>
          <cell r="G738" t="str">
            <v>01</v>
          </cell>
          <cell r="H738">
            <v>20937.5</v>
          </cell>
          <cell r="I738">
            <v>0</v>
          </cell>
          <cell r="J738">
            <v>25125</v>
          </cell>
          <cell r="K738">
            <v>1.04</v>
          </cell>
          <cell r="L738" t="str">
            <v>88/1</v>
          </cell>
          <cell r="M738" t="str">
            <v>40702</v>
          </cell>
          <cell r="N738" t="str">
            <v>14 3120390</v>
          </cell>
          <cell r="P738">
            <v>9.1</v>
          </cell>
          <cell r="Q738">
            <v>0</v>
          </cell>
          <cell r="R738" t="str">
            <v>1</v>
          </cell>
          <cell r="S738" t="str">
            <v>40</v>
          </cell>
          <cell r="T738">
            <v>96</v>
          </cell>
          <cell r="U738">
            <v>5</v>
          </cell>
          <cell r="V738">
            <v>96</v>
          </cell>
          <cell r="W738">
            <v>5</v>
          </cell>
          <cell r="X738">
            <v>96</v>
          </cell>
          <cell r="Y738">
            <v>6</v>
          </cell>
          <cell r="Z738">
            <v>96</v>
          </cell>
          <cell r="AB738" t="str">
            <v>14</v>
          </cell>
          <cell r="AC738">
            <v>2</v>
          </cell>
          <cell r="AD738" t="str">
            <v>0</v>
          </cell>
          <cell r="AE738" t="str">
            <v>1</v>
          </cell>
          <cell r="AF738" t="str">
            <v>16</v>
          </cell>
          <cell r="AI738">
            <v>24192007</v>
          </cell>
          <cell r="AJ738">
            <v>3455089.01</v>
          </cell>
        </row>
        <row r="739">
          <cell r="A739" t="str">
            <v>02</v>
          </cell>
          <cell r="B739" t="str">
            <v>80</v>
          </cell>
          <cell r="C739" t="str">
            <v>1650</v>
          </cell>
          <cell r="D739" t="str">
            <v>Стол S-135</v>
          </cell>
          <cell r="G739" t="str">
            <v>01</v>
          </cell>
          <cell r="H739">
            <v>664</v>
          </cell>
          <cell r="I739">
            <v>0</v>
          </cell>
          <cell r="J739">
            <v>0</v>
          </cell>
          <cell r="K739">
            <v>1</v>
          </cell>
          <cell r="L739" t="str">
            <v>26</v>
          </cell>
          <cell r="M739" t="str">
            <v>70003</v>
          </cell>
          <cell r="N739" t="str">
            <v>16 3612421</v>
          </cell>
          <cell r="P739">
            <v>10</v>
          </cell>
          <cell r="Q739">
            <v>0</v>
          </cell>
          <cell r="R739" t="str">
            <v>1</v>
          </cell>
          <cell r="S739" t="str">
            <v>70</v>
          </cell>
          <cell r="T739">
            <v>96</v>
          </cell>
          <cell r="U739">
            <v>5</v>
          </cell>
          <cell r="V739">
            <v>96</v>
          </cell>
          <cell r="W739">
            <v>5</v>
          </cell>
          <cell r="X739">
            <v>96</v>
          </cell>
          <cell r="Y739">
            <v>0</v>
          </cell>
          <cell r="Z739">
            <v>0</v>
          </cell>
          <cell r="AD739" t="str">
            <v>0</v>
          </cell>
          <cell r="AE739" t="str">
            <v>0</v>
          </cell>
          <cell r="AF739" t="str">
            <v>00</v>
          </cell>
          <cell r="AI739">
            <v>666667</v>
          </cell>
          <cell r="AJ739">
            <v>105555.61</v>
          </cell>
        </row>
        <row r="740">
          <cell r="A740" t="str">
            <v>02</v>
          </cell>
          <cell r="B740" t="str">
            <v>80</v>
          </cell>
          <cell r="C740" t="str">
            <v>1651</v>
          </cell>
          <cell r="D740" t="str">
            <v>Стол S-135</v>
          </cell>
          <cell r="G740" t="str">
            <v>01</v>
          </cell>
          <cell r="H740">
            <v>664</v>
          </cell>
          <cell r="I740">
            <v>0</v>
          </cell>
          <cell r="J740">
            <v>0</v>
          </cell>
          <cell r="K740">
            <v>1</v>
          </cell>
          <cell r="L740" t="str">
            <v>26</v>
          </cell>
          <cell r="M740" t="str">
            <v>70003</v>
          </cell>
          <cell r="N740" t="str">
            <v>16 3612421</v>
          </cell>
          <cell r="P740">
            <v>10</v>
          </cell>
          <cell r="Q740">
            <v>0</v>
          </cell>
          <cell r="R740" t="str">
            <v>1</v>
          </cell>
          <cell r="S740" t="str">
            <v>70</v>
          </cell>
          <cell r="T740">
            <v>96</v>
          </cell>
          <cell r="U740">
            <v>5</v>
          </cell>
          <cell r="V740">
            <v>96</v>
          </cell>
          <cell r="W740">
            <v>5</v>
          </cell>
          <cell r="X740">
            <v>96</v>
          </cell>
          <cell r="Y740">
            <v>0</v>
          </cell>
          <cell r="Z740">
            <v>0</v>
          </cell>
          <cell r="AD740" t="str">
            <v>0</v>
          </cell>
          <cell r="AE740" t="str">
            <v>0</v>
          </cell>
          <cell r="AF740" t="str">
            <v>00</v>
          </cell>
          <cell r="AI740">
            <v>666667</v>
          </cell>
          <cell r="AJ740">
            <v>105555.61</v>
          </cell>
        </row>
        <row r="741">
          <cell r="A741" t="str">
            <v>02</v>
          </cell>
          <cell r="B741" t="str">
            <v>80</v>
          </cell>
          <cell r="C741" t="str">
            <v>1652</v>
          </cell>
          <cell r="D741" t="str">
            <v>Тумба</v>
          </cell>
          <cell r="G741" t="str">
            <v>01</v>
          </cell>
          <cell r="H741">
            <v>512</v>
          </cell>
          <cell r="I741">
            <v>0</v>
          </cell>
          <cell r="J741">
            <v>0</v>
          </cell>
          <cell r="K741">
            <v>0.65</v>
          </cell>
          <cell r="L741" t="str">
            <v>26</v>
          </cell>
          <cell r="M741" t="str">
            <v>70003</v>
          </cell>
          <cell r="N741" t="str">
            <v>16 3612461</v>
          </cell>
          <cell r="P741">
            <v>10</v>
          </cell>
          <cell r="Q741">
            <v>0</v>
          </cell>
          <cell r="R741" t="str">
            <v>1</v>
          </cell>
          <cell r="S741" t="str">
            <v>70</v>
          </cell>
          <cell r="T741">
            <v>96</v>
          </cell>
          <cell r="U741">
            <v>5</v>
          </cell>
          <cell r="V741">
            <v>96</v>
          </cell>
          <cell r="W741">
            <v>5</v>
          </cell>
          <cell r="X741">
            <v>96</v>
          </cell>
          <cell r="Y741">
            <v>0</v>
          </cell>
          <cell r="Z741">
            <v>0</v>
          </cell>
          <cell r="AD741" t="str">
            <v>0</v>
          </cell>
          <cell r="AE741" t="str">
            <v>0</v>
          </cell>
          <cell r="AF741" t="str">
            <v>00</v>
          </cell>
          <cell r="AI741">
            <v>791666</v>
          </cell>
          <cell r="AJ741">
            <v>125347.12</v>
          </cell>
        </row>
        <row r="742">
          <cell r="A742" t="str">
            <v>02</v>
          </cell>
          <cell r="B742" t="str">
            <v>80</v>
          </cell>
          <cell r="C742" t="str">
            <v>1653</v>
          </cell>
          <cell r="D742" t="str">
            <v>Тумба</v>
          </cell>
          <cell r="G742" t="str">
            <v>01</v>
          </cell>
          <cell r="H742">
            <v>512</v>
          </cell>
          <cell r="I742">
            <v>0</v>
          </cell>
          <cell r="J742">
            <v>0</v>
          </cell>
          <cell r="K742">
            <v>0.65</v>
          </cell>
          <cell r="L742" t="str">
            <v>26</v>
          </cell>
          <cell r="M742" t="str">
            <v>70003</v>
          </cell>
          <cell r="N742" t="str">
            <v>16 3612461</v>
          </cell>
          <cell r="P742">
            <v>10</v>
          </cell>
          <cell r="Q742">
            <v>0</v>
          </cell>
          <cell r="R742" t="str">
            <v>1</v>
          </cell>
          <cell r="S742" t="str">
            <v>70</v>
          </cell>
          <cell r="T742">
            <v>96</v>
          </cell>
          <cell r="U742">
            <v>5</v>
          </cell>
          <cell r="V742">
            <v>96</v>
          </cell>
          <cell r="W742">
            <v>5</v>
          </cell>
          <cell r="X742">
            <v>96</v>
          </cell>
          <cell r="Y742">
            <v>0</v>
          </cell>
          <cell r="Z742">
            <v>0</v>
          </cell>
          <cell r="AD742" t="str">
            <v>0</v>
          </cell>
          <cell r="AE742" t="str">
            <v>0</v>
          </cell>
          <cell r="AF742" t="str">
            <v>00</v>
          </cell>
          <cell r="AI742">
            <v>791666</v>
          </cell>
          <cell r="AJ742">
            <v>125347.12</v>
          </cell>
        </row>
        <row r="743">
          <cell r="A743" t="str">
            <v>02</v>
          </cell>
          <cell r="B743" t="str">
            <v>80</v>
          </cell>
          <cell r="C743" t="str">
            <v>1654</v>
          </cell>
          <cell r="D743" t="str">
            <v>Стеллаж S-135</v>
          </cell>
          <cell r="G743" t="str">
            <v>01</v>
          </cell>
          <cell r="H743">
            <v>833.33</v>
          </cell>
          <cell r="I743">
            <v>0</v>
          </cell>
          <cell r="J743">
            <v>0</v>
          </cell>
          <cell r="K743">
            <v>1</v>
          </cell>
          <cell r="L743" t="str">
            <v>26</v>
          </cell>
          <cell r="M743" t="str">
            <v>70003</v>
          </cell>
          <cell r="N743" t="str">
            <v>16 3612431</v>
          </cell>
          <cell r="P743">
            <v>10</v>
          </cell>
          <cell r="Q743">
            <v>0</v>
          </cell>
          <cell r="R743" t="str">
            <v>1</v>
          </cell>
          <cell r="S743" t="str">
            <v>70</v>
          </cell>
          <cell r="T743">
            <v>96</v>
          </cell>
          <cell r="U743">
            <v>5</v>
          </cell>
          <cell r="V743">
            <v>96</v>
          </cell>
          <cell r="W743">
            <v>5</v>
          </cell>
          <cell r="X743">
            <v>96</v>
          </cell>
          <cell r="Y743">
            <v>0</v>
          </cell>
          <cell r="Z743">
            <v>0</v>
          </cell>
          <cell r="AD743" t="str">
            <v>0</v>
          </cell>
          <cell r="AE743" t="str">
            <v>0</v>
          </cell>
          <cell r="AF743" t="str">
            <v>00</v>
          </cell>
          <cell r="AI743">
            <v>833333</v>
          </cell>
          <cell r="AJ743">
            <v>131944.39000000001</v>
          </cell>
        </row>
        <row r="744">
          <cell r="A744" t="str">
            <v>02</v>
          </cell>
          <cell r="B744" t="str">
            <v>80</v>
          </cell>
          <cell r="C744" t="str">
            <v>1655</v>
          </cell>
          <cell r="D744" t="str">
            <v>Стеллаж S-135</v>
          </cell>
          <cell r="G744" t="str">
            <v>01</v>
          </cell>
          <cell r="H744">
            <v>833.33</v>
          </cell>
          <cell r="I744">
            <v>0</v>
          </cell>
          <cell r="J744">
            <v>0</v>
          </cell>
          <cell r="K744">
            <v>1</v>
          </cell>
          <cell r="L744" t="str">
            <v>26</v>
          </cell>
          <cell r="M744" t="str">
            <v>70003</v>
          </cell>
          <cell r="N744" t="str">
            <v>16 3612431</v>
          </cell>
          <cell r="P744">
            <v>10</v>
          </cell>
          <cell r="Q744">
            <v>0</v>
          </cell>
          <cell r="R744" t="str">
            <v>1</v>
          </cell>
          <cell r="S744" t="str">
            <v>70</v>
          </cell>
          <cell r="T744">
            <v>96</v>
          </cell>
          <cell r="U744">
            <v>5</v>
          </cell>
          <cell r="V744">
            <v>96</v>
          </cell>
          <cell r="W744">
            <v>5</v>
          </cell>
          <cell r="X744">
            <v>96</v>
          </cell>
          <cell r="Y744">
            <v>0</v>
          </cell>
          <cell r="Z744">
            <v>0</v>
          </cell>
          <cell r="AD744" t="str">
            <v>0</v>
          </cell>
          <cell r="AE744" t="str">
            <v>0</v>
          </cell>
          <cell r="AF744" t="str">
            <v>00</v>
          </cell>
          <cell r="AI744">
            <v>833333</v>
          </cell>
          <cell r="AJ744">
            <v>131944.39000000001</v>
          </cell>
        </row>
        <row r="745">
          <cell r="A745" t="str">
            <v>02</v>
          </cell>
          <cell r="B745" t="str">
            <v>80</v>
          </cell>
          <cell r="C745" t="str">
            <v>1656</v>
          </cell>
          <cell r="D745" t="str">
            <v>Шкаф с цоколем</v>
          </cell>
          <cell r="G745" t="str">
            <v>01</v>
          </cell>
          <cell r="H745">
            <v>1175</v>
          </cell>
          <cell r="I745">
            <v>0</v>
          </cell>
          <cell r="J745">
            <v>0</v>
          </cell>
          <cell r="K745">
            <v>1</v>
          </cell>
          <cell r="L745" t="str">
            <v>26</v>
          </cell>
          <cell r="M745" t="str">
            <v>70003</v>
          </cell>
          <cell r="N745" t="str">
            <v>16 3612430</v>
          </cell>
          <cell r="P745">
            <v>10</v>
          </cell>
          <cell r="Q745">
            <v>0</v>
          </cell>
          <cell r="R745" t="str">
            <v>1</v>
          </cell>
          <cell r="S745" t="str">
            <v>70</v>
          </cell>
          <cell r="T745">
            <v>96</v>
          </cell>
          <cell r="U745">
            <v>5</v>
          </cell>
          <cell r="V745">
            <v>96</v>
          </cell>
          <cell r="W745">
            <v>5</v>
          </cell>
          <cell r="X745">
            <v>96</v>
          </cell>
          <cell r="Y745">
            <v>0</v>
          </cell>
          <cell r="Z745">
            <v>0</v>
          </cell>
          <cell r="AD745" t="str">
            <v>0</v>
          </cell>
          <cell r="AE745" t="str">
            <v>0</v>
          </cell>
          <cell r="AF745" t="str">
            <v>00</v>
          </cell>
          <cell r="AI745">
            <v>1174999</v>
          </cell>
          <cell r="AJ745">
            <v>186041.51</v>
          </cell>
        </row>
        <row r="746">
          <cell r="A746" t="str">
            <v>02</v>
          </cell>
          <cell r="B746" t="str">
            <v>23</v>
          </cell>
          <cell r="C746" t="str">
            <v>1660</v>
          </cell>
          <cell r="D746" t="str">
            <v>Источник бесперебойн</v>
          </cell>
          <cell r="E746" t="str">
            <v>ого питания BACK=UPS</v>
          </cell>
          <cell r="F746" t="str">
            <v>-250 APS    Америка</v>
          </cell>
          <cell r="G746" t="str">
            <v>01</v>
          </cell>
          <cell r="H746">
            <v>778.82</v>
          </cell>
          <cell r="I746">
            <v>0</v>
          </cell>
          <cell r="J746">
            <v>0</v>
          </cell>
          <cell r="K746">
            <v>0.26</v>
          </cell>
          <cell r="L746" t="str">
            <v>23</v>
          </cell>
          <cell r="M746" t="str">
            <v>48003</v>
          </cell>
          <cell r="N746" t="str">
            <v>22 0000000</v>
          </cell>
          <cell r="P746">
            <v>11.1</v>
          </cell>
          <cell r="Q746">
            <v>0</v>
          </cell>
          <cell r="R746" t="str">
            <v>1</v>
          </cell>
          <cell r="S746" t="str">
            <v>48</v>
          </cell>
          <cell r="T746">
            <v>96</v>
          </cell>
          <cell r="U746">
            <v>5</v>
          </cell>
          <cell r="V746">
            <v>96</v>
          </cell>
          <cell r="W746">
            <v>5</v>
          </cell>
          <cell r="X746">
            <v>96</v>
          </cell>
          <cell r="Y746">
            <v>0</v>
          </cell>
          <cell r="Z746">
            <v>0</v>
          </cell>
          <cell r="AB746" t="str">
            <v>14</v>
          </cell>
          <cell r="AC746">
            <v>8</v>
          </cell>
          <cell r="AD746" t="str">
            <v>0</v>
          </cell>
          <cell r="AE746" t="str">
            <v>0</v>
          </cell>
          <cell r="AF746" t="str">
            <v>00</v>
          </cell>
          <cell r="AI746">
            <v>3000000</v>
          </cell>
          <cell r="AJ746">
            <v>527250</v>
          </cell>
        </row>
        <row r="747">
          <cell r="A747" t="str">
            <v>02</v>
          </cell>
          <cell r="B747" t="str">
            <v>80</v>
          </cell>
          <cell r="C747" t="str">
            <v>1661</v>
          </cell>
          <cell r="D747" t="str">
            <v>Компьютер Pentum 90/</v>
          </cell>
          <cell r="E747" t="str">
            <v>16 c принтером EPSON</v>
          </cell>
          <cell r="F747" t="str">
            <v>-1050</v>
          </cell>
          <cell r="G747" t="str">
            <v>01</v>
          </cell>
          <cell r="H747">
            <v>6580.9</v>
          </cell>
          <cell r="I747">
            <v>0</v>
          </cell>
          <cell r="J747">
            <v>15259.3</v>
          </cell>
          <cell r="K747">
            <v>0.45</v>
          </cell>
          <cell r="L747" t="str">
            <v>26</v>
          </cell>
          <cell r="M747" t="str">
            <v>48008</v>
          </cell>
          <cell r="N747" t="str">
            <v>14 3020203</v>
          </cell>
          <cell r="P747">
            <v>10</v>
          </cell>
          <cell r="Q747">
            <v>0</v>
          </cell>
          <cell r="R747" t="str">
            <v>1</v>
          </cell>
          <cell r="S747" t="str">
            <v>48</v>
          </cell>
          <cell r="T747">
            <v>96</v>
          </cell>
          <cell r="U747">
            <v>5</v>
          </cell>
          <cell r="V747">
            <v>96</v>
          </cell>
          <cell r="W747">
            <v>5</v>
          </cell>
          <cell r="X747">
            <v>96</v>
          </cell>
          <cell r="Y747">
            <v>6</v>
          </cell>
          <cell r="Z747">
            <v>99</v>
          </cell>
          <cell r="AD747" t="str">
            <v>0</v>
          </cell>
          <cell r="AE747" t="str">
            <v>0</v>
          </cell>
          <cell r="AF747" t="str">
            <v>00</v>
          </cell>
          <cell r="AI747">
            <v>11000000</v>
          </cell>
          <cell r="AJ747">
            <v>1741666.67</v>
          </cell>
        </row>
        <row r="748">
          <cell r="A748" t="str">
            <v>02</v>
          </cell>
          <cell r="B748" t="str">
            <v>80</v>
          </cell>
          <cell r="C748" t="str">
            <v>1662</v>
          </cell>
          <cell r="D748" t="str">
            <v>Компьютер 486 ДХ2-66</v>
          </cell>
          <cell r="E748" t="str">
            <v>1 4-1208SVQA c принт</v>
          </cell>
          <cell r="F748" t="str">
            <v>ером EPSON LX-300</v>
          </cell>
          <cell r="G748" t="str">
            <v>01</v>
          </cell>
          <cell r="H748">
            <v>4090</v>
          </cell>
          <cell r="I748">
            <v>0</v>
          </cell>
          <cell r="J748">
            <v>0</v>
          </cell>
          <cell r="K748">
            <v>0.46</v>
          </cell>
          <cell r="L748" t="str">
            <v>26</v>
          </cell>
          <cell r="M748" t="str">
            <v>48008</v>
          </cell>
          <cell r="N748" t="str">
            <v>14 3020203</v>
          </cell>
          <cell r="P748">
            <v>10</v>
          </cell>
          <cell r="Q748">
            <v>0</v>
          </cell>
          <cell r="R748" t="str">
            <v>1</v>
          </cell>
          <cell r="S748" t="str">
            <v>48</v>
          </cell>
          <cell r="T748">
            <v>96</v>
          </cell>
          <cell r="U748">
            <v>5</v>
          </cell>
          <cell r="V748">
            <v>96</v>
          </cell>
          <cell r="W748">
            <v>5</v>
          </cell>
          <cell r="X748">
            <v>96</v>
          </cell>
          <cell r="Y748">
            <v>0</v>
          </cell>
          <cell r="Z748">
            <v>0</v>
          </cell>
          <cell r="AD748" t="str">
            <v>0</v>
          </cell>
          <cell r="AE748" t="str">
            <v>0</v>
          </cell>
          <cell r="AF748" t="str">
            <v>00</v>
          </cell>
          <cell r="AI748">
            <v>7000000</v>
          </cell>
          <cell r="AJ748">
            <v>1108333.33</v>
          </cell>
        </row>
        <row r="749">
          <cell r="A749" t="str">
            <v>02</v>
          </cell>
          <cell r="B749" t="str">
            <v>80</v>
          </cell>
          <cell r="C749" t="str">
            <v>1663</v>
          </cell>
          <cell r="D749" t="str">
            <v>Компьютер 486 ДЧ2-66</v>
          </cell>
          <cell r="E749" t="str">
            <v>1 4-120/SVQA c принт</v>
          </cell>
          <cell r="F749" t="str">
            <v>ером EPSON LX-300</v>
          </cell>
          <cell r="G749" t="str">
            <v>01</v>
          </cell>
          <cell r="H749">
            <v>4090</v>
          </cell>
          <cell r="I749">
            <v>0</v>
          </cell>
          <cell r="J749">
            <v>8418.4</v>
          </cell>
          <cell r="K749">
            <v>0.46</v>
          </cell>
          <cell r="L749" t="str">
            <v>26</v>
          </cell>
          <cell r="M749" t="str">
            <v>48008</v>
          </cell>
          <cell r="N749" t="str">
            <v>14 3020203</v>
          </cell>
          <cell r="P749">
            <v>10</v>
          </cell>
          <cell r="Q749">
            <v>0</v>
          </cell>
          <cell r="R749" t="str">
            <v>1</v>
          </cell>
          <cell r="S749" t="str">
            <v>48</v>
          </cell>
          <cell r="T749">
            <v>96</v>
          </cell>
          <cell r="U749">
            <v>5</v>
          </cell>
          <cell r="V749">
            <v>96</v>
          </cell>
          <cell r="W749">
            <v>5</v>
          </cell>
          <cell r="X749">
            <v>96</v>
          </cell>
          <cell r="Y749">
            <v>6</v>
          </cell>
          <cell r="Z749">
            <v>99</v>
          </cell>
          <cell r="AD749" t="str">
            <v>0</v>
          </cell>
          <cell r="AE749" t="str">
            <v>0</v>
          </cell>
          <cell r="AF749" t="str">
            <v>00</v>
          </cell>
          <cell r="AI749">
            <v>7000000</v>
          </cell>
          <cell r="AJ749">
            <v>1108333.33</v>
          </cell>
        </row>
        <row r="750">
          <cell r="A750" t="str">
            <v>02</v>
          </cell>
          <cell r="B750" t="str">
            <v>80</v>
          </cell>
          <cell r="C750" t="str">
            <v>1664</v>
          </cell>
          <cell r="D750" t="str">
            <v>Факс Panasonic 390В</v>
          </cell>
          <cell r="G750" t="str">
            <v>01</v>
          </cell>
          <cell r="H750">
            <v>4173</v>
          </cell>
          <cell r="I750">
            <v>0</v>
          </cell>
          <cell r="J750">
            <v>0</v>
          </cell>
          <cell r="K750">
            <v>0.83</v>
          </cell>
          <cell r="L750" t="str">
            <v>26</v>
          </cell>
          <cell r="M750" t="str">
            <v>45613</v>
          </cell>
          <cell r="N750" t="str">
            <v>14 3222146</v>
          </cell>
          <cell r="P750">
            <v>7.4</v>
          </cell>
          <cell r="Q750">
            <v>0</v>
          </cell>
          <cell r="R750" t="str">
            <v>1</v>
          </cell>
          <cell r="S750" t="str">
            <v>48</v>
          </cell>
          <cell r="T750">
            <v>96</v>
          </cell>
          <cell r="U750">
            <v>5</v>
          </cell>
          <cell r="V750">
            <v>96</v>
          </cell>
          <cell r="W750">
            <v>5</v>
          </cell>
          <cell r="X750">
            <v>96</v>
          </cell>
          <cell r="Y750">
            <v>0</v>
          </cell>
          <cell r="Z750">
            <v>0</v>
          </cell>
          <cell r="AD750" t="str">
            <v>0</v>
          </cell>
          <cell r="AE750" t="str">
            <v>0</v>
          </cell>
          <cell r="AF750" t="str">
            <v>00</v>
          </cell>
          <cell r="AI750">
            <v>5000000</v>
          </cell>
          <cell r="AJ750">
            <v>585833.32999999996</v>
          </cell>
        </row>
        <row r="751">
          <cell r="A751" t="str">
            <v>02</v>
          </cell>
          <cell r="B751" t="str">
            <v>02</v>
          </cell>
          <cell r="C751" t="str">
            <v>1669</v>
          </cell>
          <cell r="D751" t="str">
            <v>Вагон "Кедр-4" пере-</v>
          </cell>
          <cell r="E751" t="str">
            <v>движной деревометалл</v>
          </cell>
          <cell r="F751" t="str">
            <v>ический</v>
          </cell>
          <cell r="G751" t="str">
            <v>01</v>
          </cell>
          <cell r="H751">
            <v>85000</v>
          </cell>
          <cell r="I751">
            <v>0</v>
          </cell>
          <cell r="J751">
            <v>0</v>
          </cell>
          <cell r="K751">
            <v>1</v>
          </cell>
          <cell r="L751" t="str">
            <v>20</v>
          </cell>
          <cell r="M751" t="str">
            <v>10010</v>
          </cell>
          <cell r="N751" t="str">
            <v>13 2022261</v>
          </cell>
          <cell r="P751">
            <v>12.5</v>
          </cell>
          <cell r="Q751">
            <v>0</v>
          </cell>
          <cell r="R751" t="str">
            <v>1</v>
          </cell>
          <cell r="S751" t="str">
            <v>10</v>
          </cell>
          <cell r="T751">
            <v>96</v>
          </cell>
          <cell r="U751">
            <v>6</v>
          </cell>
          <cell r="V751">
            <v>96</v>
          </cell>
          <cell r="W751">
            <v>6</v>
          </cell>
          <cell r="X751">
            <v>96</v>
          </cell>
          <cell r="Y751">
            <v>0</v>
          </cell>
          <cell r="Z751">
            <v>0</v>
          </cell>
          <cell r="AD751" t="str">
            <v>0</v>
          </cell>
          <cell r="AE751" t="str">
            <v>0</v>
          </cell>
          <cell r="AF751" t="str">
            <v>00</v>
          </cell>
          <cell r="AI751">
            <v>85000000</v>
          </cell>
          <cell r="AJ751">
            <v>15937500</v>
          </cell>
        </row>
        <row r="752">
          <cell r="A752" t="str">
            <v>02</v>
          </cell>
          <cell r="B752" t="str">
            <v>99</v>
          </cell>
          <cell r="C752" t="str">
            <v>1670</v>
          </cell>
          <cell r="D752" t="str">
            <v>Вагон "Кедр-4" перед</v>
          </cell>
          <cell r="E752" t="str">
            <v>вижной деревометалли</v>
          </cell>
          <cell r="F752" t="str">
            <v>ческий</v>
          </cell>
          <cell r="G752" t="str">
            <v>01</v>
          </cell>
          <cell r="H752">
            <v>85000</v>
          </cell>
          <cell r="I752">
            <v>0</v>
          </cell>
          <cell r="J752">
            <v>0</v>
          </cell>
          <cell r="K752">
            <v>1</v>
          </cell>
          <cell r="L752" t="str">
            <v>20</v>
          </cell>
          <cell r="M752" t="str">
            <v>10010</v>
          </cell>
          <cell r="N752" t="str">
            <v>13 2022261</v>
          </cell>
          <cell r="P752">
            <v>12.5</v>
          </cell>
          <cell r="Q752">
            <v>0</v>
          </cell>
          <cell r="R752" t="str">
            <v>1</v>
          </cell>
          <cell r="S752" t="str">
            <v>10</v>
          </cell>
          <cell r="T752">
            <v>96</v>
          </cell>
          <cell r="U752">
            <v>6</v>
          </cell>
          <cell r="V752">
            <v>96</v>
          </cell>
          <cell r="W752">
            <v>6</v>
          </cell>
          <cell r="X752">
            <v>96</v>
          </cell>
          <cell r="Y752">
            <v>0</v>
          </cell>
          <cell r="Z752">
            <v>0</v>
          </cell>
          <cell r="AB752" t="str">
            <v>14</v>
          </cell>
          <cell r="AC752">
            <v>3</v>
          </cell>
          <cell r="AD752" t="str">
            <v>0</v>
          </cell>
          <cell r="AE752" t="str">
            <v>0</v>
          </cell>
          <cell r="AF752" t="str">
            <v>00</v>
          </cell>
          <cell r="AI752">
            <v>85000000</v>
          </cell>
          <cell r="AJ752">
            <v>15937500</v>
          </cell>
        </row>
        <row r="753">
          <cell r="A753" t="str">
            <v>02</v>
          </cell>
          <cell r="B753" t="str">
            <v>02</v>
          </cell>
          <cell r="C753" t="str">
            <v>1671</v>
          </cell>
          <cell r="D753" t="str">
            <v>Вагон "Кедр-4" перед</v>
          </cell>
          <cell r="E753" t="str">
            <v>вижной деревометалли</v>
          </cell>
          <cell r="F753" t="str">
            <v>ческий</v>
          </cell>
          <cell r="G753" t="str">
            <v>01</v>
          </cell>
          <cell r="H753">
            <v>85000</v>
          </cell>
          <cell r="I753">
            <v>0</v>
          </cell>
          <cell r="J753">
            <v>0</v>
          </cell>
          <cell r="K753">
            <v>1</v>
          </cell>
          <cell r="L753" t="str">
            <v>20</v>
          </cell>
          <cell r="M753" t="str">
            <v>10010</v>
          </cell>
          <cell r="N753" t="str">
            <v>13 2022261</v>
          </cell>
          <cell r="P753">
            <v>12.5</v>
          </cell>
          <cell r="Q753">
            <v>0</v>
          </cell>
          <cell r="R753" t="str">
            <v>1</v>
          </cell>
          <cell r="S753" t="str">
            <v>10</v>
          </cell>
          <cell r="T753">
            <v>96</v>
          </cell>
          <cell r="U753">
            <v>6</v>
          </cell>
          <cell r="V753">
            <v>96</v>
          </cell>
          <cell r="W753">
            <v>6</v>
          </cell>
          <cell r="X753">
            <v>96</v>
          </cell>
          <cell r="Y753">
            <v>0</v>
          </cell>
          <cell r="Z753">
            <v>0</v>
          </cell>
          <cell r="AD753" t="str">
            <v>0</v>
          </cell>
          <cell r="AE753" t="str">
            <v>0</v>
          </cell>
          <cell r="AF753" t="str">
            <v>00</v>
          </cell>
          <cell r="AI753">
            <v>85000000</v>
          </cell>
          <cell r="AJ753">
            <v>15937500</v>
          </cell>
        </row>
        <row r="754">
          <cell r="A754" t="str">
            <v>02</v>
          </cell>
          <cell r="B754" t="str">
            <v>99</v>
          </cell>
          <cell r="C754" t="str">
            <v>1272</v>
          </cell>
          <cell r="D754" t="str">
            <v>Вагон "Кедр-4" перед</v>
          </cell>
          <cell r="E754" t="str">
            <v>вижной деревометалли</v>
          </cell>
          <cell r="F754" t="str">
            <v>ческий</v>
          </cell>
          <cell r="G754" t="str">
            <v>01</v>
          </cell>
          <cell r="H754">
            <v>85000</v>
          </cell>
          <cell r="I754">
            <v>0</v>
          </cell>
          <cell r="J754">
            <v>0</v>
          </cell>
          <cell r="K754">
            <v>1</v>
          </cell>
          <cell r="L754" t="str">
            <v>20</v>
          </cell>
          <cell r="M754" t="str">
            <v>10010</v>
          </cell>
          <cell r="N754" t="str">
            <v>13 2022261</v>
          </cell>
          <cell r="P754">
            <v>12.5</v>
          </cell>
          <cell r="Q754">
            <v>0</v>
          </cell>
          <cell r="R754" t="str">
            <v>1</v>
          </cell>
          <cell r="S754" t="str">
            <v>10</v>
          </cell>
          <cell r="T754">
            <v>96</v>
          </cell>
          <cell r="U754">
            <v>6</v>
          </cell>
          <cell r="V754">
            <v>96</v>
          </cell>
          <cell r="W754">
            <v>6</v>
          </cell>
          <cell r="X754">
            <v>96</v>
          </cell>
          <cell r="Y754">
            <v>0</v>
          </cell>
          <cell r="Z754">
            <v>0</v>
          </cell>
          <cell r="AB754" t="str">
            <v>14</v>
          </cell>
          <cell r="AC754">
            <v>3</v>
          </cell>
          <cell r="AD754" t="str">
            <v>0</v>
          </cell>
          <cell r="AE754" t="str">
            <v>0</v>
          </cell>
          <cell r="AF754" t="str">
            <v>00</v>
          </cell>
          <cell r="AI754">
            <v>85000000</v>
          </cell>
          <cell r="AJ754">
            <v>15937500</v>
          </cell>
        </row>
        <row r="755">
          <cell r="A755" t="str">
            <v>02</v>
          </cell>
          <cell r="B755" t="str">
            <v>02</v>
          </cell>
          <cell r="C755" t="str">
            <v>1673</v>
          </cell>
          <cell r="D755" t="str">
            <v>Машина для очистки и</v>
          </cell>
          <cell r="E755" t="str">
            <v xml:space="preserve"> изоляции трубопрово</v>
          </cell>
          <cell r="F755" t="str">
            <v>дов g1220мм комбайн</v>
          </cell>
          <cell r="G755" t="str">
            <v>01</v>
          </cell>
          <cell r="H755">
            <v>270000</v>
          </cell>
          <cell r="I755">
            <v>0</v>
          </cell>
          <cell r="J755">
            <v>0</v>
          </cell>
          <cell r="K755">
            <v>1.01</v>
          </cell>
          <cell r="L755" t="str">
            <v>20</v>
          </cell>
          <cell r="M755" t="str">
            <v>43803</v>
          </cell>
          <cell r="N755" t="str">
            <v>14 2947195</v>
          </cell>
          <cell r="P755">
            <v>33.299999999999997</v>
          </cell>
          <cell r="Q755">
            <v>0</v>
          </cell>
          <cell r="R755" t="str">
            <v>1</v>
          </cell>
          <cell r="S755" t="str">
            <v>43</v>
          </cell>
          <cell r="T755">
            <v>96</v>
          </cell>
          <cell r="U755">
            <v>6</v>
          </cell>
          <cell r="V755">
            <v>96</v>
          </cell>
          <cell r="W755">
            <v>6</v>
          </cell>
          <cell r="X755">
            <v>96</v>
          </cell>
          <cell r="Y755">
            <v>0</v>
          </cell>
          <cell r="Z755">
            <v>0</v>
          </cell>
          <cell r="AD755" t="str">
            <v>0</v>
          </cell>
          <cell r="AE755" t="str">
            <v>0</v>
          </cell>
          <cell r="AF755" t="str">
            <v>00</v>
          </cell>
          <cell r="AI755">
            <v>267424000</v>
          </cell>
          <cell r="AJ755">
            <v>133578288</v>
          </cell>
        </row>
        <row r="756">
          <cell r="A756" t="str">
            <v>02</v>
          </cell>
          <cell r="B756" t="str">
            <v>23</v>
          </cell>
          <cell r="C756" t="str">
            <v>1674</v>
          </cell>
          <cell r="D756" t="str">
            <v>П/прицеп ОДАЗ-9370</v>
          </cell>
          <cell r="E756" t="str">
            <v>14 тн. N АА36-24</v>
          </cell>
          <cell r="F756" t="str">
            <v>ш0294958</v>
          </cell>
          <cell r="G756" t="str">
            <v>01</v>
          </cell>
          <cell r="H756">
            <v>0</v>
          </cell>
          <cell r="I756">
            <v>0</v>
          </cell>
          <cell r="J756">
            <v>0</v>
          </cell>
          <cell r="L756" t="str">
            <v>23</v>
          </cell>
          <cell r="M756" t="str">
            <v>50411</v>
          </cell>
          <cell r="N756" t="str">
            <v>15 3420201</v>
          </cell>
          <cell r="P756">
            <v>10</v>
          </cell>
          <cell r="Q756">
            <v>0</v>
          </cell>
          <cell r="R756" t="str">
            <v>1</v>
          </cell>
          <cell r="S756" t="str">
            <v>50</v>
          </cell>
          <cell r="T756">
            <v>93</v>
          </cell>
          <cell r="U756">
            <v>6</v>
          </cell>
          <cell r="V756">
            <v>96</v>
          </cell>
          <cell r="W756">
            <v>6</v>
          </cell>
          <cell r="X756">
            <v>96</v>
          </cell>
          <cell r="Y756">
            <v>0</v>
          </cell>
          <cell r="Z756">
            <v>0</v>
          </cell>
          <cell r="AA756" t="str">
            <v>1</v>
          </cell>
          <cell r="AB756" t="str">
            <v>15</v>
          </cell>
          <cell r="AC756">
            <v>5</v>
          </cell>
          <cell r="AD756" t="str">
            <v>0</v>
          </cell>
          <cell r="AE756" t="str">
            <v>0</v>
          </cell>
          <cell r="AF756" t="str">
            <v>00</v>
          </cell>
          <cell r="AI756">
            <v>0</v>
          </cell>
          <cell r="AJ756">
            <v>0</v>
          </cell>
        </row>
        <row r="757">
          <cell r="A757" t="str">
            <v>02</v>
          </cell>
          <cell r="B757" t="str">
            <v>23</v>
          </cell>
          <cell r="C757" t="str">
            <v>1675</v>
          </cell>
          <cell r="D757" t="str">
            <v>П/прицеп ОДАЗ-9370</v>
          </cell>
          <cell r="E757" t="str">
            <v>14 тн. NАА36-23</v>
          </cell>
          <cell r="F757" t="str">
            <v>ш0294963</v>
          </cell>
          <cell r="G757" t="str">
            <v>01</v>
          </cell>
          <cell r="H757">
            <v>0</v>
          </cell>
          <cell r="I757">
            <v>0</v>
          </cell>
          <cell r="J757">
            <v>0</v>
          </cell>
          <cell r="L757" t="str">
            <v>23</v>
          </cell>
          <cell r="M757" t="str">
            <v>50411</v>
          </cell>
          <cell r="N757" t="str">
            <v>15 3420201</v>
          </cell>
          <cell r="P757">
            <v>10</v>
          </cell>
          <cell r="Q757">
            <v>0</v>
          </cell>
          <cell r="R757" t="str">
            <v>1</v>
          </cell>
          <cell r="S757" t="str">
            <v>50</v>
          </cell>
          <cell r="T757">
            <v>93</v>
          </cell>
          <cell r="U757">
            <v>6</v>
          </cell>
          <cell r="V757">
            <v>96</v>
          </cell>
          <cell r="W757">
            <v>6</v>
          </cell>
          <cell r="X757">
            <v>96</v>
          </cell>
          <cell r="Y757">
            <v>0</v>
          </cell>
          <cell r="Z757">
            <v>0</v>
          </cell>
          <cell r="AD757" t="str">
            <v>0</v>
          </cell>
          <cell r="AE757" t="str">
            <v>0</v>
          </cell>
          <cell r="AF757" t="str">
            <v>00</v>
          </cell>
          <cell r="AI757">
            <v>0</v>
          </cell>
          <cell r="AJ757">
            <v>0</v>
          </cell>
        </row>
        <row r="758">
          <cell r="A758" t="str">
            <v>02</v>
          </cell>
          <cell r="B758" t="str">
            <v>23</v>
          </cell>
          <cell r="C758" t="str">
            <v>1666</v>
          </cell>
          <cell r="D758" t="str">
            <v>Радиотелефон в а/м</v>
          </cell>
          <cell r="E758" t="str">
            <v>Volvo</v>
          </cell>
          <cell r="G758" t="str">
            <v>01</v>
          </cell>
          <cell r="H758">
            <v>2556</v>
          </cell>
          <cell r="I758">
            <v>0</v>
          </cell>
          <cell r="J758">
            <v>0</v>
          </cell>
          <cell r="K758">
            <v>0.2</v>
          </cell>
          <cell r="L758" t="str">
            <v>23</v>
          </cell>
          <cell r="M758" t="str">
            <v>45616</v>
          </cell>
          <cell r="N758" t="str">
            <v>14 3221000</v>
          </cell>
          <cell r="P758">
            <v>10</v>
          </cell>
          <cell r="Q758">
            <v>0</v>
          </cell>
          <cell r="R758" t="str">
            <v>1</v>
          </cell>
          <cell r="S758" t="str">
            <v>45</v>
          </cell>
          <cell r="T758">
            <v>96</v>
          </cell>
          <cell r="U758">
            <v>6</v>
          </cell>
          <cell r="V758">
            <v>96</v>
          </cell>
          <cell r="W758">
            <v>6</v>
          </cell>
          <cell r="X758">
            <v>96</v>
          </cell>
          <cell r="Y758">
            <v>0</v>
          </cell>
          <cell r="Z758">
            <v>0</v>
          </cell>
          <cell r="AD758" t="str">
            <v>0</v>
          </cell>
          <cell r="AE758" t="str">
            <v>0</v>
          </cell>
          <cell r="AF758" t="str">
            <v>00</v>
          </cell>
          <cell r="AI758">
            <v>12631550</v>
          </cell>
          <cell r="AJ758">
            <v>1894732.5</v>
          </cell>
        </row>
        <row r="759">
          <cell r="A759" t="str">
            <v>02</v>
          </cell>
          <cell r="B759" t="str">
            <v>02</v>
          </cell>
          <cell r="C759" t="str">
            <v>1665</v>
          </cell>
          <cell r="D759" t="str">
            <v>Телевизор "GLDSTAR"</v>
          </cell>
          <cell r="E759" t="str">
            <v>Корея</v>
          </cell>
          <cell r="G759" t="str">
            <v>01</v>
          </cell>
          <cell r="H759">
            <v>1424.13</v>
          </cell>
          <cell r="I759">
            <v>0</v>
          </cell>
          <cell r="J759">
            <v>0</v>
          </cell>
          <cell r="K759">
            <v>0.9</v>
          </cell>
          <cell r="L759" t="str">
            <v>20</v>
          </cell>
          <cell r="M759" t="str">
            <v>45625</v>
          </cell>
          <cell r="N759" t="str">
            <v>14 3230100</v>
          </cell>
          <cell r="P759">
            <v>10.5</v>
          </cell>
          <cell r="Q759">
            <v>0</v>
          </cell>
          <cell r="R759" t="str">
            <v>1</v>
          </cell>
          <cell r="S759" t="str">
            <v>45</v>
          </cell>
          <cell r="T759">
            <v>94</v>
          </cell>
          <cell r="U759">
            <v>6</v>
          </cell>
          <cell r="V759">
            <v>96</v>
          </cell>
          <cell r="W759">
            <v>6</v>
          </cell>
          <cell r="X759">
            <v>96</v>
          </cell>
          <cell r="Y759">
            <v>0</v>
          </cell>
          <cell r="Z759">
            <v>0</v>
          </cell>
          <cell r="AD759" t="str">
            <v>0</v>
          </cell>
          <cell r="AE759" t="str">
            <v>0</v>
          </cell>
          <cell r="AF759" t="str">
            <v>00</v>
          </cell>
          <cell r="AI759">
            <v>1590741</v>
          </cell>
          <cell r="AJ759">
            <v>250541.71</v>
          </cell>
        </row>
        <row r="760">
          <cell r="A760" t="str">
            <v>02</v>
          </cell>
          <cell r="B760" t="str">
            <v>80</v>
          </cell>
          <cell r="C760" t="str">
            <v>1667</v>
          </cell>
          <cell r="D760" t="str">
            <v>Компьютер 486-ДХ</v>
          </cell>
          <cell r="G760" t="str">
            <v>01</v>
          </cell>
          <cell r="H760">
            <v>3500</v>
          </cell>
          <cell r="I760">
            <v>0</v>
          </cell>
          <cell r="J760">
            <v>3753</v>
          </cell>
          <cell r="K760">
            <v>0.93</v>
          </cell>
          <cell r="L760" t="str">
            <v>26</v>
          </cell>
          <cell r="M760" t="str">
            <v>48008</v>
          </cell>
          <cell r="N760" t="str">
            <v>14 3020103</v>
          </cell>
          <cell r="P760">
            <v>10</v>
          </cell>
          <cell r="Q760">
            <v>0</v>
          </cell>
          <cell r="R760" t="str">
            <v>1</v>
          </cell>
          <cell r="S760" t="str">
            <v>48</v>
          </cell>
          <cell r="T760">
            <v>96</v>
          </cell>
          <cell r="U760">
            <v>6</v>
          </cell>
          <cell r="V760">
            <v>96</v>
          </cell>
          <cell r="W760">
            <v>6</v>
          </cell>
          <cell r="X760">
            <v>96</v>
          </cell>
          <cell r="Y760">
            <v>6</v>
          </cell>
          <cell r="Z760">
            <v>99</v>
          </cell>
          <cell r="AD760" t="str">
            <v>0</v>
          </cell>
          <cell r="AE760" t="str">
            <v>0</v>
          </cell>
          <cell r="AF760" t="str">
            <v>00</v>
          </cell>
          <cell r="AI760">
            <v>3750000</v>
          </cell>
          <cell r="AJ760">
            <v>562500</v>
          </cell>
        </row>
        <row r="761">
          <cell r="A761" t="str">
            <v>02</v>
          </cell>
          <cell r="B761" t="str">
            <v>71</v>
          </cell>
          <cell r="C761" t="str">
            <v>1668</v>
          </cell>
          <cell r="D761" t="str">
            <v>Компьютер 486-ДХ</v>
          </cell>
          <cell r="G761" t="str">
            <v>01</v>
          </cell>
          <cell r="H761">
            <v>3500</v>
          </cell>
          <cell r="I761">
            <v>0</v>
          </cell>
          <cell r="J761">
            <v>5168</v>
          </cell>
          <cell r="K761">
            <v>0.93</v>
          </cell>
          <cell r="L761" t="str">
            <v>23</v>
          </cell>
          <cell r="M761" t="str">
            <v>48008</v>
          </cell>
          <cell r="N761" t="str">
            <v>14 3020203</v>
          </cell>
          <cell r="P761">
            <v>10</v>
          </cell>
          <cell r="Q761">
            <v>0</v>
          </cell>
          <cell r="R761" t="str">
            <v>1</v>
          </cell>
          <cell r="S761" t="str">
            <v>48</v>
          </cell>
          <cell r="T761">
            <v>96</v>
          </cell>
          <cell r="U761">
            <v>6</v>
          </cell>
          <cell r="V761">
            <v>96</v>
          </cell>
          <cell r="W761">
            <v>6</v>
          </cell>
          <cell r="X761">
            <v>96</v>
          </cell>
          <cell r="Y761">
            <v>6</v>
          </cell>
          <cell r="Z761">
            <v>99</v>
          </cell>
          <cell r="AB761" t="str">
            <v>14</v>
          </cell>
          <cell r="AC761">
            <v>6</v>
          </cell>
          <cell r="AD761" t="str">
            <v>0</v>
          </cell>
          <cell r="AE761" t="str">
            <v>0</v>
          </cell>
          <cell r="AF761" t="str">
            <v>00</v>
          </cell>
          <cell r="AI761">
            <v>3750000</v>
          </cell>
          <cell r="AJ761">
            <v>562500</v>
          </cell>
        </row>
        <row r="762">
          <cell r="A762" t="str">
            <v>02</v>
          </cell>
          <cell r="B762" t="str">
            <v>02</v>
          </cell>
          <cell r="C762" t="str">
            <v>1698</v>
          </cell>
          <cell r="D762" t="str">
            <v>Трубоукладчик ТГ-502</v>
          </cell>
          <cell r="G762" t="str">
            <v>01</v>
          </cell>
          <cell r="H762">
            <v>268414.02</v>
          </cell>
          <cell r="I762">
            <v>67103.509999999995</v>
          </cell>
          <cell r="J762">
            <v>0</v>
          </cell>
          <cell r="K762">
            <v>1.05</v>
          </cell>
          <cell r="L762" t="str">
            <v>20</v>
          </cell>
          <cell r="M762" t="str">
            <v>41723</v>
          </cell>
          <cell r="N762" t="str">
            <v>14 2915246</v>
          </cell>
          <cell r="P762">
            <v>10</v>
          </cell>
          <cell r="Q762">
            <v>0</v>
          </cell>
          <cell r="R762" t="str">
            <v>1</v>
          </cell>
          <cell r="S762" t="str">
            <v>41</v>
          </cell>
          <cell r="T762">
            <v>95</v>
          </cell>
          <cell r="U762">
            <v>7</v>
          </cell>
          <cell r="V762">
            <v>96</v>
          </cell>
          <cell r="W762">
            <v>7</v>
          </cell>
          <cell r="X762">
            <v>96</v>
          </cell>
          <cell r="Y762">
            <v>0</v>
          </cell>
          <cell r="Z762">
            <v>0</v>
          </cell>
          <cell r="AD762" t="str">
            <v>0</v>
          </cell>
          <cell r="AE762" t="str">
            <v>0</v>
          </cell>
          <cell r="AF762" t="str">
            <v>00</v>
          </cell>
          <cell r="AI762">
            <v>255632400</v>
          </cell>
          <cell r="AJ762">
            <v>100122690</v>
          </cell>
        </row>
        <row r="763">
          <cell r="A763" t="str">
            <v>02</v>
          </cell>
          <cell r="B763" t="str">
            <v>71</v>
          </cell>
          <cell r="C763" t="str">
            <v>1687</v>
          </cell>
          <cell r="D763" t="str">
            <v>Станок 1М63Н-1 то-</v>
          </cell>
          <cell r="E763" t="str">
            <v>карно-винторезный</v>
          </cell>
          <cell r="G763" t="str">
            <v>01</v>
          </cell>
          <cell r="H763">
            <v>67932.539999999994</v>
          </cell>
          <cell r="I763">
            <v>0</v>
          </cell>
          <cell r="J763">
            <v>75726.899999999994</v>
          </cell>
          <cell r="K763">
            <v>0.86</v>
          </cell>
          <cell r="L763" t="str">
            <v>23</v>
          </cell>
          <cell r="M763" t="str">
            <v>41000</v>
          </cell>
          <cell r="N763" t="str">
            <v>14 2922105</v>
          </cell>
          <cell r="P763">
            <v>3.5</v>
          </cell>
          <cell r="Q763">
            <v>0</v>
          </cell>
          <cell r="R763" t="str">
            <v>1</v>
          </cell>
          <cell r="S763" t="str">
            <v>41</v>
          </cell>
          <cell r="T763">
            <v>96</v>
          </cell>
          <cell r="U763">
            <v>7</v>
          </cell>
          <cell r="V763">
            <v>96</v>
          </cell>
          <cell r="W763">
            <v>7</v>
          </cell>
          <cell r="X763">
            <v>96</v>
          </cell>
          <cell r="Y763">
            <v>7</v>
          </cell>
          <cell r="Z763">
            <v>96</v>
          </cell>
          <cell r="AD763" t="str">
            <v>0</v>
          </cell>
          <cell r="AE763" t="str">
            <v>0</v>
          </cell>
          <cell r="AF763" t="str">
            <v>00</v>
          </cell>
          <cell r="AI763">
            <v>88250000</v>
          </cell>
          <cell r="AJ763">
            <v>4375729.17</v>
          </cell>
        </row>
        <row r="764">
          <cell r="A764" t="str">
            <v>02</v>
          </cell>
          <cell r="B764" t="str">
            <v>23</v>
          </cell>
          <cell r="C764" t="str">
            <v>1680</v>
          </cell>
          <cell r="D764" t="str">
            <v>А/мУАЗ-3909 грузо-</v>
          </cell>
          <cell r="E764" t="str">
            <v>пасс. N В943РА</v>
          </cell>
          <cell r="F764" t="str">
            <v>дв 60100276 ш0344774</v>
          </cell>
          <cell r="G764" t="str">
            <v>01</v>
          </cell>
          <cell r="H764">
            <v>40260.33</v>
          </cell>
          <cell r="I764">
            <v>0</v>
          </cell>
          <cell r="J764">
            <v>47990</v>
          </cell>
          <cell r="K764">
            <v>1.06</v>
          </cell>
          <cell r="L764" t="str">
            <v>23</v>
          </cell>
          <cell r="M764" t="str">
            <v>50401</v>
          </cell>
          <cell r="N764" t="str">
            <v>15 3410170</v>
          </cell>
          <cell r="P764">
            <v>14.3</v>
          </cell>
          <cell r="Q764">
            <v>0</v>
          </cell>
          <cell r="R764" t="str">
            <v>1</v>
          </cell>
          <cell r="S764" t="str">
            <v>50</v>
          </cell>
          <cell r="T764">
            <v>96</v>
          </cell>
          <cell r="U764">
            <v>7</v>
          </cell>
          <cell r="V764">
            <v>96</v>
          </cell>
          <cell r="W764">
            <v>7</v>
          </cell>
          <cell r="X764">
            <v>96</v>
          </cell>
          <cell r="Y764">
            <v>7</v>
          </cell>
          <cell r="Z764">
            <v>96</v>
          </cell>
          <cell r="AD764" t="str">
            <v>0</v>
          </cell>
          <cell r="AE764" t="str">
            <v>0</v>
          </cell>
          <cell r="AF764" t="str">
            <v>00</v>
          </cell>
          <cell r="AI764">
            <v>45295708</v>
          </cell>
          <cell r="AJ764">
            <v>9176155.5099999998</v>
          </cell>
        </row>
        <row r="765">
          <cell r="A765" t="str">
            <v>02</v>
          </cell>
          <cell r="B765" t="str">
            <v>23</v>
          </cell>
          <cell r="C765" t="str">
            <v>1681</v>
          </cell>
          <cell r="D765" t="str">
            <v>А/м УАЗ-3909 грузо-</v>
          </cell>
          <cell r="E765" t="str">
            <v>пасс. N В944РА</v>
          </cell>
          <cell r="F765" t="str">
            <v>дв 51106119 ш341565</v>
          </cell>
          <cell r="G765" t="str">
            <v>01</v>
          </cell>
          <cell r="H765">
            <v>40260.33</v>
          </cell>
          <cell r="I765">
            <v>0</v>
          </cell>
          <cell r="J765">
            <v>47990</v>
          </cell>
          <cell r="K765">
            <v>1.06</v>
          </cell>
          <cell r="L765" t="str">
            <v>23</v>
          </cell>
          <cell r="M765" t="str">
            <v>50401</v>
          </cell>
          <cell r="N765" t="str">
            <v>15 3410170</v>
          </cell>
          <cell r="P765">
            <v>14.3</v>
          </cell>
          <cell r="Q765">
            <v>0</v>
          </cell>
          <cell r="R765" t="str">
            <v>1</v>
          </cell>
          <cell r="S765" t="str">
            <v>50</v>
          </cell>
          <cell r="T765">
            <v>95</v>
          </cell>
          <cell r="U765">
            <v>7</v>
          </cell>
          <cell r="V765">
            <v>96</v>
          </cell>
          <cell r="W765">
            <v>7</v>
          </cell>
          <cell r="X765">
            <v>96</v>
          </cell>
          <cell r="Y765">
            <v>7</v>
          </cell>
          <cell r="Z765">
            <v>96</v>
          </cell>
          <cell r="AD765" t="str">
            <v>0</v>
          </cell>
          <cell r="AE765" t="str">
            <v>0</v>
          </cell>
          <cell r="AF765" t="str">
            <v>00</v>
          </cell>
          <cell r="AI765">
            <v>45295708</v>
          </cell>
          <cell r="AJ765">
            <v>9176155.5099999998</v>
          </cell>
        </row>
        <row r="766">
          <cell r="A766" t="str">
            <v>02</v>
          </cell>
          <cell r="B766" t="str">
            <v>71</v>
          </cell>
          <cell r="C766" t="str">
            <v>1684</v>
          </cell>
          <cell r="D766" t="str">
            <v>А/м МАЗ-79092 груз-б</v>
          </cell>
          <cell r="E766" t="str">
            <v>орт дв3884 ш93070038</v>
          </cell>
          <cell r="F766" t="str">
            <v>гос N-В968РА</v>
          </cell>
          <cell r="G766" t="str">
            <v>01</v>
          </cell>
          <cell r="H766">
            <v>233540</v>
          </cell>
          <cell r="I766">
            <v>0</v>
          </cell>
          <cell r="J766">
            <v>0</v>
          </cell>
          <cell r="K766">
            <v>0.99</v>
          </cell>
          <cell r="L766" t="str">
            <v>23</v>
          </cell>
          <cell r="M766" t="str">
            <v>50402</v>
          </cell>
          <cell r="N766" t="str">
            <v>15 3410224</v>
          </cell>
          <cell r="P766">
            <v>0.37</v>
          </cell>
          <cell r="Q766">
            <v>0</v>
          </cell>
          <cell r="R766" t="str">
            <v>1</v>
          </cell>
          <cell r="S766" t="str">
            <v>50</v>
          </cell>
          <cell r="T766">
            <v>93</v>
          </cell>
          <cell r="U766">
            <v>7</v>
          </cell>
          <cell r="V766">
            <v>96</v>
          </cell>
          <cell r="W766">
            <v>7</v>
          </cell>
          <cell r="X766">
            <v>96</v>
          </cell>
          <cell r="Y766">
            <v>0</v>
          </cell>
          <cell r="Z766">
            <v>0</v>
          </cell>
          <cell r="AD766" t="str">
            <v>0</v>
          </cell>
          <cell r="AE766" t="str">
            <v>0</v>
          </cell>
          <cell r="AF766" t="str">
            <v>00</v>
          </cell>
          <cell r="AI766">
            <v>235077000</v>
          </cell>
          <cell r="AJ766">
            <v>235077000</v>
          </cell>
        </row>
        <row r="767">
          <cell r="A767" t="str">
            <v>02</v>
          </cell>
          <cell r="B767" t="str">
            <v>02</v>
          </cell>
          <cell r="C767" t="str">
            <v>1682</v>
          </cell>
          <cell r="D767" t="str">
            <v>Передвижной жилой ва</v>
          </cell>
          <cell r="E767" t="str">
            <v>гон деревометалличес</v>
          </cell>
          <cell r="F767" t="str">
            <v>кий</v>
          </cell>
          <cell r="G767" t="str">
            <v>01</v>
          </cell>
          <cell r="H767">
            <v>50600</v>
          </cell>
          <cell r="I767">
            <v>0</v>
          </cell>
          <cell r="J767">
            <v>0</v>
          </cell>
          <cell r="K767">
            <v>1.1499999999999999</v>
          </cell>
          <cell r="L767" t="str">
            <v>20</v>
          </cell>
          <cell r="M767" t="str">
            <v>10010</v>
          </cell>
          <cell r="N767" t="str">
            <v>13 2022261</v>
          </cell>
          <cell r="P767">
            <v>12.5</v>
          </cell>
          <cell r="Q767">
            <v>0</v>
          </cell>
          <cell r="R767" t="str">
            <v>1</v>
          </cell>
          <cell r="S767" t="str">
            <v>10</v>
          </cell>
          <cell r="T767">
            <v>96</v>
          </cell>
          <cell r="U767">
            <v>7</v>
          </cell>
          <cell r="V767">
            <v>96</v>
          </cell>
          <cell r="W767">
            <v>7</v>
          </cell>
          <cell r="X767">
            <v>96</v>
          </cell>
          <cell r="Y767">
            <v>0</v>
          </cell>
          <cell r="Z767">
            <v>0</v>
          </cell>
          <cell r="AD767" t="str">
            <v>0</v>
          </cell>
          <cell r="AE767" t="str">
            <v>0</v>
          </cell>
          <cell r="AF767" t="str">
            <v>00</v>
          </cell>
          <cell r="AI767">
            <v>44000000</v>
          </cell>
          <cell r="AJ767">
            <v>7791666.6699999999</v>
          </cell>
        </row>
        <row r="768">
          <cell r="A768" t="str">
            <v>02</v>
          </cell>
          <cell r="B768" t="str">
            <v>51</v>
          </cell>
          <cell r="C768" t="str">
            <v>1683</v>
          </cell>
          <cell r="D768" t="str">
            <v>Передвижной жилой ва</v>
          </cell>
          <cell r="E768" t="str">
            <v>гон деревометалличес</v>
          </cell>
          <cell r="F768" t="str">
            <v>кий</v>
          </cell>
          <cell r="G768" t="str">
            <v>01</v>
          </cell>
          <cell r="H768">
            <v>50600</v>
          </cell>
          <cell r="I768">
            <v>0</v>
          </cell>
          <cell r="J768">
            <v>0</v>
          </cell>
          <cell r="K768">
            <v>1.1499999999999999</v>
          </cell>
          <cell r="L768" t="str">
            <v>20</v>
          </cell>
          <cell r="M768" t="str">
            <v>10010</v>
          </cell>
          <cell r="N768" t="str">
            <v>13 2022261</v>
          </cell>
          <cell r="P768">
            <v>12.5</v>
          </cell>
          <cell r="Q768">
            <v>0</v>
          </cell>
          <cell r="R768" t="str">
            <v>1</v>
          </cell>
          <cell r="S768" t="str">
            <v>10</v>
          </cell>
          <cell r="T768">
            <v>96</v>
          </cell>
          <cell r="U768">
            <v>7</v>
          </cell>
          <cell r="V768">
            <v>96</v>
          </cell>
          <cell r="W768">
            <v>7</v>
          </cell>
          <cell r="X768">
            <v>96</v>
          </cell>
          <cell r="Y768">
            <v>0</v>
          </cell>
          <cell r="Z768">
            <v>0</v>
          </cell>
          <cell r="AD768" t="str">
            <v>0</v>
          </cell>
          <cell r="AE768" t="str">
            <v>0</v>
          </cell>
          <cell r="AF768" t="str">
            <v>00</v>
          </cell>
          <cell r="AI768">
            <v>44000000</v>
          </cell>
          <cell r="AJ768">
            <v>7791666.6699999999</v>
          </cell>
        </row>
        <row r="769">
          <cell r="A769" t="str">
            <v>02</v>
          </cell>
          <cell r="B769" t="str">
            <v>23</v>
          </cell>
          <cell r="C769" t="str">
            <v>1679</v>
          </cell>
          <cell r="D769" t="str">
            <v>Бур.уст.ПБУ-2-104 на</v>
          </cell>
          <cell r="E769" t="str">
            <v>ЗИЛ-131 N В997РА</v>
          </cell>
          <cell r="F769" t="str">
            <v>дв009231 ш048092</v>
          </cell>
          <cell r="G769" t="str">
            <v>01</v>
          </cell>
          <cell r="H769">
            <v>278335.19</v>
          </cell>
          <cell r="I769">
            <v>0</v>
          </cell>
          <cell r="J769">
            <v>334000</v>
          </cell>
          <cell r="K769">
            <v>0.95</v>
          </cell>
          <cell r="L769" t="str">
            <v>23</v>
          </cell>
          <cell r="M769" t="str">
            <v>43413</v>
          </cell>
          <cell r="N769" t="str">
            <v>14 2924452</v>
          </cell>
          <cell r="P769">
            <v>14.3</v>
          </cell>
          <cell r="Q769">
            <v>0</v>
          </cell>
          <cell r="R769" t="str">
            <v>1</v>
          </cell>
          <cell r="S769" t="str">
            <v>43</v>
          </cell>
          <cell r="T769">
            <v>96</v>
          </cell>
          <cell r="U769">
            <v>7</v>
          </cell>
          <cell r="V769">
            <v>96</v>
          </cell>
          <cell r="W769">
            <v>7</v>
          </cell>
          <cell r="X769">
            <v>96</v>
          </cell>
          <cell r="Y769">
            <v>7</v>
          </cell>
          <cell r="Z769">
            <v>96</v>
          </cell>
          <cell r="AD769" t="str">
            <v>0</v>
          </cell>
          <cell r="AE769" t="str">
            <v>0</v>
          </cell>
          <cell r="AF769" t="str">
            <v>00</v>
          </cell>
          <cell r="AI769">
            <v>350997660</v>
          </cell>
          <cell r="AJ769">
            <v>71106275.959999993</v>
          </cell>
        </row>
        <row r="770">
          <cell r="A770" t="str">
            <v>02</v>
          </cell>
          <cell r="B770" t="str">
            <v>99</v>
          </cell>
          <cell r="C770" t="str">
            <v>1678</v>
          </cell>
          <cell r="D770" t="str">
            <v>Выпрямитель сварочны</v>
          </cell>
          <cell r="E770" t="str">
            <v>й ВД-306</v>
          </cell>
          <cell r="G770" t="str">
            <v>01</v>
          </cell>
          <cell r="H770">
            <v>3488</v>
          </cell>
          <cell r="I770">
            <v>0</v>
          </cell>
          <cell r="J770">
            <v>0</v>
          </cell>
          <cell r="K770">
            <v>1.0900000000000001</v>
          </cell>
          <cell r="L770" t="str">
            <v>20</v>
          </cell>
          <cell r="M770" t="str">
            <v>42502</v>
          </cell>
          <cell r="N770" t="str">
            <v>14 2922804</v>
          </cell>
          <cell r="P770">
            <v>16.7</v>
          </cell>
          <cell r="Q770">
            <v>0</v>
          </cell>
          <cell r="R770" t="str">
            <v>1</v>
          </cell>
          <cell r="S770" t="str">
            <v>42</v>
          </cell>
          <cell r="T770">
            <v>96</v>
          </cell>
          <cell r="U770">
            <v>7</v>
          </cell>
          <cell r="V770">
            <v>96</v>
          </cell>
          <cell r="W770">
            <v>7</v>
          </cell>
          <cell r="X770">
            <v>96</v>
          </cell>
          <cell r="Y770">
            <v>0</v>
          </cell>
          <cell r="Z770">
            <v>0</v>
          </cell>
          <cell r="AB770" t="str">
            <v>14</v>
          </cell>
          <cell r="AC770">
            <v>9</v>
          </cell>
          <cell r="AD770" t="str">
            <v>0</v>
          </cell>
          <cell r="AE770" t="str">
            <v>0</v>
          </cell>
          <cell r="AF770" t="str">
            <v>00</v>
          </cell>
          <cell r="AI770">
            <v>3200000</v>
          </cell>
          <cell r="AJ770">
            <v>757066.67</v>
          </cell>
        </row>
        <row r="771">
          <cell r="A771" t="str">
            <v>02</v>
          </cell>
          <cell r="B771" t="str">
            <v>80</v>
          </cell>
          <cell r="C771" t="str">
            <v>1688</v>
          </cell>
          <cell r="D771" t="str">
            <v>Кондиционер</v>
          </cell>
          <cell r="G771" t="str">
            <v>01</v>
          </cell>
          <cell r="H771">
            <v>6500</v>
          </cell>
          <cell r="I771">
            <v>0</v>
          </cell>
          <cell r="J771">
            <v>0</v>
          </cell>
          <cell r="K771">
            <v>0.56999999999999995</v>
          </cell>
          <cell r="L771" t="str">
            <v>26</v>
          </cell>
          <cell r="M771" t="str">
            <v>41606</v>
          </cell>
          <cell r="N771" t="str">
            <v>16 2930274</v>
          </cell>
          <cell r="P771">
            <v>11.1</v>
          </cell>
          <cell r="Q771">
            <v>0</v>
          </cell>
          <cell r="R771" t="str">
            <v>1</v>
          </cell>
          <cell r="S771" t="str">
            <v>41</v>
          </cell>
          <cell r="T771">
            <v>96</v>
          </cell>
          <cell r="U771">
            <v>7</v>
          </cell>
          <cell r="V771">
            <v>96</v>
          </cell>
          <cell r="W771">
            <v>7</v>
          </cell>
          <cell r="X771">
            <v>96</v>
          </cell>
          <cell r="Y771">
            <v>0</v>
          </cell>
          <cell r="Z771">
            <v>0</v>
          </cell>
          <cell r="AD771" t="str">
            <v>0</v>
          </cell>
          <cell r="AE771" t="str">
            <v>0</v>
          </cell>
          <cell r="AF771" t="str">
            <v>00</v>
          </cell>
          <cell r="AI771">
            <v>11365000</v>
          </cell>
          <cell r="AJ771">
            <v>1787146.25</v>
          </cell>
        </row>
        <row r="772">
          <cell r="A772" t="str">
            <v>02</v>
          </cell>
          <cell r="B772" t="str">
            <v>80</v>
          </cell>
          <cell r="C772" t="str">
            <v>1689</v>
          </cell>
          <cell r="D772" t="str">
            <v>Кондиционер</v>
          </cell>
          <cell r="G772" t="str">
            <v>01</v>
          </cell>
          <cell r="H772">
            <v>6500</v>
          </cell>
          <cell r="I772">
            <v>0</v>
          </cell>
          <cell r="J772">
            <v>0</v>
          </cell>
          <cell r="K772">
            <v>0.56999999999999995</v>
          </cell>
          <cell r="L772" t="str">
            <v>26</v>
          </cell>
          <cell r="M772" t="str">
            <v>41606</v>
          </cell>
          <cell r="N772" t="str">
            <v>16 2930274</v>
          </cell>
          <cell r="P772">
            <v>11.1</v>
          </cell>
          <cell r="Q772">
            <v>0</v>
          </cell>
          <cell r="R772" t="str">
            <v>1</v>
          </cell>
          <cell r="S772" t="str">
            <v>41</v>
          </cell>
          <cell r="T772">
            <v>96</v>
          </cell>
          <cell r="U772">
            <v>7</v>
          </cell>
          <cell r="V772">
            <v>96</v>
          </cell>
          <cell r="W772">
            <v>7</v>
          </cell>
          <cell r="X772">
            <v>96</v>
          </cell>
          <cell r="Y772">
            <v>0</v>
          </cell>
          <cell r="Z772">
            <v>0</v>
          </cell>
          <cell r="AD772" t="str">
            <v>0</v>
          </cell>
          <cell r="AE772" t="str">
            <v>0</v>
          </cell>
          <cell r="AF772" t="str">
            <v>00</v>
          </cell>
          <cell r="AI772">
            <v>11365000</v>
          </cell>
          <cell r="AJ772">
            <v>1787146.25</v>
          </cell>
        </row>
        <row r="773">
          <cell r="A773" t="str">
            <v>02</v>
          </cell>
          <cell r="B773" t="str">
            <v>80</v>
          </cell>
          <cell r="C773" t="str">
            <v>1690</v>
          </cell>
          <cell r="D773" t="str">
            <v>Кондиционер</v>
          </cell>
          <cell r="G773" t="str">
            <v>01</v>
          </cell>
          <cell r="H773">
            <v>6500</v>
          </cell>
          <cell r="I773">
            <v>0</v>
          </cell>
          <cell r="J773">
            <v>0</v>
          </cell>
          <cell r="K773">
            <v>0.56999999999999995</v>
          </cell>
          <cell r="L773" t="str">
            <v>26</v>
          </cell>
          <cell r="M773" t="str">
            <v>41606</v>
          </cell>
          <cell r="N773" t="str">
            <v>16 2930274</v>
          </cell>
          <cell r="P773">
            <v>11.1</v>
          </cell>
          <cell r="Q773">
            <v>0</v>
          </cell>
          <cell r="R773" t="str">
            <v>1</v>
          </cell>
          <cell r="S773" t="str">
            <v>41</v>
          </cell>
          <cell r="T773">
            <v>96</v>
          </cell>
          <cell r="U773">
            <v>7</v>
          </cell>
          <cell r="V773">
            <v>96</v>
          </cell>
          <cell r="W773">
            <v>7</v>
          </cell>
          <cell r="X773">
            <v>96</v>
          </cell>
          <cell r="Y773">
            <v>0</v>
          </cell>
          <cell r="Z773">
            <v>0</v>
          </cell>
          <cell r="AD773" t="str">
            <v>0</v>
          </cell>
          <cell r="AE773" t="str">
            <v>0</v>
          </cell>
          <cell r="AF773" t="str">
            <v>00</v>
          </cell>
          <cell r="AI773">
            <v>11365000</v>
          </cell>
          <cell r="AJ773">
            <v>1787146.25</v>
          </cell>
        </row>
        <row r="774">
          <cell r="A774" t="str">
            <v>02</v>
          </cell>
          <cell r="B774" t="str">
            <v>23</v>
          </cell>
          <cell r="C774" t="str">
            <v>1691</v>
          </cell>
          <cell r="D774" t="str">
            <v>Кондиционер FS12SHQ</v>
          </cell>
          <cell r="G774" t="str">
            <v>01</v>
          </cell>
          <cell r="H774">
            <v>6500</v>
          </cell>
          <cell r="I774">
            <v>0</v>
          </cell>
          <cell r="J774">
            <v>0</v>
          </cell>
          <cell r="K774">
            <v>0.56999999999999995</v>
          </cell>
          <cell r="L774" t="str">
            <v>23</v>
          </cell>
          <cell r="M774" t="str">
            <v>41606</v>
          </cell>
          <cell r="N774" t="str">
            <v>16 3697000</v>
          </cell>
          <cell r="P774">
            <v>10</v>
          </cell>
          <cell r="Q774">
            <v>0</v>
          </cell>
          <cell r="R774" t="str">
            <v>1</v>
          </cell>
          <cell r="S774" t="str">
            <v>41</v>
          </cell>
          <cell r="T774">
            <v>96</v>
          </cell>
          <cell r="U774">
            <v>7</v>
          </cell>
          <cell r="V774">
            <v>96</v>
          </cell>
          <cell r="W774">
            <v>7</v>
          </cell>
          <cell r="X774">
            <v>96</v>
          </cell>
          <cell r="Y774">
            <v>0</v>
          </cell>
          <cell r="Z774">
            <v>0</v>
          </cell>
          <cell r="AB774" t="str">
            <v>14</v>
          </cell>
          <cell r="AC774">
            <v>6</v>
          </cell>
          <cell r="AD774" t="str">
            <v>0</v>
          </cell>
          <cell r="AE774" t="str">
            <v>0</v>
          </cell>
          <cell r="AF774" t="str">
            <v>00</v>
          </cell>
          <cell r="AI774">
            <v>11365000</v>
          </cell>
          <cell r="AJ774">
            <v>1610041.67</v>
          </cell>
        </row>
        <row r="775">
          <cell r="A775" t="str">
            <v>02</v>
          </cell>
          <cell r="B775" t="str">
            <v>80</v>
          </cell>
          <cell r="C775" t="str">
            <v>1692</v>
          </cell>
          <cell r="D775" t="str">
            <v>Кондиционер FC12SHQ</v>
          </cell>
          <cell r="G775" t="str">
            <v>01</v>
          </cell>
          <cell r="H775">
            <v>6500</v>
          </cell>
          <cell r="I775">
            <v>0</v>
          </cell>
          <cell r="J775">
            <v>0</v>
          </cell>
          <cell r="K775">
            <v>0.56999999999999995</v>
          </cell>
          <cell r="L775" t="str">
            <v>26</v>
          </cell>
          <cell r="M775" t="str">
            <v>41606</v>
          </cell>
          <cell r="N775" t="str">
            <v>16 3697000</v>
          </cell>
          <cell r="P775">
            <v>10</v>
          </cell>
          <cell r="Q775">
            <v>0</v>
          </cell>
          <cell r="R775" t="str">
            <v>1</v>
          </cell>
          <cell r="S775" t="str">
            <v>41</v>
          </cell>
          <cell r="T775">
            <v>96</v>
          </cell>
          <cell r="U775">
            <v>7</v>
          </cell>
          <cell r="V775">
            <v>96</v>
          </cell>
          <cell r="W775">
            <v>7</v>
          </cell>
          <cell r="X775">
            <v>96</v>
          </cell>
          <cell r="Y775">
            <v>0</v>
          </cell>
          <cell r="Z775">
            <v>0</v>
          </cell>
          <cell r="AB775" t="str">
            <v>14</v>
          </cell>
          <cell r="AC775">
            <v>6</v>
          </cell>
          <cell r="AD775" t="str">
            <v>0</v>
          </cell>
          <cell r="AE775" t="str">
            <v>0</v>
          </cell>
          <cell r="AF775" t="str">
            <v>00</v>
          </cell>
          <cell r="AI775">
            <v>11365000</v>
          </cell>
          <cell r="AJ775">
            <v>1610041.67</v>
          </cell>
        </row>
        <row r="776">
          <cell r="A776" t="str">
            <v>02</v>
          </cell>
          <cell r="B776" t="str">
            <v>80</v>
          </cell>
          <cell r="C776" t="str">
            <v>1693</v>
          </cell>
          <cell r="D776" t="str">
            <v>Кондиционер FC12SHQ</v>
          </cell>
          <cell r="G776" t="str">
            <v>01</v>
          </cell>
          <cell r="H776">
            <v>6500</v>
          </cell>
          <cell r="I776">
            <v>0</v>
          </cell>
          <cell r="J776">
            <v>0</v>
          </cell>
          <cell r="K776">
            <v>0.56999999999999995</v>
          </cell>
          <cell r="L776" t="str">
            <v>26</v>
          </cell>
          <cell r="M776" t="str">
            <v>41606</v>
          </cell>
          <cell r="N776" t="str">
            <v>16 3697000</v>
          </cell>
          <cell r="P776">
            <v>10</v>
          </cell>
          <cell r="Q776">
            <v>0</v>
          </cell>
          <cell r="R776" t="str">
            <v>1</v>
          </cell>
          <cell r="S776" t="str">
            <v>41</v>
          </cell>
          <cell r="T776">
            <v>96</v>
          </cell>
          <cell r="U776">
            <v>7</v>
          </cell>
          <cell r="V776">
            <v>96</v>
          </cell>
          <cell r="W776">
            <v>7</v>
          </cell>
          <cell r="X776">
            <v>96</v>
          </cell>
          <cell r="Y776">
            <v>0</v>
          </cell>
          <cell r="Z776">
            <v>0</v>
          </cell>
          <cell r="AB776" t="str">
            <v>14</v>
          </cell>
          <cell r="AC776">
            <v>6</v>
          </cell>
          <cell r="AD776" t="str">
            <v>0</v>
          </cell>
          <cell r="AE776" t="str">
            <v>0</v>
          </cell>
          <cell r="AF776" t="str">
            <v>00</v>
          </cell>
          <cell r="AI776">
            <v>11365000</v>
          </cell>
          <cell r="AJ776">
            <v>1610041.67</v>
          </cell>
        </row>
        <row r="777">
          <cell r="A777" t="str">
            <v>02</v>
          </cell>
          <cell r="B777" t="str">
            <v>02</v>
          </cell>
          <cell r="C777" t="str">
            <v>1694</v>
          </cell>
          <cell r="D777" t="str">
            <v>Кондиционер FC12SHQ</v>
          </cell>
          <cell r="G777" t="str">
            <v>01</v>
          </cell>
          <cell r="H777">
            <v>6500</v>
          </cell>
          <cell r="I777">
            <v>0</v>
          </cell>
          <cell r="J777">
            <v>0</v>
          </cell>
          <cell r="K777">
            <v>0.56999999999999995</v>
          </cell>
          <cell r="L777" t="str">
            <v>20</v>
          </cell>
          <cell r="M777" t="str">
            <v>41606</v>
          </cell>
          <cell r="N777" t="str">
            <v>16 3697000</v>
          </cell>
          <cell r="P777">
            <v>10</v>
          </cell>
          <cell r="Q777">
            <v>0</v>
          </cell>
          <cell r="R777" t="str">
            <v>1</v>
          </cell>
          <cell r="S777" t="str">
            <v>41</v>
          </cell>
          <cell r="T777">
            <v>96</v>
          </cell>
          <cell r="U777">
            <v>7</v>
          </cell>
          <cell r="V777">
            <v>96</v>
          </cell>
          <cell r="W777">
            <v>7</v>
          </cell>
          <cell r="X777">
            <v>96</v>
          </cell>
          <cell r="Y777">
            <v>0</v>
          </cell>
          <cell r="Z777">
            <v>0</v>
          </cell>
          <cell r="AB777" t="str">
            <v>14</v>
          </cell>
          <cell r="AC777">
            <v>6</v>
          </cell>
          <cell r="AD777" t="str">
            <v>0</v>
          </cell>
          <cell r="AE777" t="str">
            <v>0</v>
          </cell>
          <cell r="AF777" t="str">
            <v>00</v>
          </cell>
          <cell r="AI777">
            <v>11365000</v>
          </cell>
          <cell r="AJ777">
            <v>1610041.67</v>
          </cell>
        </row>
        <row r="778">
          <cell r="A778" t="str">
            <v>02</v>
          </cell>
          <cell r="B778" t="str">
            <v>02</v>
          </cell>
          <cell r="C778" t="str">
            <v>1695</v>
          </cell>
          <cell r="D778" t="str">
            <v>Кондиционер FC12SHQ</v>
          </cell>
          <cell r="G778" t="str">
            <v>01</v>
          </cell>
          <cell r="H778">
            <v>6500</v>
          </cell>
          <cell r="I778">
            <v>0</v>
          </cell>
          <cell r="J778">
            <v>0</v>
          </cell>
          <cell r="K778">
            <v>0.56999999999999995</v>
          </cell>
          <cell r="L778" t="str">
            <v>20</v>
          </cell>
          <cell r="M778" t="str">
            <v>41606</v>
          </cell>
          <cell r="N778" t="str">
            <v>16 3697000</v>
          </cell>
          <cell r="P778">
            <v>10</v>
          </cell>
          <cell r="Q778">
            <v>0</v>
          </cell>
          <cell r="R778" t="str">
            <v>1</v>
          </cell>
          <cell r="S778" t="str">
            <v>41</v>
          </cell>
          <cell r="T778">
            <v>96</v>
          </cell>
          <cell r="U778">
            <v>7</v>
          </cell>
          <cell r="V778">
            <v>96</v>
          </cell>
          <cell r="W778">
            <v>7</v>
          </cell>
          <cell r="X778">
            <v>96</v>
          </cell>
          <cell r="Y778">
            <v>0</v>
          </cell>
          <cell r="Z778">
            <v>0</v>
          </cell>
          <cell r="AB778" t="str">
            <v>14</v>
          </cell>
          <cell r="AC778">
            <v>6</v>
          </cell>
          <cell r="AD778" t="str">
            <v>0</v>
          </cell>
          <cell r="AE778" t="str">
            <v>0</v>
          </cell>
          <cell r="AF778" t="str">
            <v>00</v>
          </cell>
          <cell r="AI778">
            <v>11365000</v>
          </cell>
          <cell r="AJ778">
            <v>1610041.67</v>
          </cell>
        </row>
        <row r="779">
          <cell r="A779" t="str">
            <v>02</v>
          </cell>
          <cell r="B779" t="str">
            <v>55</v>
          </cell>
          <cell r="C779" t="str">
            <v>1696</v>
          </cell>
          <cell r="D779" t="str">
            <v>Кондиционер FC12SHQ</v>
          </cell>
          <cell r="G779" t="str">
            <v>01</v>
          </cell>
          <cell r="H779">
            <v>6500</v>
          </cell>
          <cell r="I779">
            <v>0</v>
          </cell>
          <cell r="J779">
            <v>0</v>
          </cell>
          <cell r="K779">
            <v>0.56999999999999995</v>
          </cell>
          <cell r="L779" t="str">
            <v>26</v>
          </cell>
          <cell r="M779" t="str">
            <v>41606</v>
          </cell>
          <cell r="N779" t="str">
            <v>16 3697000</v>
          </cell>
          <cell r="P779">
            <v>10</v>
          </cell>
          <cell r="Q779">
            <v>0</v>
          </cell>
          <cell r="R779" t="str">
            <v>1</v>
          </cell>
          <cell r="S779" t="str">
            <v>41</v>
          </cell>
          <cell r="T779">
            <v>96</v>
          </cell>
          <cell r="U779">
            <v>7</v>
          </cell>
          <cell r="V779">
            <v>96</v>
          </cell>
          <cell r="W779">
            <v>7</v>
          </cell>
          <cell r="X779">
            <v>96</v>
          </cell>
          <cell r="Y779">
            <v>0</v>
          </cell>
          <cell r="Z779">
            <v>0</v>
          </cell>
          <cell r="AB779" t="str">
            <v>14</v>
          </cell>
          <cell r="AC779">
            <v>9</v>
          </cell>
          <cell r="AD779" t="str">
            <v>0</v>
          </cell>
          <cell r="AE779" t="str">
            <v>0</v>
          </cell>
          <cell r="AF779" t="str">
            <v>00</v>
          </cell>
          <cell r="AI779">
            <v>11365000</v>
          </cell>
          <cell r="AJ779">
            <v>1610041.67</v>
          </cell>
        </row>
        <row r="780">
          <cell r="A780" t="str">
            <v>02</v>
          </cell>
          <cell r="B780" t="str">
            <v>80</v>
          </cell>
          <cell r="C780" t="str">
            <v>1697</v>
          </cell>
          <cell r="D780" t="str">
            <v>Кондиционер FC12SHQ</v>
          </cell>
          <cell r="G780" t="str">
            <v>01</v>
          </cell>
          <cell r="H780">
            <v>6500</v>
          </cell>
          <cell r="I780">
            <v>0</v>
          </cell>
          <cell r="J780">
            <v>0</v>
          </cell>
          <cell r="K780">
            <v>0.56999999999999995</v>
          </cell>
          <cell r="L780" t="str">
            <v>26</v>
          </cell>
          <cell r="M780" t="str">
            <v>41606</v>
          </cell>
          <cell r="N780" t="str">
            <v>16 3697000</v>
          </cell>
          <cell r="P780">
            <v>10</v>
          </cell>
          <cell r="Q780">
            <v>0</v>
          </cell>
          <cell r="R780" t="str">
            <v>1</v>
          </cell>
          <cell r="S780" t="str">
            <v>41</v>
          </cell>
          <cell r="T780">
            <v>96</v>
          </cell>
          <cell r="U780">
            <v>7</v>
          </cell>
          <cell r="V780">
            <v>96</v>
          </cell>
          <cell r="W780">
            <v>7</v>
          </cell>
          <cell r="X780">
            <v>96</v>
          </cell>
          <cell r="Y780">
            <v>0</v>
          </cell>
          <cell r="Z780">
            <v>0</v>
          </cell>
          <cell r="AB780" t="str">
            <v>14</v>
          </cell>
          <cell r="AC780">
            <v>6</v>
          </cell>
          <cell r="AD780" t="str">
            <v>0</v>
          </cell>
          <cell r="AE780" t="str">
            <v>0</v>
          </cell>
          <cell r="AF780" t="str">
            <v>00</v>
          </cell>
          <cell r="AI780">
            <v>11365000</v>
          </cell>
          <cell r="AJ780">
            <v>1610041.67</v>
          </cell>
        </row>
        <row r="781">
          <cell r="A781" t="str">
            <v>02</v>
          </cell>
          <cell r="B781" t="str">
            <v>99</v>
          </cell>
          <cell r="C781" t="str">
            <v>1699</v>
          </cell>
          <cell r="D781" t="str">
            <v>Троллейная подвеска</v>
          </cell>
          <cell r="E781" t="str">
            <v>ТПП-821</v>
          </cell>
          <cell r="G781" t="str">
            <v>01</v>
          </cell>
          <cell r="H781">
            <v>24000</v>
          </cell>
          <cell r="I781">
            <v>0</v>
          </cell>
          <cell r="J781">
            <v>0</v>
          </cell>
          <cell r="K781">
            <v>1.03</v>
          </cell>
          <cell r="L781" t="str">
            <v>20</v>
          </cell>
          <cell r="M781" t="str">
            <v>43814</v>
          </cell>
          <cell r="N781" t="str">
            <v>14 2922721</v>
          </cell>
          <cell r="P781">
            <v>33.299999999999997</v>
          </cell>
          <cell r="Q781">
            <v>0</v>
          </cell>
          <cell r="R781" t="str">
            <v>1</v>
          </cell>
          <cell r="S781" t="str">
            <v>43</v>
          </cell>
          <cell r="T781">
            <v>96</v>
          </cell>
          <cell r="U781">
            <v>8</v>
          </cell>
          <cell r="V781">
            <v>96</v>
          </cell>
          <cell r="W781">
            <v>8</v>
          </cell>
          <cell r="X781">
            <v>96</v>
          </cell>
          <cell r="Y781">
            <v>0</v>
          </cell>
          <cell r="Z781">
            <v>0</v>
          </cell>
          <cell r="AB781" t="str">
            <v>14</v>
          </cell>
          <cell r="AC781">
            <v>12</v>
          </cell>
          <cell r="AD781" t="str">
            <v>0</v>
          </cell>
          <cell r="AE781" t="str">
            <v>0</v>
          </cell>
          <cell r="AF781" t="str">
            <v>00</v>
          </cell>
          <cell r="AI781">
            <v>23333333</v>
          </cell>
          <cell r="AJ781">
            <v>10359999.85</v>
          </cell>
        </row>
        <row r="782">
          <cell r="A782" t="str">
            <v>02</v>
          </cell>
          <cell r="B782" t="str">
            <v>99</v>
          </cell>
          <cell r="C782" t="str">
            <v>171</v>
          </cell>
          <cell r="D782" t="str">
            <v>Троллейная подвеска</v>
          </cell>
          <cell r="E782" t="str">
            <v>ТПП-821</v>
          </cell>
          <cell r="G782" t="str">
            <v>01</v>
          </cell>
          <cell r="H782">
            <v>24000</v>
          </cell>
          <cell r="I782">
            <v>0</v>
          </cell>
          <cell r="J782">
            <v>0</v>
          </cell>
          <cell r="K782">
            <v>1.03</v>
          </cell>
          <cell r="L782" t="str">
            <v>20</v>
          </cell>
          <cell r="M782" t="str">
            <v>43814</v>
          </cell>
          <cell r="N782" t="str">
            <v>14 2922721</v>
          </cell>
          <cell r="P782">
            <v>33.299999999999997</v>
          </cell>
          <cell r="Q782">
            <v>0</v>
          </cell>
          <cell r="R782" t="str">
            <v>1</v>
          </cell>
          <cell r="S782" t="str">
            <v>43</v>
          </cell>
          <cell r="T782">
            <v>96</v>
          </cell>
          <cell r="U782">
            <v>8</v>
          </cell>
          <cell r="V782">
            <v>96</v>
          </cell>
          <cell r="W782">
            <v>8</v>
          </cell>
          <cell r="X782">
            <v>96</v>
          </cell>
          <cell r="Y782">
            <v>0</v>
          </cell>
          <cell r="Z782">
            <v>0</v>
          </cell>
          <cell r="AB782" t="str">
            <v>14</v>
          </cell>
          <cell r="AC782">
            <v>12</v>
          </cell>
          <cell r="AD782" t="str">
            <v>0</v>
          </cell>
          <cell r="AE782" t="str">
            <v>1</v>
          </cell>
          <cell r="AF782" t="str">
            <v>00</v>
          </cell>
          <cell r="AI782">
            <v>23333333</v>
          </cell>
          <cell r="AJ782">
            <v>10359999.85</v>
          </cell>
        </row>
        <row r="783">
          <cell r="A783" t="str">
            <v>02</v>
          </cell>
          <cell r="B783" t="str">
            <v>99</v>
          </cell>
          <cell r="C783" t="str">
            <v>172</v>
          </cell>
          <cell r="D783" t="str">
            <v>Троллейная подвеска</v>
          </cell>
          <cell r="E783" t="str">
            <v>ТПП-821</v>
          </cell>
          <cell r="G783" t="str">
            <v>01</v>
          </cell>
          <cell r="H783">
            <v>24000</v>
          </cell>
          <cell r="I783">
            <v>0</v>
          </cell>
          <cell r="J783">
            <v>0</v>
          </cell>
          <cell r="K783">
            <v>1.03</v>
          </cell>
          <cell r="L783" t="str">
            <v>20</v>
          </cell>
          <cell r="M783" t="str">
            <v>43814</v>
          </cell>
          <cell r="N783" t="str">
            <v>14 2922721</v>
          </cell>
          <cell r="P783">
            <v>33.299999999999997</v>
          </cell>
          <cell r="Q783">
            <v>0</v>
          </cell>
          <cell r="R783" t="str">
            <v>1</v>
          </cell>
          <cell r="S783" t="str">
            <v>43</v>
          </cell>
          <cell r="T783">
            <v>96</v>
          </cell>
          <cell r="U783">
            <v>8</v>
          </cell>
          <cell r="V783">
            <v>96</v>
          </cell>
          <cell r="W783">
            <v>8</v>
          </cell>
          <cell r="X783">
            <v>96</v>
          </cell>
          <cell r="Y783">
            <v>0</v>
          </cell>
          <cell r="Z783">
            <v>0</v>
          </cell>
          <cell r="AB783" t="str">
            <v>14</v>
          </cell>
          <cell r="AC783">
            <v>5</v>
          </cell>
          <cell r="AD783" t="str">
            <v>0</v>
          </cell>
          <cell r="AE783" t="str">
            <v>0</v>
          </cell>
          <cell r="AF783" t="str">
            <v>00</v>
          </cell>
          <cell r="AI783">
            <v>23333334</v>
          </cell>
          <cell r="AJ783">
            <v>10360000.300000001</v>
          </cell>
        </row>
        <row r="784">
          <cell r="A784" t="str">
            <v>02</v>
          </cell>
          <cell r="B784" t="str">
            <v>99</v>
          </cell>
          <cell r="C784" t="str">
            <v>173</v>
          </cell>
          <cell r="D784" t="str">
            <v>Полотенца мягкие</v>
          </cell>
          <cell r="E784" t="str">
            <v>ПМ-524</v>
          </cell>
          <cell r="G784" t="str">
            <v>01</v>
          </cell>
          <cell r="H784">
            <v>7050</v>
          </cell>
          <cell r="I784">
            <v>0</v>
          </cell>
          <cell r="J784">
            <v>0</v>
          </cell>
          <cell r="K784">
            <v>1.01</v>
          </cell>
          <cell r="L784" t="str">
            <v>20</v>
          </cell>
          <cell r="M784" t="str">
            <v>43815</v>
          </cell>
          <cell r="N784" t="str">
            <v>14 2922721</v>
          </cell>
          <cell r="P784">
            <v>50</v>
          </cell>
          <cell r="Q784">
            <v>0</v>
          </cell>
          <cell r="R784" t="str">
            <v>1</v>
          </cell>
          <cell r="S784" t="str">
            <v>43</v>
          </cell>
          <cell r="T784">
            <v>96</v>
          </cell>
          <cell r="U784">
            <v>8</v>
          </cell>
          <cell r="V784">
            <v>96</v>
          </cell>
          <cell r="W784">
            <v>8</v>
          </cell>
          <cell r="X784">
            <v>96</v>
          </cell>
          <cell r="Y784">
            <v>0</v>
          </cell>
          <cell r="Z784">
            <v>0</v>
          </cell>
          <cell r="AB784" t="str">
            <v>14</v>
          </cell>
          <cell r="AC784">
            <v>6</v>
          </cell>
          <cell r="AD784" t="str">
            <v>0</v>
          </cell>
          <cell r="AE784" t="str">
            <v>0</v>
          </cell>
          <cell r="AF784" t="str">
            <v>00</v>
          </cell>
          <cell r="AI784">
            <v>7000000</v>
          </cell>
          <cell r="AJ784">
            <v>4666666.67</v>
          </cell>
        </row>
        <row r="785">
          <cell r="A785" t="str">
            <v>02</v>
          </cell>
          <cell r="B785" t="str">
            <v>03</v>
          </cell>
          <cell r="C785" t="str">
            <v>174</v>
          </cell>
          <cell r="D785" t="str">
            <v>Полотенца мягкие</v>
          </cell>
          <cell r="E785" t="str">
            <v>ПМ-524</v>
          </cell>
          <cell r="G785" t="str">
            <v>01</v>
          </cell>
          <cell r="H785">
            <v>7050</v>
          </cell>
          <cell r="I785">
            <v>0</v>
          </cell>
          <cell r="J785">
            <v>0</v>
          </cell>
          <cell r="K785">
            <v>1.01</v>
          </cell>
          <cell r="L785" t="str">
            <v>26</v>
          </cell>
          <cell r="M785" t="str">
            <v>43815</v>
          </cell>
          <cell r="N785" t="str">
            <v>14 2922721</v>
          </cell>
          <cell r="P785">
            <v>50</v>
          </cell>
          <cell r="Q785">
            <v>0</v>
          </cell>
          <cell r="R785" t="str">
            <v>1</v>
          </cell>
          <cell r="S785" t="str">
            <v>43</v>
          </cell>
          <cell r="T785">
            <v>96</v>
          </cell>
          <cell r="U785">
            <v>8</v>
          </cell>
          <cell r="V785">
            <v>96</v>
          </cell>
          <cell r="W785">
            <v>8</v>
          </cell>
          <cell r="X785">
            <v>96</v>
          </cell>
          <cell r="Y785">
            <v>0</v>
          </cell>
          <cell r="Z785">
            <v>0</v>
          </cell>
          <cell r="AD785" t="str">
            <v>0</v>
          </cell>
          <cell r="AE785" t="str">
            <v>0</v>
          </cell>
          <cell r="AF785" t="str">
            <v>00</v>
          </cell>
          <cell r="AI785">
            <v>7000000</v>
          </cell>
          <cell r="AJ785">
            <v>4666666.67</v>
          </cell>
        </row>
        <row r="786">
          <cell r="A786" t="str">
            <v>02</v>
          </cell>
          <cell r="B786" t="str">
            <v>03</v>
          </cell>
          <cell r="C786" t="str">
            <v>175</v>
          </cell>
          <cell r="D786" t="str">
            <v>Полотенца мягкие</v>
          </cell>
          <cell r="E786" t="str">
            <v>ПМ-524</v>
          </cell>
          <cell r="G786" t="str">
            <v>01</v>
          </cell>
          <cell r="H786">
            <v>7050</v>
          </cell>
          <cell r="I786">
            <v>0</v>
          </cell>
          <cell r="J786">
            <v>0</v>
          </cell>
          <cell r="K786">
            <v>1.01</v>
          </cell>
          <cell r="L786" t="str">
            <v>26</v>
          </cell>
          <cell r="M786" t="str">
            <v>43815</v>
          </cell>
          <cell r="N786" t="str">
            <v>14 2922721</v>
          </cell>
          <cell r="P786">
            <v>50</v>
          </cell>
          <cell r="Q786">
            <v>0</v>
          </cell>
          <cell r="R786" t="str">
            <v>1</v>
          </cell>
          <cell r="S786" t="str">
            <v>43</v>
          </cell>
          <cell r="T786">
            <v>96</v>
          </cell>
          <cell r="U786">
            <v>8</v>
          </cell>
          <cell r="V786">
            <v>96</v>
          </cell>
          <cell r="W786">
            <v>8</v>
          </cell>
          <cell r="X786">
            <v>96</v>
          </cell>
          <cell r="Y786">
            <v>0</v>
          </cell>
          <cell r="Z786">
            <v>0</v>
          </cell>
          <cell r="AD786" t="str">
            <v>0</v>
          </cell>
          <cell r="AE786" t="str">
            <v>0</v>
          </cell>
          <cell r="AF786" t="str">
            <v>00</v>
          </cell>
          <cell r="AI786">
            <v>7000000</v>
          </cell>
          <cell r="AJ786">
            <v>4666666.67</v>
          </cell>
        </row>
        <row r="787">
          <cell r="A787" t="str">
            <v>02</v>
          </cell>
          <cell r="B787" t="str">
            <v>03</v>
          </cell>
          <cell r="C787" t="str">
            <v>176</v>
          </cell>
          <cell r="D787" t="str">
            <v>Полотенца мягкие</v>
          </cell>
          <cell r="E787" t="str">
            <v>ПМ-524</v>
          </cell>
          <cell r="G787" t="str">
            <v>01</v>
          </cell>
          <cell r="H787">
            <v>7050</v>
          </cell>
          <cell r="I787">
            <v>0</v>
          </cell>
          <cell r="J787">
            <v>0</v>
          </cell>
          <cell r="K787">
            <v>1.01</v>
          </cell>
          <cell r="L787" t="str">
            <v>26</v>
          </cell>
          <cell r="M787" t="str">
            <v>43815</v>
          </cell>
          <cell r="N787" t="str">
            <v>14 2922721</v>
          </cell>
          <cell r="P787">
            <v>50</v>
          </cell>
          <cell r="Q787">
            <v>0</v>
          </cell>
          <cell r="R787" t="str">
            <v>1</v>
          </cell>
          <cell r="S787" t="str">
            <v>43</v>
          </cell>
          <cell r="T787">
            <v>96</v>
          </cell>
          <cell r="U787">
            <v>8</v>
          </cell>
          <cell r="V787">
            <v>96</v>
          </cell>
          <cell r="W787">
            <v>8</v>
          </cell>
          <cell r="X787">
            <v>96</v>
          </cell>
          <cell r="Y787">
            <v>0</v>
          </cell>
          <cell r="Z787">
            <v>0</v>
          </cell>
          <cell r="AD787" t="str">
            <v>0</v>
          </cell>
          <cell r="AE787" t="str">
            <v>0</v>
          </cell>
          <cell r="AF787" t="str">
            <v>00</v>
          </cell>
          <cell r="AI787">
            <v>7000000</v>
          </cell>
          <cell r="AJ787">
            <v>4666666.67</v>
          </cell>
        </row>
        <row r="788">
          <cell r="A788" t="str">
            <v>02</v>
          </cell>
          <cell r="B788" t="str">
            <v>05</v>
          </cell>
          <cell r="C788" t="str">
            <v>177</v>
          </cell>
          <cell r="D788" t="str">
            <v>Машина изоляционная</v>
          </cell>
          <cell r="E788" t="str">
            <v>ИМ-820</v>
          </cell>
          <cell r="G788" t="str">
            <v>01</v>
          </cell>
          <cell r="H788">
            <v>95600</v>
          </cell>
          <cell r="I788">
            <v>0</v>
          </cell>
          <cell r="J788">
            <v>0</v>
          </cell>
          <cell r="K788">
            <v>1.01</v>
          </cell>
          <cell r="L788" t="str">
            <v>20</v>
          </cell>
          <cell r="M788" t="str">
            <v>43803</v>
          </cell>
          <cell r="N788" t="str">
            <v>14 2947195</v>
          </cell>
          <cell r="P788">
            <v>33.299999999999997</v>
          </cell>
          <cell r="Q788">
            <v>0</v>
          </cell>
          <cell r="R788" t="str">
            <v>1</v>
          </cell>
          <cell r="S788" t="str">
            <v>43</v>
          </cell>
          <cell r="T788">
            <v>96</v>
          </cell>
          <cell r="U788">
            <v>8</v>
          </cell>
          <cell r="V788">
            <v>96</v>
          </cell>
          <cell r="W788">
            <v>8</v>
          </cell>
          <cell r="X788">
            <v>96</v>
          </cell>
          <cell r="Y788">
            <v>0</v>
          </cell>
          <cell r="Z788">
            <v>0</v>
          </cell>
          <cell r="AB788" t="str">
            <v>14</v>
          </cell>
          <cell r="AC788">
            <v>5</v>
          </cell>
          <cell r="AD788" t="str">
            <v>0</v>
          </cell>
          <cell r="AE788" t="str">
            <v>0</v>
          </cell>
          <cell r="AF788" t="str">
            <v>00</v>
          </cell>
          <cell r="AI788">
            <v>94290833</v>
          </cell>
          <cell r="AJ788">
            <v>41865129.850000001</v>
          </cell>
        </row>
        <row r="789">
          <cell r="A789" t="str">
            <v>02</v>
          </cell>
          <cell r="B789" t="str">
            <v>03</v>
          </cell>
          <cell r="C789" t="str">
            <v>178</v>
          </cell>
          <cell r="D789" t="str">
            <v>Снегоход РЫСЬ УС-440</v>
          </cell>
          <cell r="G789" t="str">
            <v>01</v>
          </cell>
          <cell r="H789">
            <v>17463</v>
          </cell>
          <cell r="I789">
            <v>0</v>
          </cell>
          <cell r="J789">
            <v>0</v>
          </cell>
          <cell r="K789">
            <v>1</v>
          </cell>
          <cell r="L789" t="str">
            <v>23</v>
          </cell>
          <cell r="M789" t="str">
            <v>50511</v>
          </cell>
          <cell r="N789" t="str">
            <v>16 3612050</v>
          </cell>
          <cell r="P789">
            <v>21.3</v>
          </cell>
          <cell r="Q789">
            <v>0</v>
          </cell>
          <cell r="R789" t="str">
            <v>1</v>
          </cell>
          <cell r="S789" t="str">
            <v>50</v>
          </cell>
          <cell r="T789">
            <v>96</v>
          </cell>
          <cell r="U789">
            <v>8</v>
          </cell>
          <cell r="V789">
            <v>96</v>
          </cell>
          <cell r="W789">
            <v>8</v>
          </cell>
          <cell r="X789">
            <v>96</v>
          </cell>
          <cell r="Y789">
            <v>0</v>
          </cell>
          <cell r="Z789">
            <v>0</v>
          </cell>
          <cell r="AD789" t="str">
            <v>0</v>
          </cell>
          <cell r="AE789" t="str">
            <v>0</v>
          </cell>
          <cell r="AF789" t="str">
            <v>00</v>
          </cell>
          <cell r="AI789">
            <v>17500000</v>
          </cell>
          <cell r="AJ789">
            <v>4970000</v>
          </cell>
        </row>
        <row r="790">
          <cell r="A790" t="str">
            <v>02</v>
          </cell>
          <cell r="B790" t="str">
            <v>05</v>
          </cell>
          <cell r="C790" t="str">
            <v>179</v>
          </cell>
          <cell r="D790" t="str">
            <v>Радиостанция КАМА</v>
          </cell>
          <cell r="E790" t="str">
            <v>г Горький</v>
          </cell>
          <cell r="G790" t="str">
            <v>01</v>
          </cell>
          <cell r="H790">
            <v>3846</v>
          </cell>
          <cell r="I790">
            <v>0</v>
          </cell>
          <cell r="J790">
            <v>0</v>
          </cell>
          <cell r="K790">
            <v>1.03</v>
          </cell>
          <cell r="L790" t="str">
            <v>20</v>
          </cell>
          <cell r="M790" t="str">
            <v>45620</v>
          </cell>
          <cell r="N790" t="str">
            <v>14 3221102</v>
          </cell>
          <cell r="P790">
            <v>12.5</v>
          </cell>
          <cell r="Q790">
            <v>0</v>
          </cell>
          <cell r="R790" t="str">
            <v>1</v>
          </cell>
          <cell r="S790" t="str">
            <v>45</v>
          </cell>
          <cell r="T790">
            <v>96</v>
          </cell>
          <cell r="U790">
            <v>8</v>
          </cell>
          <cell r="V790">
            <v>96</v>
          </cell>
          <cell r="W790">
            <v>8</v>
          </cell>
          <cell r="X790">
            <v>96</v>
          </cell>
          <cell r="Y790">
            <v>0</v>
          </cell>
          <cell r="Z790">
            <v>0</v>
          </cell>
          <cell r="AD790" t="str">
            <v>0</v>
          </cell>
          <cell r="AE790" t="str">
            <v>0</v>
          </cell>
          <cell r="AF790" t="str">
            <v>00</v>
          </cell>
          <cell r="AI790">
            <v>3722893</v>
          </cell>
          <cell r="AJ790">
            <v>620482.17000000004</v>
          </cell>
        </row>
        <row r="791">
          <cell r="A791" t="str">
            <v>02</v>
          </cell>
          <cell r="B791" t="str">
            <v>05</v>
          </cell>
          <cell r="C791" t="str">
            <v>180</v>
          </cell>
          <cell r="D791" t="str">
            <v>Радиостанция КАМА</v>
          </cell>
          <cell r="E791" t="str">
            <v>г Горький</v>
          </cell>
          <cell r="G791" t="str">
            <v>01</v>
          </cell>
          <cell r="H791">
            <v>3846</v>
          </cell>
          <cell r="I791">
            <v>0</v>
          </cell>
          <cell r="J791">
            <v>0</v>
          </cell>
          <cell r="K791">
            <v>1.03</v>
          </cell>
          <cell r="L791" t="str">
            <v>20</v>
          </cell>
          <cell r="M791" t="str">
            <v>45620</v>
          </cell>
          <cell r="N791" t="str">
            <v>14 3221102</v>
          </cell>
          <cell r="P791">
            <v>12.5</v>
          </cell>
          <cell r="Q791">
            <v>0</v>
          </cell>
          <cell r="R791" t="str">
            <v>1</v>
          </cell>
          <cell r="S791" t="str">
            <v>45</v>
          </cell>
          <cell r="T791">
            <v>96</v>
          </cell>
          <cell r="U791">
            <v>8</v>
          </cell>
          <cell r="V791">
            <v>96</v>
          </cell>
          <cell r="W791">
            <v>8</v>
          </cell>
          <cell r="X791">
            <v>96</v>
          </cell>
          <cell r="Y791">
            <v>0</v>
          </cell>
          <cell r="Z791">
            <v>0</v>
          </cell>
          <cell r="AD791" t="str">
            <v>0</v>
          </cell>
          <cell r="AE791" t="str">
            <v>0</v>
          </cell>
          <cell r="AF791" t="str">
            <v>00</v>
          </cell>
          <cell r="AI791">
            <v>3722893</v>
          </cell>
          <cell r="AJ791">
            <v>620482.17000000004</v>
          </cell>
        </row>
        <row r="792">
          <cell r="A792" t="str">
            <v>02</v>
          </cell>
          <cell r="B792" t="str">
            <v>02</v>
          </cell>
          <cell r="C792" t="str">
            <v>181</v>
          </cell>
          <cell r="D792" t="str">
            <v>Холодильный ларь F-4</v>
          </cell>
          <cell r="E792" t="str">
            <v>1  Дания</v>
          </cell>
          <cell r="G792" t="str">
            <v>01</v>
          </cell>
          <cell r="H792">
            <v>3375</v>
          </cell>
          <cell r="I792">
            <v>0</v>
          </cell>
          <cell r="J792">
            <v>0</v>
          </cell>
          <cell r="K792">
            <v>1</v>
          </cell>
          <cell r="L792" t="str">
            <v>20</v>
          </cell>
          <cell r="M792" t="str">
            <v>45800</v>
          </cell>
          <cell r="N792" t="str">
            <v>16 2930100</v>
          </cell>
          <cell r="P792">
            <v>10</v>
          </cell>
          <cell r="Q792">
            <v>0</v>
          </cell>
          <cell r="R792" t="str">
            <v>1</v>
          </cell>
          <cell r="S792" t="str">
            <v>45</v>
          </cell>
          <cell r="T792">
            <v>96</v>
          </cell>
          <cell r="U792">
            <v>8</v>
          </cell>
          <cell r="V792">
            <v>96</v>
          </cell>
          <cell r="W792">
            <v>8</v>
          </cell>
          <cell r="X792">
            <v>96</v>
          </cell>
          <cell r="Y792">
            <v>0</v>
          </cell>
          <cell r="Z792">
            <v>0</v>
          </cell>
          <cell r="AB792" t="str">
            <v>14</v>
          </cell>
          <cell r="AC792">
            <v>2</v>
          </cell>
          <cell r="AD792" t="str">
            <v>0</v>
          </cell>
          <cell r="AE792" t="str">
            <v>0</v>
          </cell>
          <cell r="AF792" t="str">
            <v>00</v>
          </cell>
          <cell r="AI792">
            <v>3375000</v>
          </cell>
          <cell r="AJ792">
            <v>450000</v>
          </cell>
        </row>
        <row r="793">
          <cell r="A793" t="str">
            <v>17</v>
          </cell>
          <cell r="B793" t="str">
            <v>82</v>
          </cell>
          <cell r="C793" t="str">
            <v>182</v>
          </cell>
          <cell r="D793" t="str">
            <v>Холодильный ларь F-4</v>
          </cell>
          <cell r="E793" t="str">
            <v>1</v>
          </cell>
          <cell r="G793" t="str">
            <v>01</v>
          </cell>
          <cell r="H793">
            <v>3375</v>
          </cell>
          <cell r="I793">
            <v>0</v>
          </cell>
          <cell r="J793">
            <v>0</v>
          </cell>
          <cell r="K793">
            <v>1</v>
          </cell>
          <cell r="L793" t="str">
            <v>29</v>
          </cell>
          <cell r="M793" t="str">
            <v>45800</v>
          </cell>
          <cell r="N793" t="str">
            <v>16 3697050</v>
          </cell>
          <cell r="P793">
            <v>10</v>
          </cell>
          <cell r="Q793">
            <v>0</v>
          </cell>
          <cell r="R793" t="str">
            <v>1</v>
          </cell>
          <cell r="S793" t="str">
            <v>45</v>
          </cell>
          <cell r="T793">
            <v>96</v>
          </cell>
          <cell r="U793">
            <v>8</v>
          </cell>
          <cell r="V793">
            <v>96</v>
          </cell>
          <cell r="W793">
            <v>8</v>
          </cell>
          <cell r="X793">
            <v>96</v>
          </cell>
          <cell r="Y793">
            <v>0</v>
          </cell>
          <cell r="Z793">
            <v>0</v>
          </cell>
          <cell r="AB793" t="str">
            <v>14</v>
          </cell>
          <cell r="AC793">
            <v>8</v>
          </cell>
          <cell r="AD793" t="str">
            <v>0</v>
          </cell>
          <cell r="AE793" t="str">
            <v>0</v>
          </cell>
          <cell r="AF793" t="str">
            <v>17</v>
          </cell>
          <cell r="AI793">
            <v>3375000</v>
          </cell>
          <cell r="AJ793">
            <v>450000</v>
          </cell>
        </row>
        <row r="794">
          <cell r="A794" t="str">
            <v>02</v>
          </cell>
          <cell r="B794" t="str">
            <v>02</v>
          </cell>
          <cell r="C794" t="str">
            <v>184</v>
          </cell>
          <cell r="D794" t="str">
            <v>Передвижная эл.станц</v>
          </cell>
          <cell r="E794" t="str">
            <v>ия 100 квт ДЭС-100</v>
          </cell>
          <cell r="G794" t="str">
            <v>01</v>
          </cell>
          <cell r="H794">
            <v>110000</v>
          </cell>
          <cell r="I794">
            <v>0</v>
          </cell>
          <cell r="J794">
            <v>0</v>
          </cell>
          <cell r="K794">
            <v>1.06</v>
          </cell>
          <cell r="L794" t="str">
            <v>20</v>
          </cell>
          <cell r="M794" t="str">
            <v>40307</v>
          </cell>
          <cell r="N794" t="str">
            <v>14 3149130</v>
          </cell>
          <cell r="P794">
            <v>14.3</v>
          </cell>
          <cell r="Q794">
            <v>0</v>
          </cell>
          <cell r="R794" t="str">
            <v>1</v>
          </cell>
          <cell r="S794" t="str">
            <v>40</v>
          </cell>
          <cell r="T794">
            <v>90</v>
          </cell>
          <cell r="U794">
            <v>9</v>
          </cell>
          <cell r="V794">
            <v>96</v>
          </cell>
          <cell r="W794">
            <v>9</v>
          </cell>
          <cell r="X794">
            <v>96</v>
          </cell>
          <cell r="Y794">
            <v>0</v>
          </cell>
          <cell r="Z794">
            <v>0</v>
          </cell>
          <cell r="AB794" t="str">
            <v>14</v>
          </cell>
          <cell r="AC794">
            <v>8</v>
          </cell>
          <cell r="AD794" t="str">
            <v>0</v>
          </cell>
          <cell r="AE794" t="str">
            <v>0</v>
          </cell>
          <cell r="AF794" t="str">
            <v>00</v>
          </cell>
          <cell r="AI794">
            <v>103329200</v>
          </cell>
          <cell r="AJ794">
            <v>18470094.5</v>
          </cell>
        </row>
        <row r="795">
          <cell r="A795" t="str">
            <v>02</v>
          </cell>
          <cell r="B795" t="str">
            <v>23</v>
          </cell>
          <cell r="C795" t="str">
            <v>185</v>
          </cell>
          <cell r="D795" t="str">
            <v>А/м КАМАЗ 4310 а/цис</v>
          </cell>
          <cell r="E795" t="str">
            <v>церна N С284ВУ</v>
          </cell>
          <cell r="F795" t="str">
            <v>дв065337 ш2085878</v>
          </cell>
          <cell r="G795" t="str">
            <v>01</v>
          </cell>
          <cell r="H795">
            <v>193667.96</v>
          </cell>
          <cell r="I795">
            <v>0</v>
          </cell>
          <cell r="J795">
            <v>232400</v>
          </cell>
          <cell r="K795">
            <v>1.06</v>
          </cell>
          <cell r="L795" t="str">
            <v>23</v>
          </cell>
          <cell r="M795" t="str">
            <v>42000</v>
          </cell>
          <cell r="N795" t="str">
            <v>15 3410364</v>
          </cell>
          <cell r="P795">
            <v>12.5</v>
          </cell>
          <cell r="Q795">
            <v>0</v>
          </cell>
          <cell r="R795" t="str">
            <v>1</v>
          </cell>
          <cell r="S795" t="str">
            <v>42</v>
          </cell>
          <cell r="T795">
            <v>96</v>
          </cell>
          <cell r="U795">
            <v>9</v>
          </cell>
          <cell r="V795">
            <v>96</v>
          </cell>
          <cell r="W795">
            <v>9</v>
          </cell>
          <cell r="X795">
            <v>96</v>
          </cell>
          <cell r="Y795">
            <v>9</v>
          </cell>
          <cell r="Z795">
            <v>96</v>
          </cell>
          <cell r="AD795" t="str">
            <v>0</v>
          </cell>
          <cell r="AE795" t="str">
            <v>0</v>
          </cell>
          <cell r="AF795" t="str">
            <v>00</v>
          </cell>
          <cell r="AI795">
            <v>220198532</v>
          </cell>
          <cell r="AJ795">
            <v>34406020.630000003</v>
          </cell>
        </row>
        <row r="796">
          <cell r="A796" t="str">
            <v>02</v>
          </cell>
          <cell r="B796" t="str">
            <v>23</v>
          </cell>
          <cell r="C796" t="str">
            <v>190</v>
          </cell>
          <cell r="D796" t="str">
            <v>А/м ЗИЛ-131 передвиж</v>
          </cell>
          <cell r="E796" t="str">
            <v>мастерская N С283ВУ</v>
          </cell>
          <cell r="F796" t="str">
            <v>дв499883 ш662224</v>
          </cell>
          <cell r="G796" t="str">
            <v>01</v>
          </cell>
          <cell r="H796">
            <v>56160</v>
          </cell>
          <cell r="I796">
            <v>0</v>
          </cell>
          <cell r="J796">
            <v>67391.55</v>
          </cell>
          <cell r="K796">
            <v>1.08</v>
          </cell>
          <cell r="L796" t="str">
            <v>23</v>
          </cell>
          <cell r="M796" t="str">
            <v>50426</v>
          </cell>
          <cell r="N796" t="str">
            <v>15 3410359</v>
          </cell>
          <cell r="P796">
            <v>10</v>
          </cell>
          <cell r="Q796">
            <v>0</v>
          </cell>
          <cell r="R796" t="str">
            <v>1</v>
          </cell>
          <cell r="S796" t="str">
            <v>50</v>
          </cell>
          <cell r="T796">
            <v>96</v>
          </cell>
          <cell r="U796">
            <v>9</v>
          </cell>
          <cell r="V796">
            <v>96</v>
          </cell>
          <cell r="W796">
            <v>9</v>
          </cell>
          <cell r="X796">
            <v>96</v>
          </cell>
          <cell r="Y796">
            <v>9</v>
          </cell>
          <cell r="Z796">
            <v>96</v>
          </cell>
          <cell r="AD796" t="str">
            <v>0</v>
          </cell>
          <cell r="AE796" t="str">
            <v>0</v>
          </cell>
          <cell r="AF796" t="str">
            <v>00</v>
          </cell>
          <cell r="AI796">
            <v>62399584</v>
          </cell>
          <cell r="AJ796">
            <v>7799948</v>
          </cell>
        </row>
        <row r="797">
          <cell r="A797" t="str">
            <v>17</v>
          </cell>
          <cell r="B797" t="str">
            <v>82</v>
          </cell>
          <cell r="C797" t="str">
            <v>191</v>
          </cell>
          <cell r="D797" t="str">
            <v>Эл.плита ПЭ-4Ш</v>
          </cell>
          <cell r="G797" t="str">
            <v>01</v>
          </cell>
          <cell r="H797">
            <v>3950</v>
          </cell>
          <cell r="I797">
            <v>0</v>
          </cell>
          <cell r="J797">
            <v>0</v>
          </cell>
          <cell r="K797">
            <v>0.95</v>
          </cell>
          <cell r="L797" t="str">
            <v>26</v>
          </cell>
          <cell r="M797" t="str">
            <v>45804</v>
          </cell>
          <cell r="N797" t="str">
            <v>16 2930122</v>
          </cell>
          <cell r="P797">
            <v>12.5</v>
          </cell>
          <cell r="Q797">
            <v>0</v>
          </cell>
          <cell r="R797" t="str">
            <v>1</v>
          </cell>
          <cell r="S797" t="str">
            <v>45</v>
          </cell>
          <cell r="T797">
            <v>96</v>
          </cell>
          <cell r="U797">
            <v>9</v>
          </cell>
          <cell r="V797">
            <v>96</v>
          </cell>
          <cell r="W797">
            <v>9</v>
          </cell>
          <cell r="X797">
            <v>96</v>
          </cell>
          <cell r="Y797">
            <v>0</v>
          </cell>
          <cell r="Z797">
            <v>0</v>
          </cell>
          <cell r="AB797" t="str">
            <v>14</v>
          </cell>
          <cell r="AC797">
            <v>11</v>
          </cell>
          <cell r="AD797" t="str">
            <v>0</v>
          </cell>
          <cell r="AE797" t="str">
            <v>0</v>
          </cell>
          <cell r="AF797" t="str">
            <v>17</v>
          </cell>
          <cell r="AI797">
            <v>4166667</v>
          </cell>
          <cell r="AJ797">
            <v>651041.72</v>
          </cell>
        </row>
        <row r="798">
          <cell r="A798" t="str">
            <v>17</v>
          </cell>
          <cell r="B798" t="str">
            <v>82</v>
          </cell>
          <cell r="C798" t="str">
            <v>192</v>
          </cell>
          <cell r="D798" t="str">
            <v>Эл.плита ПЭ-4Ш</v>
          </cell>
          <cell r="G798" t="str">
            <v>01</v>
          </cell>
          <cell r="H798">
            <v>3950</v>
          </cell>
          <cell r="I798">
            <v>0</v>
          </cell>
          <cell r="J798">
            <v>0</v>
          </cell>
          <cell r="K798">
            <v>0.95</v>
          </cell>
          <cell r="L798" t="str">
            <v>26</v>
          </cell>
          <cell r="M798" t="str">
            <v>45804</v>
          </cell>
          <cell r="N798" t="str">
            <v>16 2930122</v>
          </cell>
          <cell r="P798">
            <v>12.5</v>
          </cell>
          <cell r="Q798">
            <v>0</v>
          </cell>
          <cell r="R798" t="str">
            <v>1</v>
          </cell>
          <cell r="S798" t="str">
            <v>45</v>
          </cell>
          <cell r="T798">
            <v>96</v>
          </cell>
          <cell r="U798">
            <v>9</v>
          </cell>
          <cell r="V798">
            <v>96</v>
          </cell>
          <cell r="W798">
            <v>9</v>
          </cell>
          <cell r="X798">
            <v>96</v>
          </cell>
          <cell r="Y798">
            <v>0</v>
          </cell>
          <cell r="Z798">
            <v>0</v>
          </cell>
          <cell r="AB798" t="str">
            <v>14</v>
          </cell>
          <cell r="AC798">
            <v>11</v>
          </cell>
          <cell r="AD798" t="str">
            <v>0</v>
          </cell>
          <cell r="AE798" t="str">
            <v>0</v>
          </cell>
          <cell r="AF798" t="str">
            <v>17</v>
          </cell>
          <cell r="AI798">
            <v>4166667</v>
          </cell>
          <cell r="AJ798">
            <v>651041.72</v>
          </cell>
        </row>
        <row r="799">
          <cell r="A799" t="str">
            <v>02</v>
          </cell>
          <cell r="B799" t="str">
            <v>05</v>
          </cell>
          <cell r="C799" t="str">
            <v>195</v>
          </cell>
          <cell r="D799" t="str">
            <v>Мотопомпа с двигател</v>
          </cell>
          <cell r="E799" t="str">
            <v>ем Дружба</v>
          </cell>
          <cell r="G799" t="str">
            <v>01</v>
          </cell>
          <cell r="H799">
            <v>1487.5</v>
          </cell>
          <cell r="I799">
            <v>0</v>
          </cell>
          <cell r="J799">
            <v>0</v>
          </cell>
          <cell r="K799">
            <v>1.05</v>
          </cell>
          <cell r="L799" t="str">
            <v>20</v>
          </cell>
          <cell r="M799" t="str">
            <v>41502</v>
          </cell>
          <cell r="N799" t="str">
            <v>14 2912000</v>
          </cell>
          <cell r="P799">
            <v>12.5</v>
          </cell>
          <cell r="Q799">
            <v>0</v>
          </cell>
          <cell r="R799" t="str">
            <v>1</v>
          </cell>
          <cell r="S799" t="str">
            <v>41</v>
          </cell>
          <cell r="T799">
            <v>95</v>
          </cell>
          <cell r="U799">
            <v>10</v>
          </cell>
          <cell r="V799">
            <v>96</v>
          </cell>
          <cell r="W799">
            <v>10</v>
          </cell>
          <cell r="X799">
            <v>96</v>
          </cell>
          <cell r="Y799">
            <v>0</v>
          </cell>
          <cell r="Z799">
            <v>0</v>
          </cell>
          <cell r="AD799" t="str">
            <v>0</v>
          </cell>
          <cell r="AE799" t="str">
            <v>0</v>
          </cell>
          <cell r="AF799" t="str">
            <v>00</v>
          </cell>
          <cell r="AI799">
            <v>1416667</v>
          </cell>
          <cell r="AJ799">
            <v>206597.27</v>
          </cell>
        </row>
        <row r="800">
          <cell r="A800" t="str">
            <v>02</v>
          </cell>
          <cell r="B800" t="str">
            <v>05</v>
          </cell>
          <cell r="C800" t="str">
            <v>196</v>
          </cell>
          <cell r="D800" t="str">
            <v>Мотопомпа с двигател</v>
          </cell>
          <cell r="E800" t="str">
            <v>ем Дружба</v>
          </cell>
          <cell r="G800" t="str">
            <v>01</v>
          </cell>
          <cell r="H800">
            <v>1487.5</v>
          </cell>
          <cell r="I800">
            <v>0</v>
          </cell>
          <cell r="J800">
            <v>0</v>
          </cell>
          <cell r="K800">
            <v>1.05</v>
          </cell>
          <cell r="L800" t="str">
            <v>20</v>
          </cell>
          <cell r="M800" t="str">
            <v>41502</v>
          </cell>
          <cell r="N800" t="str">
            <v>14 2912000</v>
          </cell>
          <cell r="P800">
            <v>12.5</v>
          </cell>
          <cell r="Q800">
            <v>0</v>
          </cell>
          <cell r="R800" t="str">
            <v>1</v>
          </cell>
          <cell r="S800" t="str">
            <v>41</v>
          </cell>
          <cell r="T800">
            <v>95</v>
          </cell>
          <cell r="U800">
            <v>10</v>
          </cell>
          <cell r="V800">
            <v>96</v>
          </cell>
          <cell r="W800">
            <v>10</v>
          </cell>
          <cell r="X800">
            <v>96</v>
          </cell>
          <cell r="Y800">
            <v>0</v>
          </cell>
          <cell r="Z800">
            <v>0</v>
          </cell>
          <cell r="AD800" t="str">
            <v>0</v>
          </cell>
          <cell r="AE800" t="str">
            <v>0</v>
          </cell>
          <cell r="AF800" t="str">
            <v>00</v>
          </cell>
          <cell r="AI800">
            <v>1416667</v>
          </cell>
          <cell r="AJ800">
            <v>206597.27</v>
          </cell>
        </row>
        <row r="801">
          <cell r="A801" t="str">
            <v>02</v>
          </cell>
          <cell r="B801" t="str">
            <v>05</v>
          </cell>
          <cell r="C801" t="str">
            <v>197</v>
          </cell>
          <cell r="D801" t="str">
            <v>Мотор Ветерок 12 л с</v>
          </cell>
          <cell r="G801" t="str">
            <v>01</v>
          </cell>
          <cell r="H801">
            <v>1601.25</v>
          </cell>
          <cell r="I801">
            <v>0</v>
          </cell>
          <cell r="J801">
            <v>0</v>
          </cell>
          <cell r="K801">
            <v>1.05</v>
          </cell>
          <cell r="L801" t="str">
            <v>20</v>
          </cell>
          <cell r="M801" t="str">
            <v>40411</v>
          </cell>
          <cell r="N801" t="str">
            <v>14 2911110</v>
          </cell>
          <cell r="P801">
            <v>14.3</v>
          </cell>
          <cell r="Q801">
            <v>0</v>
          </cell>
          <cell r="R801" t="str">
            <v>1</v>
          </cell>
          <cell r="S801" t="str">
            <v>40</v>
          </cell>
          <cell r="T801">
            <v>96</v>
          </cell>
          <cell r="U801">
            <v>10</v>
          </cell>
          <cell r="V801">
            <v>96</v>
          </cell>
          <cell r="W801">
            <v>10</v>
          </cell>
          <cell r="X801">
            <v>96</v>
          </cell>
          <cell r="Y801">
            <v>0</v>
          </cell>
          <cell r="Z801">
            <v>0</v>
          </cell>
          <cell r="AD801" t="str">
            <v>0</v>
          </cell>
          <cell r="AE801" t="str">
            <v>0</v>
          </cell>
          <cell r="AF801" t="str">
            <v>00</v>
          </cell>
          <cell r="AI801">
            <v>1525000</v>
          </cell>
          <cell r="AJ801">
            <v>254420.83</v>
          </cell>
        </row>
        <row r="802">
          <cell r="A802" t="str">
            <v>02</v>
          </cell>
          <cell r="B802" t="str">
            <v>05</v>
          </cell>
          <cell r="C802" t="str">
            <v>198</v>
          </cell>
          <cell r="D802" t="str">
            <v>Бензопила Урал</v>
          </cell>
          <cell r="G802" t="str">
            <v>01</v>
          </cell>
          <cell r="H802">
            <v>1407.98</v>
          </cell>
          <cell r="I802">
            <v>0</v>
          </cell>
          <cell r="J802">
            <v>0</v>
          </cell>
          <cell r="K802">
            <v>1.1299999999999999</v>
          </cell>
          <cell r="L802" t="str">
            <v>20</v>
          </cell>
          <cell r="M802" t="str">
            <v>60002</v>
          </cell>
          <cell r="N802" t="str">
            <v>14 2941151</v>
          </cell>
          <cell r="P802">
            <v>20</v>
          </cell>
          <cell r="Q802">
            <v>0</v>
          </cell>
          <cell r="R802" t="str">
            <v>1</v>
          </cell>
          <cell r="S802" t="str">
            <v>60</v>
          </cell>
          <cell r="T802">
            <v>96</v>
          </cell>
          <cell r="U802">
            <v>10</v>
          </cell>
          <cell r="V802">
            <v>96</v>
          </cell>
          <cell r="W802">
            <v>10</v>
          </cell>
          <cell r="X802">
            <v>96</v>
          </cell>
          <cell r="Y802">
            <v>0</v>
          </cell>
          <cell r="Z802">
            <v>0</v>
          </cell>
          <cell r="AD802" t="str">
            <v>0</v>
          </cell>
          <cell r="AE802" t="str">
            <v>0</v>
          </cell>
          <cell r="AF802" t="str">
            <v>00</v>
          </cell>
          <cell r="AI802">
            <v>1250000</v>
          </cell>
          <cell r="AJ802">
            <v>291666.67</v>
          </cell>
        </row>
        <row r="803">
          <cell r="A803" t="str">
            <v>02</v>
          </cell>
          <cell r="B803" t="str">
            <v>04</v>
          </cell>
          <cell r="C803" t="str">
            <v>199</v>
          </cell>
          <cell r="D803" t="str">
            <v>Силовой трансформато</v>
          </cell>
          <cell r="E803" t="str">
            <v>р /подстанция/ мощ-</v>
          </cell>
          <cell r="F803" t="str">
            <v>ность 630 кВт</v>
          </cell>
          <cell r="G803" t="str">
            <v>01</v>
          </cell>
          <cell r="H803">
            <v>3784.47</v>
          </cell>
          <cell r="I803">
            <v>1790.68</v>
          </cell>
          <cell r="J803">
            <v>0</v>
          </cell>
          <cell r="K803">
            <v>1.01</v>
          </cell>
          <cell r="L803" t="str">
            <v>23</v>
          </cell>
          <cell r="M803" t="str">
            <v>40705</v>
          </cell>
          <cell r="N803" t="str">
            <v>14 3115202</v>
          </cell>
          <cell r="P803">
            <v>4.4000000000000004</v>
          </cell>
          <cell r="Q803">
            <v>0</v>
          </cell>
          <cell r="R803" t="str">
            <v>1</v>
          </cell>
          <cell r="S803" t="str">
            <v>40</v>
          </cell>
          <cell r="T803">
            <v>86</v>
          </cell>
          <cell r="U803">
            <v>11</v>
          </cell>
          <cell r="V803">
            <v>96</v>
          </cell>
          <cell r="W803">
            <v>11</v>
          </cell>
          <cell r="X803">
            <v>96</v>
          </cell>
          <cell r="Y803">
            <v>0</v>
          </cell>
          <cell r="Z803">
            <v>0</v>
          </cell>
          <cell r="AD803" t="str">
            <v>0</v>
          </cell>
          <cell r="AE803" t="str">
            <v>0</v>
          </cell>
          <cell r="AF803" t="str">
            <v>00</v>
          </cell>
          <cell r="AI803">
            <v>3746995</v>
          </cell>
          <cell r="AJ803">
            <v>1951560.12</v>
          </cell>
        </row>
        <row r="804">
          <cell r="A804" t="str">
            <v>02</v>
          </cell>
          <cell r="B804" t="str">
            <v>80</v>
          </cell>
          <cell r="C804" t="str">
            <v>200</v>
          </cell>
          <cell r="D804" t="str">
            <v>К-т офисной мебели</v>
          </cell>
          <cell r="E804" t="str">
            <v>Италия</v>
          </cell>
          <cell r="G804" t="str">
            <v>01</v>
          </cell>
          <cell r="H804">
            <v>44845.24</v>
          </cell>
          <cell r="I804">
            <v>0</v>
          </cell>
          <cell r="J804">
            <v>0</v>
          </cell>
          <cell r="K804">
            <v>1</v>
          </cell>
          <cell r="L804" t="str">
            <v>26</v>
          </cell>
          <cell r="M804" t="str">
            <v>70003</v>
          </cell>
          <cell r="N804" t="str">
            <v>16 3612050</v>
          </cell>
          <cell r="P804">
            <v>10</v>
          </cell>
          <cell r="Q804">
            <v>0</v>
          </cell>
          <cell r="R804" t="str">
            <v>1</v>
          </cell>
          <cell r="S804" t="str">
            <v>70</v>
          </cell>
          <cell r="T804">
            <v>96</v>
          </cell>
          <cell r="U804">
            <v>12</v>
          </cell>
          <cell r="V804">
            <v>96</v>
          </cell>
          <cell r="W804">
            <v>12</v>
          </cell>
          <cell r="X804">
            <v>96</v>
          </cell>
          <cell r="Y804">
            <v>0</v>
          </cell>
          <cell r="Z804">
            <v>0</v>
          </cell>
          <cell r="AB804" t="str">
            <v>14</v>
          </cell>
          <cell r="AC804">
            <v>4</v>
          </cell>
          <cell r="AD804" t="str">
            <v>0</v>
          </cell>
          <cell r="AE804" t="str">
            <v>0</v>
          </cell>
          <cell r="AF804" t="str">
            <v>00</v>
          </cell>
          <cell r="AI804">
            <v>44845235</v>
          </cell>
          <cell r="AJ804">
            <v>4484523.5</v>
          </cell>
        </row>
        <row r="805">
          <cell r="A805" t="str">
            <v>02</v>
          </cell>
          <cell r="B805" t="str">
            <v>80</v>
          </cell>
          <cell r="C805" t="str">
            <v>201</v>
          </cell>
          <cell r="D805" t="str">
            <v>К-т офисной мебели</v>
          </cell>
          <cell r="E805" t="str">
            <v>Италия</v>
          </cell>
          <cell r="G805" t="str">
            <v>01</v>
          </cell>
          <cell r="H805">
            <v>44845.24</v>
          </cell>
          <cell r="I805">
            <v>0</v>
          </cell>
          <cell r="J805">
            <v>0</v>
          </cell>
          <cell r="K805">
            <v>1</v>
          </cell>
          <cell r="L805" t="str">
            <v>26</v>
          </cell>
          <cell r="M805" t="str">
            <v>70003</v>
          </cell>
          <cell r="N805" t="str">
            <v>16 3612050</v>
          </cell>
          <cell r="P805">
            <v>10</v>
          </cell>
          <cell r="Q805">
            <v>0</v>
          </cell>
          <cell r="R805" t="str">
            <v>1</v>
          </cell>
          <cell r="S805" t="str">
            <v>70</v>
          </cell>
          <cell r="T805">
            <v>96</v>
          </cell>
          <cell r="U805">
            <v>12</v>
          </cell>
          <cell r="V805">
            <v>96</v>
          </cell>
          <cell r="W805">
            <v>12</v>
          </cell>
          <cell r="X805">
            <v>96</v>
          </cell>
          <cell r="Y805">
            <v>0</v>
          </cell>
          <cell r="Z805">
            <v>0</v>
          </cell>
          <cell r="AB805" t="str">
            <v>14</v>
          </cell>
          <cell r="AC805">
            <v>4</v>
          </cell>
          <cell r="AD805" t="str">
            <v>0</v>
          </cell>
          <cell r="AE805" t="str">
            <v>0</v>
          </cell>
          <cell r="AF805" t="str">
            <v>00</v>
          </cell>
          <cell r="AI805">
            <v>44845235</v>
          </cell>
          <cell r="AJ805">
            <v>4484523.5</v>
          </cell>
        </row>
        <row r="806">
          <cell r="A806" t="str">
            <v>02</v>
          </cell>
          <cell r="B806" t="str">
            <v>80</v>
          </cell>
          <cell r="C806" t="str">
            <v>202</v>
          </cell>
          <cell r="D806" t="str">
            <v>Унмверсальное очисти</v>
          </cell>
          <cell r="E806" t="str">
            <v>тельно-ингаляционное</v>
          </cell>
          <cell r="F806" t="str">
            <v>оборудование Rainbow</v>
          </cell>
          <cell r="G806" t="str">
            <v>01</v>
          </cell>
          <cell r="H806">
            <v>10219.18</v>
          </cell>
          <cell r="I806">
            <v>0</v>
          </cell>
          <cell r="J806">
            <v>0</v>
          </cell>
          <cell r="K806">
            <v>1.01</v>
          </cell>
          <cell r="L806" t="str">
            <v>26</v>
          </cell>
          <cell r="M806" t="str">
            <v>70005</v>
          </cell>
          <cell r="N806" t="str">
            <v>14 3311269</v>
          </cell>
          <cell r="P806">
            <v>8.3000000000000007</v>
          </cell>
          <cell r="Q806">
            <v>0</v>
          </cell>
          <cell r="R806" t="str">
            <v>1</v>
          </cell>
          <cell r="S806" t="str">
            <v>46</v>
          </cell>
          <cell r="T806">
            <v>96</v>
          </cell>
          <cell r="U806">
            <v>12</v>
          </cell>
          <cell r="V806">
            <v>96</v>
          </cell>
          <cell r="W806">
            <v>12</v>
          </cell>
          <cell r="X806">
            <v>96</v>
          </cell>
          <cell r="Y806">
            <v>0</v>
          </cell>
          <cell r="Z806">
            <v>0</v>
          </cell>
          <cell r="AB806" t="str">
            <v>14</v>
          </cell>
          <cell r="AC806">
            <v>10</v>
          </cell>
          <cell r="AD806" t="str">
            <v>0</v>
          </cell>
          <cell r="AE806" t="str">
            <v>0</v>
          </cell>
          <cell r="AF806" t="str">
            <v>00</v>
          </cell>
          <cell r="AI806">
            <v>10117996</v>
          </cell>
          <cell r="AJ806">
            <v>1011799.6</v>
          </cell>
        </row>
        <row r="807">
          <cell r="A807" t="str">
            <v>02</v>
          </cell>
          <cell r="B807" t="str">
            <v>80</v>
          </cell>
          <cell r="C807" t="str">
            <v>203</v>
          </cell>
          <cell r="D807" t="str">
            <v>Универсальное очисти</v>
          </cell>
          <cell r="E807" t="str">
            <v>тельно-ингаляционное</v>
          </cell>
          <cell r="F807" t="str">
            <v>оборудование Rainbow</v>
          </cell>
          <cell r="G807" t="str">
            <v>01</v>
          </cell>
          <cell r="H807">
            <v>10219.18</v>
          </cell>
          <cell r="I807">
            <v>0</v>
          </cell>
          <cell r="J807">
            <v>0</v>
          </cell>
          <cell r="K807">
            <v>1.01</v>
          </cell>
          <cell r="L807" t="str">
            <v>26</v>
          </cell>
          <cell r="M807" t="str">
            <v>70005</v>
          </cell>
          <cell r="N807" t="str">
            <v>14 3311269</v>
          </cell>
          <cell r="P807">
            <v>8.3000000000000007</v>
          </cell>
          <cell r="Q807">
            <v>0</v>
          </cell>
          <cell r="R807" t="str">
            <v>1</v>
          </cell>
          <cell r="S807" t="str">
            <v>46</v>
          </cell>
          <cell r="T807">
            <v>96</v>
          </cell>
          <cell r="U807">
            <v>12</v>
          </cell>
          <cell r="V807">
            <v>96</v>
          </cell>
          <cell r="W807">
            <v>12</v>
          </cell>
          <cell r="X807">
            <v>96</v>
          </cell>
          <cell r="Y807">
            <v>0</v>
          </cell>
          <cell r="Z807">
            <v>0</v>
          </cell>
          <cell r="AB807" t="str">
            <v>14</v>
          </cell>
          <cell r="AC807">
            <v>10</v>
          </cell>
          <cell r="AD807" t="str">
            <v>0</v>
          </cell>
          <cell r="AE807" t="str">
            <v>0</v>
          </cell>
          <cell r="AF807" t="str">
            <v>00</v>
          </cell>
          <cell r="AI807">
            <v>10117996</v>
          </cell>
          <cell r="AJ807">
            <v>1011799.6</v>
          </cell>
        </row>
        <row r="808">
          <cell r="A808" t="str">
            <v>02</v>
          </cell>
          <cell r="B808" t="str">
            <v>80</v>
          </cell>
          <cell r="C808" t="str">
            <v>204</v>
          </cell>
          <cell r="D808" t="str">
            <v>Унмверсальное очисти</v>
          </cell>
          <cell r="E808" t="str">
            <v>тельно-ингаляционное</v>
          </cell>
          <cell r="F808" t="str">
            <v>оборудование Rainbow</v>
          </cell>
          <cell r="G808" t="str">
            <v>01</v>
          </cell>
          <cell r="H808">
            <v>10219.18</v>
          </cell>
          <cell r="I808">
            <v>0</v>
          </cell>
          <cell r="J808">
            <v>0</v>
          </cell>
          <cell r="K808">
            <v>1.01</v>
          </cell>
          <cell r="L808" t="str">
            <v>26</v>
          </cell>
          <cell r="M808" t="str">
            <v>70005</v>
          </cell>
          <cell r="N808" t="str">
            <v>14 3311269</v>
          </cell>
          <cell r="P808">
            <v>8.3000000000000007</v>
          </cell>
          <cell r="Q808">
            <v>0</v>
          </cell>
          <cell r="R808" t="str">
            <v>1</v>
          </cell>
          <cell r="S808" t="str">
            <v>46</v>
          </cell>
          <cell r="T808">
            <v>96</v>
          </cell>
          <cell r="U808">
            <v>12</v>
          </cell>
          <cell r="V808">
            <v>96</v>
          </cell>
          <cell r="W808">
            <v>12</v>
          </cell>
          <cell r="X808">
            <v>96</v>
          </cell>
          <cell r="Y808">
            <v>0</v>
          </cell>
          <cell r="Z808">
            <v>0</v>
          </cell>
          <cell r="AB808" t="str">
            <v>14</v>
          </cell>
          <cell r="AC808">
            <v>10</v>
          </cell>
          <cell r="AD808" t="str">
            <v>0</v>
          </cell>
          <cell r="AE808" t="str">
            <v>0</v>
          </cell>
          <cell r="AF808" t="str">
            <v>00</v>
          </cell>
          <cell r="AI808">
            <v>10117996</v>
          </cell>
          <cell r="AJ808">
            <v>1011799.6</v>
          </cell>
        </row>
        <row r="809">
          <cell r="A809" t="str">
            <v>02</v>
          </cell>
          <cell r="B809" t="str">
            <v>03</v>
          </cell>
          <cell r="C809" t="str">
            <v>205</v>
          </cell>
          <cell r="D809" t="str">
            <v>Мельница</v>
          </cell>
          <cell r="G809" t="str">
            <v>01</v>
          </cell>
          <cell r="H809">
            <v>130000</v>
          </cell>
          <cell r="I809">
            <v>0</v>
          </cell>
          <cell r="J809">
            <v>0</v>
          </cell>
          <cell r="K809">
            <v>1.04</v>
          </cell>
          <cell r="L809" t="str">
            <v>26</v>
          </cell>
          <cell r="M809" t="str">
            <v>45008</v>
          </cell>
          <cell r="N809" t="str">
            <v>11 4255661</v>
          </cell>
          <cell r="P809">
            <v>10</v>
          </cell>
          <cell r="Q809">
            <v>0</v>
          </cell>
          <cell r="R809" t="str">
            <v>1</v>
          </cell>
          <cell r="S809" t="str">
            <v>45</v>
          </cell>
          <cell r="T809">
            <v>96</v>
          </cell>
          <cell r="U809">
            <v>12</v>
          </cell>
          <cell r="V809">
            <v>96</v>
          </cell>
          <cell r="W809">
            <v>12</v>
          </cell>
          <cell r="X809">
            <v>96</v>
          </cell>
          <cell r="Y809">
            <v>0</v>
          </cell>
          <cell r="Z809">
            <v>0</v>
          </cell>
          <cell r="AD809" t="str">
            <v>0</v>
          </cell>
          <cell r="AE809" t="str">
            <v>0</v>
          </cell>
          <cell r="AF809" t="str">
            <v>00</v>
          </cell>
          <cell r="AI809">
            <v>125000000</v>
          </cell>
          <cell r="AJ809">
            <v>12500000</v>
          </cell>
        </row>
        <row r="810">
          <cell r="A810" t="str">
            <v>02</v>
          </cell>
          <cell r="B810" t="str">
            <v>61</v>
          </cell>
          <cell r="C810" t="str">
            <v>206</v>
          </cell>
          <cell r="D810" t="str">
            <v>Перфоратор GBH 2-24</v>
          </cell>
          <cell r="E810" t="str">
            <v>DSR</v>
          </cell>
          <cell r="G810" t="str">
            <v>01</v>
          </cell>
          <cell r="H810">
            <v>1870</v>
          </cell>
          <cell r="I810">
            <v>0</v>
          </cell>
          <cell r="J810">
            <v>0</v>
          </cell>
          <cell r="K810">
            <v>0.43</v>
          </cell>
          <cell r="L810" t="str">
            <v>23</v>
          </cell>
          <cell r="M810" t="str">
            <v>60000</v>
          </cell>
          <cell r="N810" t="str">
            <v>14 2947142</v>
          </cell>
          <cell r="P810">
            <v>44.3</v>
          </cell>
          <cell r="Q810">
            <v>0</v>
          </cell>
          <cell r="R810" t="str">
            <v>1</v>
          </cell>
          <cell r="S810" t="str">
            <v>60</v>
          </cell>
          <cell r="T810">
            <v>96</v>
          </cell>
          <cell r="U810">
            <v>12</v>
          </cell>
          <cell r="V810">
            <v>96</v>
          </cell>
          <cell r="W810">
            <v>12</v>
          </cell>
          <cell r="X810">
            <v>96</v>
          </cell>
          <cell r="Y810">
            <v>0</v>
          </cell>
          <cell r="Z810">
            <v>0</v>
          </cell>
          <cell r="AD810" t="str">
            <v>0</v>
          </cell>
          <cell r="AE810" t="str">
            <v>0</v>
          </cell>
          <cell r="AF810" t="str">
            <v>00</v>
          </cell>
          <cell r="AI810">
            <v>4382000</v>
          </cell>
          <cell r="AJ810">
            <v>1941226</v>
          </cell>
        </row>
        <row r="811">
          <cell r="A811" t="str">
            <v>02</v>
          </cell>
          <cell r="B811" t="str">
            <v>80</v>
          </cell>
          <cell r="C811" t="str">
            <v>207</v>
          </cell>
          <cell r="D811" t="str">
            <v>Монитор SVGA 0.28</v>
          </cell>
          <cell r="E811" t="str">
            <v>LR с контроллером</v>
          </cell>
          <cell r="G811" t="str">
            <v>01</v>
          </cell>
          <cell r="H811">
            <v>2115</v>
          </cell>
          <cell r="I811">
            <v>0</v>
          </cell>
          <cell r="J811">
            <v>0</v>
          </cell>
          <cell r="K811">
            <v>1</v>
          </cell>
          <cell r="L811" t="str">
            <v>23</v>
          </cell>
          <cell r="M811" t="str">
            <v>48008</v>
          </cell>
          <cell r="N811" t="str">
            <v>14 3020350</v>
          </cell>
          <cell r="P811">
            <v>10</v>
          </cell>
          <cell r="Q811">
            <v>0</v>
          </cell>
          <cell r="R811" t="str">
            <v>1</v>
          </cell>
          <cell r="S811" t="str">
            <v>48</v>
          </cell>
          <cell r="T811">
            <v>96</v>
          </cell>
          <cell r="U811">
            <v>12</v>
          </cell>
          <cell r="V811">
            <v>96</v>
          </cell>
          <cell r="W811">
            <v>12</v>
          </cell>
          <cell r="X811">
            <v>96</v>
          </cell>
          <cell r="Y811">
            <v>0</v>
          </cell>
          <cell r="Z811">
            <v>0</v>
          </cell>
          <cell r="AD811" t="str">
            <v>0</v>
          </cell>
          <cell r="AE811" t="str">
            <v>0</v>
          </cell>
          <cell r="AF811" t="str">
            <v>00</v>
          </cell>
          <cell r="AI811">
            <v>2115000</v>
          </cell>
          <cell r="AJ811">
            <v>211500</v>
          </cell>
        </row>
        <row r="812">
          <cell r="A812" t="str">
            <v>15</v>
          </cell>
          <cell r="B812" t="str">
            <v>81</v>
          </cell>
          <cell r="C812" t="str">
            <v>208</v>
          </cell>
          <cell r="D812" t="str">
            <v>Ручной массажор LQ-8</v>
          </cell>
          <cell r="E812" t="str">
            <v>08</v>
          </cell>
          <cell r="G812" t="str">
            <v>01</v>
          </cell>
          <cell r="H812">
            <v>4230</v>
          </cell>
          <cell r="I812">
            <v>0</v>
          </cell>
          <cell r="J812">
            <v>0</v>
          </cell>
          <cell r="K812">
            <v>1</v>
          </cell>
          <cell r="L812" t="str">
            <v>88/2</v>
          </cell>
          <cell r="M812" t="str">
            <v>46012</v>
          </cell>
          <cell r="N812" t="str">
            <v>14 3311269</v>
          </cell>
          <cell r="P812">
            <v>10</v>
          </cell>
          <cell r="Q812">
            <v>0</v>
          </cell>
          <cell r="R812" t="str">
            <v>1</v>
          </cell>
          <cell r="S812" t="str">
            <v>46</v>
          </cell>
          <cell r="T812">
            <v>96</v>
          </cell>
          <cell r="U812">
            <v>12</v>
          </cell>
          <cell r="V812">
            <v>96</v>
          </cell>
          <cell r="W812">
            <v>12</v>
          </cell>
          <cell r="X812">
            <v>96</v>
          </cell>
          <cell r="Y812">
            <v>0</v>
          </cell>
          <cell r="Z812">
            <v>0</v>
          </cell>
          <cell r="AB812" t="str">
            <v>14</v>
          </cell>
          <cell r="AC812">
            <v>2</v>
          </cell>
          <cell r="AD812" t="str">
            <v>0</v>
          </cell>
          <cell r="AE812" t="str">
            <v>0</v>
          </cell>
          <cell r="AF812" t="str">
            <v>15</v>
          </cell>
          <cell r="AI812">
            <v>4236333</v>
          </cell>
          <cell r="AJ812">
            <v>423633.3</v>
          </cell>
        </row>
        <row r="813">
          <cell r="A813" t="str">
            <v>15</v>
          </cell>
          <cell r="B813" t="str">
            <v>81</v>
          </cell>
          <cell r="C813" t="str">
            <v>209</v>
          </cell>
          <cell r="D813" t="str">
            <v>Ручной массажор LQ-8</v>
          </cell>
          <cell r="E813" t="str">
            <v>08</v>
          </cell>
          <cell r="G813" t="str">
            <v>01</v>
          </cell>
          <cell r="H813">
            <v>4230</v>
          </cell>
          <cell r="I813">
            <v>0</v>
          </cell>
          <cell r="J813">
            <v>0</v>
          </cell>
          <cell r="K813">
            <v>1</v>
          </cell>
          <cell r="L813" t="str">
            <v>88/2</v>
          </cell>
          <cell r="M813" t="str">
            <v>46012</v>
          </cell>
          <cell r="N813" t="str">
            <v>14 3311269</v>
          </cell>
          <cell r="P813">
            <v>10</v>
          </cell>
          <cell r="Q813">
            <v>0</v>
          </cell>
          <cell r="R813" t="str">
            <v>1</v>
          </cell>
          <cell r="S813" t="str">
            <v>46</v>
          </cell>
          <cell r="T813">
            <v>96</v>
          </cell>
          <cell r="U813">
            <v>12</v>
          </cell>
          <cell r="V813">
            <v>96</v>
          </cell>
          <cell r="W813">
            <v>12</v>
          </cell>
          <cell r="X813">
            <v>96</v>
          </cell>
          <cell r="Y813">
            <v>0</v>
          </cell>
          <cell r="Z813">
            <v>0</v>
          </cell>
          <cell r="AB813" t="str">
            <v>14</v>
          </cell>
          <cell r="AC813">
            <v>2</v>
          </cell>
          <cell r="AD813" t="str">
            <v>0</v>
          </cell>
          <cell r="AE813" t="str">
            <v>0</v>
          </cell>
          <cell r="AF813" t="str">
            <v>15</v>
          </cell>
          <cell r="AI813">
            <v>4236334</v>
          </cell>
          <cell r="AJ813">
            <v>423633.4</v>
          </cell>
        </row>
        <row r="814">
          <cell r="A814" t="str">
            <v>02</v>
          </cell>
          <cell r="B814" t="str">
            <v>23</v>
          </cell>
          <cell r="C814" t="str">
            <v>210</v>
          </cell>
          <cell r="D814" t="str">
            <v>А/м ГАЗ-330210 спец.</v>
          </cell>
          <cell r="E814" t="str">
            <v>автобус д/перевозки</v>
          </cell>
          <cell r="F814" t="str">
            <v>б-х и м/обор.NВ949УУ</v>
          </cell>
          <cell r="G814" t="str">
            <v>01</v>
          </cell>
          <cell r="H814">
            <v>12499.58</v>
          </cell>
          <cell r="I814">
            <v>0</v>
          </cell>
          <cell r="J814">
            <v>75000</v>
          </cell>
          <cell r="K814">
            <v>1.01</v>
          </cell>
          <cell r="L814" t="str">
            <v>88</v>
          </cell>
          <cell r="M814" t="str">
            <v>50427</v>
          </cell>
          <cell r="N814" t="str">
            <v>15 3410302</v>
          </cell>
          <cell r="P814">
            <v>14.3</v>
          </cell>
          <cell r="Q814">
            <v>0</v>
          </cell>
          <cell r="R814" t="str">
            <v>1</v>
          </cell>
          <cell r="S814" t="str">
            <v>50</v>
          </cell>
          <cell r="T814">
            <v>96</v>
          </cell>
          <cell r="U814">
            <v>12</v>
          </cell>
          <cell r="V814">
            <v>96</v>
          </cell>
          <cell r="W814">
            <v>12</v>
          </cell>
          <cell r="X814">
            <v>96</v>
          </cell>
          <cell r="Y814">
            <v>12</v>
          </cell>
          <cell r="Z814">
            <v>96</v>
          </cell>
          <cell r="AD814" t="str">
            <v>0</v>
          </cell>
          <cell r="AE814" t="str">
            <v>0</v>
          </cell>
          <cell r="AF814" t="str">
            <v>00</v>
          </cell>
          <cell r="AI814">
            <v>74279505</v>
          </cell>
          <cell r="AJ814">
            <v>10621969.220000001</v>
          </cell>
        </row>
        <row r="815">
          <cell r="A815" t="str">
            <v>02</v>
          </cell>
          <cell r="B815" t="str">
            <v>05</v>
          </cell>
          <cell r="C815" t="str">
            <v>212</v>
          </cell>
          <cell r="D815" t="str">
            <v>Машина д/резки труб</v>
          </cell>
          <cell r="E815" t="str">
            <v>МРТ 219-530</v>
          </cell>
          <cell r="G815" t="str">
            <v>01</v>
          </cell>
          <cell r="H815">
            <v>40000</v>
          </cell>
          <cell r="I815">
            <v>0</v>
          </cell>
          <cell r="J815">
            <v>0</v>
          </cell>
          <cell r="K815">
            <v>1.01</v>
          </cell>
          <cell r="L815" t="str">
            <v>20</v>
          </cell>
          <cell r="M815" t="str">
            <v>43802</v>
          </cell>
          <cell r="N815" t="str">
            <v>14 2918423</v>
          </cell>
          <cell r="P815">
            <v>15.4</v>
          </cell>
          <cell r="Q815">
            <v>0</v>
          </cell>
          <cell r="R815" t="str">
            <v>1</v>
          </cell>
          <cell r="S815" t="str">
            <v>43</v>
          </cell>
          <cell r="T815">
            <v>96</v>
          </cell>
          <cell r="U815">
            <v>12</v>
          </cell>
          <cell r="V815">
            <v>96</v>
          </cell>
          <cell r="W815">
            <v>12</v>
          </cell>
          <cell r="X815">
            <v>96</v>
          </cell>
          <cell r="Y815">
            <v>0</v>
          </cell>
          <cell r="Z815">
            <v>0</v>
          </cell>
          <cell r="AD815" t="str">
            <v>0</v>
          </cell>
          <cell r="AE815" t="str">
            <v>0</v>
          </cell>
          <cell r="AF815" t="str">
            <v>00</v>
          </cell>
          <cell r="AI815">
            <v>39487700</v>
          </cell>
          <cell r="AJ815">
            <v>6081105.7999999998</v>
          </cell>
        </row>
        <row r="816">
          <cell r="A816" t="str">
            <v>02</v>
          </cell>
          <cell r="B816" t="str">
            <v>71</v>
          </cell>
          <cell r="C816" t="str">
            <v>27</v>
          </cell>
          <cell r="D816" t="str">
            <v>А/м МАЗ-537 груз тяг</v>
          </cell>
          <cell r="E816" t="str">
            <v>ач госN-В628ХО двТ12</v>
          </cell>
          <cell r="F816" t="str">
            <v>КТ2800 ш90010722</v>
          </cell>
          <cell r="G816" t="str">
            <v>01</v>
          </cell>
          <cell r="H816">
            <v>130000</v>
          </cell>
          <cell r="I816">
            <v>0</v>
          </cell>
          <cell r="J816">
            <v>155998.96</v>
          </cell>
          <cell r="K816">
            <v>1</v>
          </cell>
          <cell r="L816" t="str">
            <v>23</v>
          </cell>
          <cell r="M816" t="str">
            <v>50402</v>
          </cell>
          <cell r="N816" t="str">
            <v>15 3410224</v>
          </cell>
          <cell r="P816">
            <v>0.37</v>
          </cell>
          <cell r="Q816">
            <v>0</v>
          </cell>
          <cell r="R816" t="str">
            <v>1</v>
          </cell>
          <cell r="S816" t="str">
            <v>50</v>
          </cell>
          <cell r="T816">
            <v>90</v>
          </cell>
          <cell r="U816">
            <v>2</v>
          </cell>
          <cell r="V816">
            <v>97</v>
          </cell>
          <cell r="W816">
            <v>2</v>
          </cell>
          <cell r="X816">
            <v>97</v>
          </cell>
          <cell r="Y816">
            <v>2</v>
          </cell>
          <cell r="Z816">
            <v>97</v>
          </cell>
          <cell r="AD816" t="str">
            <v>0</v>
          </cell>
          <cell r="AE816" t="str">
            <v>0</v>
          </cell>
          <cell r="AF816" t="str">
            <v>00</v>
          </cell>
          <cell r="AI816">
            <v>0</v>
          </cell>
          <cell r="AJ816">
            <v>0</v>
          </cell>
        </row>
        <row r="817">
          <cell r="A817" t="str">
            <v>02</v>
          </cell>
          <cell r="B817" t="str">
            <v>71</v>
          </cell>
          <cell r="C817" t="str">
            <v>28</v>
          </cell>
          <cell r="D817" t="str">
            <v>П/прицеп ЗППТ-52 бор</v>
          </cell>
          <cell r="E817" t="str">
            <v>товой гос N АВ7611</v>
          </cell>
          <cell r="F817" t="str">
            <v>шК0003261</v>
          </cell>
          <cell r="G817" t="str">
            <v>01</v>
          </cell>
          <cell r="H817">
            <v>170000</v>
          </cell>
          <cell r="I817">
            <v>0</v>
          </cell>
          <cell r="J817">
            <v>186999.32</v>
          </cell>
          <cell r="K817">
            <v>1</v>
          </cell>
          <cell r="L817" t="str">
            <v>23</v>
          </cell>
          <cell r="M817" t="str">
            <v>50410</v>
          </cell>
          <cell r="N817" t="str">
            <v>15 3420208</v>
          </cell>
          <cell r="P817">
            <v>12.5</v>
          </cell>
          <cell r="Q817">
            <v>0</v>
          </cell>
          <cell r="R817" t="str">
            <v>1</v>
          </cell>
          <cell r="S817" t="str">
            <v>50</v>
          </cell>
          <cell r="T817">
            <v>89</v>
          </cell>
          <cell r="U817">
            <v>2</v>
          </cell>
          <cell r="V817">
            <v>97</v>
          </cell>
          <cell r="W817">
            <v>2</v>
          </cell>
          <cell r="X817">
            <v>97</v>
          </cell>
          <cell r="Y817">
            <v>5</v>
          </cell>
          <cell r="Z817">
            <v>97</v>
          </cell>
          <cell r="AD817" t="str">
            <v>0</v>
          </cell>
          <cell r="AE817" t="str">
            <v>0</v>
          </cell>
          <cell r="AF817" t="str">
            <v>00</v>
          </cell>
          <cell r="AI817">
            <v>0</v>
          </cell>
          <cell r="AJ817">
            <v>0</v>
          </cell>
        </row>
        <row r="818">
          <cell r="A818" t="str">
            <v>02</v>
          </cell>
          <cell r="B818" t="str">
            <v>02</v>
          </cell>
          <cell r="C818" t="str">
            <v>29</v>
          </cell>
          <cell r="D818" t="str">
            <v>Машина изоляционная</v>
          </cell>
          <cell r="E818" t="str">
            <v>ИМГ-1220</v>
          </cell>
          <cell r="G818" t="str">
            <v>01</v>
          </cell>
          <cell r="H818">
            <v>78000</v>
          </cell>
          <cell r="I818">
            <v>0</v>
          </cell>
          <cell r="J818">
            <v>0</v>
          </cell>
          <cell r="K818">
            <v>1</v>
          </cell>
          <cell r="L818" t="str">
            <v>20</v>
          </cell>
          <cell r="M818" t="str">
            <v>43803</v>
          </cell>
          <cell r="N818" t="str">
            <v>14 2947195</v>
          </cell>
          <cell r="P818">
            <v>33.299999999999997</v>
          </cell>
          <cell r="Q818">
            <v>0</v>
          </cell>
          <cell r="R818" t="str">
            <v>1</v>
          </cell>
          <cell r="S818" t="str">
            <v>43</v>
          </cell>
          <cell r="T818">
            <v>95</v>
          </cell>
          <cell r="U818">
            <v>2</v>
          </cell>
          <cell r="V818">
            <v>97</v>
          </cell>
          <cell r="W818">
            <v>2</v>
          </cell>
          <cell r="X818">
            <v>97</v>
          </cell>
          <cell r="Y818">
            <v>0</v>
          </cell>
          <cell r="Z818">
            <v>0</v>
          </cell>
          <cell r="AB818" t="str">
            <v>14</v>
          </cell>
          <cell r="AC818">
            <v>9</v>
          </cell>
          <cell r="AD818" t="str">
            <v>0</v>
          </cell>
          <cell r="AE818" t="str">
            <v>0</v>
          </cell>
          <cell r="AF818" t="str">
            <v>00</v>
          </cell>
          <cell r="AI818">
            <v>0</v>
          </cell>
          <cell r="AJ818">
            <v>0</v>
          </cell>
        </row>
        <row r="819">
          <cell r="A819" t="str">
            <v>02</v>
          </cell>
          <cell r="B819" t="str">
            <v>11</v>
          </cell>
          <cell r="C819" t="str">
            <v>21</v>
          </cell>
          <cell r="D819" t="str">
            <v>Цех ж/б изделий на п</v>
          </cell>
          <cell r="E819" t="str">
            <v>олигоне ЖБИ</v>
          </cell>
          <cell r="G819" t="str">
            <v>01</v>
          </cell>
          <cell r="H819">
            <v>584389</v>
          </cell>
          <cell r="I819">
            <v>0</v>
          </cell>
          <cell r="J819">
            <v>0</v>
          </cell>
          <cell r="K819">
            <v>1.02</v>
          </cell>
          <cell r="L819" t="str">
            <v>20</v>
          </cell>
          <cell r="M819" t="str">
            <v>10002</v>
          </cell>
          <cell r="N819" t="str">
            <v>114526675</v>
          </cell>
          <cell r="P819">
            <v>1.2</v>
          </cell>
          <cell r="Q819">
            <v>0</v>
          </cell>
          <cell r="R819" t="str">
            <v>1</v>
          </cell>
          <cell r="S819" t="str">
            <v>10</v>
          </cell>
          <cell r="T819">
            <v>96</v>
          </cell>
          <cell r="U819">
            <v>12</v>
          </cell>
          <cell r="V819">
            <v>96</v>
          </cell>
          <cell r="W819">
            <v>12</v>
          </cell>
          <cell r="X819">
            <v>96</v>
          </cell>
          <cell r="Y819">
            <v>0</v>
          </cell>
          <cell r="Z819">
            <v>0</v>
          </cell>
          <cell r="AD819" t="str">
            <v>2</v>
          </cell>
          <cell r="AE819" t="str">
            <v>0</v>
          </cell>
          <cell r="AF819" t="str">
            <v>00</v>
          </cell>
          <cell r="AI819">
            <v>572930000</v>
          </cell>
          <cell r="AJ819">
            <v>6875160</v>
          </cell>
        </row>
        <row r="820">
          <cell r="A820" t="str">
            <v>02</v>
          </cell>
          <cell r="B820" t="str">
            <v>11</v>
          </cell>
          <cell r="C820" t="str">
            <v>22</v>
          </cell>
          <cell r="D820" t="str">
            <v>Бытовое помещение на</v>
          </cell>
          <cell r="E820" t="str">
            <v>РБУ</v>
          </cell>
          <cell r="G820" t="str">
            <v>01</v>
          </cell>
          <cell r="H820">
            <v>531726</v>
          </cell>
          <cell r="I820">
            <v>0</v>
          </cell>
          <cell r="J820">
            <v>0</v>
          </cell>
          <cell r="K820">
            <v>1.02</v>
          </cell>
          <cell r="L820" t="str">
            <v>20</v>
          </cell>
          <cell r="M820" t="str">
            <v>10002</v>
          </cell>
          <cell r="N820" t="str">
            <v>114529020</v>
          </cell>
          <cell r="P820">
            <v>1.2</v>
          </cell>
          <cell r="Q820">
            <v>0</v>
          </cell>
          <cell r="R820" t="str">
            <v>1</v>
          </cell>
          <cell r="S820" t="str">
            <v>10</v>
          </cell>
          <cell r="T820">
            <v>96</v>
          </cell>
          <cell r="U820">
            <v>12</v>
          </cell>
          <cell r="V820">
            <v>96</v>
          </cell>
          <cell r="W820">
            <v>12</v>
          </cell>
          <cell r="X820">
            <v>96</v>
          </cell>
          <cell r="Y820">
            <v>0</v>
          </cell>
          <cell r="Z820">
            <v>0</v>
          </cell>
          <cell r="AD820" t="str">
            <v>2</v>
          </cell>
          <cell r="AE820" t="str">
            <v>0</v>
          </cell>
          <cell r="AF820" t="str">
            <v>00</v>
          </cell>
          <cell r="AI820">
            <v>521300000</v>
          </cell>
          <cell r="AJ820">
            <v>6255600</v>
          </cell>
        </row>
        <row r="821">
          <cell r="A821" t="str">
            <v>02</v>
          </cell>
          <cell r="B821" t="str">
            <v>11</v>
          </cell>
          <cell r="C821" t="str">
            <v>23</v>
          </cell>
          <cell r="D821" t="str">
            <v>Контрольно-пропускно</v>
          </cell>
          <cell r="E821" t="str">
            <v>й пункт на полигоне</v>
          </cell>
          <cell r="F821" t="str">
            <v>ЖБИ</v>
          </cell>
          <cell r="G821" t="str">
            <v>01</v>
          </cell>
          <cell r="H821">
            <v>34884</v>
          </cell>
          <cell r="I821">
            <v>0</v>
          </cell>
          <cell r="J821">
            <v>0</v>
          </cell>
          <cell r="K821">
            <v>1.02</v>
          </cell>
          <cell r="L821" t="str">
            <v>20</v>
          </cell>
          <cell r="M821" t="str">
            <v>10004</v>
          </cell>
          <cell r="N821" t="str">
            <v>11 4526675</v>
          </cell>
          <cell r="P821">
            <v>2.5</v>
          </cell>
          <cell r="Q821">
            <v>0</v>
          </cell>
          <cell r="R821" t="str">
            <v>1</v>
          </cell>
          <cell r="S821" t="str">
            <v>10</v>
          </cell>
          <cell r="T821">
            <v>96</v>
          </cell>
          <cell r="U821">
            <v>12</v>
          </cell>
          <cell r="V821">
            <v>96</v>
          </cell>
          <cell r="W821">
            <v>12</v>
          </cell>
          <cell r="X821">
            <v>96</v>
          </cell>
          <cell r="Y821">
            <v>0</v>
          </cell>
          <cell r="Z821">
            <v>0</v>
          </cell>
          <cell r="AD821" t="str">
            <v>2</v>
          </cell>
          <cell r="AE821" t="str">
            <v>0</v>
          </cell>
          <cell r="AF821" t="str">
            <v>00</v>
          </cell>
          <cell r="AI821">
            <v>34200000</v>
          </cell>
          <cell r="AJ821">
            <v>855000</v>
          </cell>
        </row>
        <row r="822">
          <cell r="A822" t="str">
            <v>02</v>
          </cell>
          <cell r="B822" t="str">
            <v>11</v>
          </cell>
          <cell r="C822" t="str">
            <v>25</v>
          </cell>
          <cell r="D822" t="str">
            <v>Стоянка спец.техники</v>
          </cell>
          <cell r="E822" t="str">
            <v>на полигоне ЖБИ</v>
          </cell>
          <cell r="G822" t="str">
            <v>01</v>
          </cell>
          <cell r="H822">
            <v>323136</v>
          </cell>
          <cell r="I822">
            <v>0</v>
          </cell>
          <cell r="J822">
            <v>0</v>
          </cell>
          <cell r="K822">
            <v>1.02</v>
          </cell>
          <cell r="L822" t="str">
            <v>20</v>
          </cell>
          <cell r="M822" t="str">
            <v>10004</v>
          </cell>
          <cell r="N822" t="str">
            <v>11 4526675</v>
          </cell>
          <cell r="P822">
            <v>2.5</v>
          </cell>
          <cell r="Q822">
            <v>0</v>
          </cell>
          <cell r="R822" t="str">
            <v>1</v>
          </cell>
          <cell r="S822" t="str">
            <v>10</v>
          </cell>
          <cell r="T822">
            <v>96</v>
          </cell>
          <cell r="U822">
            <v>12</v>
          </cell>
          <cell r="V822">
            <v>96</v>
          </cell>
          <cell r="W822">
            <v>12</v>
          </cell>
          <cell r="X822">
            <v>96</v>
          </cell>
          <cell r="Y822">
            <v>0</v>
          </cell>
          <cell r="Z822">
            <v>0</v>
          </cell>
          <cell r="AD822" t="str">
            <v>2</v>
          </cell>
          <cell r="AE822" t="str">
            <v>0</v>
          </cell>
          <cell r="AF822" t="str">
            <v>00</v>
          </cell>
          <cell r="AI822">
            <v>316800000</v>
          </cell>
          <cell r="AJ822">
            <v>7920000</v>
          </cell>
        </row>
        <row r="823">
          <cell r="A823" t="str">
            <v>02</v>
          </cell>
          <cell r="B823" t="str">
            <v>11</v>
          </cell>
          <cell r="C823" t="str">
            <v>24</v>
          </cell>
          <cell r="D823" t="str">
            <v>Благоустройство терр</v>
          </cell>
          <cell r="E823" t="str">
            <v>итории полигона ЖБИ</v>
          </cell>
          <cell r="G823" t="str">
            <v>01</v>
          </cell>
          <cell r="H823">
            <v>272600</v>
          </cell>
          <cell r="I823">
            <v>0</v>
          </cell>
          <cell r="J823">
            <v>0</v>
          </cell>
          <cell r="K823">
            <v>1.03</v>
          </cell>
          <cell r="L823" t="str">
            <v>20</v>
          </cell>
          <cell r="M823" t="str">
            <v>20223</v>
          </cell>
          <cell r="N823" t="str">
            <v>12 4526372</v>
          </cell>
          <cell r="P823">
            <v>3.2</v>
          </cell>
          <cell r="Q823">
            <v>0</v>
          </cell>
          <cell r="R823" t="str">
            <v>1</v>
          </cell>
          <cell r="S823" t="str">
            <v>20</v>
          </cell>
          <cell r="T823">
            <v>96</v>
          </cell>
          <cell r="U823">
            <v>12</v>
          </cell>
          <cell r="V823">
            <v>96</v>
          </cell>
          <cell r="W823">
            <v>12</v>
          </cell>
          <cell r="X823">
            <v>96</v>
          </cell>
          <cell r="Y823">
            <v>0</v>
          </cell>
          <cell r="Z823">
            <v>0</v>
          </cell>
          <cell r="AD823" t="str">
            <v>2</v>
          </cell>
          <cell r="AE823" t="str">
            <v>0</v>
          </cell>
          <cell r="AF823" t="str">
            <v>00</v>
          </cell>
          <cell r="AI823">
            <v>265300000</v>
          </cell>
          <cell r="AJ823">
            <v>8489600</v>
          </cell>
        </row>
        <row r="824">
          <cell r="A824" t="str">
            <v>02</v>
          </cell>
          <cell r="B824" t="str">
            <v>11</v>
          </cell>
          <cell r="C824" t="str">
            <v>261</v>
          </cell>
          <cell r="D824" t="str">
            <v>Тельфер с подкраново</v>
          </cell>
          <cell r="E824" t="str">
            <v>й балкой</v>
          </cell>
          <cell r="G824" t="str">
            <v>01</v>
          </cell>
          <cell r="H824">
            <v>13800</v>
          </cell>
          <cell r="I824">
            <v>0</v>
          </cell>
          <cell r="J824">
            <v>0</v>
          </cell>
          <cell r="K824">
            <v>1.01</v>
          </cell>
          <cell r="L824" t="str">
            <v>20</v>
          </cell>
          <cell r="M824" t="str">
            <v>41721</v>
          </cell>
          <cell r="N824" t="str">
            <v>14 2915480</v>
          </cell>
          <cell r="P824">
            <v>20</v>
          </cell>
          <cell r="Q824">
            <v>0</v>
          </cell>
          <cell r="R824" t="str">
            <v>1</v>
          </cell>
          <cell r="S824" t="str">
            <v>41</v>
          </cell>
          <cell r="T824">
            <v>96</v>
          </cell>
          <cell r="U824">
            <v>12</v>
          </cell>
          <cell r="V824">
            <v>96</v>
          </cell>
          <cell r="W824">
            <v>12</v>
          </cell>
          <cell r="X824">
            <v>96</v>
          </cell>
          <cell r="Y824">
            <v>0</v>
          </cell>
          <cell r="Z824">
            <v>0</v>
          </cell>
          <cell r="AD824" t="str">
            <v>2</v>
          </cell>
          <cell r="AE824" t="str">
            <v>0</v>
          </cell>
          <cell r="AF824" t="str">
            <v>00</v>
          </cell>
          <cell r="AI824">
            <v>13729000</v>
          </cell>
          <cell r="AJ824">
            <v>2745800</v>
          </cell>
        </row>
        <row r="825">
          <cell r="A825" t="str">
            <v>02</v>
          </cell>
          <cell r="B825" t="str">
            <v>11</v>
          </cell>
          <cell r="C825" t="str">
            <v>262</v>
          </cell>
          <cell r="D825" t="str">
            <v>Виброплощадка СМЖ-</v>
          </cell>
          <cell r="E825" t="str">
            <v>153 А</v>
          </cell>
          <cell r="G825" t="str">
            <v>01</v>
          </cell>
          <cell r="H825">
            <v>5400</v>
          </cell>
          <cell r="I825">
            <v>0</v>
          </cell>
          <cell r="J825">
            <v>0</v>
          </cell>
          <cell r="K825">
            <v>1</v>
          </cell>
          <cell r="L825" t="str">
            <v>20</v>
          </cell>
          <cell r="M825" t="str">
            <v>42005</v>
          </cell>
          <cell r="N825" t="str">
            <v>14 2947131</v>
          </cell>
          <cell r="P825">
            <v>20</v>
          </cell>
          <cell r="Q825">
            <v>0</v>
          </cell>
          <cell r="R825" t="str">
            <v>1</v>
          </cell>
          <cell r="S825" t="str">
            <v>42</v>
          </cell>
          <cell r="T825">
            <v>96</v>
          </cell>
          <cell r="U825">
            <v>12</v>
          </cell>
          <cell r="V825">
            <v>96</v>
          </cell>
          <cell r="W825">
            <v>12</v>
          </cell>
          <cell r="X825">
            <v>96</v>
          </cell>
          <cell r="Y825">
            <v>0</v>
          </cell>
          <cell r="Z825">
            <v>0</v>
          </cell>
          <cell r="AD825" t="str">
            <v>2</v>
          </cell>
          <cell r="AE825" t="str">
            <v>0</v>
          </cell>
          <cell r="AF825" t="str">
            <v>00</v>
          </cell>
          <cell r="AI825">
            <v>5400000</v>
          </cell>
          <cell r="AJ825">
            <v>1080000</v>
          </cell>
        </row>
        <row r="826">
          <cell r="A826" t="str">
            <v>02</v>
          </cell>
          <cell r="B826" t="str">
            <v>11</v>
          </cell>
          <cell r="C826" t="str">
            <v>263</v>
          </cell>
          <cell r="D826" t="str">
            <v>Виброплощадка СМЖ -</v>
          </cell>
          <cell r="E826" t="str">
            <v>187</v>
          </cell>
          <cell r="G826" t="str">
            <v>01</v>
          </cell>
          <cell r="H826">
            <v>850.9</v>
          </cell>
          <cell r="I826">
            <v>0</v>
          </cell>
          <cell r="J826">
            <v>0</v>
          </cell>
          <cell r="K826">
            <v>1.01</v>
          </cell>
          <cell r="L826" t="str">
            <v>20</v>
          </cell>
          <cell r="M826" t="str">
            <v>42005</v>
          </cell>
          <cell r="N826" t="str">
            <v>142947131</v>
          </cell>
          <cell r="P826">
            <v>20</v>
          </cell>
          <cell r="Q826">
            <v>0</v>
          </cell>
          <cell r="R826" t="str">
            <v>1</v>
          </cell>
          <cell r="S826" t="str">
            <v>42</v>
          </cell>
          <cell r="T826">
            <v>96</v>
          </cell>
          <cell r="U826">
            <v>12</v>
          </cell>
          <cell r="V826">
            <v>96</v>
          </cell>
          <cell r="W826">
            <v>12</v>
          </cell>
          <cell r="X826">
            <v>96</v>
          </cell>
          <cell r="Y826">
            <v>0</v>
          </cell>
          <cell r="Z826">
            <v>0</v>
          </cell>
          <cell r="AD826" t="str">
            <v>2</v>
          </cell>
          <cell r="AE826" t="str">
            <v>0</v>
          </cell>
          <cell r="AF826" t="str">
            <v>00</v>
          </cell>
          <cell r="AI826">
            <v>842474</v>
          </cell>
          <cell r="AJ826">
            <v>168494.8</v>
          </cell>
        </row>
        <row r="827">
          <cell r="A827" t="str">
            <v>02</v>
          </cell>
          <cell r="B827" t="str">
            <v>80</v>
          </cell>
          <cell r="C827" t="str">
            <v>264</v>
          </cell>
          <cell r="D827" t="str">
            <v>Линия АТС GOLD STAR</v>
          </cell>
          <cell r="E827" t="str">
            <v>/Корея/</v>
          </cell>
          <cell r="G827" t="str">
            <v>01</v>
          </cell>
          <cell r="H827">
            <v>10815</v>
          </cell>
          <cell r="I827">
            <v>0</v>
          </cell>
          <cell r="J827">
            <v>0</v>
          </cell>
          <cell r="K827">
            <v>1</v>
          </cell>
          <cell r="L827" t="str">
            <v>26</v>
          </cell>
          <cell r="M827" t="str">
            <v>30019</v>
          </cell>
          <cell r="N827" t="str">
            <v>14 3222131</v>
          </cell>
          <cell r="P827">
            <v>6.7</v>
          </cell>
          <cell r="Q827">
            <v>0</v>
          </cell>
          <cell r="R827" t="str">
            <v>1</v>
          </cell>
          <cell r="S827" t="str">
            <v>30</v>
          </cell>
          <cell r="T827">
            <v>92</v>
          </cell>
          <cell r="U827">
            <v>3</v>
          </cell>
          <cell r="V827">
            <v>97</v>
          </cell>
          <cell r="W827">
            <v>3</v>
          </cell>
          <cell r="X827">
            <v>97</v>
          </cell>
          <cell r="Y827">
            <v>0</v>
          </cell>
          <cell r="Z827">
            <v>0</v>
          </cell>
          <cell r="AD827" t="str">
            <v>0</v>
          </cell>
          <cell r="AE827" t="str">
            <v>0</v>
          </cell>
          <cell r="AF827" t="str">
            <v>00</v>
          </cell>
          <cell r="AI827">
            <v>0</v>
          </cell>
          <cell r="AJ827">
            <v>0</v>
          </cell>
        </row>
        <row r="828">
          <cell r="A828" t="str">
            <v>02</v>
          </cell>
          <cell r="B828" t="str">
            <v>71</v>
          </cell>
          <cell r="C828" t="str">
            <v>265</v>
          </cell>
          <cell r="D828" t="str">
            <v>Прицеп ЧМЗАП-ПТ-80тн</v>
          </cell>
          <cell r="E828" t="str">
            <v>гос N АВ7651 ш000002</v>
          </cell>
          <cell r="F828" t="str">
            <v>9</v>
          </cell>
          <cell r="G828" t="str">
            <v>01</v>
          </cell>
          <cell r="H828">
            <v>586293.5</v>
          </cell>
          <cell r="I828">
            <v>0</v>
          </cell>
          <cell r="J828">
            <v>644920.51</v>
          </cell>
          <cell r="K828">
            <v>1</v>
          </cell>
          <cell r="L828" t="str">
            <v>23</v>
          </cell>
          <cell r="M828" t="str">
            <v>50413</v>
          </cell>
          <cell r="N828" t="str">
            <v>15 3420208</v>
          </cell>
          <cell r="P828">
            <v>8.3000000000000007</v>
          </cell>
          <cell r="Q828">
            <v>0</v>
          </cell>
          <cell r="R828" t="str">
            <v>1</v>
          </cell>
          <cell r="S828" t="str">
            <v>50</v>
          </cell>
          <cell r="T828">
            <v>96</v>
          </cell>
          <cell r="U828">
            <v>4</v>
          </cell>
          <cell r="V828">
            <v>97</v>
          </cell>
          <cell r="W828">
            <v>4</v>
          </cell>
          <cell r="X828">
            <v>97</v>
          </cell>
          <cell r="Y828">
            <v>5</v>
          </cell>
          <cell r="Z828">
            <v>97</v>
          </cell>
          <cell r="AD828" t="str">
            <v>0</v>
          </cell>
          <cell r="AE828" t="str">
            <v>0</v>
          </cell>
          <cell r="AF828" t="str">
            <v>00</v>
          </cell>
          <cell r="AI828">
            <v>0</v>
          </cell>
          <cell r="AJ828">
            <v>0</v>
          </cell>
        </row>
        <row r="829">
          <cell r="A829" t="str">
            <v>02</v>
          </cell>
          <cell r="B829" t="str">
            <v>02</v>
          </cell>
          <cell r="C829" t="str">
            <v>266</v>
          </cell>
          <cell r="D829" t="str">
            <v>Ручная радиостанция</v>
          </cell>
          <cell r="E829" t="str">
            <v>НХ-190 зав.N27КО8310</v>
          </cell>
          <cell r="F829" t="str">
            <v>7</v>
          </cell>
          <cell r="G829" t="str">
            <v>01</v>
          </cell>
          <cell r="H829">
            <v>1758</v>
          </cell>
          <cell r="I829">
            <v>183</v>
          </cell>
          <cell r="J829">
            <v>0</v>
          </cell>
          <cell r="K829">
            <v>1</v>
          </cell>
          <cell r="L829" t="str">
            <v>20</v>
          </cell>
          <cell r="M829" t="str">
            <v>45620</v>
          </cell>
          <cell r="N829" t="str">
            <v>14 3221104</v>
          </cell>
          <cell r="P829">
            <v>12.5</v>
          </cell>
          <cell r="Q829">
            <v>0</v>
          </cell>
          <cell r="R829" t="str">
            <v>1</v>
          </cell>
          <cell r="S829" t="str">
            <v>45</v>
          </cell>
          <cell r="T829">
            <v>96</v>
          </cell>
          <cell r="U829">
            <v>4</v>
          </cell>
          <cell r="V829">
            <v>97</v>
          </cell>
          <cell r="W829">
            <v>4</v>
          </cell>
          <cell r="X829">
            <v>97</v>
          </cell>
          <cell r="Y829">
            <v>0</v>
          </cell>
          <cell r="Z829">
            <v>0</v>
          </cell>
          <cell r="AD829" t="str">
            <v>0</v>
          </cell>
          <cell r="AE829" t="str">
            <v>0</v>
          </cell>
          <cell r="AF829" t="str">
            <v>00</v>
          </cell>
          <cell r="AI829">
            <v>0</v>
          </cell>
          <cell r="AJ829">
            <v>0</v>
          </cell>
        </row>
        <row r="830">
          <cell r="A830" t="str">
            <v>02</v>
          </cell>
          <cell r="B830" t="str">
            <v>02</v>
          </cell>
          <cell r="C830" t="str">
            <v>267</v>
          </cell>
          <cell r="D830" t="str">
            <v>Ручная радиостанция</v>
          </cell>
          <cell r="E830" t="str">
            <v>НХ-190 зав.N27КО8310</v>
          </cell>
          <cell r="F830" t="str">
            <v>9</v>
          </cell>
          <cell r="G830" t="str">
            <v>01</v>
          </cell>
          <cell r="H830">
            <v>1758</v>
          </cell>
          <cell r="I830">
            <v>183</v>
          </cell>
          <cell r="J830">
            <v>0</v>
          </cell>
          <cell r="K830">
            <v>1</v>
          </cell>
          <cell r="L830" t="str">
            <v>20</v>
          </cell>
          <cell r="M830" t="str">
            <v>45620</v>
          </cell>
          <cell r="N830" t="str">
            <v>14 3221104</v>
          </cell>
          <cell r="P830">
            <v>12.5</v>
          </cell>
          <cell r="Q830">
            <v>0</v>
          </cell>
          <cell r="R830" t="str">
            <v>1</v>
          </cell>
          <cell r="S830" t="str">
            <v>45</v>
          </cell>
          <cell r="T830">
            <v>96</v>
          </cell>
          <cell r="U830">
            <v>4</v>
          </cell>
          <cell r="V830">
            <v>97</v>
          </cell>
          <cell r="W830">
            <v>4</v>
          </cell>
          <cell r="X830">
            <v>97</v>
          </cell>
          <cell r="Y830">
            <v>0</v>
          </cell>
          <cell r="Z830">
            <v>0</v>
          </cell>
          <cell r="AD830" t="str">
            <v>0</v>
          </cell>
          <cell r="AE830" t="str">
            <v>0</v>
          </cell>
          <cell r="AF830" t="str">
            <v>00</v>
          </cell>
          <cell r="AI830">
            <v>0</v>
          </cell>
          <cell r="AJ830">
            <v>0</v>
          </cell>
        </row>
        <row r="831">
          <cell r="A831" t="str">
            <v>02</v>
          </cell>
          <cell r="B831" t="str">
            <v>02</v>
          </cell>
          <cell r="C831" t="str">
            <v>268</v>
          </cell>
          <cell r="D831" t="str">
            <v>Холодильник Минск256</v>
          </cell>
          <cell r="E831" t="str">
            <v>Минский з-д хол-ков</v>
          </cell>
          <cell r="F831" t="str">
            <v>АО Атлант завN672602</v>
          </cell>
          <cell r="G831" t="str">
            <v>01</v>
          </cell>
          <cell r="H831">
            <v>1833.33</v>
          </cell>
          <cell r="I831">
            <v>0</v>
          </cell>
          <cell r="J831">
            <v>0</v>
          </cell>
          <cell r="K831">
            <v>1</v>
          </cell>
          <cell r="L831" t="str">
            <v>20</v>
          </cell>
          <cell r="M831" t="str">
            <v>45800</v>
          </cell>
          <cell r="N831" t="str">
            <v>2930100</v>
          </cell>
          <cell r="P831">
            <v>10</v>
          </cell>
          <cell r="Q831">
            <v>0</v>
          </cell>
          <cell r="R831" t="str">
            <v>1</v>
          </cell>
          <cell r="S831" t="str">
            <v>45</v>
          </cell>
          <cell r="T831">
            <v>96</v>
          </cell>
          <cell r="U831">
            <v>6</v>
          </cell>
          <cell r="V831">
            <v>97</v>
          </cell>
          <cell r="W831">
            <v>6</v>
          </cell>
          <cell r="X831">
            <v>97</v>
          </cell>
          <cell r="Y831">
            <v>0</v>
          </cell>
          <cell r="Z831">
            <v>0</v>
          </cell>
          <cell r="AD831" t="str">
            <v>0</v>
          </cell>
          <cell r="AE831" t="str">
            <v>0</v>
          </cell>
          <cell r="AF831" t="str">
            <v>00</v>
          </cell>
          <cell r="AI831">
            <v>0</v>
          </cell>
          <cell r="AJ831">
            <v>0</v>
          </cell>
        </row>
        <row r="832">
          <cell r="A832" t="str">
            <v>02</v>
          </cell>
          <cell r="B832" t="str">
            <v>70</v>
          </cell>
          <cell r="C832" t="str">
            <v>271</v>
          </cell>
          <cell r="D832" t="str">
            <v>Холодильник Минск357</v>
          </cell>
          <cell r="E832" t="str">
            <v>Минский з-д хол-ков</v>
          </cell>
          <cell r="F832" t="str">
            <v>АО АТЛАНТ</v>
          </cell>
          <cell r="G832" t="str">
            <v>01</v>
          </cell>
          <cell r="H832">
            <v>1625</v>
          </cell>
          <cell r="I832">
            <v>0</v>
          </cell>
          <cell r="J832">
            <v>0</v>
          </cell>
          <cell r="K832">
            <v>1</v>
          </cell>
          <cell r="L832" t="str">
            <v>20</v>
          </cell>
          <cell r="M832" t="str">
            <v>45800</v>
          </cell>
          <cell r="N832" t="str">
            <v>2930100</v>
          </cell>
          <cell r="P832">
            <v>10</v>
          </cell>
          <cell r="Q832">
            <v>0</v>
          </cell>
          <cell r="R832" t="str">
            <v>1</v>
          </cell>
          <cell r="S832" t="str">
            <v>45</v>
          </cell>
          <cell r="T832">
            <v>97</v>
          </cell>
          <cell r="U832">
            <v>6</v>
          </cell>
          <cell r="V832">
            <v>97</v>
          </cell>
          <cell r="W832">
            <v>6</v>
          </cell>
          <cell r="X832">
            <v>97</v>
          </cell>
          <cell r="Y832">
            <v>0</v>
          </cell>
          <cell r="Z832">
            <v>0</v>
          </cell>
          <cell r="AD832" t="str">
            <v>0</v>
          </cell>
          <cell r="AE832" t="str">
            <v>0</v>
          </cell>
          <cell r="AF832" t="str">
            <v>00</v>
          </cell>
          <cell r="AI832">
            <v>0</v>
          </cell>
          <cell r="AJ832">
            <v>0</v>
          </cell>
        </row>
        <row r="833">
          <cell r="A833" t="str">
            <v>19</v>
          </cell>
          <cell r="B833" t="str">
            <v>19</v>
          </cell>
          <cell r="C833" t="str">
            <v>272</v>
          </cell>
          <cell r="D833" t="str">
            <v>Здание мясокомбината</v>
          </cell>
          <cell r="G833" t="str">
            <v>01</v>
          </cell>
          <cell r="H833">
            <v>1654123.37</v>
          </cell>
          <cell r="I833">
            <v>302778.99</v>
          </cell>
          <cell r="J833">
            <v>0</v>
          </cell>
          <cell r="K833">
            <v>1</v>
          </cell>
          <cell r="L833" t="str">
            <v>88/4</v>
          </cell>
          <cell r="M833" t="str">
            <v>10005</v>
          </cell>
          <cell r="N833" t="str">
            <v>114524351</v>
          </cell>
          <cell r="P833">
            <v>5</v>
          </cell>
          <cell r="Q833">
            <v>0</v>
          </cell>
          <cell r="R833" t="str">
            <v>1</v>
          </cell>
          <cell r="S833" t="str">
            <v>10</v>
          </cell>
          <cell r="T833">
            <v>94</v>
          </cell>
          <cell r="U833">
            <v>6</v>
          </cell>
          <cell r="V833">
            <v>97</v>
          </cell>
          <cell r="W833">
            <v>6</v>
          </cell>
          <cell r="X833">
            <v>97</v>
          </cell>
          <cell r="Y833">
            <v>0</v>
          </cell>
          <cell r="Z833">
            <v>0</v>
          </cell>
          <cell r="AD833" t="str">
            <v>0</v>
          </cell>
          <cell r="AE833" t="str">
            <v>0</v>
          </cell>
          <cell r="AF833" t="str">
            <v>19</v>
          </cell>
          <cell r="AI833">
            <v>0</v>
          </cell>
          <cell r="AJ833">
            <v>0</v>
          </cell>
        </row>
        <row r="834">
          <cell r="A834" t="str">
            <v>19</v>
          </cell>
          <cell r="B834" t="str">
            <v>19</v>
          </cell>
          <cell r="C834" t="str">
            <v>273</v>
          </cell>
          <cell r="D834" t="str">
            <v>Лаборатория мясокомб</v>
          </cell>
          <cell r="E834" t="str">
            <v>ината</v>
          </cell>
          <cell r="G834" t="str">
            <v>01</v>
          </cell>
          <cell r="H834">
            <v>243490</v>
          </cell>
          <cell r="I834">
            <v>42609.919999999998</v>
          </cell>
          <cell r="J834">
            <v>0</v>
          </cell>
          <cell r="K834">
            <v>1</v>
          </cell>
          <cell r="L834" t="str">
            <v>88/4</v>
          </cell>
          <cell r="M834" t="str">
            <v>10008</v>
          </cell>
          <cell r="N834" t="str">
            <v>114524351</v>
          </cell>
          <cell r="P834">
            <v>5</v>
          </cell>
          <cell r="Q834">
            <v>0</v>
          </cell>
          <cell r="R834" t="str">
            <v>1</v>
          </cell>
          <cell r="S834" t="str">
            <v>10</v>
          </cell>
          <cell r="T834">
            <v>94</v>
          </cell>
          <cell r="U834">
            <v>6</v>
          </cell>
          <cell r="V834">
            <v>97</v>
          </cell>
          <cell r="W834">
            <v>6</v>
          </cell>
          <cell r="X834">
            <v>97</v>
          </cell>
          <cell r="Y834">
            <v>0</v>
          </cell>
          <cell r="Z834">
            <v>0</v>
          </cell>
          <cell r="AD834" t="str">
            <v>0</v>
          </cell>
          <cell r="AE834" t="str">
            <v>0</v>
          </cell>
          <cell r="AF834" t="str">
            <v>19</v>
          </cell>
          <cell r="AI834">
            <v>0</v>
          </cell>
          <cell r="AJ834">
            <v>0</v>
          </cell>
        </row>
        <row r="835">
          <cell r="A835" t="str">
            <v>19</v>
          </cell>
          <cell r="B835" t="str">
            <v>19</v>
          </cell>
          <cell r="C835" t="str">
            <v>274</v>
          </cell>
          <cell r="D835" t="str">
            <v>Аппарат промывной по</v>
          </cell>
          <cell r="E835" t="str">
            <v>д давлением</v>
          </cell>
          <cell r="G835" t="str">
            <v>01</v>
          </cell>
          <cell r="H835">
            <v>2950</v>
          </cell>
          <cell r="I835">
            <v>424.59</v>
          </cell>
          <cell r="J835">
            <v>0</v>
          </cell>
          <cell r="K835">
            <v>1</v>
          </cell>
          <cell r="L835" t="str">
            <v>88/4</v>
          </cell>
          <cell r="M835" t="str">
            <v>45102</v>
          </cell>
          <cell r="N835" t="str">
            <v>142925101</v>
          </cell>
          <cell r="P835">
            <v>15.4</v>
          </cell>
          <cell r="Q835">
            <v>0</v>
          </cell>
          <cell r="R835" t="str">
            <v>1</v>
          </cell>
          <cell r="S835" t="str">
            <v>45</v>
          </cell>
          <cell r="T835">
            <v>94</v>
          </cell>
          <cell r="U835">
            <v>6</v>
          </cell>
          <cell r="V835">
            <v>97</v>
          </cell>
          <cell r="W835">
            <v>6</v>
          </cell>
          <cell r="X835">
            <v>97</v>
          </cell>
          <cell r="Y835">
            <v>0</v>
          </cell>
          <cell r="Z835">
            <v>0</v>
          </cell>
          <cell r="AD835" t="str">
            <v>0</v>
          </cell>
          <cell r="AE835" t="str">
            <v>0</v>
          </cell>
          <cell r="AF835" t="str">
            <v>19</v>
          </cell>
          <cell r="AI835">
            <v>0</v>
          </cell>
          <cell r="AJ835">
            <v>0</v>
          </cell>
        </row>
        <row r="836">
          <cell r="A836" t="str">
            <v>19</v>
          </cell>
          <cell r="B836" t="str">
            <v>19</v>
          </cell>
          <cell r="C836" t="str">
            <v>275</v>
          </cell>
          <cell r="D836" t="str">
            <v>Бак для сбора крови</v>
          </cell>
          <cell r="G836" t="str">
            <v>01</v>
          </cell>
          <cell r="H836">
            <v>19640</v>
          </cell>
          <cell r="I836">
            <v>2828.03</v>
          </cell>
          <cell r="J836">
            <v>0</v>
          </cell>
          <cell r="K836">
            <v>1</v>
          </cell>
          <cell r="L836" t="str">
            <v>88/4</v>
          </cell>
          <cell r="M836" t="str">
            <v>45102</v>
          </cell>
          <cell r="N836" t="str">
            <v>142925101</v>
          </cell>
          <cell r="P836">
            <v>15.4</v>
          </cell>
          <cell r="Q836">
            <v>0</v>
          </cell>
          <cell r="R836" t="str">
            <v>1</v>
          </cell>
          <cell r="S836" t="str">
            <v>45</v>
          </cell>
          <cell r="T836">
            <v>94</v>
          </cell>
          <cell r="U836">
            <v>6</v>
          </cell>
          <cell r="V836">
            <v>97</v>
          </cell>
          <cell r="W836">
            <v>6</v>
          </cell>
          <cell r="X836">
            <v>97</v>
          </cell>
          <cell r="Y836">
            <v>0</v>
          </cell>
          <cell r="Z836">
            <v>0</v>
          </cell>
          <cell r="AD836" t="str">
            <v>0</v>
          </cell>
          <cell r="AE836" t="str">
            <v>0</v>
          </cell>
          <cell r="AF836" t="str">
            <v>19</v>
          </cell>
          <cell r="AI836">
            <v>0</v>
          </cell>
          <cell r="AJ836">
            <v>0</v>
          </cell>
        </row>
        <row r="837">
          <cell r="A837" t="str">
            <v>19</v>
          </cell>
          <cell r="B837" t="str">
            <v>19</v>
          </cell>
          <cell r="C837" t="str">
            <v>276</v>
          </cell>
          <cell r="D837" t="str">
            <v>Блок для промывки и</v>
          </cell>
          <cell r="E837" t="str">
            <v>стерилизации</v>
          </cell>
          <cell r="G837" t="str">
            <v>01</v>
          </cell>
          <cell r="H837">
            <v>1105.8699999999999</v>
          </cell>
          <cell r="I837">
            <v>159.65</v>
          </cell>
          <cell r="J837">
            <v>0</v>
          </cell>
          <cell r="K837">
            <v>1</v>
          </cell>
          <cell r="L837" t="str">
            <v>88/4</v>
          </cell>
          <cell r="M837" t="str">
            <v>45102</v>
          </cell>
          <cell r="N837" t="str">
            <v>142925101</v>
          </cell>
          <cell r="P837">
            <v>15.4</v>
          </cell>
          <cell r="Q837">
            <v>0</v>
          </cell>
          <cell r="R837" t="str">
            <v>1</v>
          </cell>
          <cell r="S837" t="str">
            <v>45</v>
          </cell>
          <cell r="T837">
            <v>94</v>
          </cell>
          <cell r="U837">
            <v>6</v>
          </cell>
          <cell r="V837">
            <v>97</v>
          </cell>
          <cell r="W837">
            <v>6</v>
          </cell>
          <cell r="X837">
            <v>97</v>
          </cell>
          <cell r="Y837">
            <v>0</v>
          </cell>
          <cell r="Z837">
            <v>0</v>
          </cell>
          <cell r="AD837" t="str">
            <v>0</v>
          </cell>
          <cell r="AE837" t="str">
            <v>0</v>
          </cell>
          <cell r="AF837" t="str">
            <v>19</v>
          </cell>
          <cell r="AI837">
            <v>0</v>
          </cell>
          <cell r="AJ837">
            <v>0</v>
          </cell>
        </row>
        <row r="838">
          <cell r="A838" t="str">
            <v>19</v>
          </cell>
          <cell r="B838" t="str">
            <v>19</v>
          </cell>
          <cell r="C838" t="str">
            <v>277</v>
          </cell>
          <cell r="D838" t="str">
            <v>Блок промывки</v>
          </cell>
          <cell r="G838" t="str">
            <v>01</v>
          </cell>
          <cell r="H838">
            <v>9200</v>
          </cell>
          <cell r="I838">
            <v>1325</v>
          </cell>
          <cell r="J838">
            <v>0</v>
          </cell>
          <cell r="K838">
            <v>1</v>
          </cell>
          <cell r="L838" t="str">
            <v>88/4</v>
          </cell>
          <cell r="M838" t="str">
            <v>45102</v>
          </cell>
          <cell r="N838" t="str">
            <v>142925101</v>
          </cell>
          <cell r="P838">
            <v>15.4</v>
          </cell>
          <cell r="Q838">
            <v>0</v>
          </cell>
          <cell r="R838" t="str">
            <v>1</v>
          </cell>
          <cell r="S838" t="str">
            <v>45</v>
          </cell>
          <cell r="T838">
            <v>94</v>
          </cell>
          <cell r="U838">
            <v>6</v>
          </cell>
          <cell r="V838">
            <v>97</v>
          </cell>
          <cell r="W838">
            <v>6</v>
          </cell>
          <cell r="X838">
            <v>97</v>
          </cell>
          <cell r="Y838">
            <v>0</v>
          </cell>
          <cell r="Z838">
            <v>0</v>
          </cell>
          <cell r="AD838" t="str">
            <v>0</v>
          </cell>
          <cell r="AE838" t="str">
            <v>0</v>
          </cell>
          <cell r="AF838" t="str">
            <v>19</v>
          </cell>
          <cell r="AI838">
            <v>0</v>
          </cell>
          <cell r="AJ838">
            <v>0</v>
          </cell>
        </row>
        <row r="839">
          <cell r="A839" t="str">
            <v>19</v>
          </cell>
          <cell r="B839" t="str">
            <v>19</v>
          </cell>
          <cell r="C839" t="str">
            <v>278</v>
          </cell>
          <cell r="D839" t="str">
            <v>Блок промывки и стер</v>
          </cell>
          <cell r="E839" t="str">
            <v>илизации</v>
          </cell>
          <cell r="G839" t="str">
            <v>01</v>
          </cell>
          <cell r="H839">
            <v>4560</v>
          </cell>
          <cell r="I839">
            <v>656.86</v>
          </cell>
          <cell r="J839">
            <v>0</v>
          </cell>
          <cell r="K839">
            <v>1</v>
          </cell>
          <cell r="L839" t="str">
            <v>88/4</v>
          </cell>
          <cell r="M839" t="str">
            <v>45102</v>
          </cell>
          <cell r="N839" t="str">
            <v>142925101</v>
          </cell>
          <cell r="P839">
            <v>15.4</v>
          </cell>
          <cell r="Q839">
            <v>0</v>
          </cell>
          <cell r="R839" t="str">
            <v>1</v>
          </cell>
          <cell r="S839" t="str">
            <v>45</v>
          </cell>
          <cell r="T839">
            <v>94</v>
          </cell>
          <cell r="U839">
            <v>6</v>
          </cell>
          <cell r="V839">
            <v>97</v>
          </cell>
          <cell r="W839">
            <v>6</v>
          </cell>
          <cell r="X839">
            <v>97</v>
          </cell>
          <cell r="Y839">
            <v>0</v>
          </cell>
          <cell r="Z839">
            <v>0</v>
          </cell>
          <cell r="AD839" t="str">
            <v>0</v>
          </cell>
          <cell r="AE839" t="str">
            <v>0</v>
          </cell>
          <cell r="AF839" t="str">
            <v>19</v>
          </cell>
          <cell r="AI839">
            <v>0</v>
          </cell>
          <cell r="AJ839">
            <v>0</v>
          </cell>
        </row>
        <row r="840">
          <cell r="A840" t="str">
            <v>19</v>
          </cell>
          <cell r="B840" t="str">
            <v>19</v>
          </cell>
          <cell r="C840" t="str">
            <v>279</v>
          </cell>
          <cell r="D840" t="str">
            <v>Блок промывки и стер</v>
          </cell>
          <cell r="E840" t="str">
            <v>илизации</v>
          </cell>
          <cell r="G840" t="str">
            <v>01</v>
          </cell>
          <cell r="H840">
            <v>19400</v>
          </cell>
          <cell r="I840">
            <v>2793.38</v>
          </cell>
          <cell r="J840">
            <v>0</v>
          </cell>
          <cell r="K840">
            <v>1</v>
          </cell>
          <cell r="L840" t="str">
            <v>88/4</v>
          </cell>
          <cell r="M840" t="str">
            <v>45102</v>
          </cell>
          <cell r="N840" t="str">
            <v>142925101</v>
          </cell>
          <cell r="P840">
            <v>15.4</v>
          </cell>
          <cell r="Q840">
            <v>0</v>
          </cell>
          <cell r="R840" t="str">
            <v>1</v>
          </cell>
          <cell r="S840" t="str">
            <v>45</v>
          </cell>
          <cell r="T840">
            <v>94</v>
          </cell>
          <cell r="U840">
            <v>6</v>
          </cell>
          <cell r="V840">
            <v>97</v>
          </cell>
          <cell r="W840">
            <v>6</v>
          </cell>
          <cell r="X840">
            <v>97</v>
          </cell>
          <cell r="Y840">
            <v>0</v>
          </cell>
          <cell r="Z840">
            <v>0</v>
          </cell>
          <cell r="AD840" t="str">
            <v>0</v>
          </cell>
          <cell r="AE840" t="str">
            <v>0</v>
          </cell>
          <cell r="AF840" t="str">
            <v>19</v>
          </cell>
          <cell r="AI840">
            <v>0</v>
          </cell>
          <cell r="AJ840">
            <v>0</v>
          </cell>
        </row>
        <row r="841">
          <cell r="A841" t="str">
            <v>19</v>
          </cell>
          <cell r="B841" t="str">
            <v>19</v>
          </cell>
          <cell r="C841" t="str">
            <v>280</v>
          </cell>
          <cell r="D841" t="str">
            <v>Блок промывки и стер</v>
          </cell>
          <cell r="E841" t="str">
            <v>илизации</v>
          </cell>
          <cell r="G841" t="str">
            <v>01</v>
          </cell>
          <cell r="H841">
            <v>4560</v>
          </cell>
          <cell r="I841">
            <v>657.07</v>
          </cell>
          <cell r="J841">
            <v>0</v>
          </cell>
          <cell r="K841">
            <v>1</v>
          </cell>
          <cell r="L841" t="str">
            <v>88/4</v>
          </cell>
          <cell r="M841" t="str">
            <v>45102</v>
          </cell>
          <cell r="N841" t="str">
            <v>142925101</v>
          </cell>
          <cell r="P841">
            <v>15.4</v>
          </cell>
          <cell r="Q841">
            <v>0</v>
          </cell>
          <cell r="R841" t="str">
            <v>1</v>
          </cell>
          <cell r="S841" t="str">
            <v>45</v>
          </cell>
          <cell r="T841">
            <v>94</v>
          </cell>
          <cell r="U841">
            <v>6</v>
          </cell>
          <cell r="V841">
            <v>97</v>
          </cell>
          <cell r="W841">
            <v>6</v>
          </cell>
          <cell r="X841">
            <v>97</v>
          </cell>
          <cell r="Y841">
            <v>0</v>
          </cell>
          <cell r="Z841">
            <v>0</v>
          </cell>
          <cell r="AD841" t="str">
            <v>0</v>
          </cell>
          <cell r="AE841" t="str">
            <v>0</v>
          </cell>
          <cell r="AF841" t="str">
            <v>19</v>
          </cell>
          <cell r="AI841">
            <v>0</v>
          </cell>
          <cell r="AJ841">
            <v>0</v>
          </cell>
        </row>
        <row r="842">
          <cell r="A842" t="str">
            <v>19</v>
          </cell>
          <cell r="B842" t="str">
            <v>19</v>
          </cell>
          <cell r="C842" t="str">
            <v>281</v>
          </cell>
          <cell r="D842" t="str">
            <v>Блок промывки и стер</v>
          </cell>
          <cell r="E842" t="str">
            <v>илизации</v>
          </cell>
          <cell r="G842" t="str">
            <v>01</v>
          </cell>
          <cell r="H842">
            <v>4560</v>
          </cell>
          <cell r="I842">
            <v>657.14</v>
          </cell>
          <cell r="J842">
            <v>0</v>
          </cell>
          <cell r="K842">
            <v>1</v>
          </cell>
          <cell r="L842" t="str">
            <v>88/4</v>
          </cell>
          <cell r="M842" t="str">
            <v>45102</v>
          </cell>
          <cell r="N842" t="str">
            <v>142925101</v>
          </cell>
          <cell r="P842">
            <v>15.4</v>
          </cell>
          <cell r="Q842">
            <v>0</v>
          </cell>
          <cell r="R842" t="str">
            <v>1</v>
          </cell>
          <cell r="S842" t="str">
            <v>45</v>
          </cell>
          <cell r="T842">
            <v>94</v>
          </cell>
          <cell r="U842">
            <v>6</v>
          </cell>
          <cell r="V842">
            <v>97</v>
          </cell>
          <cell r="W842">
            <v>6</v>
          </cell>
          <cell r="X842">
            <v>97</v>
          </cell>
          <cell r="Y842">
            <v>0</v>
          </cell>
          <cell r="Z842">
            <v>0</v>
          </cell>
          <cell r="AD842" t="str">
            <v>0</v>
          </cell>
          <cell r="AE842" t="str">
            <v>0</v>
          </cell>
          <cell r="AF842" t="str">
            <v>19</v>
          </cell>
          <cell r="AI842">
            <v>0</v>
          </cell>
          <cell r="AJ842">
            <v>0</v>
          </cell>
        </row>
        <row r="843">
          <cell r="A843" t="str">
            <v>19</v>
          </cell>
          <cell r="B843" t="str">
            <v>19</v>
          </cell>
          <cell r="C843" t="str">
            <v>282</v>
          </cell>
          <cell r="D843" t="str">
            <v>Бокс для оглушения</v>
          </cell>
          <cell r="G843" t="str">
            <v>01</v>
          </cell>
          <cell r="H843">
            <v>53600</v>
          </cell>
          <cell r="I843">
            <v>7718.28</v>
          </cell>
          <cell r="J843">
            <v>0</v>
          </cell>
          <cell r="K843">
            <v>1</v>
          </cell>
          <cell r="L843" t="str">
            <v>88/4</v>
          </cell>
          <cell r="M843" t="str">
            <v>45102</v>
          </cell>
          <cell r="N843" t="str">
            <v>142925101</v>
          </cell>
          <cell r="P843">
            <v>15.4</v>
          </cell>
          <cell r="Q843">
            <v>0</v>
          </cell>
          <cell r="R843" t="str">
            <v>1</v>
          </cell>
          <cell r="S843" t="str">
            <v>45</v>
          </cell>
          <cell r="T843">
            <v>94</v>
          </cell>
          <cell r="U843">
            <v>6</v>
          </cell>
          <cell r="V843">
            <v>97</v>
          </cell>
          <cell r="W843">
            <v>6</v>
          </cell>
          <cell r="X843">
            <v>97</v>
          </cell>
          <cell r="Y843">
            <v>0</v>
          </cell>
          <cell r="Z843">
            <v>0</v>
          </cell>
          <cell r="AD843" t="str">
            <v>0</v>
          </cell>
          <cell r="AE843" t="str">
            <v>0</v>
          </cell>
          <cell r="AF843" t="str">
            <v>19</v>
          </cell>
          <cell r="AI843">
            <v>0</v>
          </cell>
          <cell r="AJ843">
            <v>0</v>
          </cell>
        </row>
        <row r="844">
          <cell r="A844" t="str">
            <v>19</v>
          </cell>
          <cell r="B844" t="str">
            <v>19</v>
          </cell>
          <cell r="C844" t="str">
            <v>283</v>
          </cell>
          <cell r="D844" t="str">
            <v>Вакуумный барабан ВА</v>
          </cell>
          <cell r="E844" t="str">
            <v>-250</v>
          </cell>
          <cell r="G844" t="str">
            <v>01</v>
          </cell>
          <cell r="H844">
            <v>368000</v>
          </cell>
          <cell r="I844">
            <v>52991.57</v>
          </cell>
          <cell r="J844">
            <v>0</v>
          </cell>
          <cell r="K844">
            <v>1</v>
          </cell>
          <cell r="L844" t="str">
            <v>88/4</v>
          </cell>
          <cell r="M844" t="str">
            <v>45102</v>
          </cell>
          <cell r="N844" t="str">
            <v>142925101</v>
          </cell>
          <cell r="P844">
            <v>15.4</v>
          </cell>
          <cell r="Q844">
            <v>0</v>
          </cell>
          <cell r="R844" t="str">
            <v>1</v>
          </cell>
          <cell r="S844" t="str">
            <v>45</v>
          </cell>
          <cell r="T844">
            <v>94</v>
          </cell>
          <cell r="U844">
            <v>6</v>
          </cell>
          <cell r="V844">
            <v>97</v>
          </cell>
          <cell r="W844">
            <v>6</v>
          </cell>
          <cell r="X844">
            <v>97</v>
          </cell>
          <cell r="Y844">
            <v>0</v>
          </cell>
          <cell r="Z844">
            <v>0</v>
          </cell>
          <cell r="AD844" t="str">
            <v>0</v>
          </cell>
          <cell r="AE844" t="str">
            <v>0</v>
          </cell>
          <cell r="AF844" t="str">
            <v>19</v>
          </cell>
          <cell r="AI844">
            <v>0</v>
          </cell>
          <cell r="AJ844">
            <v>0</v>
          </cell>
        </row>
        <row r="845">
          <cell r="A845" t="str">
            <v>19</v>
          </cell>
          <cell r="B845" t="str">
            <v>19</v>
          </cell>
          <cell r="C845" t="str">
            <v>284</v>
          </cell>
          <cell r="D845" t="str">
            <v>Вакуумно-упаковочная</v>
          </cell>
          <cell r="E845" t="str">
            <v>машина А-200</v>
          </cell>
          <cell r="G845" t="str">
            <v>01</v>
          </cell>
          <cell r="H845">
            <v>26000</v>
          </cell>
          <cell r="I845">
            <v>3743.82</v>
          </cell>
          <cell r="J845">
            <v>0</v>
          </cell>
          <cell r="K845">
            <v>1</v>
          </cell>
          <cell r="L845" t="str">
            <v>88/4</v>
          </cell>
          <cell r="M845" t="str">
            <v>45102</v>
          </cell>
          <cell r="N845" t="str">
            <v>142925104</v>
          </cell>
          <cell r="P845">
            <v>15.4</v>
          </cell>
          <cell r="Q845">
            <v>0</v>
          </cell>
          <cell r="R845" t="str">
            <v>1</v>
          </cell>
          <cell r="S845" t="str">
            <v>45</v>
          </cell>
          <cell r="T845">
            <v>94</v>
          </cell>
          <cell r="U845">
            <v>6</v>
          </cell>
          <cell r="V845">
            <v>97</v>
          </cell>
          <cell r="W845">
            <v>6</v>
          </cell>
          <cell r="X845">
            <v>97</v>
          </cell>
          <cell r="Y845">
            <v>0</v>
          </cell>
          <cell r="Z845">
            <v>0</v>
          </cell>
          <cell r="AD845" t="str">
            <v>0</v>
          </cell>
          <cell r="AE845" t="str">
            <v>0</v>
          </cell>
          <cell r="AF845" t="str">
            <v>19</v>
          </cell>
          <cell r="AI845">
            <v>0</v>
          </cell>
          <cell r="AJ845">
            <v>0</v>
          </cell>
        </row>
        <row r="846">
          <cell r="A846" t="str">
            <v>19</v>
          </cell>
          <cell r="B846" t="str">
            <v>19</v>
          </cell>
          <cell r="C846" t="str">
            <v>285</v>
          </cell>
          <cell r="D846" t="str">
            <v>Ванна для отпаривани</v>
          </cell>
          <cell r="E846" t="str">
            <v>я</v>
          </cell>
          <cell r="G846" t="str">
            <v>01</v>
          </cell>
          <cell r="H846">
            <v>61350</v>
          </cell>
          <cell r="I846">
            <v>8834.76</v>
          </cell>
          <cell r="J846">
            <v>0</v>
          </cell>
          <cell r="K846">
            <v>1</v>
          </cell>
          <cell r="L846" t="str">
            <v>88/4</v>
          </cell>
          <cell r="M846" t="str">
            <v>45102</v>
          </cell>
          <cell r="N846" t="str">
            <v>142925101</v>
          </cell>
          <cell r="P846">
            <v>15.4</v>
          </cell>
          <cell r="Q846">
            <v>0</v>
          </cell>
          <cell r="R846" t="str">
            <v>1</v>
          </cell>
          <cell r="S846" t="str">
            <v>45</v>
          </cell>
          <cell r="T846">
            <v>94</v>
          </cell>
          <cell r="U846">
            <v>6</v>
          </cell>
          <cell r="V846">
            <v>97</v>
          </cell>
          <cell r="W846">
            <v>6</v>
          </cell>
          <cell r="X846">
            <v>97</v>
          </cell>
          <cell r="Y846">
            <v>0</v>
          </cell>
          <cell r="Z846">
            <v>0</v>
          </cell>
          <cell r="AD846" t="str">
            <v>0</v>
          </cell>
          <cell r="AE846" t="str">
            <v>0</v>
          </cell>
          <cell r="AF846" t="str">
            <v>19</v>
          </cell>
          <cell r="AI846">
            <v>0</v>
          </cell>
          <cell r="AJ846">
            <v>0</v>
          </cell>
        </row>
        <row r="847">
          <cell r="A847" t="str">
            <v>19</v>
          </cell>
          <cell r="B847" t="str">
            <v>19</v>
          </cell>
          <cell r="C847" t="str">
            <v>286</v>
          </cell>
          <cell r="D847" t="str">
            <v>Весы для скота в бок</v>
          </cell>
          <cell r="E847" t="str">
            <v>се</v>
          </cell>
          <cell r="G847" t="str">
            <v>01</v>
          </cell>
          <cell r="H847">
            <v>24600</v>
          </cell>
          <cell r="I847">
            <v>354.28</v>
          </cell>
          <cell r="J847">
            <v>0</v>
          </cell>
          <cell r="K847">
            <v>1</v>
          </cell>
          <cell r="L847" t="str">
            <v>88/4</v>
          </cell>
          <cell r="M847" t="str">
            <v>45102</v>
          </cell>
          <cell r="N847" t="str">
            <v>142925101</v>
          </cell>
          <cell r="P847">
            <v>15.4</v>
          </cell>
          <cell r="Q847">
            <v>0</v>
          </cell>
          <cell r="R847" t="str">
            <v>1</v>
          </cell>
          <cell r="S847" t="str">
            <v>45</v>
          </cell>
          <cell r="T847">
            <v>94</v>
          </cell>
          <cell r="U847">
            <v>6</v>
          </cell>
          <cell r="V847">
            <v>97</v>
          </cell>
          <cell r="W847">
            <v>6</v>
          </cell>
          <cell r="X847">
            <v>97</v>
          </cell>
          <cell r="Y847">
            <v>0</v>
          </cell>
          <cell r="Z847">
            <v>0</v>
          </cell>
          <cell r="AD847" t="str">
            <v>0</v>
          </cell>
          <cell r="AE847" t="str">
            <v>0</v>
          </cell>
          <cell r="AF847" t="str">
            <v>19</v>
          </cell>
          <cell r="AI847">
            <v>0</v>
          </cell>
          <cell r="AJ847">
            <v>0</v>
          </cell>
        </row>
        <row r="848">
          <cell r="A848" t="str">
            <v>19</v>
          </cell>
          <cell r="B848" t="str">
            <v>19</v>
          </cell>
          <cell r="C848" t="str">
            <v>287</v>
          </cell>
          <cell r="D848" t="str">
            <v>Весы на подвесном пу</v>
          </cell>
          <cell r="E848" t="str">
            <v>ти</v>
          </cell>
          <cell r="G848" t="str">
            <v>01</v>
          </cell>
          <cell r="H848">
            <v>18971.59</v>
          </cell>
          <cell r="I848">
            <v>2730.97</v>
          </cell>
          <cell r="J848">
            <v>0</v>
          </cell>
          <cell r="K848">
            <v>1</v>
          </cell>
          <cell r="L848" t="str">
            <v>88/4</v>
          </cell>
          <cell r="M848" t="str">
            <v>45102</v>
          </cell>
          <cell r="N848" t="str">
            <v>142925101</v>
          </cell>
          <cell r="P848">
            <v>15.4</v>
          </cell>
          <cell r="Q848">
            <v>0</v>
          </cell>
          <cell r="R848" t="str">
            <v>1</v>
          </cell>
          <cell r="S848" t="str">
            <v>45</v>
          </cell>
          <cell r="T848">
            <v>94</v>
          </cell>
          <cell r="U848">
            <v>6</v>
          </cell>
          <cell r="V848">
            <v>97</v>
          </cell>
          <cell r="W848">
            <v>6</v>
          </cell>
          <cell r="X848">
            <v>97</v>
          </cell>
          <cell r="Y848">
            <v>0</v>
          </cell>
          <cell r="Z848">
            <v>0</v>
          </cell>
          <cell r="AD848" t="str">
            <v>0</v>
          </cell>
          <cell r="AE848" t="str">
            <v>0</v>
          </cell>
          <cell r="AF848" t="str">
            <v>19</v>
          </cell>
          <cell r="AI848">
            <v>0</v>
          </cell>
          <cell r="AJ848">
            <v>0</v>
          </cell>
        </row>
        <row r="849">
          <cell r="A849" t="str">
            <v>19</v>
          </cell>
          <cell r="B849" t="str">
            <v>19</v>
          </cell>
          <cell r="C849" t="str">
            <v>288</v>
          </cell>
          <cell r="D849" t="str">
            <v>Весы с подставкой</v>
          </cell>
          <cell r="E849" t="str">
            <v>К-1Д-90-60</v>
          </cell>
          <cell r="G849" t="str">
            <v>01</v>
          </cell>
          <cell r="H849">
            <v>21346</v>
          </cell>
          <cell r="I849">
            <v>3074.09</v>
          </cell>
          <cell r="J849">
            <v>0</v>
          </cell>
          <cell r="K849">
            <v>1</v>
          </cell>
          <cell r="L849" t="str">
            <v>88/4</v>
          </cell>
          <cell r="M849" t="str">
            <v>45102</v>
          </cell>
          <cell r="N849" t="str">
            <v>142925101</v>
          </cell>
          <cell r="P849">
            <v>15.4</v>
          </cell>
          <cell r="Q849">
            <v>0</v>
          </cell>
          <cell r="R849" t="str">
            <v>1</v>
          </cell>
          <cell r="S849" t="str">
            <v>45</v>
          </cell>
          <cell r="T849">
            <v>94</v>
          </cell>
          <cell r="U849">
            <v>6</v>
          </cell>
          <cell r="V849">
            <v>97</v>
          </cell>
          <cell r="W849">
            <v>6</v>
          </cell>
          <cell r="X849">
            <v>97</v>
          </cell>
          <cell r="Y849">
            <v>0</v>
          </cell>
          <cell r="Z849">
            <v>0</v>
          </cell>
          <cell r="AD849" t="str">
            <v>0</v>
          </cell>
          <cell r="AE849" t="str">
            <v>0</v>
          </cell>
          <cell r="AF849" t="str">
            <v>19</v>
          </cell>
          <cell r="AI849">
            <v>0</v>
          </cell>
          <cell r="AJ849">
            <v>0</v>
          </cell>
        </row>
        <row r="850">
          <cell r="A850" t="str">
            <v>19</v>
          </cell>
          <cell r="B850" t="str">
            <v>19</v>
          </cell>
          <cell r="C850" t="str">
            <v>289</v>
          </cell>
          <cell r="D850" t="str">
            <v>Весы электронные нас</v>
          </cell>
          <cell r="E850" t="str">
            <v>тольные</v>
          </cell>
          <cell r="G850" t="str">
            <v>01</v>
          </cell>
          <cell r="H850">
            <v>11500</v>
          </cell>
          <cell r="I850">
            <v>1686.25</v>
          </cell>
          <cell r="J850">
            <v>0</v>
          </cell>
          <cell r="K850">
            <v>1</v>
          </cell>
          <cell r="L850" t="str">
            <v>88/4</v>
          </cell>
          <cell r="M850" t="str">
            <v>45102</v>
          </cell>
          <cell r="N850" t="str">
            <v>142925101</v>
          </cell>
          <cell r="P850">
            <v>15.4</v>
          </cell>
          <cell r="Q850">
            <v>0</v>
          </cell>
          <cell r="R850" t="str">
            <v>1</v>
          </cell>
          <cell r="S850" t="str">
            <v>45</v>
          </cell>
          <cell r="T850">
            <v>94</v>
          </cell>
          <cell r="U850">
            <v>6</v>
          </cell>
          <cell r="V850">
            <v>97</v>
          </cell>
          <cell r="W850">
            <v>6</v>
          </cell>
          <cell r="X850">
            <v>97</v>
          </cell>
          <cell r="Y850">
            <v>0</v>
          </cell>
          <cell r="Z850">
            <v>0</v>
          </cell>
          <cell r="AD850" t="str">
            <v>0</v>
          </cell>
          <cell r="AE850" t="str">
            <v>0</v>
          </cell>
          <cell r="AF850" t="str">
            <v>19</v>
          </cell>
          <cell r="AI850">
            <v>0</v>
          </cell>
          <cell r="AJ850">
            <v>0</v>
          </cell>
        </row>
        <row r="851">
          <cell r="A851" t="str">
            <v>19</v>
          </cell>
          <cell r="B851" t="str">
            <v>19</v>
          </cell>
          <cell r="C851" t="str">
            <v>290</v>
          </cell>
          <cell r="D851" t="str">
            <v>Волчок смесительный</v>
          </cell>
          <cell r="E851" t="str">
            <v>КТ-ЛМ</v>
          </cell>
          <cell r="G851" t="str">
            <v>01</v>
          </cell>
          <cell r="H851">
            <v>35777</v>
          </cell>
          <cell r="I851">
            <v>5152.51</v>
          </cell>
          <cell r="J851">
            <v>0</v>
          </cell>
          <cell r="K851">
            <v>1</v>
          </cell>
          <cell r="L851" t="str">
            <v>88/4</v>
          </cell>
          <cell r="M851" t="str">
            <v>45102</v>
          </cell>
          <cell r="N851" t="str">
            <v>142925101</v>
          </cell>
          <cell r="P851">
            <v>15.4</v>
          </cell>
          <cell r="Q851">
            <v>0</v>
          </cell>
          <cell r="R851" t="str">
            <v>1</v>
          </cell>
          <cell r="S851" t="str">
            <v>45</v>
          </cell>
          <cell r="T851">
            <v>94</v>
          </cell>
          <cell r="U851">
            <v>6</v>
          </cell>
          <cell r="V851">
            <v>97</v>
          </cell>
          <cell r="W851">
            <v>6</v>
          </cell>
          <cell r="X851">
            <v>97</v>
          </cell>
          <cell r="Y851">
            <v>0</v>
          </cell>
          <cell r="Z851">
            <v>0</v>
          </cell>
          <cell r="AD851" t="str">
            <v>0</v>
          </cell>
          <cell r="AE851" t="str">
            <v>0</v>
          </cell>
          <cell r="AF851" t="str">
            <v>19</v>
          </cell>
          <cell r="AI851">
            <v>0</v>
          </cell>
          <cell r="AJ851">
            <v>0</v>
          </cell>
        </row>
        <row r="852">
          <cell r="A852" t="str">
            <v>19</v>
          </cell>
          <cell r="B852" t="str">
            <v>19</v>
          </cell>
          <cell r="C852" t="str">
            <v>291</v>
          </cell>
          <cell r="D852" t="str">
            <v>Емкость 25м3</v>
          </cell>
          <cell r="G852" t="str">
            <v>01</v>
          </cell>
          <cell r="H852">
            <v>5122.25</v>
          </cell>
          <cell r="I852">
            <v>737.21</v>
          </cell>
          <cell r="J852">
            <v>0</v>
          </cell>
          <cell r="K852">
            <v>1</v>
          </cell>
          <cell r="L852" t="str">
            <v>88/4</v>
          </cell>
          <cell r="M852" t="str">
            <v>45102</v>
          </cell>
          <cell r="N852" t="str">
            <v>142925101</v>
          </cell>
          <cell r="P852">
            <v>15.4</v>
          </cell>
          <cell r="Q852">
            <v>0</v>
          </cell>
          <cell r="R852" t="str">
            <v>1</v>
          </cell>
          <cell r="S852" t="str">
            <v>45</v>
          </cell>
          <cell r="T852">
            <v>94</v>
          </cell>
          <cell r="U852">
            <v>6</v>
          </cell>
          <cell r="V852">
            <v>97</v>
          </cell>
          <cell r="W852">
            <v>6</v>
          </cell>
          <cell r="X852">
            <v>97</v>
          </cell>
          <cell r="Y852">
            <v>0</v>
          </cell>
          <cell r="Z852">
            <v>0</v>
          </cell>
          <cell r="AD852" t="str">
            <v>0</v>
          </cell>
          <cell r="AE852" t="str">
            <v>0</v>
          </cell>
          <cell r="AF852" t="str">
            <v>19</v>
          </cell>
          <cell r="AI852">
            <v>0</v>
          </cell>
          <cell r="AJ852">
            <v>0</v>
          </cell>
        </row>
        <row r="853">
          <cell r="A853" t="str">
            <v>19</v>
          </cell>
          <cell r="B853" t="str">
            <v>19</v>
          </cell>
          <cell r="C853" t="str">
            <v>292</v>
          </cell>
          <cell r="D853" t="str">
            <v>Камера горячего копч</v>
          </cell>
          <cell r="E853" t="str">
            <v>ения</v>
          </cell>
          <cell r="G853" t="str">
            <v>01</v>
          </cell>
          <cell r="H853">
            <v>289321</v>
          </cell>
          <cell r="I853">
            <v>41662.32</v>
          </cell>
          <cell r="J853">
            <v>0</v>
          </cell>
          <cell r="K853">
            <v>1</v>
          </cell>
          <cell r="L853" t="str">
            <v>88/4</v>
          </cell>
          <cell r="M853" t="str">
            <v>45102</v>
          </cell>
          <cell r="N853" t="str">
            <v>142925101</v>
          </cell>
          <cell r="P853">
            <v>15.4</v>
          </cell>
          <cell r="Q853">
            <v>0</v>
          </cell>
          <cell r="R853" t="str">
            <v>1</v>
          </cell>
          <cell r="S853" t="str">
            <v>45</v>
          </cell>
          <cell r="T853">
            <v>94</v>
          </cell>
          <cell r="U853">
            <v>6</v>
          </cell>
          <cell r="V853">
            <v>97</v>
          </cell>
          <cell r="W853">
            <v>6</v>
          </cell>
          <cell r="X853">
            <v>97</v>
          </cell>
          <cell r="Y853">
            <v>0</v>
          </cell>
          <cell r="Z853">
            <v>0</v>
          </cell>
          <cell r="AD853" t="str">
            <v>0</v>
          </cell>
          <cell r="AE853" t="str">
            <v>0</v>
          </cell>
          <cell r="AF853" t="str">
            <v>19</v>
          </cell>
          <cell r="AI853">
            <v>0</v>
          </cell>
          <cell r="AJ853">
            <v>0</v>
          </cell>
        </row>
        <row r="854">
          <cell r="A854" t="str">
            <v>19</v>
          </cell>
          <cell r="B854" t="str">
            <v>19</v>
          </cell>
          <cell r="C854" t="str">
            <v>293</v>
          </cell>
          <cell r="D854" t="str">
            <v>Камера горячего копч</v>
          </cell>
          <cell r="E854" t="str">
            <v>ения</v>
          </cell>
          <cell r="G854" t="str">
            <v>01</v>
          </cell>
          <cell r="H854">
            <v>289321</v>
          </cell>
          <cell r="I854">
            <v>41662.32</v>
          </cell>
          <cell r="J854">
            <v>0</v>
          </cell>
          <cell r="K854">
            <v>1</v>
          </cell>
          <cell r="L854" t="str">
            <v>88/4</v>
          </cell>
          <cell r="M854" t="str">
            <v>45102</v>
          </cell>
          <cell r="N854" t="str">
            <v>142925101</v>
          </cell>
          <cell r="P854">
            <v>15.4</v>
          </cell>
          <cell r="Q854">
            <v>0</v>
          </cell>
          <cell r="R854" t="str">
            <v>1</v>
          </cell>
          <cell r="S854" t="str">
            <v>45</v>
          </cell>
          <cell r="T854">
            <v>94</v>
          </cell>
          <cell r="U854">
            <v>6</v>
          </cell>
          <cell r="V854">
            <v>97</v>
          </cell>
          <cell r="W854">
            <v>6</v>
          </cell>
          <cell r="X854">
            <v>97</v>
          </cell>
          <cell r="Y854">
            <v>0</v>
          </cell>
          <cell r="Z854">
            <v>0</v>
          </cell>
          <cell r="AD854" t="str">
            <v>0</v>
          </cell>
          <cell r="AE854" t="str">
            <v>0</v>
          </cell>
          <cell r="AF854" t="str">
            <v>19</v>
          </cell>
          <cell r="AI854">
            <v>0</v>
          </cell>
          <cell r="AJ854">
            <v>0</v>
          </cell>
        </row>
        <row r="855">
          <cell r="A855" t="str">
            <v>19</v>
          </cell>
          <cell r="B855" t="str">
            <v>19</v>
          </cell>
          <cell r="C855" t="str">
            <v>294</v>
          </cell>
          <cell r="D855" t="str">
            <v>Камера холодного коп</v>
          </cell>
          <cell r="E855" t="str">
            <v>чения</v>
          </cell>
          <cell r="G855" t="str">
            <v>01</v>
          </cell>
          <cell r="H855">
            <v>289321</v>
          </cell>
          <cell r="I855">
            <v>41499.949999999997</v>
          </cell>
          <cell r="J855">
            <v>0</v>
          </cell>
          <cell r="K855">
            <v>1</v>
          </cell>
          <cell r="L855" t="str">
            <v>88/4</v>
          </cell>
          <cell r="M855" t="str">
            <v>45102</v>
          </cell>
          <cell r="N855" t="str">
            <v>142925101</v>
          </cell>
          <cell r="P855">
            <v>15.4</v>
          </cell>
          <cell r="Q855">
            <v>0</v>
          </cell>
          <cell r="R855" t="str">
            <v>1</v>
          </cell>
          <cell r="S855" t="str">
            <v>45</v>
          </cell>
          <cell r="T855">
            <v>94</v>
          </cell>
          <cell r="U855">
            <v>6</v>
          </cell>
          <cell r="V855">
            <v>97</v>
          </cell>
          <cell r="W855">
            <v>6</v>
          </cell>
          <cell r="X855">
            <v>97</v>
          </cell>
          <cell r="Y855">
            <v>0</v>
          </cell>
          <cell r="Z855">
            <v>0</v>
          </cell>
          <cell r="AD855" t="str">
            <v>0</v>
          </cell>
          <cell r="AE855" t="str">
            <v>0</v>
          </cell>
          <cell r="AF855" t="str">
            <v>19</v>
          </cell>
          <cell r="AI855">
            <v>0</v>
          </cell>
          <cell r="AJ855">
            <v>0</v>
          </cell>
        </row>
        <row r="856">
          <cell r="A856" t="str">
            <v>19</v>
          </cell>
          <cell r="B856" t="str">
            <v>19</v>
          </cell>
          <cell r="C856" t="str">
            <v>295</v>
          </cell>
          <cell r="D856" t="str">
            <v>Козлы для съемки шку</v>
          </cell>
          <cell r="E856" t="str">
            <v>р</v>
          </cell>
          <cell r="G856" t="str">
            <v>01</v>
          </cell>
          <cell r="H856">
            <v>8124</v>
          </cell>
          <cell r="I856">
            <v>1169.73</v>
          </cell>
          <cell r="J856">
            <v>0</v>
          </cell>
          <cell r="K856">
            <v>1</v>
          </cell>
          <cell r="L856" t="str">
            <v>88/4</v>
          </cell>
          <cell r="M856" t="str">
            <v>45102</v>
          </cell>
          <cell r="N856" t="str">
            <v>142925101</v>
          </cell>
          <cell r="P856">
            <v>15.4</v>
          </cell>
          <cell r="Q856">
            <v>0</v>
          </cell>
          <cell r="R856" t="str">
            <v>1</v>
          </cell>
          <cell r="S856" t="str">
            <v>45</v>
          </cell>
          <cell r="T856">
            <v>94</v>
          </cell>
          <cell r="U856">
            <v>6</v>
          </cell>
          <cell r="V856">
            <v>97</v>
          </cell>
          <cell r="W856">
            <v>6</v>
          </cell>
          <cell r="X856">
            <v>97</v>
          </cell>
          <cell r="Y856">
            <v>0</v>
          </cell>
          <cell r="Z856">
            <v>0</v>
          </cell>
          <cell r="AD856" t="str">
            <v>0</v>
          </cell>
          <cell r="AE856" t="str">
            <v>0</v>
          </cell>
          <cell r="AF856" t="str">
            <v>19</v>
          </cell>
          <cell r="AI856">
            <v>0</v>
          </cell>
          <cell r="AJ856">
            <v>0</v>
          </cell>
        </row>
        <row r="857">
          <cell r="A857" t="str">
            <v>19</v>
          </cell>
          <cell r="B857" t="str">
            <v>19</v>
          </cell>
          <cell r="C857" t="str">
            <v>296</v>
          </cell>
          <cell r="D857" t="str">
            <v>Конструкции бокса</v>
          </cell>
          <cell r="G857" t="str">
            <v>01</v>
          </cell>
          <cell r="H857">
            <v>45198.239999999998</v>
          </cell>
          <cell r="I857">
            <v>6508.49</v>
          </cell>
          <cell r="J857">
            <v>0</v>
          </cell>
          <cell r="K857">
            <v>1</v>
          </cell>
          <cell r="L857" t="str">
            <v>88/4</v>
          </cell>
          <cell r="M857" t="str">
            <v>45102</v>
          </cell>
          <cell r="N857" t="str">
            <v>142925101</v>
          </cell>
          <cell r="P857">
            <v>15.4</v>
          </cell>
          <cell r="Q857">
            <v>0</v>
          </cell>
          <cell r="R857" t="str">
            <v>1</v>
          </cell>
          <cell r="S857" t="str">
            <v>45</v>
          </cell>
          <cell r="T857">
            <v>94</v>
          </cell>
          <cell r="U857">
            <v>6</v>
          </cell>
          <cell r="V857">
            <v>97</v>
          </cell>
          <cell r="W857">
            <v>6</v>
          </cell>
          <cell r="X857">
            <v>97</v>
          </cell>
          <cell r="Y857">
            <v>0</v>
          </cell>
          <cell r="Z857">
            <v>0</v>
          </cell>
          <cell r="AD857" t="str">
            <v>0</v>
          </cell>
          <cell r="AE857" t="str">
            <v>0</v>
          </cell>
          <cell r="AF857" t="str">
            <v>19</v>
          </cell>
          <cell r="AI857">
            <v>0</v>
          </cell>
          <cell r="AJ857">
            <v>0</v>
          </cell>
        </row>
        <row r="858">
          <cell r="A858" t="str">
            <v>19</v>
          </cell>
          <cell r="B858" t="str">
            <v>19</v>
          </cell>
          <cell r="C858" t="str">
            <v>297</v>
          </cell>
          <cell r="D858" t="str">
            <v>Машина для очистки</v>
          </cell>
          <cell r="E858" t="str">
            <v>кишок</v>
          </cell>
          <cell r="G858" t="str">
            <v>01</v>
          </cell>
          <cell r="H858">
            <v>85700</v>
          </cell>
          <cell r="I858">
            <v>12340.87</v>
          </cell>
          <cell r="J858">
            <v>0</v>
          </cell>
          <cell r="K858">
            <v>1</v>
          </cell>
          <cell r="L858" t="str">
            <v>88/4</v>
          </cell>
          <cell r="M858" t="str">
            <v>45102</v>
          </cell>
          <cell r="N858" t="str">
            <v>142925101</v>
          </cell>
          <cell r="P858">
            <v>15.4</v>
          </cell>
          <cell r="Q858">
            <v>0</v>
          </cell>
          <cell r="R858" t="str">
            <v>1</v>
          </cell>
          <cell r="S858" t="str">
            <v>45</v>
          </cell>
          <cell r="T858">
            <v>94</v>
          </cell>
          <cell r="U858">
            <v>6</v>
          </cell>
          <cell r="V858">
            <v>97</v>
          </cell>
          <cell r="W858">
            <v>6</v>
          </cell>
          <cell r="X858">
            <v>97</v>
          </cell>
          <cell r="Y858">
            <v>0</v>
          </cell>
          <cell r="Z858">
            <v>0</v>
          </cell>
          <cell r="AD858" t="str">
            <v>0</v>
          </cell>
          <cell r="AE858" t="str">
            <v>0</v>
          </cell>
          <cell r="AF858" t="str">
            <v>19</v>
          </cell>
          <cell r="AI858">
            <v>0</v>
          </cell>
          <cell r="AJ858">
            <v>0</v>
          </cell>
        </row>
        <row r="859">
          <cell r="A859" t="str">
            <v>19</v>
          </cell>
          <cell r="B859" t="str">
            <v>19</v>
          </cell>
          <cell r="C859" t="str">
            <v>298</v>
          </cell>
          <cell r="D859" t="str">
            <v>Машина для производс</v>
          </cell>
          <cell r="E859" t="str">
            <v>тва льда</v>
          </cell>
          <cell r="G859" t="str">
            <v>01</v>
          </cell>
          <cell r="H859">
            <v>28418.85</v>
          </cell>
          <cell r="I859">
            <v>4091.81</v>
          </cell>
          <cell r="J859">
            <v>0</v>
          </cell>
          <cell r="K859">
            <v>1</v>
          </cell>
          <cell r="L859" t="str">
            <v>88/4</v>
          </cell>
          <cell r="M859" t="str">
            <v>45102</v>
          </cell>
          <cell r="N859" t="str">
            <v>142925101</v>
          </cell>
          <cell r="P859">
            <v>15.4</v>
          </cell>
          <cell r="Q859">
            <v>0</v>
          </cell>
          <cell r="R859" t="str">
            <v>1</v>
          </cell>
          <cell r="S859" t="str">
            <v>45</v>
          </cell>
          <cell r="T859">
            <v>94</v>
          </cell>
          <cell r="U859">
            <v>6</v>
          </cell>
          <cell r="V859">
            <v>97</v>
          </cell>
          <cell r="W859">
            <v>6</v>
          </cell>
          <cell r="X859">
            <v>97</v>
          </cell>
          <cell r="Y859">
            <v>0</v>
          </cell>
          <cell r="Z859">
            <v>0</v>
          </cell>
          <cell r="AD859" t="str">
            <v>0</v>
          </cell>
          <cell r="AE859" t="str">
            <v>0</v>
          </cell>
          <cell r="AF859" t="str">
            <v>19</v>
          </cell>
          <cell r="AI859">
            <v>0</v>
          </cell>
          <cell r="AJ859">
            <v>0</v>
          </cell>
        </row>
        <row r="860">
          <cell r="A860" t="str">
            <v>19</v>
          </cell>
          <cell r="B860" t="str">
            <v>19</v>
          </cell>
          <cell r="C860" t="str">
            <v>299</v>
          </cell>
          <cell r="D860" t="str">
            <v>Машина для произврдс</v>
          </cell>
          <cell r="E860" t="str">
            <v>тва фарша</v>
          </cell>
          <cell r="G860" t="str">
            <v>01</v>
          </cell>
          <cell r="H860">
            <v>320000</v>
          </cell>
          <cell r="I860">
            <v>46080.14</v>
          </cell>
          <cell r="J860">
            <v>0</v>
          </cell>
          <cell r="K860">
            <v>1</v>
          </cell>
          <cell r="L860" t="str">
            <v>88/4</v>
          </cell>
          <cell r="M860" t="str">
            <v>45102</v>
          </cell>
          <cell r="N860" t="str">
            <v>142925101</v>
          </cell>
          <cell r="P860">
            <v>15.4</v>
          </cell>
          <cell r="Q860">
            <v>0</v>
          </cell>
          <cell r="R860" t="str">
            <v>1</v>
          </cell>
          <cell r="S860" t="str">
            <v>45</v>
          </cell>
          <cell r="T860">
            <v>94</v>
          </cell>
          <cell r="U860">
            <v>6</v>
          </cell>
          <cell r="V860">
            <v>97</v>
          </cell>
          <cell r="W860">
            <v>6</v>
          </cell>
          <cell r="X860">
            <v>97</v>
          </cell>
          <cell r="Y860">
            <v>0</v>
          </cell>
          <cell r="Z860">
            <v>0</v>
          </cell>
          <cell r="AD860" t="str">
            <v>0</v>
          </cell>
          <cell r="AE860" t="str">
            <v>0</v>
          </cell>
          <cell r="AF860" t="str">
            <v>19</v>
          </cell>
          <cell r="AI860">
            <v>0</v>
          </cell>
          <cell r="AJ860">
            <v>0</v>
          </cell>
        </row>
        <row r="861">
          <cell r="A861" t="str">
            <v>19</v>
          </cell>
          <cell r="B861" t="str">
            <v>19</v>
          </cell>
          <cell r="C861" t="str">
            <v>300</v>
          </cell>
          <cell r="D861" t="str">
            <v>Машина для производс</v>
          </cell>
          <cell r="E861" t="str">
            <v>тва фарша</v>
          </cell>
          <cell r="G861" t="str">
            <v>01</v>
          </cell>
          <cell r="H861">
            <v>320000</v>
          </cell>
          <cell r="I861">
            <v>46080.14</v>
          </cell>
          <cell r="J861">
            <v>0</v>
          </cell>
          <cell r="K861">
            <v>1</v>
          </cell>
          <cell r="L861" t="str">
            <v>88/4</v>
          </cell>
          <cell r="M861" t="str">
            <v>45102</v>
          </cell>
          <cell r="N861" t="str">
            <v>142925101</v>
          </cell>
          <cell r="P861">
            <v>15.4</v>
          </cell>
          <cell r="Q861">
            <v>0</v>
          </cell>
          <cell r="R861" t="str">
            <v>1</v>
          </cell>
          <cell r="S861" t="str">
            <v>45</v>
          </cell>
          <cell r="T861">
            <v>94</v>
          </cell>
          <cell r="U861">
            <v>6</v>
          </cell>
          <cell r="V861">
            <v>97</v>
          </cell>
          <cell r="W861">
            <v>6</v>
          </cell>
          <cell r="X861">
            <v>97</v>
          </cell>
          <cell r="Y861">
            <v>0</v>
          </cell>
          <cell r="Z861">
            <v>0</v>
          </cell>
          <cell r="AD861" t="str">
            <v>0</v>
          </cell>
          <cell r="AE861" t="str">
            <v>0</v>
          </cell>
          <cell r="AF861" t="str">
            <v>19</v>
          </cell>
          <cell r="AI861">
            <v>0</v>
          </cell>
          <cell r="AJ861">
            <v>0</v>
          </cell>
        </row>
        <row r="862">
          <cell r="A862" t="str">
            <v>19</v>
          </cell>
          <cell r="B862" t="str">
            <v>19</v>
          </cell>
          <cell r="C862" t="str">
            <v>301</v>
          </cell>
          <cell r="D862" t="str">
            <v>Машина для снятия ко</v>
          </cell>
          <cell r="E862" t="str">
            <v>жи</v>
          </cell>
          <cell r="G862" t="str">
            <v>01</v>
          </cell>
          <cell r="H862">
            <v>84600</v>
          </cell>
          <cell r="I862">
            <v>12182.4</v>
          </cell>
          <cell r="J862">
            <v>0</v>
          </cell>
          <cell r="K862">
            <v>1</v>
          </cell>
          <cell r="L862" t="str">
            <v>88/4</v>
          </cell>
          <cell r="M862" t="str">
            <v>45102</v>
          </cell>
          <cell r="N862" t="str">
            <v>142925101</v>
          </cell>
          <cell r="P862">
            <v>15.4</v>
          </cell>
          <cell r="Q862">
            <v>0</v>
          </cell>
          <cell r="R862" t="str">
            <v>1</v>
          </cell>
          <cell r="S862" t="str">
            <v>45</v>
          </cell>
          <cell r="T862">
            <v>94</v>
          </cell>
          <cell r="U862">
            <v>6</v>
          </cell>
          <cell r="V862">
            <v>97</v>
          </cell>
          <cell r="W862">
            <v>6</v>
          </cell>
          <cell r="X862">
            <v>97</v>
          </cell>
          <cell r="Y862">
            <v>0</v>
          </cell>
          <cell r="Z862">
            <v>0</v>
          </cell>
          <cell r="AD862" t="str">
            <v>0</v>
          </cell>
          <cell r="AE862" t="str">
            <v>0</v>
          </cell>
          <cell r="AF862" t="str">
            <v>19</v>
          </cell>
          <cell r="AI862">
            <v>0</v>
          </cell>
          <cell r="AJ862">
            <v>0</v>
          </cell>
        </row>
        <row r="863">
          <cell r="A863" t="str">
            <v>19</v>
          </cell>
          <cell r="B863" t="str">
            <v>19</v>
          </cell>
          <cell r="C863" t="str">
            <v>302</v>
          </cell>
          <cell r="D863" t="str">
            <v>Оборудование терм.об</v>
          </cell>
          <cell r="E863" t="str">
            <v>работки</v>
          </cell>
          <cell r="G863" t="str">
            <v>01</v>
          </cell>
          <cell r="H863">
            <v>32400</v>
          </cell>
          <cell r="I863">
            <v>4665.3599999999997</v>
          </cell>
          <cell r="J863">
            <v>0</v>
          </cell>
          <cell r="K863">
            <v>1</v>
          </cell>
          <cell r="L863" t="str">
            <v>88/4</v>
          </cell>
          <cell r="M863" t="str">
            <v>45102</v>
          </cell>
          <cell r="N863" t="str">
            <v>142925101</v>
          </cell>
          <cell r="P863">
            <v>15.4</v>
          </cell>
          <cell r="Q863">
            <v>0</v>
          </cell>
          <cell r="R863" t="str">
            <v>1</v>
          </cell>
          <cell r="S863" t="str">
            <v>45</v>
          </cell>
          <cell r="T863">
            <v>94</v>
          </cell>
          <cell r="U863">
            <v>6</v>
          </cell>
          <cell r="V863">
            <v>97</v>
          </cell>
          <cell r="W863">
            <v>6</v>
          </cell>
          <cell r="X863">
            <v>97</v>
          </cell>
          <cell r="Y863">
            <v>0</v>
          </cell>
          <cell r="Z863">
            <v>0</v>
          </cell>
          <cell r="AD863" t="str">
            <v>0</v>
          </cell>
          <cell r="AE863" t="str">
            <v>0</v>
          </cell>
          <cell r="AF863" t="str">
            <v>19</v>
          </cell>
          <cell r="AI863">
            <v>0</v>
          </cell>
          <cell r="AJ863">
            <v>0</v>
          </cell>
        </row>
        <row r="864">
          <cell r="A864" t="str">
            <v>19</v>
          </cell>
          <cell r="B864" t="str">
            <v>19</v>
          </cell>
          <cell r="C864" t="str">
            <v>303</v>
          </cell>
          <cell r="D864" t="str">
            <v>Очистные сооружения</v>
          </cell>
          <cell r="G864" t="str">
            <v>01</v>
          </cell>
          <cell r="H864">
            <v>379305.29</v>
          </cell>
          <cell r="I864">
            <v>49677.919999999998</v>
          </cell>
          <cell r="J864">
            <v>0</v>
          </cell>
          <cell r="K864">
            <v>1</v>
          </cell>
          <cell r="L864" t="str">
            <v>88/4</v>
          </cell>
          <cell r="M864" t="str">
            <v>45102</v>
          </cell>
          <cell r="N864" t="str">
            <v>12 4527371</v>
          </cell>
          <cell r="P864">
            <v>15.4</v>
          </cell>
          <cell r="Q864">
            <v>0</v>
          </cell>
          <cell r="R864" t="str">
            <v>1</v>
          </cell>
          <cell r="S864" t="str">
            <v>45</v>
          </cell>
          <cell r="T864">
            <v>94</v>
          </cell>
          <cell r="U864">
            <v>6</v>
          </cell>
          <cell r="V864">
            <v>97</v>
          </cell>
          <cell r="W864">
            <v>6</v>
          </cell>
          <cell r="X864">
            <v>97</v>
          </cell>
          <cell r="Y864">
            <v>0</v>
          </cell>
          <cell r="Z864">
            <v>0</v>
          </cell>
          <cell r="AD864" t="str">
            <v>0</v>
          </cell>
          <cell r="AE864" t="str">
            <v>0</v>
          </cell>
          <cell r="AF864" t="str">
            <v>19</v>
          </cell>
          <cell r="AI864">
            <v>0</v>
          </cell>
          <cell r="AJ864">
            <v>0</v>
          </cell>
        </row>
        <row r="865">
          <cell r="A865" t="str">
            <v>19</v>
          </cell>
          <cell r="B865" t="str">
            <v>19</v>
          </cell>
          <cell r="C865" t="str">
            <v>304</v>
          </cell>
          <cell r="D865" t="str">
            <v>Пила ленточная для р</v>
          </cell>
          <cell r="E865" t="str">
            <v>азреза костей</v>
          </cell>
          <cell r="G865" t="str">
            <v>01</v>
          </cell>
          <cell r="H865">
            <v>28000</v>
          </cell>
          <cell r="I865">
            <v>4031.92</v>
          </cell>
          <cell r="J865">
            <v>0</v>
          </cell>
          <cell r="K865">
            <v>1</v>
          </cell>
          <cell r="L865" t="str">
            <v>88/4</v>
          </cell>
          <cell r="M865" t="str">
            <v>45102</v>
          </cell>
          <cell r="N865" t="str">
            <v>142925101</v>
          </cell>
          <cell r="P865">
            <v>15.4</v>
          </cell>
          <cell r="Q865">
            <v>0</v>
          </cell>
          <cell r="R865" t="str">
            <v>1</v>
          </cell>
          <cell r="S865" t="str">
            <v>45</v>
          </cell>
          <cell r="T865">
            <v>94</v>
          </cell>
          <cell r="U865">
            <v>6</v>
          </cell>
          <cell r="V865">
            <v>97</v>
          </cell>
          <cell r="W865">
            <v>6</v>
          </cell>
          <cell r="X865">
            <v>97</v>
          </cell>
          <cell r="Y865">
            <v>0</v>
          </cell>
          <cell r="Z865">
            <v>0</v>
          </cell>
          <cell r="AD865" t="str">
            <v>0</v>
          </cell>
          <cell r="AE865" t="str">
            <v>0</v>
          </cell>
          <cell r="AF865" t="str">
            <v>19</v>
          </cell>
          <cell r="AI865">
            <v>0</v>
          </cell>
          <cell r="AJ865">
            <v>0</v>
          </cell>
        </row>
        <row r="866">
          <cell r="A866" t="str">
            <v>19</v>
          </cell>
          <cell r="B866" t="str">
            <v>19</v>
          </cell>
          <cell r="C866" t="str">
            <v>305</v>
          </cell>
          <cell r="D866" t="str">
            <v>Пила эл.для разделки</v>
          </cell>
          <cell r="G866" t="str">
            <v>01</v>
          </cell>
          <cell r="H866">
            <v>20000</v>
          </cell>
          <cell r="I866">
            <v>2880.35</v>
          </cell>
          <cell r="J866">
            <v>0</v>
          </cell>
          <cell r="K866">
            <v>1</v>
          </cell>
          <cell r="L866" t="str">
            <v>88/4</v>
          </cell>
          <cell r="M866" t="str">
            <v>45102</v>
          </cell>
          <cell r="N866" t="str">
            <v>142925101</v>
          </cell>
          <cell r="P866">
            <v>15.4</v>
          </cell>
          <cell r="Q866">
            <v>0</v>
          </cell>
          <cell r="R866" t="str">
            <v>1</v>
          </cell>
          <cell r="S866" t="str">
            <v>45</v>
          </cell>
          <cell r="T866">
            <v>94</v>
          </cell>
          <cell r="U866">
            <v>6</v>
          </cell>
          <cell r="V866">
            <v>97</v>
          </cell>
          <cell r="W866">
            <v>6</v>
          </cell>
          <cell r="X866">
            <v>97</v>
          </cell>
          <cell r="Y866">
            <v>0</v>
          </cell>
          <cell r="Z866">
            <v>0</v>
          </cell>
          <cell r="AD866" t="str">
            <v>0</v>
          </cell>
          <cell r="AE866" t="str">
            <v>0</v>
          </cell>
          <cell r="AF866" t="str">
            <v>19</v>
          </cell>
          <cell r="AI866">
            <v>0</v>
          </cell>
          <cell r="AJ866">
            <v>0</v>
          </cell>
        </row>
        <row r="867">
          <cell r="A867" t="str">
            <v>19</v>
          </cell>
          <cell r="B867" t="str">
            <v>19</v>
          </cell>
          <cell r="C867" t="str">
            <v>306</v>
          </cell>
          <cell r="D867" t="str">
            <v>Пистолет для глушени</v>
          </cell>
          <cell r="E867" t="str">
            <v>я КРС</v>
          </cell>
          <cell r="G867" t="str">
            <v>01</v>
          </cell>
          <cell r="H867">
            <v>5783</v>
          </cell>
          <cell r="I867">
            <v>832.83</v>
          </cell>
          <cell r="J867">
            <v>0</v>
          </cell>
          <cell r="K867">
            <v>1</v>
          </cell>
          <cell r="L867" t="str">
            <v>88/4</v>
          </cell>
          <cell r="M867" t="str">
            <v>45102</v>
          </cell>
          <cell r="N867" t="str">
            <v>142925101</v>
          </cell>
          <cell r="P867">
            <v>15.4</v>
          </cell>
          <cell r="Q867">
            <v>0</v>
          </cell>
          <cell r="R867" t="str">
            <v>1</v>
          </cell>
          <cell r="S867" t="str">
            <v>45</v>
          </cell>
          <cell r="T867">
            <v>94</v>
          </cell>
          <cell r="U867">
            <v>6</v>
          </cell>
          <cell r="V867">
            <v>97</v>
          </cell>
          <cell r="W867">
            <v>6</v>
          </cell>
          <cell r="X867">
            <v>97</v>
          </cell>
          <cell r="Y867">
            <v>0</v>
          </cell>
          <cell r="Z867">
            <v>0</v>
          </cell>
          <cell r="AD867" t="str">
            <v>0</v>
          </cell>
          <cell r="AE867" t="str">
            <v>0</v>
          </cell>
          <cell r="AF867" t="str">
            <v>19</v>
          </cell>
          <cell r="AI867">
            <v>0</v>
          </cell>
          <cell r="AJ867">
            <v>0</v>
          </cell>
        </row>
        <row r="868">
          <cell r="A868" t="str">
            <v>19</v>
          </cell>
          <cell r="B868" t="str">
            <v>19</v>
          </cell>
          <cell r="C868" t="str">
            <v>307</v>
          </cell>
          <cell r="D868" t="str">
            <v>Пистолет электр.для</v>
          </cell>
          <cell r="E868" t="str">
            <v>глушения скота</v>
          </cell>
          <cell r="G868" t="str">
            <v>01</v>
          </cell>
          <cell r="H868">
            <v>9230</v>
          </cell>
          <cell r="I868">
            <v>1181.52</v>
          </cell>
          <cell r="J868">
            <v>0</v>
          </cell>
          <cell r="K868">
            <v>1</v>
          </cell>
          <cell r="L868" t="str">
            <v>88/4</v>
          </cell>
          <cell r="M868" t="str">
            <v>45102</v>
          </cell>
          <cell r="N868" t="str">
            <v>142925101</v>
          </cell>
          <cell r="P868">
            <v>15.4</v>
          </cell>
          <cell r="Q868">
            <v>0</v>
          </cell>
          <cell r="R868" t="str">
            <v>1</v>
          </cell>
          <cell r="S868" t="str">
            <v>45</v>
          </cell>
          <cell r="T868">
            <v>94</v>
          </cell>
          <cell r="U868">
            <v>6</v>
          </cell>
          <cell r="V868">
            <v>97</v>
          </cell>
          <cell r="W868">
            <v>6</v>
          </cell>
          <cell r="X868">
            <v>97</v>
          </cell>
          <cell r="Y868">
            <v>0</v>
          </cell>
          <cell r="Z868">
            <v>0</v>
          </cell>
          <cell r="AD868" t="str">
            <v>0</v>
          </cell>
          <cell r="AE868" t="str">
            <v>0</v>
          </cell>
          <cell r="AF868" t="str">
            <v>19</v>
          </cell>
          <cell r="AI868">
            <v>0</v>
          </cell>
          <cell r="AJ868">
            <v>0</v>
          </cell>
        </row>
        <row r="869">
          <cell r="A869" t="str">
            <v>19</v>
          </cell>
          <cell r="B869" t="str">
            <v>19</v>
          </cell>
          <cell r="C869" t="str">
            <v>308</v>
          </cell>
          <cell r="D869" t="str">
            <v>Площадка для распило</v>
          </cell>
          <cell r="E869" t="str">
            <v>вки туш</v>
          </cell>
          <cell r="G869" t="str">
            <v>01</v>
          </cell>
          <cell r="H869">
            <v>29000</v>
          </cell>
          <cell r="I869">
            <v>3712.03</v>
          </cell>
          <cell r="J869">
            <v>0</v>
          </cell>
          <cell r="K869">
            <v>1</v>
          </cell>
          <cell r="L869" t="str">
            <v>88/4</v>
          </cell>
          <cell r="M869" t="str">
            <v>45102</v>
          </cell>
          <cell r="N869" t="str">
            <v>142925101</v>
          </cell>
          <cell r="P869">
            <v>15.4</v>
          </cell>
          <cell r="Q869">
            <v>0</v>
          </cell>
          <cell r="R869" t="str">
            <v>1</v>
          </cell>
          <cell r="S869" t="str">
            <v>45</v>
          </cell>
          <cell r="T869">
            <v>94</v>
          </cell>
          <cell r="U869">
            <v>6</v>
          </cell>
          <cell r="V869">
            <v>97</v>
          </cell>
          <cell r="W869">
            <v>6</v>
          </cell>
          <cell r="X869">
            <v>97</v>
          </cell>
          <cell r="Y869">
            <v>0</v>
          </cell>
          <cell r="Z869">
            <v>0</v>
          </cell>
          <cell r="AD869" t="str">
            <v>0</v>
          </cell>
          <cell r="AE869" t="str">
            <v>0</v>
          </cell>
          <cell r="AF869" t="str">
            <v>19</v>
          </cell>
          <cell r="AI869">
            <v>0</v>
          </cell>
          <cell r="AJ869">
            <v>0</v>
          </cell>
        </row>
        <row r="870">
          <cell r="A870" t="str">
            <v>19</v>
          </cell>
          <cell r="B870" t="str">
            <v>19</v>
          </cell>
          <cell r="C870" t="str">
            <v>309</v>
          </cell>
          <cell r="D870" t="str">
            <v>Площадка для удалени</v>
          </cell>
          <cell r="E870" t="str">
            <v>я кишок</v>
          </cell>
          <cell r="G870" t="str">
            <v>01</v>
          </cell>
          <cell r="H870">
            <v>29000</v>
          </cell>
          <cell r="I870">
            <v>3712.03</v>
          </cell>
          <cell r="J870">
            <v>0</v>
          </cell>
          <cell r="K870">
            <v>1</v>
          </cell>
          <cell r="L870" t="str">
            <v>88/4</v>
          </cell>
          <cell r="M870" t="str">
            <v>45102</v>
          </cell>
          <cell r="N870" t="str">
            <v>142925101</v>
          </cell>
          <cell r="P870">
            <v>15.4</v>
          </cell>
          <cell r="Q870">
            <v>0</v>
          </cell>
          <cell r="R870" t="str">
            <v>1</v>
          </cell>
          <cell r="S870" t="str">
            <v>45</v>
          </cell>
          <cell r="T870">
            <v>94</v>
          </cell>
          <cell r="U870">
            <v>6</v>
          </cell>
          <cell r="V870">
            <v>97</v>
          </cell>
          <cell r="W870">
            <v>6</v>
          </cell>
          <cell r="X870">
            <v>97</v>
          </cell>
          <cell r="Y870">
            <v>0</v>
          </cell>
          <cell r="Z870">
            <v>0</v>
          </cell>
          <cell r="AD870" t="str">
            <v>0</v>
          </cell>
          <cell r="AE870" t="str">
            <v>0</v>
          </cell>
          <cell r="AF870" t="str">
            <v>19</v>
          </cell>
          <cell r="AI870">
            <v>0</v>
          </cell>
          <cell r="AJ870">
            <v>0</v>
          </cell>
        </row>
        <row r="871">
          <cell r="A871" t="str">
            <v>19</v>
          </cell>
          <cell r="B871" t="str">
            <v>19</v>
          </cell>
          <cell r="C871" t="str">
            <v>310</v>
          </cell>
          <cell r="D871" t="str">
            <v>Подъемник вагона</v>
          </cell>
          <cell r="G871" t="str">
            <v>01</v>
          </cell>
          <cell r="H871">
            <v>23600</v>
          </cell>
          <cell r="I871">
            <v>3020.94</v>
          </cell>
          <cell r="J871">
            <v>0</v>
          </cell>
          <cell r="K871">
            <v>1</v>
          </cell>
          <cell r="L871" t="str">
            <v>88/4</v>
          </cell>
          <cell r="M871" t="str">
            <v>45102</v>
          </cell>
          <cell r="N871" t="str">
            <v>142925101</v>
          </cell>
          <cell r="P871">
            <v>15.4</v>
          </cell>
          <cell r="Q871">
            <v>0</v>
          </cell>
          <cell r="R871" t="str">
            <v>1</v>
          </cell>
          <cell r="S871" t="str">
            <v>45</v>
          </cell>
          <cell r="T871">
            <v>94</v>
          </cell>
          <cell r="U871">
            <v>6</v>
          </cell>
          <cell r="V871">
            <v>97</v>
          </cell>
          <cell r="W871">
            <v>6</v>
          </cell>
          <cell r="X871">
            <v>97</v>
          </cell>
          <cell r="Y871">
            <v>0</v>
          </cell>
          <cell r="Z871">
            <v>0</v>
          </cell>
          <cell r="AD871" t="str">
            <v>0</v>
          </cell>
          <cell r="AE871" t="str">
            <v>0</v>
          </cell>
          <cell r="AF871" t="str">
            <v>19</v>
          </cell>
          <cell r="AI871">
            <v>0</v>
          </cell>
          <cell r="AJ871">
            <v>0</v>
          </cell>
        </row>
        <row r="872">
          <cell r="A872" t="str">
            <v>19</v>
          </cell>
          <cell r="B872" t="str">
            <v>19</v>
          </cell>
          <cell r="C872" t="str">
            <v>311</v>
          </cell>
          <cell r="D872" t="str">
            <v>Промывной шланг с на</v>
          </cell>
          <cell r="E872" t="str">
            <v>садкой</v>
          </cell>
          <cell r="G872" t="str">
            <v>01</v>
          </cell>
          <cell r="H872">
            <v>1300</v>
          </cell>
          <cell r="I872">
            <v>165.93</v>
          </cell>
          <cell r="J872">
            <v>0</v>
          </cell>
          <cell r="K872">
            <v>1</v>
          </cell>
          <cell r="L872" t="str">
            <v>88/4</v>
          </cell>
          <cell r="M872" t="str">
            <v>45102</v>
          </cell>
          <cell r="N872" t="str">
            <v>142925101</v>
          </cell>
          <cell r="P872">
            <v>15.4</v>
          </cell>
          <cell r="Q872">
            <v>0</v>
          </cell>
          <cell r="R872" t="str">
            <v>1</v>
          </cell>
          <cell r="S872" t="str">
            <v>45</v>
          </cell>
          <cell r="T872">
            <v>94</v>
          </cell>
          <cell r="U872">
            <v>6</v>
          </cell>
          <cell r="V872">
            <v>97</v>
          </cell>
          <cell r="W872">
            <v>6</v>
          </cell>
          <cell r="X872">
            <v>97</v>
          </cell>
          <cell r="Y872">
            <v>0</v>
          </cell>
          <cell r="Z872">
            <v>0</v>
          </cell>
          <cell r="AD872" t="str">
            <v>0</v>
          </cell>
          <cell r="AE872" t="str">
            <v>0</v>
          </cell>
          <cell r="AF872" t="str">
            <v>19</v>
          </cell>
          <cell r="AI872">
            <v>0</v>
          </cell>
          <cell r="AJ872">
            <v>0</v>
          </cell>
        </row>
        <row r="873">
          <cell r="A873" t="str">
            <v>19</v>
          </cell>
          <cell r="B873" t="str">
            <v>19</v>
          </cell>
          <cell r="C873" t="str">
            <v>312</v>
          </cell>
          <cell r="D873" t="str">
            <v>Путь убойно-подвесно</v>
          </cell>
          <cell r="E873" t="str">
            <v>й</v>
          </cell>
          <cell r="G873" t="str">
            <v>01</v>
          </cell>
          <cell r="H873">
            <v>22000</v>
          </cell>
          <cell r="I873">
            <v>2815.82</v>
          </cell>
          <cell r="J873">
            <v>0</v>
          </cell>
          <cell r="K873">
            <v>1</v>
          </cell>
          <cell r="L873" t="str">
            <v>88/4</v>
          </cell>
          <cell r="M873" t="str">
            <v>45102</v>
          </cell>
          <cell r="N873" t="str">
            <v>142925101</v>
          </cell>
          <cell r="P873">
            <v>15.4</v>
          </cell>
          <cell r="Q873">
            <v>0</v>
          </cell>
          <cell r="R873" t="str">
            <v>1</v>
          </cell>
          <cell r="S873" t="str">
            <v>45</v>
          </cell>
          <cell r="T873">
            <v>94</v>
          </cell>
          <cell r="U873">
            <v>6</v>
          </cell>
          <cell r="V873">
            <v>97</v>
          </cell>
          <cell r="W873">
            <v>6</v>
          </cell>
          <cell r="X873">
            <v>97</v>
          </cell>
          <cell r="Y873">
            <v>0</v>
          </cell>
          <cell r="Z873">
            <v>0</v>
          </cell>
          <cell r="AD873" t="str">
            <v>0</v>
          </cell>
          <cell r="AE873" t="str">
            <v>0</v>
          </cell>
          <cell r="AF873" t="str">
            <v>19</v>
          </cell>
          <cell r="AI873">
            <v>0</v>
          </cell>
          <cell r="AJ873">
            <v>0</v>
          </cell>
        </row>
        <row r="874">
          <cell r="A874" t="str">
            <v>19</v>
          </cell>
          <cell r="B874" t="str">
            <v>19</v>
          </cell>
          <cell r="C874" t="str">
            <v>313</v>
          </cell>
          <cell r="D874" t="str">
            <v>Путь убойно-подвесно</v>
          </cell>
          <cell r="E874" t="str">
            <v>й</v>
          </cell>
          <cell r="G874" t="str">
            <v>01</v>
          </cell>
          <cell r="H874">
            <v>37000</v>
          </cell>
          <cell r="I874">
            <v>4736.09</v>
          </cell>
          <cell r="J874">
            <v>0</v>
          </cell>
          <cell r="K874">
            <v>1</v>
          </cell>
          <cell r="L874" t="str">
            <v>88/4</v>
          </cell>
          <cell r="M874" t="str">
            <v>45102</v>
          </cell>
          <cell r="N874" t="str">
            <v>142925101</v>
          </cell>
          <cell r="P874">
            <v>15.4</v>
          </cell>
          <cell r="Q874">
            <v>0</v>
          </cell>
          <cell r="R874" t="str">
            <v>1</v>
          </cell>
          <cell r="S874" t="str">
            <v>45</v>
          </cell>
          <cell r="T874">
            <v>94</v>
          </cell>
          <cell r="U874">
            <v>6</v>
          </cell>
          <cell r="V874">
            <v>97</v>
          </cell>
          <cell r="W874">
            <v>6</v>
          </cell>
          <cell r="X874">
            <v>97</v>
          </cell>
          <cell r="Y874">
            <v>0</v>
          </cell>
          <cell r="Z874">
            <v>0</v>
          </cell>
          <cell r="AD874" t="str">
            <v>0</v>
          </cell>
          <cell r="AE874" t="str">
            <v>0</v>
          </cell>
          <cell r="AF874" t="str">
            <v>19</v>
          </cell>
          <cell r="AI874">
            <v>0</v>
          </cell>
          <cell r="AJ874">
            <v>0</v>
          </cell>
        </row>
        <row r="875">
          <cell r="A875" t="str">
            <v>19</v>
          </cell>
          <cell r="B875" t="str">
            <v>19</v>
          </cell>
          <cell r="C875" t="str">
            <v>314</v>
          </cell>
          <cell r="D875" t="str">
            <v>Стол-тележка для обд</v>
          </cell>
          <cell r="E875" t="str">
            <v>ирки шкур</v>
          </cell>
          <cell r="G875" t="str">
            <v>01</v>
          </cell>
          <cell r="H875">
            <v>8124</v>
          </cell>
          <cell r="I875">
            <v>1039.5</v>
          </cell>
          <cell r="J875">
            <v>0</v>
          </cell>
          <cell r="K875">
            <v>1</v>
          </cell>
          <cell r="L875" t="str">
            <v>88/4</v>
          </cell>
          <cell r="M875" t="str">
            <v>45102</v>
          </cell>
          <cell r="N875" t="str">
            <v>142925101</v>
          </cell>
          <cell r="P875">
            <v>15.4</v>
          </cell>
          <cell r="Q875">
            <v>0</v>
          </cell>
          <cell r="R875" t="str">
            <v>1</v>
          </cell>
          <cell r="S875" t="str">
            <v>45</v>
          </cell>
          <cell r="T875">
            <v>94</v>
          </cell>
          <cell r="U875">
            <v>6</v>
          </cell>
          <cell r="V875">
            <v>97</v>
          </cell>
          <cell r="W875">
            <v>6</v>
          </cell>
          <cell r="X875">
            <v>97</v>
          </cell>
          <cell r="Y875">
            <v>0</v>
          </cell>
          <cell r="Z875">
            <v>0</v>
          </cell>
          <cell r="AD875" t="str">
            <v>0</v>
          </cell>
          <cell r="AE875" t="str">
            <v>0</v>
          </cell>
          <cell r="AF875" t="str">
            <v>19</v>
          </cell>
          <cell r="AI875">
            <v>0</v>
          </cell>
          <cell r="AJ875">
            <v>0</v>
          </cell>
        </row>
        <row r="876">
          <cell r="A876" t="str">
            <v>19</v>
          </cell>
          <cell r="B876" t="str">
            <v>19</v>
          </cell>
          <cell r="C876" t="str">
            <v>315</v>
          </cell>
          <cell r="D876" t="str">
            <v>Стол для засолки</v>
          </cell>
          <cell r="G876" t="str">
            <v>01</v>
          </cell>
          <cell r="H876">
            <v>6120</v>
          </cell>
          <cell r="I876">
            <v>783.7</v>
          </cell>
          <cell r="J876">
            <v>0</v>
          </cell>
          <cell r="K876">
            <v>1</v>
          </cell>
          <cell r="L876" t="str">
            <v>88/4</v>
          </cell>
          <cell r="M876" t="str">
            <v>45102</v>
          </cell>
          <cell r="N876" t="str">
            <v>142925101</v>
          </cell>
          <cell r="P876">
            <v>15.4</v>
          </cell>
          <cell r="Q876">
            <v>0</v>
          </cell>
          <cell r="R876" t="str">
            <v>1</v>
          </cell>
          <cell r="S876" t="str">
            <v>45</v>
          </cell>
          <cell r="T876">
            <v>94</v>
          </cell>
          <cell r="U876">
            <v>6</v>
          </cell>
          <cell r="V876">
            <v>97</v>
          </cell>
          <cell r="W876">
            <v>6</v>
          </cell>
          <cell r="X876">
            <v>97</v>
          </cell>
          <cell r="Y876">
            <v>0</v>
          </cell>
          <cell r="Z876">
            <v>0</v>
          </cell>
          <cell r="AD876" t="str">
            <v>0</v>
          </cell>
          <cell r="AE876" t="str">
            <v>0</v>
          </cell>
          <cell r="AF876" t="str">
            <v>19</v>
          </cell>
          <cell r="AI876">
            <v>0</v>
          </cell>
          <cell r="AJ876">
            <v>0</v>
          </cell>
        </row>
        <row r="877">
          <cell r="A877" t="str">
            <v>19</v>
          </cell>
          <cell r="B877" t="str">
            <v>19</v>
          </cell>
          <cell r="C877" t="str">
            <v>316</v>
          </cell>
          <cell r="D877" t="str">
            <v>Стол для накопления</v>
          </cell>
          <cell r="E877" t="str">
            <v>колбас</v>
          </cell>
          <cell r="G877" t="str">
            <v>01</v>
          </cell>
          <cell r="H877">
            <v>6450</v>
          </cell>
          <cell r="I877">
            <v>825.73</v>
          </cell>
          <cell r="J877">
            <v>0</v>
          </cell>
          <cell r="K877">
            <v>1</v>
          </cell>
          <cell r="L877" t="str">
            <v>88/4</v>
          </cell>
          <cell r="M877" t="str">
            <v>45102</v>
          </cell>
          <cell r="N877" t="str">
            <v>142925101</v>
          </cell>
          <cell r="P877">
            <v>15.4</v>
          </cell>
          <cell r="Q877">
            <v>0</v>
          </cell>
          <cell r="R877" t="str">
            <v>1</v>
          </cell>
          <cell r="S877" t="str">
            <v>45</v>
          </cell>
          <cell r="T877">
            <v>94</v>
          </cell>
          <cell r="U877">
            <v>6</v>
          </cell>
          <cell r="V877">
            <v>97</v>
          </cell>
          <cell r="W877">
            <v>6</v>
          </cell>
          <cell r="X877">
            <v>97</v>
          </cell>
          <cell r="Y877">
            <v>0</v>
          </cell>
          <cell r="Z877">
            <v>0</v>
          </cell>
          <cell r="AD877" t="str">
            <v>0</v>
          </cell>
          <cell r="AE877" t="str">
            <v>0</v>
          </cell>
          <cell r="AF877" t="str">
            <v>19</v>
          </cell>
          <cell r="AI877">
            <v>0</v>
          </cell>
          <cell r="AJ877">
            <v>0</v>
          </cell>
        </row>
        <row r="878">
          <cell r="A878" t="str">
            <v>19</v>
          </cell>
          <cell r="B878" t="str">
            <v>19</v>
          </cell>
          <cell r="C878" t="str">
            <v>317</v>
          </cell>
          <cell r="D878" t="str">
            <v>Стол для обрезки</v>
          </cell>
          <cell r="G878" t="str">
            <v>01</v>
          </cell>
          <cell r="H878">
            <v>6450</v>
          </cell>
          <cell r="I878">
            <v>825.73</v>
          </cell>
          <cell r="J878">
            <v>0</v>
          </cell>
          <cell r="K878">
            <v>1</v>
          </cell>
          <cell r="L878" t="str">
            <v>88/4</v>
          </cell>
          <cell r="M878" t="str">
            <v>45102</v>
          </cell>
          <cell r="N878" t="str">
            <v>142925101</v>
          </cell>
          <cell r="P878">
            <v>15.4</v>
          </cell>
          <cell r="Q878">
            <v>0</v>
          </cell>
          <cell r="R878" t="str">
            <v>1</v>
          </cell>
          <cell r="S878" t="str">
            <v>45</v>
          </cell>
          <cell r="T878">
            <v>94</v>
          </cell>
          <cell r="U878">
            <v>6</v>
          </cell>
          <cell r="V878">
            <v>97</v>
          </cell>
          <cell r="W878">
            <v>6</v>
          </cell>
          <cell r="X878">
            <v>97</v>
          </cell>
          <cell r="Y878">
            <v>0</v>
          </cell>
          <cell r="Z878">
            <v>0</v>
          </cell>
          <cell r="AD878" t="str">
            <v>0</v>
          </cell>
          <cell r="AE878" t="str">
            <v>0</v>
          </cell>
          <cell r="AF878" t="str">
            <v>19</v>
          </cell>
          <cell r="AI878">
            <v>0</v>
          </cell>
          <cell r="AJ878">
            <v>0</v>
          </cell>
        </row>
        <row r="879">
          <cell r="A879" t="str">
            <v>19</v>
          </cell>
          <cell r="B879" t="str">
            <v>19</v>
          </cell>
          <cell r="C879" t="str">
            <v>318</v>
          </cell>
          <cell r="D879" t="str">
            <v>Стол для обрезки киш</v>
          </cell>
          <cell r="E879" t="str">
            <v>ок</v>
          </cell>
          <cell r="G879" t="str">
            <v>01</v>
          </cell>
          <cell r="H879">
            <v>8260</v>
          </cell>
          <cell r="I879">
            <v>1056.96</v>
          </cell>
          <cell r="J879">
            <v>0</v>
          </cell>
          <cell r="K879">
            <v>1</v>
          </cell>
          <cell r="L879" t="str">
            <v>88/4</v>
          </cell>
          <cell r="M879" t="str">
            <v>45102</v>
          </cell>
          <cell r="N879" t="str">
            <v>142925101</v>
          </cell>
          <cell r="P879">
            <v>15.4</v>
          </cell>
          <cell r="Q879">
            <v>0</v>
          </cell>
          <cell r="R879" t="str">
            <v>1</v>
          </cell>
          <cell r="S879" t="str">
            <v>45</v>
          </cell>
          <cell r="T879">
            <v>94</v>
          </cell>
          <cell r="U879">
            <v>6</v>
          </cell>
          <cell r="V879">
            <v>97</v>
          </cell>
          <cell r="W879">
            <v>6</v>
          </cell>
          <cell r="X879">
            <v>97</v>
          </cell>
          <cell r="Y879">
            <v>0</v>
          </cell>
          <cell r="Z879">
            <v>0</v>
          </cell>
          <cell r="AD879" t="str">
            <v>0</v>
          </cell>
          <cell r="AE879" t="str">
            <v>0</v>
          </cell>
          <cell r="AF879" t="str">
            <v>19</v>
          </cell>
          <cell r="AI879">
            <v>0</v>
          </cell>
          <cell r="AJ879">
            <v>0</v>
          </cell>
        </row>
        <row r="880">
          <cell r="A880" t="str">
            <v>19</v>
          </cell>
          <cell r="B880" t="str">
            <v>19</v>
          </cell>
          <cell r="C880" t="str">
            <v>319</v>
          </cell>
          <cell r="D880" t="str">
            <v>Стол для разделки</v>
          </cell>
          <cell r="G880" t="str">
            <v>01</v>
          </cell>
          <cell r="H880">
            <v>8260</v>
          </cell>
          <cell r="I880">
            <v>1056.76</v>
          </cell>
          <cell r="J880">
            <v>0</v>
          </cell>
          <cell r="K880">
            <v>1</v>
          </cell>
          <cell r="L880" t="str">
            <v>88/4</v>
          </cell>
          <cell r="M880" t="str">
            <v>45102</v>
          </cell>
          <cell r="N880" t="str">
            <v>142925101</v>
          </cell>
          <cell r="P880">
            <v>15.4</v>
          </cell>
          <cell r="Q880">
            <v>0</v>
          </cell>
          <cell r="R880" t="str">
            <v>1</v>
          </cell>
          <cell r="S880" t="str">
            <v>45</v>
          </cell>
          <cell r="T880">
            <v>94</v>
          </cell>
          <cell r="U880">
            <v>6</v>
          </cell>
          <cell r="V880">
            <v>97</v>
          </cell>
          <cell r="W880">
            <v>6</v>
          </cell>
          <cell r="X880">
            <v>97</v>
          </cell>
          <cell r="Y880">
            <v>0</v>
          </cell>
          <cell r="Z880">
            <v>0</v>
          </cell>
          <cell r="AD880" t="str">
            <v>0</v>
          </cell>
          <cell r="AE880" t="str">
            <v>0</v>
          </cell>
          <cell r="AF880" t="str">
            <v>19</v>
          </cell>
          <cell r="AI880">
            <v>0</v>
          </cell>
          <cell r="AJ880">
            <v>0</v>
          </cell>
        </row>
        <row r="881">
          <cell r="A881" t="str">
            <v>19</v>
          </cell>
          <cell r="B881" t="str">
            <v>19</v>
          </cell>
          <cell r="C881" t="str">
            <v>320</v>
          </cell>
          <cell r="D881" t="str">
            <v>Стол для упаковки</v>
          </cell>
          <cell r="G881" t="str">
            <v>01</v>
          </cell>
          <cell r="H881">
            <v>7500</v>
          </cell>
          <cell r="I881">
            <v>959.91</v>
          </cell>
          <cell r="J881">
            <v>0</v>
          </cell>
          <cell r="K881">
            <v>1</v>
          </cell>
          <cell r="L881" t="str">
            <v>88/4</v>
          </cell>
          <cell r="M881" t="str">
            <v>45102</v>
          </cell>
          <cell r="N881" t="str">
            <v>142925101</v>
          </cell>
          <cell r="P881">
            <v>15.4</v>
          </cell>
          <cell r="Q881">
            <v>0</v>
          </cell>
          <cell r="R881" t="str">
            <v>1</v>
          </cell>
          <cell r="S881" t="str">
            <v>45</v>
          </cell>
          <cell r="T881">
            <v>94</v>
          </cell>
          <cell r="U881">
            <v>6</v>
          </cell>
          <cell r="V881">
            <v>97</v>
          </cell>
          <cell r="W881">
            <v>6</v>
          </cell>
          <cell r="X881">
            <v>97</v>
          </cell>
          <cell r="Y881">
            <v>0</v>
          </cell>
          <cell r="Z881">
            <v>0</v>
          </cell>
          <cell r="AD881" t="str">
            <v>0</v>
          </cell>
          <cell r="AE881" t="str">
            <v>0</v>
          </cell>
          <cell r="AF881" t="str">
            <v>19</v>
          </cell>
          <cell r="AI881">
            <v>0</v>
          </cell>
          <cell r="AJ881">
            <v>0</v>
          </cell>
        </row>
        <row r="882">
          <cell r="A882" t="str">
            <v>19</v>
          </cell>
          <cell r="B882" t="str">
            <v>19</v>
          </cell>
          <cell r="C882" t="str">
            <v>321</v>
          </cell>
          <cell r="D882" t="str">
            <v>Тележка-ванна</v>
          </cell>
          <cell r="G882" t="str">
            <v>01</v>
          </cell>
          <cell r="H882">
            <v>12000</v>
          </cell>
          <cell r="I882">
            <v>1535.79</v>
          </cell>
          <cell r="J882">
            <v>0</v>
          </cell>
          <cell r="K882">
            <v>1</v>
          </cell>
          <cell r="L882" t="str">
            <v>88/4</v>
          </cell>
          <cell r="M882" t="str">
            <v>45102</v>
          </cell>
          <cell r="N882" t="str">
            <v>142925101</v>
          </cell>
          <cell r="P882">
            <v>15.4</v>
          </cell>
          <cell r="Q882">
            <v>0</v>
          </cell>
          <cell r="R882" t="str">
            <v>1</v>
          </cell>
          <cell r="S882" t="str">
            <v>45</v>
          </cell>
          <cell r="T882">
            <v>94</v>
          </cell>
          <cell r="U882">
            <v>6</v>
          </cell>
          <cell r="V882">
            <v>97</v>
          </cell>
          <cell r="W882">
            <v>6</v>
          </cell>
          <cell r="X882">
            <v>97</v>
          </cell>
          <cell r="Y882">
            <v>0</v>
          </cell>
          <cell r="Z882">
            <v>0</v>
          </cell>
          <cell r="AD882" t="str">
            <v>0</v>
          </cell>
          <cell r="AE882" t="str">
            <v>0</v>
          </cell>
          <cell r="AF882" t="str">
            <v>19</v>
          </cell>
          <cell r="AI882">
            <v>0</v>
          </cell>
          <cell r="AJ882">
            <v>0</v>
          </cell>
        </row>
        <row r="883">
          <cell r="A883" t="str">
            <v>19</v>
          </cell>
          <cell r="B883" t="str">
            <v>19</v>
          </cell>
          <cell r="C883" t="str">
            <v>322</v>
          </cell>
          <cell r="D883" t="str">
            <v>Тележка для колбасы</v>
          </cell>
          <cell r="G883" t="str">
            <v>01</v>
          </cell>
          <cell r="H883">
            <v>64800</v>
          </cell>
          <cell r="I883">
            <v>8294.2999999999993</v>
          </cell>
          <cell r="J883">
            <v>0</v>
          </cell>
          <cell r="K883">
            <v>1</v>
          </cell>
          <cell r="L883" t="str">
            <v>88/4</v>
          </cell>
          <cell r="M883" t="str">
            <v>45102</v>
          </cell>
          <cell r="N883" t="str">
            <v>142925101</v>
          </cell>
          <cell r="P883">
            <v>15.4</v>
          </cell>
          <cell r="Q883">
            <v>0</v>
          </cell>
          <cell r="R883" t="str">
            <v>1</v>
          </cell>
          <cell r="S883" t="str">
            <v>45</v>
          </cell>
          <cell r="T883">
            <v>94</v>
          </cell>
          <cell r="U883">
            <v>6</v>
          </cell>
          <cell r="V883">
            <v>97</v>
          </cell>
          <cell r="W883">
            <v>6</v>
          </cell>
          <cell r="X883">
            <v>97</v>
          </cell>
          <cell r="Y883">
            <v>0</v>
          </cell>
          <cell r="Z883">
            <v>0</v>
          </cell>
          <cell r="AD883" t="str">
            <v>0</v>
          </cell>
          <cell r="AE883" t="str">
            <v>0</v>
          </cell>
          <cell r="AF883" t="str">
            <v>19</v>
          </cell>
          <cell r="AI883">
            <v>0</v>
          </cell>
          <cell r="AJ883">
            <v>0</v>
          </cell>
        </row>
        <row r="884">
          <cell r="A884" t="str">
            <v>19</v>
          </cell>
          <cell r="B884" t="str">
            <v>19</v>
          </cell>
          <cell r="C884" t="str">
            <v>323</v>
          </cell>
          <cell r="D884" t="str">
            <v>Тележка для крюков</v>
          </cell>
          <cell r="G884" t="str">
            <v>01</v>
          </cell>
          <cell r="H884">
            <v>9760</v>
          </cell>
          <cell r="I884">
            <v>1248.94</v>
          </cell>
          <cell r="J884">
            <v>0</v>
          </cell>
          <cell r="K884">
            <v>1</v>
          </cell>
          <cell r="L884" t="str">
            <v>88/4</v>
          </cell>
          <cell r="M884" t="str">
            <v>45102</v>
          </cell>
          <cell r="N884" t="str">
            <v>142925101</v>
          </cell>
          <cell r="P884">
            <v>15.4</v>
          </cell>
          <cell r="Q884">
            <v>0</v>
          </cell>
          <cell r="R884" t="str">
            <v>1</v>
          </cell>
          <cell r="S884" t="str">
            <v>45</v>
          </cell>
          <cell r="T884">
            <v>94</v>
          </cell>
          <cell r="U884">
            <v>6</v>
          </cell>
          <cell r="V884">
            <v>97</v>
          </cell>
          <cell r="W884">
            <v>6</v>
          </cell>
          <cell r="X884">
            <v>97</v>
          </cell>
          <cell r="Y884">
            <v>0</v>
          </cell>
          <cell r="Z884">
            <v>0</v>
          </cell>
          <cell r="AD884" t="str">
            <v>0</v>
          </cell>
          <cell r="AE884" t="str">
            <v>0</v>
          </cell>
          <cell r="AF884" t="str">
            <v>19</v>
          </cell>
          <cell r="AI884">
            <v>0</v>
          </cell>
          <cell r="AJ884">
            <v>0</v>
          </cell>
        </row>
        <row r="885">
          <cell r="A885" t="str">
            <v>19</v>
          </cell>
          <cell r="B885" t="str">
            <v>19</v>
          </cell>
          <cell r="C885" t="str">
            <v>324</v>
          </cell>
          <cell r="D885" t="str">
            <v>Тележка для реек</v>
          </cell>
          <cell r="G885" t="str">
            <v>01</v>
          </cell>
          <cell r="H885">
            <v>5320</v>
          </cell>
          <cell r="I885">
            <v>681.3</v>
          </cell>
          <cell r="J885">
            <v>0</v>
          </cell>
          <cell r="K885">
            <v>1</v>
          </cell>
          <cell r="L885" t="str">
            <v>88/4</v>
          </cell>
          <cell r="M885" t="str">
            <v>45102</v>
          </cell>
          <cell r="N885" t="str">
            <v>142925101</v>
          </cell>
          <cell r="P885">
            <v>15.4</v>
          </cell>
          <cell r="Q885">
            <v>0</v>
          </cell>
          <cell r="R885" t="str">
            <v>1</v>
          </cell>
          <cell r="S885" t="str">
            <v>45</v>
          </cell>
          <cell r="T885">
            <v>94</v>
          </cell>
          <cell r="U885">
            <v>6</v>
          </cell>
          <cell r="V885">
            <v>97</v>
          </cell>
          <cell r="W885">
            <v>6</v>
          </cell>
          <cell r="X885">
            <v>97</v>
          </cell>
          <cell r="Y885">
            <v>0</v>
          </cell>
          <cell r="Z885">
            <v>0</v>
          </cell>
          <cell r="AD885" t="str">
            <v>0</v>
          </cell>
          <cell r="AE885" t="str">
            <v>0</v>
          </cell>
          <cell r="AF885" t="str">
            <v>19</v>
          </cell>
          <cell r="AI885">
            <v>0</v>
          </cell>
          <cell r="AJ885">
            <v>0</v>
          </cell>
        </row>
        <row r="886">
          <cell r="A886" t="str">
            <v>19</v>
          </cell>
          <cell r="B886" t="str">
            <v>19</v>
          </cell>
          <cell r="C886" t="str">
            <v>325</v>
          </cell>
          <cell r="D886" t="str">
            <v>Здание теплоцентрали</v>
          </cell>
          <cell r="G886" t="str">
            <v>01</v>
          </cell>
          <cell r="H886">
            <v>35976.449999999997</v>
          </cell>
          <cell r="I886">
            <v>5096.66</v>
          </cell>
          <cell r="J886">
            <v>0</v>
          </cell>
          <cell r="K886">
            <v>1</v>
          </cell>
          <cell r="L886" t="str">
            <v>88/4</v>
          </cell>
          <cell r="M886" t="str">
            <v>10005</v>
          </cell>
          <cell r="N886" t="str">
            <v>142914000</v>
          </cell>
          <cell r="P886">
            <v>5</v>
          </cell>
          <cell r="Q886">
            <v>0</v>
          </cell>
          <cell r="R886" t="str">
            <v>1</v>
          </cell>
          <cell r="S886" t="str">
            <v>45</v>
          </cell>
          <cell r="T886">
            <v>94</v>
          </cell>
          <cell r="U886">
            <v>6</v>
          </cell>
          <cell r="V886">
            <v>97</v>
          </cell>
          <cell r="W886">
            <v>6</v>
          </cell>
          <cell r="X886">
            <v>97</v>
          </cell>
          <cell r="Y886">
            <v>0</v>
          </cell>
          <cell r="Z886">
            <v>0</v>
          </cell>
          <cell r="AD886" t="str">
            <v>0</v>
          </cell>
          <cell r="AE886" t="str">
            <v>0</v>
          </cell>
          <cell r="AF886" t="str">
            <v>19</v>
          </cell>
          <cell r="AI886">
            <v>0</v>
          </cell>
          <cell r="AJ886">
            <v>0</v>
          </cell>
        </row>
        <row r="887">
          <cell r="A887" t="str">
            <v>19</v>
          </cell>
          <cell r="B887" t="str">
            <v>19</v>
          </cell>
          <cell r="C887" t="str">
            <v>326</v>
          </cell>
          <cell r="D887" t="str">
            <v>Устр-во для закрепле</v>
          </cell>
          <cell r="E887" t="str">
            <v>ния колбас</v>
          </cell>
          <cell r="G887" t="str">
            <v>01</v>
          </cell>
          <cell r="H887">
            <v>10700</v>
          </cell>
          <cell r="I887">
            <v>1369.01</v>
          </cell>
          <cell r="J887">
            <v>0</v>
          </cell>
          <cell r="K887">
            <v>1</v>
          </cell>
          <cell r="L887" t="str">
            <v>88/4</v>
          </cell>
          <cell r="M887" t="str">
            <v>45102</v>
          </cell>
          <cell r="N887" t="str">
            <v>142925101</v>
          </cell>
          <cell r="P887">
            <v>15.4</v>
          </cell>
          <cell r="Q887">
            <v>0</v>
          </cell>
          <cell r="R887" t="str">
            <v>1</v>
          </cell>
          <cell r="S887" t="str">
            <v>45</v>
          </cell>
          <cell r="T887">
            <v>94</v>
          </cell>
          <cell r="U887">
            <v>6</v>
          </cell>
          <cell r="V887">
            <v>97</v>
          </cell>
          <cell r="W887">
            <v>6</v>
          </cell>
          <cell r="X887">
            <v>97</v>
          </cell>
          <cell r="Y887">
            <v>0</v>
          </cell>
          <cell r="Z887">
            <v>0</v>
          </cell>
          <cell r="AD887" t="str">
            <v>0</v>
          </cell>
          <cell r="AE887" t="str">
            <v>0</v>
          </cell>
          <cell r="AF887" t="str">
            <v>19</v>
          </cell>
          <cell r="AI887">
            <v>0</v>
          </cell>
          <cell r="AJ887">
            <v>0</v>
          </cell>
        </row>
        <row r="888">
          <cell r="A888" t="str">
            <v>19</v>
          </cell>
          <cell r="B888" t="str">
            <v>19</v>
          </cell>
          <cell r="C888" t="str">
            <v>327</v>
          </cell>
          <cell r="D888" t="str">
            <v>Устройство подъемное</v>
          </cell>
          <cell r="G888" t="str">
            <v>01</v>
          </cell>
          <cell r="H888">
            <v>9800</v>
          </cell>
          <cell r="I888">
            <v>1254.0999999999999</v>
          </cell>
          <cell r="J888">
            <v>0</v>
          </cell>
          <cell r="K888">
            <v>1</v>
          </cell>
          <cell r="L888" t="str">
            <v>88/4</v>
          </cell>
          <cell r="M888" t="str">
            <v>45102</v>
          </cell>
          <cell r="N888" t="str">
            <v>142925101</v>
          </cell>
          <cell r="P888">
            <v>15.4</v>
          </cell>
          <cell r="Q888">
            <v>0</v>
          </cell>
          <cell r="R888" t="str">
            <v>1</v>
          </cell>
          <cell r="S888" t="str">
            <v>45</v>
          </cell>
          <cell r="T888">
            <v>94</v>
          </cell>
          <cell r="U888">
            <v>6</v>
          </cell>
          <cell r="V888">
            <v>97</v>
          </cell>
          <cell r="W888">
            <v>6</v>
          </cell>
          <cell r="X888">
            <v>97</v>
          </cell>
          <cell r="Y888">
            <v>0</v>
          </cell>
          <cell r="Z888">
            <v>0</v>
          </cell>
          <cell r="AD888" t="str">
            <v>0</v>
          </cell>
          <cell r="AE888" t="str">
            <v>0</v>
          </cell>
          <cell r="AF888" t="str">
            <v>19</v>
          </cell>
          <cell r="AI888">
            <v>0</v>
          </cell>
          <cell r="AJ888">
            <v>0</v>
          </cell>
        </row>
        <row r="889">
          <cell r="A889" t="str">
            <v>19</v>
          </cell>
          <cell r="B889" t="str">
            <v>19</v>
          </cell>
          <cell r="C889" t="str">
            <v>328</v>
          </cell>
          <cell r="D889" t="str">
            <v>Устройство подъемное</v>
          </cell>
          <cell r="E889" t="str">
            <v>/труба/</v>
          </cell>
          <cell r="G889" t="str">
            <v>01</v>
          </cell>
          <cell r="H889">
            <v>24224.84</v>
          </cell>
          <cell r="I889">
            <v>3100.66</v>
          </cell>
          <cell r="J889">
            <v>0</v>
          </cell>
          <cell r="K889">
            <v>1</v>
          </cell>
          <cell r="L889" t="str">
            <v>88/4</v>
          </cell>
          <cell r="M889" t="str">
            <v>45102</v>
          </cell>
          <cell r="N889" t="str">
            <v>142925101</v>
          </cell>
          <cell r="P889">
            <v>15.4</v>
          </cell>
          <cell r="Q889">
            <v>0</v>
          </cell>
          <cell r="R889" t="str">
            <v>1</v>
          </cell>
          <cell r="S889" t="str">
            <v>45</v>
          </cell>
          <cell r="T889">
            <v>94</v>
          </cell>
          <cell r="U889">
            <v>6</v>
          </cell>
          <cell r="V889">
            <v>97</v>
          </cell>
          <cell r="W889">
            <v>6</v>
          </cell>
          <cell r="X889">
            <v>97</v>
          </cell>
          <cell r="Y889">
            <v>0</v>
          </cell>
          <cell r="Z889">
            <v>0</v>
          </cell>
          <cell r="AD889" t="str">
            <v>0</v>
          </cell>
          <cell r="AE889" t="str">
            <v>0</v>
          </cell>
          <cell r="AF889" t="str">
            <v>19</v>
          </cell>
          <cell r="AI889">
            <v>0</v>
          </cell>
          <cell r="AJ889">
            <v>0</v>
          </cell>
        </row>
        <row r="890">
          <cell r="A890" t="str">
            <v>19</v>
          </cell>
          <cell r="B890" t="str">
            <v>19</v>
          </cell>
          <cell r="C890" t="str">
            <v>329</v>
          </cell>
          <cell r="D890" t="str">
            <v>Устр-во эл.подъемное</v>
          </cell>
          <cell r="E890" t="str">
            <v>0.5 т</v>
          </cell>
          <cell r="G890" t="str">
            <v>01</v>
          </cell>
          <cell r="H890">
            <v>22000</v>
          </cell>
          <cell r="I890">
            <v>2815.3</v>
          </cell>
          <cell r="J890">
            <v>0</v>
          </cell>
          <cell r="K890">
            <v>1</v>
          </cell>
          <cell r="L890" t="str">
            <v>88/4</v>
          </cell>
          <cell r="M890" t="str">
            <v>45102</v>
          </cell>
          <cell r="N890" t="str">
            <v>142925101</v>
          </cell>
          <cell r="P890">
            <v>15.4</v>
          </cell>
          <cell r="Q890">
            <v>0</v>
          </cell>
          <cell r="R890" t="str">
            <v>1</v>
          </cell>
          <cell r="S890" t="str">
            <v>45</v>
          </cell>
          <cell r="T890">
            <v>94</v>
          </cell>
          <cell r="U890">
            <v>6</v>
          </cell>
          <cell r="V890">
            <v>97</v>
          </cell>
          <cell r="W890">
            <v>6</v>
          </cell>
          <cell r="X890">
            <v>97</v>
          </cell>
          <cell r="Y890">
            <v>0</v>
          </cell>
          <cell r="Z890">
            <v>0</v>
          </cell>
          <cell r="AD890" t="str">
            <v>0</v>
          </cell>
          <cell r="AE890" t="str">
            <v>0</v>
          </cell>
          <cell r="AF890" t="str">
            <v>19</v>
          </cell>
          <cell r="AI890">
            <v>0</v>
          </cell>
          <cell r="AJ890">
            <v>0</v>
          </cell>
        </row>
        <row r="891">
          <cell r="A891" t="str">
            <v>19</v>
          </cell>
          <cell r="B891" t="str">
            <v>19</v>
          </cell>
          <cell r="C891" t="str">
            <v>330</v>
          </cell>
          <cell r="D891" t="str">
            <v>Устр-во эл.подъемное</v>
          </cell>
          <cell r="E891" t="str">
            <v>1 тн</v>
          </cell>
          <cell r="G891" t="str">
            <v>01</v>
          </cell>
          <cell r="H891">
            <v>17100</v>
          </cell>
          <cell r="I891">
            <v>2188.59</v>
          </cell>
          <cell r="J891">
            <v>0</v>
          </cell>
          <cell r="K891">
            <v>1</v>
          </cell>
          <cell r="L891" t="str">
            <v>88/4</v>
          </cell>
          <cell r="M891" t="str">
            <v>45102</v>
          </cell>
          <cell r="N891" t="str">
            <v>142925101</v>
          </cell>
          <cell r="P891">
            <v>15.4</v>
          </cell>
          <cell r="Q891">
            <v>0</v>
          </cell>
          <cell r="R891" t="str">
            <v>1</v>
          </cell>
          <cell r="S891" t="str">
            <v>45</v>
          </cell>
          <cell r="T891">
            <v>94</v>
          </cell>
          <cell r="U891">
            <v>6</v>
          </cell>
          <cell r="V891">
            <v>97</v>
          </cell>
          <cell r="W891">
            <v>6</v>
          </cell>
          <cell r="X891">
            <v>97</v>
          </cell>
          <cell r="Y891">
            <v>0</v>
          </cell>
          <cell r="Z891">
            <v>0</v>
          </cell>
          <cell r="AD891" t="str">
            <v>0</v>
          </cell>
          <cell r="AE891" t="str">
            <v>0</v>
          </cell>
          <cell r="AF891" t="str">
            <v>19</v>
          </cell>
          <cell r="AI891">
            <v>0</v>
          </cell>
          <cell r="AJ891">
            <v>0</v>
          </cell>
        </row>
        <row r="892">
          <cell r="A892" t="str">
            <v>19</v>
          </cell>
          <cell r="B892" t="str">
            <v>19</v>
          </cell>
          <cell r="C892" t="str">
            <v>331</v>
          </cell>
          <cell r="D892" t="str">
            <v>Устр-во эл.подъемное</v>
          </cell>
          <cell r="E892" t="str">
            <v>1 тн</v>
          </cell>
          <cell r="G892" t="str">
            <v>01</v>
          </cell>
          <cell r="H892">
            <v>17100</v>
          </cell>
          <cell r="I892">
            <v>2188.59</v>
          </cell>
          <cell r="J892">
            <v>0</v>
          </cell>
          <cell r="K892">
            <v>1</v>
          </cell>
          <cell r="L892" t="str">
            <v>88/4</v>
          </cell>
          <cell r="M892" t="str">
            <v>45102</v>
          </cell>
          <cell r="N892" t="str">
            <v>142925101</v>
          </cell>
          <cell r="P892">
            <v>15.4</v>
          </cell>
          <cell r="Q892">
            <v>0</v>
          </cell>
          <cell r="R892" t="str">
            <v>1</v>
          </cell>
          <cell r="S892" t="str">
            <v>45</v>
          </cell>
          <cell r="T892">
            <v>94</v>
          </cell>
          <cell r="U892">
            <v>6</v>
          </cell>
          <cell r="V892">
            <v>97</v>
          </cell>
          <cell r="W892">
            <v>6</v>
          </cell>
          <cell r="X892">
            <v>97</v>
          </cell>
          <cell r="Y892">
            <v>0</v>
          </cell>
          <cell r="Z892">
            <v>0</v>
          </cell>
          <cell r="AD892" t="str">
            <v>0</v>
          </cell>
          <cell r="AE892" t="str">
            <v>0</v>
          </cell>
          <cell r="AF892" t="str">
            <v>19</v>
          </cell>
          <cell r="AI892">
            <v>0</v>
          </cell>
          <cell r="AJ892">
            <v>0</v>
          </cell>
        </row>
        <row r="893">
          <cell r="A893" t="str">
            <v>19</v>
          </cell>
          <cell r="B893" t="str">
            <v>19</v>
          </cell>
          <cell r="C893" t="str">
            <v>332</v>
          </cell>
          <cell r="D893" t="str">
            <v>Хллодильное оборудов</v>
          </cell>
          <cell r="E893" t="str">
            <v>ание</v>
          </cell>
          <cell r="G893" t="str">
            <v>01</v>
          </cell>
          <cell r="H893">
            <v>258827.89</v>
          </cell>
          <cell r="I893">
            <v>33129.699999999997</v>
          </cell>
          <cell r="J893">
            <v>0</v>
          </cell>
          <cell r="K893">
            <v>1</v>
          </cell>
          <cell r="L893" t="str">
            <v>88/4</v>
          </cell>
          <cell r="M893" t="str">
            <v>45102</v>
          </cell>
          <cell r="N893" t="str">
            <v>162930011</v>
          </cell>
          <cell r="P893">
            <v>15.4</v>
          </cell>
          <cell r="Q893">
            <v>0</v>
          </cell>
          <cell r="R893" t="str">
            <v>1</v>
          </cell>
          <cell r="S893" t="str">
            <v>45</v>
          </cell>
          <cell r="T893">
            <v>94</v>
          </cell>
          <cell r="U893">
            <v>6</v>
          </cell>
          <cell r="V893">
            <v>97</v>
          </cell>
          <cell r="W893">
            <v>6</v>
          </cell>
          <cell r="X893">
            <v>97</v>
          </cell>
          <cell r="Y893">
            <v>0</v>
          </cell>
          <cell r="Z893">
            <v>0</v>
          </cell>
          <cell r="AD893" t="str">
            <v>0</v>
          </cell>
          <cell r="AE893" t="str">
            <v>0</v>
          </cell>
          <cell r="AF893" t="str">
            <v>19</v>
          </cell>
          <cell r="AI893">
            <v>0</v>
          </cell>
          <cell r="AJ893">
            <v>0</v>
          </cell>
        </row>
        <row r="894">
          <cell r="A894" t="str">
            <v>19</v>
          </cell>
          <cell r="B894" t="str">
            <v>19</v>
          </cell>
          <cell r="C894" t="str">
            <v>333</v>
          </cell>
          <cell r="D894" t="str">
            <v>Цепной крюк</v>
          </cell>
          <cell r="G894" t="str">
            <v>01</v>
          </cell>
          <cell r="H894">
            <v>2800</v>
          </cell>
          <cell r="I894">
            <v>358.99</v>
          </cell>
          <cell r="J894">
            <v>0</v>
          </cell>
          <cell r="K894">
            <v>1</v>
          </cell>
          <cell r="L894" t="str">
            <v>88/4</v>
          </cell>
          <cell r="M894" t="str">
            <v>45102</v>
          </cell>
          <cell r="N894" t="str">
            <v>142925101</v>
          </cell>
          <cell r="P894">
            <v>15.4</v>
          </cell>
          <cell r="Q894">
            <v>0</v>
          </cell>
          <cell r="R894" t="str">
            <v>1</v>
          </cell>
          <cell r="S894" t="str">
            <v>45</v>
          </cell>
          <cell r="T894">
            <v>94</v>
          </cell>
          <cell r="U894">
            <v>6</v>
          </cell>
          <cell r="V894">
            <v>97</v>
          </cell>
          <cell r="W894">
            <v>6</v>
          </cell>
          <cell r="X894">
            <v>97</v>
          </cell>
          <cell r="Y894">
            <v>0</v>
          </cell>
          <cell r="Z894">
            <v>0</v>
          </cell>
          <cell r="AD894" t="str">
            <v>0</v>
          </cell>
          <cell r="AE894" t="str">
            <v>0</v>
          </cell>
          <cell r="AF894" t="str">
            <v>19</v>
          </cell>
          <cell r="AI894">
            <v>0</v>
          </cell>
          <cell r="AJ894">
            <v>0</v>
          </cell>
        </row>
        <row r="895">
          <cell r="A895" t="str">
            <v>19</v>
          </cell>
          <cell r="B895" t="str">
            <v>19</v>
          </cell>
          <cell r="C895" t="str">
            <v>334</v>
          </cell>
          <cell r="D895" t="str">
            <v>Чан для кишок</v>
          </cell>
          <cell r="G895" t="str">
            <v>01</v>
          </cell>
          <cell r="H895">
            <v>12710</v>
          </cell>
          <cell r="I895">
            <v>1626.68</v>
          </cell>
          <cell r="J895">
            <v>0</v>
          </cell>
          <cell r="K895">
            <v>1</v>
          </cell>
          <cell r="L895" t="str">
            <v>88/4</v>
          </cell>
          <cell r="M895" t="str">
            <v>45102</v>
          </cell>
          <cell r="N895" t="str">
            <v>142925101</v>
          </cell>
          <cell r="P895">
            <v>15.4</v>
          </cell>
          <cell r="Q895">
            <v>0</v>
          </cell>
          <cell r="R895" t="str">
            <v>1</v>
          </cell>
          <cell r="S895" t="str">
            <v>45</v>
          </cell>
          <cell r="T895">
            <v>94</v>
          </cell>
          <cell r="U895">
            <v>6</v>
          </cell>
          <cell r="V895">
            <v>97</v>
          </cell>
          <cell r="W895">
            <v>6</v>
          </cell>
          <cell r="X895">
            <v>97</v>
          </cell>
          <cell r="Y895">
            <v>0</v>
          </cell>
          <cell r="Z895">
            <v>0</v>
          </cell>
          <cell r="AD895" t="str">
            <v>0</v>
          </cell>
          <cell r="AE895" t="str">
            <v>0</v>
          </cell>
          <cell r="AF895" t="str">
            <v>19</v>
          </cell>
          <cell r="AI895">
            <v>0</v>
          </cell>
          <cell r="AJ895">
            <v>0</v>
          </cell>
        </row>
        <row r="896">
          <cell r="A896" t="str">
            <v>19</v>
          </cell>
          <cell r="B896" t="str">
            <v>19</v>
          </cell>
          <cell r="C896" t="str">
            <v>335</v>
          </cell>
          <cell r="D896" t="str">
            <v>Шкаф распределительн</v>
          </cell>
          <cell r="E896" t="str">
            <v>ый</v>
          </cell>
          <cell r="G896" t="str">
            <v>01</v>
          </cell>
          <cell r="H896">
            <v>1018.49</v>
          </cell>
          <cell r="I896">
            <v>130.35</v>
          </cell>
          <cell r="J896">
            <v>0</v>
          </cell>
          <cell r="K896">
            <v>1</v>
          </cell>
          <cell r="L896" t="str">
            <v>88/4</v>
          </cell>
          <cell r="M896" t="str">
            <v>45102</v>
          </cell>
          <cell r="N896" t="str">
            <v>143120390</v>
          </cell>
          <cell r="P896">
            <v>15.4</v>
          </cell>
          <cell r="Q896">
            <v>0</v>
          </cell>
          <cell r="R896" t="str">
            <v>1</v>
          </cell>
          <cell r="S896" t="str">
            <v>45</v>
          </cell>
          <cell r="T896">
            <v>94</v>
          </cell>
          <cell r="U896">
            <v>6</v>
          </cell>
          <cell r="V896">
            <v>97</v>
          </cell>
          <cell r="W896">
            <v>6</v>
          </cell>
          <cell r="X896">
            <v>97</v>
          </cell>
          <cell r="Y896">
            <v>0</v>
          </cell>
          <cell r="Z896">
            <v>0</v>
          </cell>
          <cell r="AD896" t="str">
            <v>0</v>
          </cell>
          <cell r="AE896" t="str">
            <v>0</v>
          </cell>
          <cell r="AF896" t="str">
            <v>19</v>
          </cell>
          <cell r="AI896">
            <v>0</v>
          </cell>
          <cell r="AJ896">
            <v>0</v>
          </cell>
        </row>
        <row r="897">
          <cell r="A897" t="str">
            <v>19</v>
          </cell>
          <cell r="B897" t="str">
            <v>19</v>
          </cell>
          <cell r="C897" t="str">
            <v>336</v>
          </cell>
          <cell r="D897" t="str">
            <v>Шланг промывочный</v>
          </cell>
          <cell r="G897" t="str">
            <v>01</v>
          </cell>
          <cell r="H897">
            <v>930</v>
          </cell>
          <cell r="I897">
            <v>119.52</v>
          </cell>
          <cell r="J897">
            <v>0</v>
          </cell>
          <cell r="K897">
            <v>1</v>
          </cell>
          <cell r="L897" t="str">
            <v>88/4</v>
          </cell>
          <cell r="M897" t="str">
            <v>45102</v>
          </cell>
          <cell r="N897" t="str">
            <v>142925101</v>
          </cell>
          <cell r="P897">
            <v>15.4</v>
          </cell>
          <cell r="Q897">
            <v>0</v>
          </cell>
          <cell r="R897" t="str">
            <v>1</v>
          </cell>
          <cell r="S897" t="str">
            <v>45</v>
          </cell>
          <cell r="T897">
            <v>94</v>
          </cell>
          <cell r="U897">
            <v>6</v>
          </cell>
          <cell r="V897">
            <v>97</v>
          </cell>
          <cell r="W897">
            <v>6</v>
          </cell>
          <cell r="X897">
            <v>97</v>
          </cell>
          <cell r="Y897">
            <v>0</v>
          </cell>
          <cell r="Z897">
            <v>0</v>
          </cell>
          <cell r="AD897" t="str">
            <v>0</v>
          </cell>
          <cell r="AE897" t="str">
            <v>0</v>
          </cell>
          <cell r="AF897" t="str">
            <v>19</v>
          </cell>
          <cell r="AI897">
            <v>0</v>
          </cell>
          <cell r="AJ897">
            <v>0</v>
          </cell>
        </row>
        <row r="898">
          <cell r="A898" t="str">
            <v>19</v>
          </cell>
          <cell r="B898" t="str">
            <v>19</v>
          </cell>
          <cell r="C898" t="str">
            <v>337</v>
          </cell>
          <cell r="D898" t="str">
            <v>Шланг промывочный</v>
          </cell>
          <cell r="G898" t="str">
            <v>01</v>
          </cell>
          <cell r="H898">
            <v>930</v>
          </cell>
          <cell r="I898">
            <v>119.52</v>
          </cell>
          <cell r="J898">
            <v>0</v>
          </cell>
          <cell r="K898">
            <v>1</v>
          </cell>
          <cell r="L898" t="str">
            <v>88/4</v>
          </cell>
          <cell r="M898" t="str">
            <v>45102</v>
          </cell>
          <cell r="N898" t="str">
            <v>142925101</v>
          </cell>
          <cell r="P898">
            <v>15.4</v>
          </cell>
          <cell r="Q898">
            <v>0</v>
          </cell>
          <cell r="R898" t="str">
            <v>1</v>
          </cell>
          <cell r="S898" t="str">
            <v>45</v>
          </cell>
          <cell r="T898">
            <v>94</v>
          </cell>
          <cell r="U898">
            <v>6</v>
          </cell>
          <cell r="V898">
            <v>97</v>
          </cell>
          <cell r="W898">
            <v>6</v>
          </cell>
          <cell r="X898">
            <v>97</v>
          </cell>
          <cell r="Y898">
            <v>0</v>
          </cell>
          <cell r="Z898">
            <v>0</v>
          </cell>
          <cell r="AD898" t="str">
            <v>0</v>
          </cell>
          <cell r="AE898" t="str">
            <v>0</v>
          </cell>
          <cell r="AF898" t="str">
            <v>19</v>
          </cell>
          <cell r="AI898">
            <v>0</v>
          </cell>
          <cell r="AJ898">
            <v>0</v>
          </cell>
        </row>
        <row r="899">
          <cell r="A899" t="str">
            <v>19</v>
          </cell>
          <cell r="B899" t="str">
            <v>19</v>
          </cell>
          <cell r="C899" t="str">
            <v>338</v>
          </cell>
          <cell r="D899" t="str">
            <v>Шприц вакуумный</v>
          </cell>
          <cell r="G899" t="str">
            <v>01</v>
          </cell>
          <cell r="H899">
            <v>282963</v>
          </cell>
          <cell r="I899">
            <v>36219.25</v>
          </cell>
          <cell r="J899">
            <v>0</v>
          </cell>
          <cell r="K899">
            <v>1</v>
          </cell>
          <cell r="L899" t="str">
            <v>88/4</v>
          </cell>
          <cell r="M899" t="str">
            <v>45102</v>
          </cell>
          <cell r="N899" t="str">
            <v>142925101</v>
          </cell>
          <cell r="P899">
            <v>15.4</v>
          </cell>
          <cell r="Q899">
            <v>0</v>
          </cell>
          <cell r="R899" t="str">
            <v>1</v>
          </cell>
          <cell r="S899" t="str">
            <v>45</v>
          </cell>
          <cell r="T899">
            <v>94</v>
          </cell>
          <cell r="U899">
            <v>6</v>
          </cell>
          <cell r="V899">
            <v>97</v>
          </cell>
          <cell r="W899">
            <v>6</v>
          </cell>
          <cell r="X899">
            <v>97</v>
          </cell>
          <cell r="Y899">
            <v>0</v>
          </cell>
          <cell r="Z899">
            <v>0</v>
          </cell>
          <cell r="AD899" t="str">
            <v>0</v>
          </cell>
          <cell r="AE899" t="str">
            <v>0</v>
          </cell>
          <cell r="AF899" t="str">
            <v>19</v>
          </cell>
          <cell r="AI899">
            <v>0</v>
          </cell>
          <cell r="AJ899">
            <v>0</v>
          </cell>
        </row>
        <row r="900">
          <cell r="A900" t="str">
            <v>19</v>
          </cell>
          <cell r="B900" t="str">
            <v>19</v>
          </cell>
          <cell r="C900" t="str">
            <v>339</v>
          </cell>
          <cell r="D900" t="str">
            <v>Шприц ручной для пос</v>
          </cell>
          <cell r="E900" t="str">
            <v>ола</v>
          </cell>
          <cell r="G900" t="str">
            <v>01</v>
          </cell>
          <cell r="H900">
            <v>5800</v>
          </cell>
          <cell r="I900">
            <v>742.35</v>
          </cell>
          <cell r="J900">
            <v>0</v>
          </cell>
          <cell r="K900">
            <v>1</v>
          </cell>
          <cell r="L900" t="str">
            <v>88/4</v>
          </cell>
          <cell r="M900" t="str">
            <v>45102</v>
          </cell>
          <cell r="N900" t="str">
            <v>142925101</v>
          </cell>
          <cell r="P900">
            <v>15.4</v>
          </cell>
          <cell r="Q900">
            <v>0</v>
          </cell>
          <cell r="R900" t="str">
            <v>1</v>
          </cell>
          <cell r="S900" t="str">
            <v>45</v>
          </cell>
          <cell r="T900">
            <v>94</v>
          </cell>
          <cell r="U900">
            <v>6</v>
          </cell>
          <cell r="V900">
            <v>97</v>
          </cell>
          <cell r="W900">
            <v>6</v>
          </cell>
          <cell r="X900">
            <v>97</v>
          </cell>
          <cell r="Y900">
            <v>0</v>
          </cell>
          <cell r="Z900">
            <v>0</v>
          </cell>
          <cell r="AD900" t="str">
            <v>0</v>
          </cell>
          <cell r="AE900" t="str">
            <v>0</v>
          </cell>
          <cell r="AF900" t="str">
            <v>19</v>
          </cell>
          <cell r="AI900">
            <v>0</v>
          </cell>
          <cell r="AJ900">
            <v>0</v>
          </cell>
        </row>
        <row r="901">
          <cell r="A901" t="str">
            <v>19</v>
          </cell>
          <cell r="B901" t="str">
            <v>19</v>
          </cell>
          <cell r="C901" t="str">
            <v>340</v>
          </cell>
          <cell r="D901" t="str">
            <v>Штык трубчатый</v>
          </cell>
          <cell r="G901" t="str">
            <v>01</v>
          </cell>
          <cell r="H901">
            <v>1500</v>
          </cell>
          <cell r="I901">
            <v>191.55</v>
          </cell>
          <cell r="J901">
            <v>0</v>
          </cell>
          <cell r="K901">
            <v>1</v>
          </cell>
          <cell r="L901" t="str">
            <v>88/4</v>
          </cell>
          <cell r="M901" t="str">
            <v>45102</v>
          </cell>
          <cell r="N901" t="str">
            <v>142925101</v>
          </cell>
          <cell r="P901">
            <v>15.4</v>
          </cell>
          <cell r="Q901">
            <v>0</v>
          </cell>
          <cell r="R901" t="str">
            <v>1</v>
          </cell>
          <cell r="S901" t="str">
            <v>45</v>
          </cell>
          <cell r="T901">
            <v>94</v>
          </cell>
          <cell r="U901">
            <v>6</v>
          </cell>
          <cell r="V901">
            <v>97</v>
          </cell>
          <cell r="W901">
            <v>6</v>
          </cell>
          <cell r="X901">
            <v>97</v>
          </cell>
          <cell r="Y901">
            <v>0</v>
          </cell>
          <cell r="Z901">
            <v>0</v>
          </cell>
          <cell r="AD901" t="str">
            <v>0</v>
          </cell>
          <cell r="AE901" t="str">
            <v>0</v>
          </cell>
          <cell r="AF901" t="str">
            <v>19</v>
          </cell>
          <cell r="AI901">
            <v>0</v>
          </cell>
          <cell r="AJ901">
            <v>0</v>
          </cell>
        </row>
        <row r="902">
          <cell r="A902" t="str">
            <v>19</v>
          </cell>
          <cell r="B902" t="str">
            <v>19</v>
          </cell>
          <cell r="C902" t="str">
            <v>341</v>
          </cell>
          <cell r="D902" t="str">
            <v>Электропоилка лент.</v>
          </cell>
          <cell r="E902" t="str">
            <v>для разделки</v>
          </cell>
          <cell r="G902" t="str">
            <v>01</v>
          </cell>
          <cell r="H902">
            <v>53000</v>
          </cell>
          <cell r="I902">
            <v>675.59</v>
          </cell>
          <cell r="J902">
            <v>0</v>
          </cell>
          <cell r="K902">
            <v>1</v>
          </cell>
          <cell r="L902" t="str">
            <v>88/4</v>
          </cell>
          <cell r="M902" t="str">
            <v>45102</v>
          </cell>
          <cell r="N902" t="str">
            <v>142925101</v>
          </cell>
          <cell r="P902">
            <v>15.4</v>
          </cell>
          <cell r="Q902">
            <v>0</v>
          </cell>
          <cell r="R902" t="str">
            <v>1</v>
          </cell>
          <cell r="S902" t="str">
            <v>45</v>
          </cell>
          <cell r="T902">
            <v>94</v>
          </cell>
          <cell r="U902">
            <v>6</v>
          </cell>
          <cell r="V902">
            <v>97</v>
          </cell>
          <cell r="W902">
            <v>6</v>
          </cell>
          <cell r="X902">
            <v>97</v>
          </cell>
          <cell r="Y902">
            <v>0</v>
          </cell>
          <cell r="Z902">
            <v>0</v>
          </cell>
          <cell r="AD902" t="str">
            <v>0</v>
          </cell>
          <cell r="AE902" t="str">
            <v>0</v>
          </cell>
          <cell r="AF902" t="str">
            <v>19</v>
          </cell>
          <cell r="AI902">
            <v>0</v>
          </cell>
          <cell r="AJ902">
            <v>0</v>
          </cell>
        </row>
        <row r="903">
          <cell r="A903" t="str">
            <v>02</v>
          </cell>
          <cell r="B903" t="str">
            <v>02</v>
          </cell>
          <cell r="C903" t="str">
            <v>342</v>
          </cell>
          <cell r="D903" t="str">
            <v>К-т очист МПП-820М и</v>
          </cell>
          <cell r="E903" t="str">
            <v>изоляц МИ-820М машин</v>
          </cell>
          <cell r="F903" t="str">
            <v>д/труб 720-820 мм</v>
          </cell>
          <cell r="G903" t="str">
            <v>01</v>
          </cell>
          <cell r="H903">
            <v>261720</v>
          </cell>
          <cell r="I903">
            <v>0</v>
          </cell>
          <cell r="J903">
            <v>0</v>
          </cell>
          <cell r="K903">
            <v>1</v>
          </cell>
          <cell r="L903" t="str">
            <v>20</v>
          </cell>
          <cell r="M903" t="str">
            <v>43803</v>
          </cell>
          <cell r="N903" t="str">
            <v>14 2947195</v>
          </cell>
          <cell r="P903">
            <v>33.299999999999997</v>
          </cell>
          <cell r="Q903">
            <v>0</v>
          </cell>
          <cell r="R903" t="str">
            <v>1</v>
          </cell>
          <cell r="S903" t="str">
            <v>43</v>
          </cell>
          <cell r="T903">
            <v>96</v>
          </cell>
          <cell r="U903">
            <v>7</v>
          </cell>
          <cell r="V903">
            <v>97</v>
          </cell>
          <cell r="W903">
            <v>7</v>
          </cell>
          <cell r="X903">
            <v>97</v>
          </cell>
          <cell r="Y903">
            <v>0</v>
          </cell>
          <cell r="Z903">
            <v>0</v>
          </cell>
          <cell r="AD903" t="str">
            <v>0</v>
          </cell>
          <cell r="AE903" t="str">
            <v>0</v>
          </cell>
          <cell r="AF903" t="str">
            <v>00</v>
          </cell>
          <cell r="AI903">
            <v>0</v>
          </cell>
          <cell r="AJ903">
            <v>0</v>
          </cell>
        </row>
        <row r="904">
          <cell r="A904" t="str">
            <v>02</v>
          </cell>
          <cell r="B904" t="str">
            <v>02</v>
          </cell>
          <cell r="C904" t="str">
            <v>343</v>
          </cell>
          <cell r="D904" t="str">
            <v>Подкапывающая машина</v>
          </cell>
          <cell r="G904" t="str">
            <v>01</v>
          </cell>
          <cell r="H904">
            <v>65000</v>
          </cell>
          <cell r="I904">
            <v>0</v>
          </cell>
          <cell r="J904">
            <v>0</v>
          </cell>
          <cell r="K904">
            <v>1</v>
          </cell>
          <cell r="L904" t="str">
            <v>20</v>
          </cell>
          <cell r="M904" t="str">
            <v>43803</v>
          </cell>
          <cell r="N904" t="str">
            <v>14 2947195</v>
          </cell>
          <cell r="P904">
            <v>33.299999999999997</v>
          </cell>
          <cell r="Q904">
            <v>0</v>
          </cell>
          <cell r="R904" t="str">
            <v>1</v>
          </cell>
          <cell r="S904" t="str">
            <v>43</v>
          </cell>
          <cell r="T904">
            <v>96</v>
          </cell>
          <cell r="U904">
            <v>7</v>
          </cell>
          <cell r="V904">
            <v>97</v>
          </cell>
          <cell r="W904">
            <v>7</v>
          </cell>
          <cell r="X904">
            <v>97</v>
          </cell>
          <cell r="Y904">
            <v>0</v>
          </cell>
          <cell r="Z904">
            <v>0</v>
          </cell>
          <cell r="AD904" t="str">
            <v>0</v>
          </cell>
          <cell r="AE904" t="str">
            <v>0</v>
          </cell>
          <cell r="AF904" t="str">
            <v>00</v>
          </cell>
          <cell r="AI904">
            <v>0</v>
          </cell>
          <cell r="AJ904">
            <v>0</v>
          </cell>
        </row>
        <row r="905">
          <cell r="A905" t="str">
            <v>02</v>
          </cell>
          <cell r="B905" t="str">
            <v>80</v>
          </cell>
          <cell r="C905" t="str">
            <v>344</v>
          </cell>
          <cell r="D905" t="str">
            <v>Кондиционер напольны</v>
          </cell>
          <cell r="E905" t="str">
            <v>й  АС-909 2.6 квт</v>
          </cell>
          <cell r="G905" t="str">
            <v>01</v>
          </cell>
          <cell r="H905">
            <v>10400</v>
          </cell>
          <cell r="I905">
            <v>0</v>
          </cell>
          <cell r="J905">
            <v>0</v>
          </cell>
          <cell r="K905">
            <v>1</v>
          </cell>
          <cell r="L905" t="str">
            <v>26</v>
          </cell>
          <cell r="M905" t="str">
            <v>41606</v>
          </cell>
          <cell r="N905" t="str">
            <v>16 3697000</v>
          </cell>
          <cell r="P905">
            <v>11.1</v>
          </cell>
          <cell r="Q905">
            <v>0</v>
          </cell>
          <cell r="R905" t="str">
            <v>1</v>
          </cell>
          <cell r="S905" t="str">
            <v>41</v>
          </cell>
          <cell r="T905">
            <v>96</v>
          </cell>
          <cell r="U905">
            <v>7</v>
          </cell>
          <cell r="V905">
            <v>97</v>
          </cell>
          <cell r="W905">
            <v>7</v>
          </cell>
          <cell r="X905">
            <v>97</v>
          </cell>
          <cell r="Y905">
            <v>0</v>
          </cell>
          <cell r="Z905">
            <v>0</v>
          </cell>
          <cell r="AD905" t="str">
            <v>0</v>
          </cell>
          <cell r="AE905" t="str">
            <v>0</v>
          </cell>
          <cell r="AF905" t="str">
            <v>00</v>
          </cell>
          <cell r="AI905">
            <v>0</v>
          </cell>
          <cell r="AJ905">
            <v>0</v>
          </cell>
        </row>
        <row r="906">
          <cell r="A906" t="str">
            <v>02</v>
          </cell>
          <cell r="B906" t="str">
            <v>90</v>
          </cell>
          <cell r="C906" t="str">
            <v>345</v>
          </cell>
          <cell r="D906" t="str">
            <v>Бетономешалка СБУ100</v>
          </cell>
          <cell r="E906" t="str">
            <v>А зав N б/н гСызрань</v>
          </cell>
          <cell r="F906" t="str">
            <v>136 МЗО</v>
          </cell>
          <cell r="G906" t="str">
            <v>01</v>
          </cell>
          <cell r="H906">
            <v>3900</v>
          </cell>
          <cell r="I906">
            <v>0</v>
          </cell>
          <cell r="J906">
            <v>0</v>
          </cell>
          <cell r="K906">
            <v>1</v>
          </cell>
          <cell r="L906" t="str">
            <v>23</v>
          </cell>
          <cell r="M906" t="str">
            <v>42000</v>
          </cell>
          <cell r="N906" t="str">
            <v>14 2947153</v>
          </cell>
          <cell r="P906">
            <v>12.5</v>
          </cell>
          <cell r="Q906">
            <v>0</v>
          </cell>
          <cell r="R906" t="str">
            <v>1</v>
          </cell>
          <cell r="S906" t="str">
            <v>42</v>
          </cell>
          <cell r="T906">
            <v>97</v>
          </cell>
          <cell r="U906">
            <v>8</v>
          </cell>
          <cell r="V906">
            <v>97</v>
          </cell>
          <cell r="W906">
            <v>8</v>
          </cell>
          <cell r="X906">
            <v>97</v>
          </cell>
          <cell r="Y906">
            <v>0</v>
          </cell>
          <cell r="Z906">
            <v>0</v>
          </cell>
          <cell r="AB906" t="str">
            <v>14</v>
          </cell>
          <cell r="AC906">
            <v>9</v>
          </cell>
          <cell r="AD906" t="str">
            <v>0</v>
          </cell>
          <cell r="AE906" t="str">
            <v>0</v>
          </cell>
          <cell r="AF906" t="str">
            <v>00</v>
          </cell>
          <cell r="AI906">
            <v>0</v>
          </cell>
          <cell r="AJ906">
            <v>0</v>
          </cell>
        </row>
        <row r="907">
          <cell r="A907" t="str">
            <v>02</v>
          </cell>
          <cell r="B907" t="str">
            <v>99</v>
          </cell>
          <cell r="C907" t="str">
            <v>346</v>
          </cell>
          <cell r="D907" t="str">
            <v>Прицепной вагон 3х4</v>
          </cell>
          <cell r="E907" t="str">
            <v>дерево-мет.</v>
          </cell>
          <cell r="G907" t="str">
            <v>01</v>
          </cell>
          <cell r="H907">
            <v>15417</v>
          </cell>
          <cell r="I907">
            <v>0</v>
          </cell>
          <cell r="J907">
            <v>0</v>
          </cell>
          <cell r="K907">
            <v>1</v>
          </cell>
          <cell r="L907" t="str">
            <v>20</v>
          </cell>
          <cell r="M907" t="str">
            <v>10010</v>
          </cell>
          <cell r="N907" t="str">
            <v>13 2022261</v>
          </cell>
          <cell r="P907">
            <v>12.5</v>
          </cell>
          <cell r="Q907">
            <v>0</v>
          </cell>
          <cell r="R907" t="str">
            <v>1</v>
          </cell>
          <cell r="S907" t="str">
            <v>10</v>
          </cell>
          <cell r="T907">
            <v>83</v>
          </cell>
          <cell r="U907">
            <v>8</v>
          </cell>
          <cell r="V907">
            <v>97</v>
          </cell>
          <cell r="W907">
            <v>8</v>
          </cell>
          <cell r="X907">
            <v>97</v>
          </cell>
          <cell r="Y907">
            <v>0</v>
          </cell>
          <cell r="Z907">
            <v>0</v>
          </cell>
          <cell r="AD907" t="str">
            <v>0</v>
          </cell>
          <cell r="AE907" t="str">
            <v>0</v>
          </cell>
          <cell r="AF907" t="str">
            <v>00</v>
          </cell>
          <cell r="AI907">
            <v>0</v>
          </cell>
          <cell r="AJ907">
            <v>0</v>
          </cell>
        </row>
        <row r="908">
          <cell r="A908" t="str">
            <v>02</v>
          </cell>
          <cell r="B908" t="str">
            <v>99</v>
          </cell>
          <cell r="C908" t="str">
            <v>347</v>
          </cell>
          <cell r="D908" t="str">
            <v>Холодильник СТИНОЛ</v>
          </cell>
          <cell r="E908" t="str">
            <v>з-д АОЗТ гЛипецк</v>
          </cell>
          <cell r="F908" t="str">
            <v>зав.N96490789609</v>
          </cell>
          <cell r="G908" t="str">
            <v>01</v>
          </cell>
          <cell r="H908">
            <v>1433.33</v>
          </cell>
          <cell r="I908">
            <v>0</v>
          </cell>
          <cell r="J908">
            <v>0</v>
          </cell>
          <cell r="K908">
            <v>1</v>
          </cell>
          <cell r="L908" t="str">
            <v>20</v>
          </cell>
          <cell r="M908" t="str">
            <v>45800</v>
          </cell>
          <cell r="N908" t="str">
            <v>16 2930100</v>
          </cell>
          <cell r="P908">
            <v>10</v>
          </cell>
          <cell r="Q908">
            <v>0</v>
          </cell>
          <cell r="R908" t="str">
            <v>1</v>
          </cell>
          <cell r="S908" t="str">
            <v>45</v>
          </cell>
          <cell r="T908">
            <v>96</v>
          </cell>
          <cell r="U908">
            <v>8</v>
          </cell>
          <cell r="V908">
            <v>97</v>
          </cell>
          <cell r="W908">
            <v>8</v>
          </cell>
          <cell r="X908">
            <v>97</v>
          </cell>
          <cell r="Y908">
            <v>0</v>
          </cell>
          <cell r="Z908">
            <v>0</v>
          </cell>
          <cell r="AD908" t="str">
            <v>0</v>
          </cell>
          <cell r="AE908" t="str">
            <v>0</v>
          </cell>
          <cell r="AF908" t="str">
            <v>00</v>
          </cell>
          <cell r="AI908">
            <v>0</v>
          </cell>
          <cell r="AJ908">
            <v>0</v>
          </cell>
        </row>
        <row r="909">
          <cell r="A909" t="str">
            <v>02</v>
          </cell>
          <cell r="B909" t="str">
            <v>99</v>
          </cell>
          <cell r="C909" t="str">
            <v>348</v>
          </cell>
          <cell r="D909" t="str">
            <v>Газовая плита БРЕСТ</v>
          </cell>
          <cell r="E909" t="str">
            <v>з-д АО Брестгазоаппа</v>
          </cell>
          <cell r="F909" t="str">
            <v>рат зав.N48993</v>
          </cell>
          <cell r="G909" t="str">
            <v>01</v>
          </cell>
          <cell r="H909">
            <v>775</v>
          </cell>
          <cell r="I909">
            <v>0</v>
          </cell>
          <cell r="J909">
            <v>0</v>
          </cell>
          <cell r="K909">
            <v>1</v>
          </cell>
          <cell r="L909" t="str">
            <v>20</v>
          </cell>
          <cell r="M909" t="str">
            <v>49023</v>
          </cell>
          <cell r="N909" t="str">
            <v>14 2914250</v>
          </cell>
          <cell r="P909">
            <v>9.8000000000000007</v>
          </cell>
          <cell r="Q909">
            <v>0</v>
          </cell>
          <cell r="R909" t="str">
            <v>1</v>
          </cell>
          <cell r="S909" t="str">
            <v>49</v>
          </cell>
          <cell r="T909">
            <v>97</v>
          </cell>
          <cell r="U909">
            <v>8</v>
          </cell>
          <cell r="V909">
            <v>97</v>
          </cell>
          <cell r="W909">
            <v>8</v>
          </cell>
          <cell r="X909">
            <v>97</v>
          </cell>
          <cell r="Y909">
            <v>0</v>
          </cell>
          <cell r="Z909">
            <v>0</v>
          </cell>
          <cell r="AD909" t="str">
            <v>0</v>
          </cell>
          <cell r="AE909" t="str">
            <v>0</v>
          </cell>
          <cell r="AF909" t="str">
            <v>00</v>
          </cell>
          <cell r="AI909">
            <v>0</v>
          </cell>
          <cell r="AJ909">
            <v>0</v>
          </cell>
        </row>
        <row r="910">
          <cell r="A910" t="str">
            <v>19</v>
          </cell>
          <cell r="B910" t="str">
            <v>19</v>
          </cell>
          <cell r="C910" t="str">
            <v>349</v>
          </cell>
          <cell r="D910" t="str">
            <v>Здание проходной мяс</v>
          </cell>
          <cell r="E910" t="str">
            <v>окомбината</v>
          </cell>
          <cell r="G910" t="str">
            <v>01</v>
          </cell>
          <cell r="H910">
            <v>48794.26</v>
          </cell>
          <cell r="I910">
            <v>3049.64</v>
          </cell>
          <cell r="J910">
            <v>0</v>
          </cell>
          <cell r="K910">
            <v>1</v>
          </cell>
          <cell r="L910" t="str">
            <v>88/4</v>
          </cell>
          <cell r="M910" t="str">
            <v>10004</v>
          </cell>
          <cell r="N910" t="str">
            <v>11 4529020</v>
          </cell>
          <cell r="P910">
            <v>2.5</v>
          </cell>
          <cell r="Q910">
            <v>0</v>
          </cell>
          <cell r="R910" t="str">
            <v>1</v>
          </cell>
          <cell r="S910" t="str">
            <v>10</v>
          </cell>
          <cell r="T910">
            <v>94</v>
          </cell>
          <cell r="U910">
            <v>6</v>
          </cell>
          <cell r="V910">
            <v>97</v>
          </cell>
          <cell r="W910">
            <v>6</v>
          </cell>
          <cell r="X910">
            <v>97</v>
          </cell>
          <cell r="Y910">
            <v>0</v>
          </cell>
          <cell r="Z910">
            <v>0</v>
          </cell>
          <cell r="AD910" t="str">
            <v>0</v>
          </cell>
          <cell r="AE910" t="str">
            <v>0</v>
          </cell>
          <cell r="AF910" t="str">
            <v>19</v>
          </cell>
          <cell r="AI910">
            <v>0</v>
          </cell>
          <cell r="AJ910">
            <v>0</v>
          </cell>
        </row>
        <row r="911">
          <cell r="A911" t="str">
            <v>19</v>
          </cell>
          <cell r="B911" t="str">
            <v>19</v>
          </cell>
          <cell r="C911" t="str">
            <v>350</v>
          </cell>
          <cell r="D911" t="str">
            <v>Здание дизельной эл.</v>
          </cell>
          <cell r="E911" t="str">
            <v>станции мясокомбинат</v>
          </cell>
          <cell r="F911" t="str">
            <v>а</v>
          </cell>
          <cell r="G911" t="str">
            <v>01</v>
          </cell>
          <cell r="H911">
            <v>40037.67</v>
          </cell>
          <cell r="I911">
            <v>2502.36</v>
          </cell>
          <cell r="J911">
            <v>0</v>
          </cell>
          <cell r="K911">
            <v>1</v>
          </cell>
          <cell r="L911" t="str">
            <v>88/4</v>
          </cell>
          <cell r="M911" t="str">
            <v>10004</v>
          </cell>
          <cell r="N911" t="str">
            <v>11 4529020</v>
          </cell>
          <cell r="P911">
            <v>2.5</v>
          </cell>
          <cell r="Q911">
            <v>0</v>
          </cell>
          <cell r="R911" t="str">
            <v>1</v>
          </cell>
          <cell r="S911" t="str">
            <v>10</v>
          </cell>
          <cell r="T911">
            <v>94</v>
          </cell>
          <cell r="U911">
            <v>6</v>
          </cell>
          <cell r="V911">
            <v>97</v>
          </cell>
          <cell r="W911">
            <v>6</v>
          </cell>
          <cell r="X911">
            <v>97</v>
          </cell>
          <cell r="Y911">
            <v>0</v>
          </cell>
          <cell r="Z911">
            <v>0</v>
          </cell>
          <cell r="AD911" t="str">
            <v>0</v>
          </cell>
          <cell r="AE911" t="str">
            <v>0</v>
          </cell>
          <cell r="AF911" t="str">
            <v>19</v>
          </cell>
          <cell r="AI911">
            <v>0</v>
          </cell>
          <cell r="AJ911">
            <v>0</v>
          </cell>
        </row>
        <row r="912">
          <cell r="A912" t="str">
            <v>19</v>
          </cell>
          <cell r="B912" t="str">
            <v>19</v>
          </cell>
          <cell r="C912" t="str">
            <v>351</v>
          </cell>
          <cell r="D912" t="str">
            <v>Здание химводоочистк</v>
          </cell>
          <cell r="E912" t="str">
            <v>и мясокомбината</v>
          </cell>
          <cell r="G912" t="str">
            <v>01</v>
          </cell>
          <cell r="H912">
            <v>44384.37</v>
          </cell>
          <cell r="I912">
            <v>7713.17</v>
          </cell>
          <cell r="J912">
            <v>0</v>
          </cell>
          <cell r="K912">
            <v>1</v>
          </cell>
          <cell r="L912" t="str">
            <v>88/4</v>
          </cell>
          <cell r="M912" t="str">
            <v>10004</v>
          </cell>
          <cell r="N912" t="str">
            <v>11 4529020</v>
          </cell>
          <cell r="P912">
            <v>2.5</v>
          </cell>
          <cell r="Q912">
            <v>0</v>
          </cell>
          <cell r="R912" t="str">
            <v>1</v>
          </cell>
          <cell r="S912" t="str">
            <v>10</v>
          </cell>
          <cell r="T912">
            <v>94</v>
          </cell>
          <cell r="U912">
            <v>6</v>
          </cell>
          <cell r="V912">
            <v>97</v>
          </cell>
          <cell r="W912">
            <v>6</v>
          </cell>
          <cell r="X912">
            <v>97</v>
          </cell>
          <cell r="Y912">
            <v>0</v>
          </cell>
          <cell r="Z912">
            <v>0</v>
          </cell>
          <cell r="AD912" t="str">
            <v>0</v>
          </cell>
          <cell r="AE912" t="str">
            <v>0</v>
          </cell>
          <cell r="AF912" t="str">
            <v>19</v>
          </cell>
          <cell r="AI912">
            <v>0</v>
          </cell>
          <cell r="AJ912">
            <v>0</v>
          </cell>
        </row>
        <row r="913">
          <cell r="A913" t="str">
            <v>19</v>
          </cell>
          <cell r="B913" t="str">
            <v>19</v>
          </cell>
          <cell r="C913" t="str">
            <v>352</v>
          </cell>
          <cell r="D913" t="str">
            <v>Здание очистных соор</v>
          </cell>
          <cell r="E913" t="str">
            <v>ужений</v>
          </cell>
          <cell r="G913" t="str">
            <v>01</v>
          </cell>
          <cell r="H913">
            <v>36314.71</v>
          </cell>
          <cell r="I913">
            <v>4539.34</v>
          </cell>
          <cell r="J913">
            <v>0</v>
          </cell>
          <cell r="K913">
            <v>1</v>
          </cell>
          <cell r="L913" t="str">
            <v>88/4</v>
          </cell>
          <cell r="M913" t="str">
            <v>10008</v>
          </cell>
          <cell r="N913" t="str">
            <v>11 4524351</v>
          </cell>
          <cell r="P913">
            <v>5</v>
          </cell>
          <cell r="Q913">
            <v>0</v>
          </cell>
          <cell r="R913" t="str">
            <v>1</v>
          </cell>
          <cell r="S913" t="str">
            <v>10</v>
          </cell>
          <cell r="T913">
            <v>94</v>
          </cell>
          <cell r="U913">
            <v>6</v>
          </cell>
          <cell r="V913">
            <v>97</v>
          </cell>
          <cell r="W913">
            <v>6</v>
          </cell>
          <cell r="X913">
            <v>97</v>
          </cell>
          <cell r="Y913">
            <v>0</v>
          </cell>
          <cell r="Z913">
            <v>0</v>
          </cell>
          <cell r="AD913" t="str">
            <v>0</v>
          </cell>
          <cell r="AE913" t="str">
            <v>0</v>
          </cell>
          <cell r="AF913" t="str">
            <v>19</v>
          </cell>
          <cell r="AI913">
            <v>0</v>
          </cell>
          <cell r="AJ913">
            <v>0</v>
          </cell>
        </row>
        <row r="914">
          <cell r="A914" t="str">
            <v>19</v>
          </cell>
          <cell r="B914" t="str">
            <v>19</v>
          </cell>
          <cell r="C914" t="str">
            <v>353</v>
          </cell>
          <cell r="D914" t="str">
            <v>Дымовая труба здания</v>
          </cell>
          <cell r="E914" t="str">
            <v xml:space="preserve"> теплоцентрали</v>
          </cell>
          <cell r="G914" t="str">
            <v>01</v>
          </cell>
          <cell r="H914">
            <v>14610.64</v>
          </cell>
          <cell r="I914">
            <v>1655.87</v>
          </cell>
          <cell r="J914">
            <v>0</v>
          </cell>
          <cell r="K914">
            <v>1</v>
          </cell>
          <cell r="L914" t="str">
            <v>88/4</v>
          </cell>
          <cell r="M914" t="str">
            <v>20326</v>
          </cell>
          <cell r="N914" t="str">
            <v>12 2811284</v>
          </cell>
          <cell r="P914">
            <v>4</v>
          </cell>
          <cell r="Q914">
            <v>0</v>
          </cell>
          <cell r="R914" t="str">
            <v>1</v>
          </cell>
          <cell r="S914" t="str">
            <v>20</v>
          </cell>
          <cell r="T914">
            <v>94</v>
          </cell>
          <cell r="U914">
            <v>6</v>
          </cell>
          <cell r="V914">
            <v>97</v>
          </cell>
          <cell r="W914">
            <v>6</v>
          </cell>
          <cell r="X914">
            <v>97</v>
          </cell>
          <cell r="Y914">
            <v>0</v>
          </cell>
          <cell r="Z914">
            <v>0</v>
          </cell>
          <cell r="AD914" t="str">
            <v>0</v>
          </cell>
          <cell r="AE914" t="str">
            <v>0</v>
          </cell>
          <cell r="AF914" t="str">
            <v>19</v>
          </cell>
          <cell r="AI914">
            <v>0</v>
          </cell>
          <cell r="AJ914">
            <v>0</v>
          </cell>
        </row>
        <row r="915">
          <cell r="A915" t="str">
            <v>19</v>
          </cell>
          <cell r="B915" t="str">
            <v>19</v>
          </cell>
          <cell r="C915" t="str">
            <v>354</v>
          </cell>
          <cell r="D915" t="str">
            <v>Топливный бак теплоц</v>
          </cell>
          <cell r="E915" t="str">
            <v>ентрали</v>
          </cell>
          <cell r="G915" t="str">
            <v>01</v>
          </cell>
          <cell r="H915">
            <v>22514.21</v>
          </cell>
          <cell r="I915">
            <v>2881.78</v>
          </cell>
          <cell r="J915">
            <v>0</v>
          </cell>
          <cell r="K915">
            <v>1</v>
          </cell>
          <cell r="L915" t="str">
            <v>88/4</v>
          </cell>
          <cell r="M915" t="str">
            <v>20238</v>
          </cell>
          <cell r="N915" t="str">
            <v>12 2811000</v>
          </cell>
          <cell r="P915">
            <v>5</v>
          </cell>
          <cell r="Q915">
            <v>0</v>
          </cell>
          <cell r="R915" t="str">
            <v>1</v>
          </cell>
          <cell r="S915" t="str">
            <v>20</v>
          </cell>
          <cell r="T915">
            <v>94</v>
          </cell>
          <cell r="U915">
            <v>6</v>
          </cell>
          <cell r="V915">
            <v>97</v>
          </cell>
          <cell r="W915">
            <v>6</v>
          </cell>
          <cell r="X915">
            <v>97</v>
          </cell>
          <cell r="Y915">
            <v>0</v>
          </cell>
          <cell r="Z915">
            <v>0</v>
          </cell>
          <cell r="AD915" t="str">
            <v>0</v>
          </cell>
          <cell r="AE915" t="str">
            <v>0</v>
          </cell>
          <cell r="AF915" t="str">
            <v>19</v>
          </cell>
          <cell r="AI915">
            <v>0</v>
          </cell>
          <cell r="AJ915">
            <v>0</v>
          </cell>
        </row>
        <row r="916">
          <cell r="A916" t="str">
            <v>19</v>
          </cell>
          <cell r="B916" t="str">
            <v>19</v>
          </cell>
          <cell r="C916" t="str">
            <v>355</v>
          </cell>
          <cell r="D916" t="str">
            <v>Котел с принадлежнос</v>
          </cell>
          <cell r="E916" t="str">
            <v>тями /теплоцентраль/</v>
          </cell>
          <cell r="G916" t="str">
            <v>01</v>
          </cell>
          <cell r="H916">
            <v>379198.7</v>
          </cell>
          <cell r="I916">
            <v>48536.68</v>
          </cell>
          <cell r="J916">
            <v>0</v>
          </cell>
          <cell r="K916">
            <v>1</v>
          </cell>
          <cell r="L916" t="str">
            <v>88/4</v>
          </cell>
          <cell r="M916" t="str">
            <v>40002</v>
          </cell>
          <cell r="N916" t="str">
            <v>14 2813101</v>
          </cell>
          <cell r="P916">
            <v>5</v>
          </cell>
          <cell r="Q916">
            <v>0</v>
          </cell>
          <cell r="R916" t="str">
            <v>1</v>
          </cell>
          <cell r="S916" t="str">
            <v>40</v>
          </cell>
          <cell r="T916">
            <v>94</v>
          </cell>
          <cell r="U916">
            <v>6</v>
          </cell>
          <cell r="V916">
            <v>97</v>
          </cell>
          <cell r="W916">
            <v>6</v>
          </cell>
          <cell r="X916">
            <v>97</v>
          </cell>
          <cell r="Y916">
            <v>0</v>
          </cell>
          <cell r="Z916">
            <v>0</v>
          </cell>
          <cell r="AD916" t="str">
            <v>0</v>
          </cell>
          <cell r="AE916" t="str">
            <v>0</v>
          </cell>
          <cell r="AF916" t="str">
            <v>19</v>
          </cell>
          <cell r="AI916">
            <v>0</v>
          </cell>
          <cell r="AJ916">
            <v>0</v>
          </cell>
        </row>
        <row r="917">
          <cell r="A917" t="str">
            <v>02</v>
          </cell>
          <cell r="B917" t="str">
            <v>04</v>
          </cell>
          <cell r="C917" t="str">
            <v>356</v>
          </cell>
          <cell r="D917" t="str">
            <v>Трансформаторная под</v>
          </cell>
          <cell r="E917" t="str">
            <v>станция КТП-160-10</v>
          </cell>
          <cell r="G917" t="str">
            <v>01</v>
          </cell>
          <cell r="H917">
            <v>14261.05</v>
          </cell>
          <cell r="I917">
            <v>0</v>
          </cell>
          <cell r="J917">
            <v>0</v>
          </cell>
          <cell r="K917">
            <v>1</v>
          </cell>
          <cell r="L917" t="str">
            <v>23</v>
          </cell>
          <cell r="M917" t="str">
            <v>40702</v>
          </cell>
          <cell r="N917" t="str">
            <v>14 3115202</v>
          </cell>
          <cell r="P917">
            <v>9.1</v>
          </cell>
          <cell r="Q917">
            <v>0</v>
          </cell>
          <cell r="R917" t="str">
            <v>1</v>
          </cell>
          <cell r="S917" t="str">
            <v>40</v>
          </cell>
          <cell r="T917">
            <v>0</v>
          </cell>
          <cell r="U917">
            <v>8</v>
          </cell>
          <cell r="V917">
            <v>97</v>
          </cell>
          <cell r="W917">
            <v>8</v>
          </cell>
          <cell r="X917">
            <v>97</v>
          </cell>
          <cell r="Y917">
            <v>0</v>
          </cell>
          <cell r="Z917">
            <v>0</v>
          </cell>
          <cell r="AD917" t="str">
            <v>0</v>
          </cell>
          <cell r="AE917" t="str">
            <v>0</v>
          </cell>
          <cell r="AF917" t="str">
            <v>00</v>
          </cell>
          <cell r="AI917">
            <v>0</v>
          </cell>
          <cell r="AJ917">
            <v>0</v>
          </cell>
        </row>
        <row r="918">
          <cell r="A918" t="str">
            <v>02</v>
          </cell>
          <cell r="B918" t="str">
            <v>71</v>
          </cell>
          <cell r="C918" t="str">
            <v>357</v>
          </cell>
          <cell r="D918" t="str">
            <v>Станок токарно-шлифо</v>
          </cell>
          <cell r="E918" t="str">
            <v>вальный ЗС-2</v>
          </cell>
          <cell r="G918" t="str">
            <v>01</v>
          </cell>
          <cell r="H918">
            <v>2239</v>
          </cell>
          <cell r="I918">
            <v>0</v>
          </cell>
          <cell r="J918">
            <v>0</v>
          </cell>
          <cell r="K918">
            <v>1</v>
          </cell>
          <cell r="L918" t="str">
            <v>23</v>
          </cell>
          <cell r="M918" t="str">
            <v>41000</v>
          </cell>
          <cell r="N918" t="str">
            <v>14 2922111</v>
          </cell>
          <cell r="P918">
            <v>3.5</v>
          </cell>
          <cell r="Q918">
            <v>0</v>
          </cell>
          <cell r="R918" t="str">
            <v>1</v>
          </cell>
          <cell r="S918" t="str">
            <v>40</v>
          </cell>
          <cell r="T918">
            <v>0</v>
          </cell>
          <cell r="U918">
            <v>8</v>
          </cell>
          <cell r="V918">
            <v>97</v>
          </cell>
          <cell r="W918">
            <v>8</v>
          </cell>
          <cell r="X918">
            <v>97</v>
          </cell>
          <cell r="Y918">
            <v>0</v>
          </cell>
          <cell r="Z918">
            <v>0</v>
          </cell>
          <cell r="AD918" t="str">
            <v>0</v>
          </cell>
          <cell r="AE918" t="str">
            <v>0</v>
          </cell>
          <cell r="AF918" t="str">
            <v>00</v>
          </cell>
          <cell r="AI918">
            <v>0</v>
          </cell>
          <cell r="AJ918">
            <v>0</v>
          </cell>
        </row>
        <row r="919">
          <cell r="A919" t="str">
            <v>02</v>
          </cell>
          <cell r="B919" t="str">
            <v>05</v>
          </cell>
          <cell r="C919" t="str">
            <v>358</v>
          </cell>
          <cell r="D919" t="str">
            <v>Машина для резки тру</v>
          </cell>
          <cell r="E919" t="str">
            <v>б ФАЙН</v>
          </cell>
          <cell r="G919" t="str">
            <v>01</v>
          </cell>
          <cell r="H919">
            <v>262866.51</v>
          </cell>
          <cell r="I919">
            <v>0</v>
          </cell>
          <cell r="J919">
            <v>0</v>
          </cell>
          <cell r="K919">
            <v>1</v>
          </cell>
          <cell r="L919" t="str">
            <v>20</v>
          </cell>
          <cell r="M919" t="str">
            <v>43802</v>
          </cell>
          <cell r="N919" t="str">
            <v>14 2918423</v>
          </cell>
          <cell r="P919">
            <v>15.4</v>
          </cell>
          <cell r="Q919">
            <v>0</v>
          </cell>
          <cell r="R919" t="str">
            <v>1</v>
          </cell>
          <cell r="S919" t="str">
            <v>43</v>
          </cell>
          <cell r="T919">
            <v>0</v>
          </cell>
          <cell r="U919">
            <v>8</v>
          </cell>
          <cell r="V919">
            <v>97</v>
          </cell>
          <cell r="W919">
            <v>8</v>
          </cell>
          <cell r="X919">
            <v>97</v>
          </cell>
          <cell r="Y919">
            <v>0</v>
          </cell>
          <cell r="Z919">
            <v>0</v>
          </cell>
          <cell r="AD919" t="str">
            <v>0</v>
          </cell>
          <cell r="AE919" t="str">
            <v>0</v>
          </cell>
          <cell r="AF919" t="str">
            <v>00</v>
          </cell>
          <cell r="AI919">
            <v>0</v>
          </cell>
          <cell r="AJ919">
            <v>0</v>
          </cell>
        </row>
        <row r="920">
          <cell r="A920" t="str">
            <v>02</v>
          </cell>
          <cell r="B920" t="str">
            <v>05</v>
          </cell>
          <cell r="C920" t="str">
            <v>359</v>
          </cell>
          <cell r="D920" t="str">
            <v>Машина для резки тру</v>
          </cell>
          <cell r="E920" t="str">
            <v>б ФАЙН</v>
          </cell>
          <cell r="G920" t="str">
            <v>01</v>
          </cell>
          <cell r="H920">
            <v>262866.51</v>
          </cell>
          <cell r="I920">
            <v>0</v>
          </cell>
          <cell r="J920">
            <v>0</v>
          </cell>
          <cell r="K920">
            <v>1</v>
          </cell>
          <cell r="L920" t="str">
            <v>20</v>
          </cell>
          <cell r="M920" t="str">
            <v>43802</v>
          </cell>
          <cell r="N920" t="str">
            <v>14 2918423</v>
          </cell>
          <cell r="P920">
            <v>15.4</v>
          </cell>
          <cell r="Q920">
            <v>0</v>
          </cell>
          <cell r="R920" t="str">
            <v>1</v>
          </cell>
          <cell r="S920" t="str">
            <v>43</v>
          </cell>
          <cell r="T920">
            <v>0</v>
          </cell>
          <cell r="U920">
            <v>8</v>
          </cell>
          <cell r="V920">
            <v>97</v>
          </cell>
          <cell r="W920">
            <v>8</v>
          </cell>
          <cell r="X920">
            <v>97</v>
          </cell>
          <cell r="Y920">
            <v>0</v>
          </cell>
          <cell r="Z920">
            <v>0</v>
          </cell>
          <cell r="AD920" t="str">
            <v>0</v>
          </cell>
          <cell r="AE920" t="str">
            <v>0</v>
          </cell>
          <cell r="AF920" t="str">
            <v>00</v>
          </cell>
          <cell r="AI920">
            <v>0</v>
          </cell>
          <cell r="AJ920">
            <v>0</v>
          </cell>
        </row>
        <row r="921">
          <cell r="A921" t="str">
            <v>02</v>
          </cell>
          <cell r="B921" t="str">
            <v>05</v>
          </cell>
          <cell r="C921" t="str">
            <v>360</v>
          </cell>
          <cell r="D921" t="str">
            <v>Машина для резки тру</v>
          </cell>
          <cell r="E921" t="str">
            <v>б ФАЙН</v>
          </cell>
          <cell r="G921" t="str">
            <v>01</v>
          </cell>
          <cell r="H921">
            <v>262866.51</v>
          </cell>
          <cell r="I921">
            <v>0</v>
          </cell>
          <cell r="J921">
            <v>0</v>
          </cell>
          <cell r="K921">
            <v>1</v>
          </cell>
          <cell r="L921" t="str">
            <v>20</v>
          </cell>
          <cell r="M921" t="str">
            <v>43802</v>
          </cell>
          <cell r="N921" t="str">
            <v>14 2918423</v>
          </cell>
          <cell r="P921">
            <v>15.4</v>
          </cell>
          <cell r="Q921">
            <v>0</v>
          </cell>
          <cell r="R921" t="str">
            <v>1</v>
          </cell>
          <cell r="S921" t="str">
            <v>43</v>
          </cell>
          <cell r="T921">
            <v>0</v>
          </cell>
          <cell r="U921">
            <v>8</v>
          </cell>
          <cell r="V921">
            <v>97</v>
          </cell>
          <cell r="W921">
            <v>8</v>
          </cell>
          <cell r="X921">
            <v>97</v>
          </cell>
          <cell r="Y921">
            <v>0</v>
          </cell>
          <cell r="Z921">
            <v>0</v>
          </cell>
          <cell r="AD921" t="str">
            <v>0</v>
          </cell>
          <cell r="AE921" t="str">
            <v>0</v>
          </cell>
          <cell r="AF921" t="str">
            <v>00</v>
          </cell>
          <cell r="AI921">
            <v>0</v>
          </cell>
          <cell r="AJ921">
            <v>0</v>
          </cell>
        </row>
        <row r="922">
          <cell r="A922" t="str">
            <v>02</v>
          </cell>
          <cell r="B922" t="str">
            <v>71</v>
          </cell>
          <cell r="C922" t="str">
            <v>361</v>
          </cell>
          <cell r="D922" t="str">
            <v>Машина для резки тру</v>
          </cell>
          <cell r="E922" t="str">
            <v>б ФАЙН</v>
          </cell>
          <cell r="G922" t="str">
            <v>01</v>
          </cell>
          <cell r="H922">
            <v>262866.51</v>
          </cell>
          <cell r="I922">
            <v>0</v>
          </cell>
          <cell r="J922">
            <v>0</v>
          </cell>
          <cell r="K922">
            <v>1</v>
          </cell>
          <cell r="L922" t="str">
            <v>23</v>
          </cell>
          <cell r="M922" t="str">
            <v>43802</v>
          </cell>
          <cell r="N922" t="str">
            <v>14 2918423</v>
          </cell>
          <cell r="P922">
            <v>15.4</v>
          </cell>
          <cell r="Q922">
            <v>0</v>
          </cell>
          <cell r="R922" t="str">
            <v>1</v>
          </cell>
          <cell r="S922" t="str">
            <v>43</v>
          </cell>
          <cell r="T922">
            <v>0</v>
          </cell>
          <cell r="U922">
            <v>8</v>
          </cell>
          <cell r="V922">
            <v>97</v>
          </cell>
          <cell r="W922">
            <v>8</v>
          </cell>
          <cell r="X922">
            <v>97</v>
          </cell>
          <cell r="Y922">
            <v>0</v>
          </cell>
          <cell r="Z922">
            <v>0</v>
          </cell>
          <cell r="AB922" t="str">
            <v>14</v>
          </cell>
          <cell r="AC922">
            <v>10</v>
          </cell>
          <cell r="AD922" t="str">
            <v>0</v>
          </cell>
          <cell r="AE922" t="str">
            <v>0</v>
          </cell>
          <cell r="AF922" t="str">
            <v>00</v>
          </cell>
          <cell r="AI922">
            <v>0</v>
          </cell>
          <cell r="AJ922">
            <v>0</v>
          </cell>
        </row>
        <row r="923">
          <cell r="A923" t="str">
            <v>02</v>
          </cell>
          <cell r="B923" t="str">
            <v>71</v>
          </cell>
          <cell r="C923" t="str">
            <v>362</v>
          </cell>
          <cell r="D923" t="str">
            <v>Станок токарно-винто</v>
          </cell>
          <cell r="E923" t="str">
            <v>резный 166.16К</v>
          </cell>
          <cell r="G923" t="str">
            <v>01</v>
          </cell>
          <cell r="H923">
            <v>45700</v>
          </cell>
          <cell r="I923">
            <v>0</v>
          </cell>
          <cell r="J923">
            <v>0</v>
          </cell>
          <cell r="K923">
            <v>1</v>
          </cell>
          <cell r="L923" t="str">
            <v>23</v>
          </cell>
          <cell r="M923" t="str">
            <v>41000</v>
          </cell>
          <cell r="N923" t="str">
            <v>14 2922111</v>
          </cell>
          <cell r="P923">
            <v>3.5</v>
          </cell>
          <cell r="Q923">
            <v>0</v>
          </cell>
          <cell r="R923" t="str">
            <v>1</v>
          </cell>
          <cell r="S923" t="str">
            <v>41</v>
          </cell>
          <cell r="T923">
            <v>0</v>
          </cell>
          <cell r="U923">
            <v>8</v>
          </cell>
          <cell r="V923">
            <v>97</v>
          </cell>
          <cell r="W923">
            <v>8</v>
          </cell>
          <cell r="X923">
            <v>97</v>
          </cell>
          <cell r="Y923">
            <v>0</v>
          </cell>
          <cell r="Z923">
            <v>0</v>
          </cell>
          <cell r="AD923" t="str">
            <v>0</v>
          </cell>
          <cell r="AE923" t="str">
            <v>0</v>
          </cell>
          <cell r="AF923" t="str">
            <v>00</v>
          </cell>
          <cell r="AI923">
            <v>0</v>
          </cell>
          <cell r="AJ923">
            <v>0</v>
          </cell>
        </row>
        <row r="924">
          <cell r="A924" t="str">
            <v>02</v>
          </cell>
          <cell r="B924" t="str">
            <v>02</v>
          </cell>
          <cell r="C924" t="str">
            <v>363</v>
          </cell>
          <cell r="D924" t="str">
            <v>Полотенце ПМ-524</v>
          </cell>
          <cell r="G924" t="str">
            <v>01</v>
          </cell>
          <cell r="H924">
            <v>3456</v>
          </cell>
          <cell r="I924">
            <v>0</v>
          </cell>
          <cell r="J924">
            <v>0</v>
          </cell>
          <cell r="K924">
            <v>1</v>
          </cell>
          <cell r="L924" t="str">
            <v>20</v>
          </cell>
          <cell r="M924" t="str">
            <v>43815</v>
          </cell>
          <cell r="N924" t="str">
            <v>14 2915319</v>
          </cell>
          <cell r="P924">
            <v>50</v>
          </cell>
          <cell r="Q924">
            <v>0</v>
          </cell>
          <cell r="R924" t="str">
            <v>1</v>
          </cell>
          <cell r="S924" t="str">
            <v>43</v>
          </cell>
          <cell r="T924">
            <v>0</v>
          </cell>
          <cell r="U924">
            <v>8</v>
          </cell>
          <cell r="V924">
            <v>97</v>
          </cell>
          <cell r="W924">
            <v>8</v>
          </cell>
          <cell r="X924">
            <v>97</v>
          </cell>
          <cell r="Y924">
            <v>0</v>
          </cell>
          <cell r="Z924">
            <v>0</v>
          </cell>
          <cell r="AD924" t="str">
            <v>0</v>
          </cell>
          <cell r="AE924" t="str">
            <v>0</v>
          </cell>
          <cell r="AF924" t="str">
            <v>00</v>
          </cell>
          <cell r="AI924">
            <v>0</v>
          </cell>
          <cell r="AJ924">
            <v>0</v>
          </cell>
        </row>
        <row r="925">
          <cell r="A925" t="str">
            <v>02</v>
          </cell>
          <cell r="B925" t="str">
            <v>02</v>
          </cell>
          <cell r="C925" t="str">
            <v>364</v>
          </cell>
          <cell r="D925" t="str">
            <v>Полотенце ПМ-524</v>
          </cell>
          <cell r="G925" t="str">
            <v>01</v>
          </cell>
          <cell r="H925">
            <v>3456</v>
          </cell>
          <cell r="I925">
            <v>0</v>
          </cell>
          <cell r="J925">
            <v>0</v>
          </cell>
          <cell r="K925">
            <v>1</v>
          </cell>
          <cell r="L925" t="str">
            <v>20</v>
          </cell>
          <cell r="M925" t="str">
            <v>43815</v>
          </cell>
          <cell r="N925" t="str">
            <v>14 2915319</v>
          </cell>
          <cell r="P925">
            <v>50</v>
          </cell>
          <cell r="Q925">
            <v>0</v>
          </cell>
          <cell r="R925" t="str">
            <v>1</v>
          </cell>
          <cell r="S925" t="str">
            <v>43</v>
          </cell>
          <cell r="T925">
            <v>0</v>
          </cell>
          <cell r="U925">
            <v>8</v>
          </cell>
          <cell r="V925">
            <v>97</v>
          </cell>
          <cell r="W925">
            <v>8</v>
          </cell>
          <cell r="X925">
            <v>97</v>
          </cell>
          <cell r="Y925">
            <v>0</v>
          </cell>
          <cell r="Z925">
            <v>0</v>
          </cell>
          <cell r="AD925" t="str">
            <v>0</v>
          </cell>
          <cell r="AE925" t="str">
            <v>0</v>
          </cell>
          <cell r="AF925" t="str">
            <v>00</v>
          </cell>
          <cell r="AI925">
            <v>0</v>
          </cell>
          <cell r="AJ925">
            <v>0</v>
          </cell>
        </row>
        <row r="926">
          <cell r="A926" t="str">
            <v>02</v>
          </cell>
          <cell r="B926" t="str">
            <v>02</v>
          </cell>
          <cell r="C926" t="str">
            <v>365</v>
          </cell>
          <cell r="D926" t="str">
            <v>Полотенце ПМ-524</v>
          </cell>
          <cell r="G926" t="str">
            <v>01</v>
          </cell>
          <cell r="H926">
            <v>3456</v>
          </cell>
          <cell r="I926">
            <v>0</v>
          </cell>
          <cell r="J926">
            <v>0</v>
          </cell>
          <cell r="K926">
            <v>1</v>
          </cell>
          <cell r="L926" t="str">
            <v>20</v>
          </cell>
          <cell r="M926" t="str">
            <v>43815</v>
          </cell>
          <cell r="N926" t="str">
            <v>14 2915319</v>
          </cell>
          <cell r="P926">
            <v>50</v>
          </cell>
          <cell r="Q926">
            <v>0</v>
          </cell>
          <cell r="R926" t="str">
            <v>1</v>
          </cell>
          <cell r="S926" t="str">
            <v>43</v>
          </cell>
          <cell r="T926">
            <v>0</v>
          </cell>
          <cell r="U926">
            <v>8</v>
          </cell>
          <cell r="V926">
            <v>97</v>
          </cell>
          <cell r="W926">
            <v>8</v>
          </cell>
          <cell r="X926">
            <v>97</v>
          </cell>
          <cell r="Y926">
            <v>0</v>
          </cell>
          <cell r="Z926">
            <v>0</v>
          </cell>
          <cell r="AD926" t="str">
            <v>0</v>
          </cell>
          <cell r="AE926" t="str">
            <v>0</v>
          </cell>
          <cell r="AF926" t="str">
            <v>00</v>
          </cell>
          <cell r="AI926">
            <v>0</v>
          </cell>
          <cell r="AJ926">
            <v>0</v>
          </cell>
        </row>
        <row r="927">
          <cell r="A927" t="str">
            <v>02</v>
          </cell>
          <cell r="B927" t="str">
            <v>02</v>
          </cell>
          <cell r="C927" t="str">
            <v>366</v>
          </cell>
          <cell r="D927" t="str">
            <v>Полотенце ПМ-524</v>
          </cell>
          <cell r="G927" t="str">
            <v>01</v>
          </cell>
          <cell r="H927">
            <v>3456</v>
          </cell>
          <cell r="I927">
            <v>0</v>
          </cell>
          <cell r="J927">
            <v>0</v>
          </cell>
          <cell r="K927">
            <v>1</v>
          </cell>
          <cell r="L927" t="str">
            <v>20</v>
          </cell>
          <cell r="M927" t="str">
            <v>43815</v>
          </cell>
          <cell r="N927" t="str">
            <v>14 2915319</v>
          </cell>
          <cell r="P927">
            <v>50</v>
          </cell>
          <cell r="Q927">
            <v>0</v>
          </cell>
          <cell r="R927" t="str">
            <v>1</v>
          </cell>
          <cell r="S927" t="str">
            <v>43</v>
          </cell>
          <cell r="T927">
            <v>0</v>
          </cell>
          <cell r="U927">
            <v>8</v>
          </cell>
          <cell r="V927">
            <v>97</v>
          </cell>
          <cell r="W927">
            <v>8</v>
          </cell>
          <cell r="X927">
            <v>97</v>
          </cell>
          <cell r="Y927">
            <v>0</v>
          </cell>
          <cell r="Z927">
            <v>0</v>
          </cell>
          <cell r="AD927" t="str">
            <v>0</v>
          </cell>
          <cell r="AE927" t="str">
            <v>0</v>
          </cell>
          <cell r="AF927" t="str">
            <v>00</v>
          </cell>
          <cell r="AI927">
            <v>0</v>
          </cell>
          <cell r="AJ927">
            <v>0</v>
          </cell>
        </row>
        <row r="928">
          <cell r="A928" t="str">
            <v>02</v>
          </cell>
          <cell r="B928" t="str">
            <v>11</v>
          </cell>
          <cell r="C928" t="str">
            <v>367</v>
          </cell>
          <cell r="D928" t="str">
            <v>Вибропресс автомат В</v>
          </cell>
          <cell r="E928" t="str">
            <v>ЦП-6</v>
          </cell>
          <cell r="G928" t="str">
            <v>01</v>
          </cell>
          <cell r="H928">
            <v>6407</v>
          </cell>
          <cell r="I928">
            <v>0</v>
          </cell>
          <cell r="J928">
            <v>0</v>
          </cell>
          <cell r="K928">
            <v>1</v>
          </cell>
          <cell r="L928" t="str">
            <v>20</v>
          </cell>
          <cell r="M928" t="str">
            <v>44107</v>
          </cell>
          <cell r="N928" t="str">
            <v>14 2947131</v>
          </cell>
          <cell r="P928">
            <v>5.5</v>
          </cell>
          <cell r="Q928">
            <v>0</v>
          </cell>
          <cell r="R928" t="str">
            <v>1</v>
          </cell>
          <cell r="S928" t="str">
            <v>44</v>
          </cell>
          <cell r="T928">
            <v>0</v>
          </cell>
          <cell r="U928">
            <v>8</v>
          </cell>
          <cell r="V928">
            <v>97</v>
          </cell>
          <cell r="W928">
            <v>8</v>
          </cell>
          <cell r="X928">
            <v>97</v>
          </cell>
          <cell r="Y928">
            <v>0</v>
          </cell>
          <cell r="Z928">
            <v>0</v>
          </cell>
          <cell r="AD928" t="str">
            <v>2</v>
          </cell>
          <cell r="AE928" t="str">
            <v>0</v>
          </cell>
          <cell r="AF928" t="str">
            <v>00</v>
          </cell>
          <cell r="AI928">
            <v>0</v>
          </cell>
          <cell r="AJ928">
            <v>0</v>
          </cell>
        </row>
        <row r="929">
          <cell r="A929" t="str">
            <v>02</v>
          </cell>
          <cell r="B929" t="str">
            <v>10</v>
          </cell>
          <cell r="C929" t="str">
            <v>369</v>
          </cell>
          <cell r="D929" t="str">
            <v>Емкость 25м3</v>
          </cell>
          <cell r="G929" t="str">
            <v>01</v>
          </cell>
          <cell r="H929">
            <v>16500</v>
          </cell>
          <cell r="I929">
            <v>0</v>
          </cell>
          <cell r="J929">
            <v>0</v>
          </cell>
          <cell r="K929">
            <v>1</v>
          </cell>
          <cell r="L929" t="str">
            <v>20</v>
          </cell>
          <cell r="M929" t="str">
            <v>20236</v>
          </cell>
          <cell r="N929" t="str">
            <v>12 2812152</v>
          </cell>
          <cell r="P929">
            <v>2.8</v>
          </cell>
          <cell r="Q929">
            <v>0</v>
          </cell>
          <cell r="R929" t="str">
            <v>1</v>
          </cell>
          <cell r="S929" t="str">
            <v>20</v>
          </cell>
          <cell r="T929">
            <v>0</v>
          </cell>
          <cell r="U929">
            <v>8</v>
          </cell>
          <cell r="V929">
            <v>97</v>
          </cell>
          <cell r="W929">
            <v>8</v>
          </cell>
          <cell r="X929">
            <v>97</v>
          </cell>
          <cell r="Y929">
            <v>0</v>
          </cell>
          <cell r="Z929">
            <v>0</v>
          </cell>
          <cell r="AB929" t="str">
            <v>14</v>
          </cell>
          <cell r="AC929">
            <v>9</v>
          </cell>
          <cell r="AD929" t="str">
            <v>0</v>
          </cell>
          <cell r="AE929" t="str">
            <v>0</v>
          </cell>
          <cell r="AF929" t="str">
            <v>00</v>
          </cell>
          <cell r="AI929">
            <v>0</v>
          </cell>
          <cell r="AJ929">
            <v>0</v>
          </cell>
        </row>
        <row r="930">
          <cell r="A930" t="str">
            <v>02</v>
          </cell>
          <cell r="B930" t="str">
            <v>10</v>
          </cell>
          <cell r="C930" t="str">
            <v>370</v>
          </cell>
          <cell r="D930" t="str">
            <v>Емкость 25м3</v>
          </cell>
          <cell r="G930" t="str">
            <v>01</v>
          </cell>
          <cell r="H930">
            <v>16500</v>
          </cell>
          <cell r="I930">
            <v>0</v>
          </cell>
          <cell r="J930">
            <v>0</v>
          </cell>
          <cell r="K930">
            <v>1</v>
          </cell>
          <cell r="L930" t="str">
            <v>20</v>
          </cell>
          <cell r="M930" t="str">
            <v>20236</v>
          </cell>
          <cell r="N930" t="str">
            <v>12 2812152</v>
          </cell>
          <cell r="P930">
            <v>2.8</v>
          </cell>
          <cell r="Q930">
            <v>0</v>
          </cell>
          <cell r="R930" t="str">
            <v>1</v>
          </cell>
          <cell r="S930" t="str">
            <v>20</v>
          </cell>
          <cell r="T930">
            <v>0</v>
          </cell>
          <cell r="U930">
            <v>8</v>
          </cell>
          <cell r="V930">
            <v>97</v>
          </cell>
          <cell r="W930">
            <v>8</v>
          </cell>
          <cell r="X930">
            <v>97</v>
          </cell>
          <cell r="Y930">
            <v>0</v>
          </cell>
          <cell r="Z930">
            <v>0</v>
          </cell>
          <cell r="AB930" t="str">
            <v>14</v>
          </cell>
          <cell r="AC930">
            <v>9</v>
          </cell>
          <cell r="AD930" t="str">
            <v>0</v>
          </cell>
          <cell r="AE930" t="str">
            <v>0</v>
          </cell>
          <cell r="AF930" t="str">
            <v>00</v>
          </cell>
          <cell r="AI930">
            <v>0</v>
          </cell>
          <cell r="AJ930">
            <v>0</v>
          </cell>
        </row>
        <row r="931">
          <cell r="A931" t="str">
            <v>02</v>
          </cell>
          <cell r="B931" t="str">
            <v>71</v>
          </cell>
          <cell r="C931" t="str">
            <v>368</v>
          </cell>
          <cell r="D931" t="str">
            <v>Кран мостовой</v>
          </cell>
          <cell r="G931" t="str">
            <v>01</v>
          </cell>
          <cell r="H931">
            <v>53000</v>
          </cell>
          <cell r="I931">
            <v>0</v>
          </cell>
          <cell r="J931">
            <v>0</v>
          </cell>
          <cell r="K931">
            <v>1</v>
          </cell>
          <cell r="L931" t="str">
            <v>23</v>
          </cell>
          <cell r="M931" t="str">
            <v>41704</v>
          </cell>
          <cell r="N931" t="str">
            <v>14 2915180</v>
          </cell>
          <cell r="P931">
            <v>5</v>
          </cell>
          <cell r="Q931">
            <v>0</v>
          </cell>
          <cell r="R931" t="str">
            <v>1</v>
          </cell>
          <cell r="S931" t="str">
            <v>41</v>
          </cell>
          <cell r="T931">
            <v>0</v>
          </cell>
          <cell r="U931">
            <v>8</v>
          </cell>
          <cell r="V931">
            <v>97</v>
          </cell>
          <cell r="W931">
            <v>8</v>
          </cell>
          <cell r="X931">
            <v>97</v>
          </cell>
          <cell r="Y931">
            <v>0</v>
          </cell>
          <cell r="Z931">
            <v>0</v>
          </cell>
          <cell r="AD931" t="str">
            <v>0</v>
          </cell>
          <cell r="AE931" t="str">
            <v>0</v>
          </cell>
          <cell r="AF931" t="str">
            <v>00</v>
          </cell>
          <cell r="AI931">
            <v>0</v>
          </cell>
          <cell r="AJ931">
            <v>0</v>
          </cell>
        </row>
        <row r="932">
          <cell r="A932" t="str">
            <v>02</v>
          </cell>
          <cell r="B932" t="str">
            <v>11</v>
          </cell>
          <cell r="C932" t="str">
            <v>371</v>
          </cell>
          <cell r="D932" t="str">
            <v>Бетоноукладчик</v>
          </cell>
          <cell r="G932" t="str">
            <v>01</v>
          </cell>
          <cell r="H932">
            <v>114687.11</v>
          </cell>
          <cell r="I932">
            <v>0</v>
          </cell>
          <cell r="J932">
            <v>0</v>
          </cell>
          <cell r="K932">
            <v>1</v>
          </cell>
          <cell r="L932" t="str">
            <v>20</v>
          </cell>
          <cell r="M932" t="str">
            <v>42005</v>
          </cell>
          <cell r="N932" t="str">
            <v>14 2924626</v>
          </cell>
          <cell r="P932">
            <v>20</v>
          </cell>
          <cell r="Q932">
            <v>0</v>
          </cell>
          <cell r="R932" t="str">
            <v>1</v>
          </cell>
          <cell r="S932" t="str">
            <v>42</v>
          </cell>
          <cell r="T932">
            <v>0</v>
          </cell>
          <cell r="U932">
            <v>8</v>
          </cell>
          <cell r="V932">
            <v>97</v>
          </cell>
          <cell r="W932">
            <v>8</v>
          </cell>
          <cell r="X932">
            <v>97</v>
          </cell>
          <cell r="Y932">
            <v>0</v>
          </cell>
          <cell r="Z932">
            <v>0</v>
          </cell>
          <cell r="AD932" t="str">
            <v>2</v>
          </cell>
          <cell r="AE932" t="str">
            <v>0</v>
          </cell>
          <cell r="AF932" t="str">
            <v>00</v>
          </cell>
          <cell r="AI932">
            <v>0</v>
          </cell>
          <cell r="AJ932">
            <v>0</v>
          </cell>
        </row>
        <row r="933">
          <cell r="A933" t="str">
            <v>02</v>
          </cell>
          <cell r="B933" t="str">
            <v>15</v>
          </cell>
          <cell r="C933" t="str">
            <v>372</v>
          </cell>
          <cell r="D933" t="str">
            <v>Оборудование очистки</v>
          </cell>
          <cell r="G933" t="str">
            <v>01</v>
          </cell>
          <cell r="H933">
            <v>13602.4</v>
          </cell>
          <cell r="I933">
            <v>0</v>
          </cell>
          <cell r="J933">
            <v>0</v>
          </cell>
          <cell r="K933">
            <v>1</v>
          </cell>
          <cell r="L933" t="str">
            <v>88/2</v>
          </cell>
          <cell r="M933" t="str">
            <v>41600</v>
          </cell>
          <cell r="N933" t="str">
            <v>14 2920000</v>
          </cell>
          <cell r="P933">
            <v>10</v>
          </cell>
          <cell r="Q933">
            <v>0</v>
          </cell>
          <cell r="R933" t="str">
            <v>1</v>
          </cell>
          <cell r="S933" t="str">
            <v>41</v>
          </cell>
          <cell r="T933">
            <v>0</v>
          </cell>
          <cell r="U933">
            <v>8</v>
          </cell>
          <cell r="V933">
            <v>97</v>
          </cell>
          <cell r="W933">
            <v>8</v>
          </cell>
          <cell r="X933">
            <v>97</v>
          </cell>
          <cell r="Y933">
            <v>0</v>
          </cell>
          <cell r="Z933">
            <v>0</v>
          </cell>
          <cell r="AD933" t="str">
            <v>0</v>
          </cell>
          <cell r="AE933" t="str">
            <v>0</v>
          </cell>
          <cell r="AF933" t="str">
            <v>00</v>
          </cell>
          <cell r="AI933">
            <v>0</v>
          </cell>
          <cell r="AJ933">
            <v>0</v>
          </cell>
        </row>
        <row r="934">
          <cell r="A934" t="str">
            <v>02</v>
          </cell>
          <cell r="B934" t="str">
            <v>05</v>
          </cell>
          <cell r="C934" t="str">
            <v>373</v>
          </cell>
          <cell r="D934" t="str">
            <v>Станок заточный</v>
          </cell>
          <cell r="G934" t="str">
            <v>01</v>
          </cell>
          <cell r="H934">
            <v>1153</v>
          </cell>
          <cell r="I934">
            <v>0</v>
          </cell>
          <cell r="J934">
            <v>0</v>
          </cell>
          <cell r="K934">
            <v>1</v>
          </cell>
          <cell r="L934" t="str">
            <v>20</v>
          </cell>
          <cell r="M934" t="str">
            <v>41000</v>
          </cell>
          <cell r="N934" t="str">
            <v>14 2922139</v>
          </cell>
          <cell r="P934">
            <v>3.5</v>
          </cell>
          <cell r="Q934">
            <v>0</v>
          </cell>
          <cell r="R934" t="str">
            <v>1</v>
          </cell>
          <cell r="S934" t="str">
            <v>41</v>
          </cell>
          <cell r="T934">
            <v>0</v>
          </cell>
          <cell r="U934">
            <v>8</v>
          </cell>
          <cell r="V934">
            <v>97</v>
          </cell>
          <cell r="W934">
            <v>8</v>
          </cell>
          <cell r="X934">
            <v>97</v>
          </cell>
          <cell r="Y934">
            <v>0</v>
          </cell>
          <cell r="Z934">
            <v>0</v>
          </cell>
          <cell r="AD934" t="str">
            <v>0</v>
          </cell>
          <cell r="AE934" t="str">
            <v>0</v>
          </cell>
          <cell r="AF934" t="str">
            <v>00</v>
          </cell>
          <cell r="AI934">
            <v>0</v>
          </cell>
          <cell r="AJ934">
            <v>0</v>
          </cell>
        </row>
        <row r="935">
          <cell r="A935" t="str">
            <v>02</v>
          </cell>
          <cell r="B935" t="str">
            <v>04</v>
          </cell>
          <cell r="C935" t="str">
            <v>374</v>
          </cell>
          <cell r="D935" t="str">
            <v>Шкаф КРУН К-112</v>
          </cell>
          <cell r="G935" t="str">
            <v>01</v>
          </cell>
          <cell r="H935">
            <v>27513.93</v>
          </cell>
          <cell r="I935">
            <v>0</v>
          </cell>
          <cell r="J935">
            <v>0</v>
          </cell>
          <cell r="K935">
            <v>1</v>
          </cell>
          <cell r="L935" t="str">
            <v>23</v>
          </cell>
          <cell r="M935" t="str">
            <v>40702</v>
          </cell>
          <cell r="N935" t="str">
            <v>14 3120390</v>
          </cell>
          <cell r="P935">
            <v>9.1</v>
          </cell>
          <cell r="Q935">
            <v>0</v>
          </cell>
          <cell r="R935" t="str">
            <v>1</v>
          </cell>
          <cell r="S935" t="str">
            <v>40</v>
          </cell>
          <cell r="T935">
            <v>0</v>
          </cell>
          <cell r="U935">
            <v>8</v>
          </cell>
          <cell r="V935">
            <v>97</v>
          </cell>
          <cell r="W935">
            <v>8</v>
          </cell>
          <cell r="X935">
            <v>97</v>
          </cell>
          <cell r="Y935">
            <v>0</v>
          </cell>
          <cell r="Z935">
            <v>0</v>
          </cell>
          <cell r="AD935" t="str">
            <v>0</v>
          </cell>
          <cell r="AE935" t="str">
            <v>0</v>
          </cell>
          <cell r="AF935" t="str">
            <v>00</v>
          </cell>
          <cell r="AI935">
            <v>0</v>
          </cell>
          <cell r="AJ935">
            <v>0</v>
          </cell>
        </row>
        <row r="936">
          <cell r="A936" t="str">
            <v>02</v>
          </cell>
          <cell r="B936" t="str">
            <v>02</v>
          </cell>
          <cell r="C936" t="str">
            <v>378</v>
          </cell>
          <cell r="D936" t="str">
            <v>Переносная машина ОР</v>
          </cell>
          <cell r="E936" t="str">
            <v>БИТА-6М д/резки труб</v>
          </cell>
          <cell r="F936" t="str">
            <v>Кироваканский завод</v>
          </cell>
          <cell r="G936" t="str">
            <v>01</v>
          </cell>
          <cell r="H936">
            <v>9200</v>
          </cell>
          <cell r="I936">
            <v>0</v>
          </cell>
          <cell r="J936">
            <v>0</v>
          </cell>
          <cell r="K936">
            <v>1</v>
          </cell>
          <cell r="L936" t="str">
            <v>20</v>
          </cell>
          <cell r="M936" t="str">
            <v>43802</v>
          </cell>
          <cell r="N936" t="str">
            <v>14 2920000</v>
          </cell>
          <cell r="P936">
            <v>15.4</v>
          </cell>
          <cell r="Q936">
            <v>0</v>
          </cell>
          <cell r="R936" t="str">
            <v>1</v>
          </cell>
          <cell r="S936" t="str">
            <v>43</v>
          </cell>
          <cell r="T936">
            <v>96</v>
          </cell>
          <cell r="U936">
            <v>8</v>
          </cell>
          <cell r="V936">
            <v>97</v>
          </cell>
          <cell r="W936">
            <v>8</v>
          </cell>
          <cell r="X936">
            <v>97</v>
          </cell>
          <cell r="Y936">
            <v>0</v>
          </cell>
          <cell r="Z936">
            <v>0</v>
          </cell>
          <cell r="AD936" t="str">
            <v>0</v>
          </cell>
          <cell r="AE936" t="str">
            <v>1</v>
          </cell>
          <cell r="AF936" t="str">
            <v>00</v>
          </cell>
          <cell r="AI936">
            <v>0</v>
          </cell>
          <cell r="AJ936">
            <v>0</v>
          </cell>
        </row>
        <row r="937">
          <cell r="A937" t="str">
            <v>02</v>
          </cell>
          <cell r="B937" t="str">
            <v>41</v>
          </cell>
          <cell r="C937" t="str">
            <v>379</v>
          </cell>
          <cell r="D937" t="str">
            <v>Дефектоскоп КРОНА-1Р</v>
          </cell>
          <cell r="E937" t="str">
            <v>М зав.N530</v>
          </cell>
          <cell r="G937" t="str">
            <v>01</v>
          </cell>
          <cell r="H937">
            <v>12200</v>
          </cell>
          <cell r="I937">
            <v>0</v>
          </cell>
          <cell r="J937">
            <v>0</v>
          </cell>
          <cell r="K937">
            <v>1</v>
          </cell>
          <cell r="L937" t="str">
            <v>20</v>
          </cell>
          <cell r="M937" t="str">
            <v>47015</v>
          </cell>
          <cell r="N937" t="str">
            <v>14 3313322</v>
          </cell>
          <cell r="P937">
            <v>14.3</v>
          </cell>
          <cell r="Q937">
            <v>0</v>
          </cell>
          <cell r="R937" t="str">
            <v>1</v>
          </cell>
          <cell r="S937" t="str">
            <v>47</v>
          </cell>
          <cell r="T937">
            <v>97</v>
          </cell>
          <cell r="U937">
            <v>8</v>
          </cell>
          <cell r="V937">
            <v>97</v>
          </cell>
          <cell r="W937">
            <v>8</v>
          </cell>
          <cell r="X937">
            <v>97</v>
          </cell>
          <cell r="Y937">
            <v>0</v>
          </cell>
          <cell r="Z937">
            <v>0</v>
          </cell>
          <cell r="AD937" t="str">
            <v>0</v>
          </cell>
          <cell r="AE937" t="str">
            <v>1</v>
          </cell>
          <cell r="AF937" t="str">
            <v>00</v>
          </cell>
          <cell r="AI937">
            <v>0</v>
          </cell>
          <cell r="AJ937">
            <v>0</v>
          </cell>
        </row>
        <row r="938">
          <cell r="A938" t="str">
            <v>02</v>
          </cell>
          <cell r="B938" t="str">
            <v>41</v>
          </cell>
          <cell r="C938" t="str">
            <v>380</v>
          </cell>
          <cell r="D938" t="str">
            <v>Дефектоскоп КРОНА -1</v>
          </cell>
          <cell r="E938" t="str">
            <v>РМ зав.N493</v>
          </cell>
          <cell r="G938" t="str">
            <v>01</v>
          </cell>
          <cell r="H938">
            <v>12200</v>
          </cell>
          <cell r="I938">
            <v>0</v>
          </cell>
          <cell r="J938">
            <v>0</v>
          </cell>
          <cell r="K938">
            <v>1</v>
          </cell>
          <cell r="L938" t="str">
            <v>20</v>
          </cell>
          <cell r="M938" t="str">
            <v>47015</v>
          </cell>
          <cell r="N938" t="str">
            <v>14 3313322</v>
          </cell>
          <cell r="P938">
            <v>14.3</v>
          </cell>
          <cell r="Q938">
            <v>0</v>
          </cell>
          <cell r="R938" t="str">
            <v>1</v>
          </cell>
          <cell r="S938" t="str">
            <v>47</v>
          </cell>
          <cell r="T938">
            <v>97</v>
          </cell>
          <cell r="U938">
            <v>8</v>
          </cell>
          <cell r="V938">
            <v>97</v>
          </cell>
          <cell r="W938">
            <v>8</v>
          </cell>
          <cell r="X938">
            <v>97</v>
          </cell>
          <cell r="Y938">
            <v>0</v>
          </cell>
          <cell r="Z938">
            <v>0</v>
          </cell>
          <cell r="AD938" t="str">
            <v>0</v>
          </cell>
          <cell r="AE938" t="str">
            <v>0</v>
          </cell>
          <cell r="AF938" t="str">
            <v>00</v>
          </cell>
          <cell r="AI938">
            <v>0</v>
          </cell>
          <cell r="AJ938">
            <v>0</v>
          </cell>
        </row>
        <row r="939">
          <cell r="A939" t="str">
            <v>02</v>
          </cell>
          <cell r="B939" t="str">
            <v>41</v>
          </cell>
          <cell r="C939" t="str">
            <v>381</v>
          </cell>
          <cell r="D939" t="str">
            <v>прибор контроля каче</v>
          </cell>
          <cell r="E939" t="str">
            <v>ства АНПИ зав N10703</v>
          </cell>
          <cell r="F939" t="str">
            <v>8</v>
          </cell>
          <cell r="G939" t="str">
            <v>01</v>
          </cell>
          <cell r="H939">
            <v>12200</v>
          </cell>
          <cell r="I939">
            <v>0</v>
          </cell>
          <cell r="J939">
            <v>0</v>
          </cell>
          <cell r="K939">
            <v>1</v>
          </cell>
          <cell r="L939" t="str">
            <v>20</v>
          </cell>
          <cell r="M939" t="str">
            <v>47026</v>
          </cell>
          <cell r="N939" t="str">
            <v>14 3322446</v>
          </cell>
          <cell r="P939">
            <v>8.3000000000000007</v>
          </cell>
          <cell r="Q939">
            <v>0</v>
          </cell>
          <cell r="R939" t="str">
            <v>1</v>
          </cell>
          <cell r="S939" t="str">
            <v>47</v>
          </cell>
          <cell r="T939">
            <v>96</v>
          </cell>
          <cell r="U939">
            <v>8</v>
          </cell>
          <cell r="V939">
            <v>97</v>
          </cell>
          <cell r="W939">
            <v>8</v>
          </cell>
          <cell r="X939">
            <v>97</v>
          </cell>
          <cell r="Y939">
            <v>0</v>
          </cell>
          <cell r="Z939">
            <v>0</v>
          </cell>
          <cell r="AD939" t="str">
            <v>0</v>
          </cell>
          <cell r="AE939" t="str">
            <v>0</v>
          </cell>
          <cell r="AF939" t="str">
            <v>00</v>
          </cell>
          <cell r="AI939">
            <v>0</v>
          </cell>
          <cell r="AJ939">
            <v>0</v>
          </cell>
        </row>
        <row r="940">
          <cell r="A940" t="str">
            <v>02</v>
          </cell>
          <cell r="B940" t="str">
            <v>41</v>
          </cell>
          <cell r="C940" t="str">
            <v>382</v>
          </cell>
          <cell r="D940" t="str">
            <v>Рентгеновский аппара</v>
          </cell>
          <cell r="E940" t="str">
            <v>т ШМЕЛЬ зав.N094</v>
          </cell>
          <cell r="G940" t="str">
            <v>01</v>
          </cell>
          <cell r="H940">
            <v>34000</v>
          </cell>
          <cell r="I940">
            <v>0</v>
          </cell>
          <cell r="J940">
            <v>0</v>
          </cell>
          <cell r="K940">
            <v>1</v>
          </cell>
          <cell r="L940" t="str">
            <v>20</v>
          </cell>
          <cell r="M940" t="str">
            <v>47024</v>
          </cell>
          <cell r="N940" t="str">
            <v>14 3313341</v>
          </cell>
          <cell r="P940">
            <v>10.4</v>
          </cell>
          <cell r="Q940">
            <v>0</v>
          </cell>
          <cell r="R940" t="str">
            <v>1</v>
          </cell>
          <cell r="S940" t="str">
            <v>47</v>
          </cell>
          <cell r="T940">
            <v>97</v>
          </cell>
          <cell r="U940">
            <v>8</v>
          </cell>
          <cell r="V940">
            <v>97</v>
          </cell>
          <cell r="W940">
            <v>8</v>
          </cell>
          <cell r="X940">
            <v>97</v>
          </cell>
          <cell r="Y940">
            <v>0</v>
          </cell>
          <cell r="Z940">
            <v>0</v>
          </cell>
          <cell r="AD940" t="str">
            <v>0</v>
          </cell>
          <cell r="AE940" t="str">
            <v>0</v>
          </cell>
          <cell r="AF940" t="str">
            <v>00</v>
          </cell>
          <cell r="AI940">
            <v>0</v>
          </cell>
          <cell r="AJ940">
            <v>0</v>
          </cell>
        </row>
        <row r="941">
          <cell r="A941" t="str">
            <v>02</v>
          </cell>
          <cell r="B941" t="str">
            <v>04</v>
          </cell>
          <cell r="C941" t="str">
            <v>376</v>
          </cell>
          <cell r="D941" t="str">
            <v>Насос НД-2.5-630-10К</v>
          </cell>
          <cell r="E941" t="str">
            <v>-14А</v>
          </cell>
          <cell r="G941" t="str">
            <v>01</v>
          </cell>
          <cell r="H941">
            <v>12107.38</v>
          </cell>
          <cell r="I941">
            <v>0</v>
          </cell>
          <cell r="J941">
            <v>0</v>
          </cell>
          <cell r="K941">
            <v>1</v>
          </cell>
          <cell r="L941" t="str">
            <v>23</v>
          </cell>
          <cell r="M941" t="str">
            <v>41502</v>
          </cell>
          <cell r="N941" t="str">
            <v>14 2912101</v>
          </cell>
          <cell r="P941">
            <v>12.5</v>
          </cell>
          <cell r="Q941">
            <v>0</v>
          </cell>
          <cell r="R941" t="str">
            <v>1</v>
          </cell>
          <cell r="S941" t="str">
            <v>41</v>
          </cell>
          <cell r="T941">
            <v>0</v>
          </cell>
          <cell r="U941">
            <v>8</v>
          </cell>
          <cell r="V941">
            <v>97</v>
          </cell>
          <cell r="W941">
            <v>8</v>
          </cell>
          <cell r="X941">
            <v>97</v>
          </cell>
          <cell r="Y941">
            <v>0</v>
          </cell>
          <cell r="Z941">
            <v>0</v>
          </cell>
          <cell r="AD941" t="str">
            <v>0</v>
          </cell>
          <cell r="AE941" t="str">
            <v>0</v>
          </cell>
          <cell r="AF941" t="str">
            <v>00</v>
          </cell>
          <cell r="AI941">
            <v>0</v>
          </cell>
          <cell r="AJ941">
            <v>0</v>
          </cell>
        </row>
        <row r="942">
          <cell r="A942" t="str">
            <v>02</v>
          </cell>
          <cell r="B942" t="str">
            <v>10</v>
          </cell>
          <cell r="C942" t="str">
            <v>375</v>
          </cell>
          <cell r="D942" t="str">
            <v>Станок СМЖ-153А с но</v>
          </cell>
          <cell r="E942" t="str">
            <v>жами</v>
          </cell>
          <cell r="G942" t="str">
            <v>01</v>
          </cell>
          <cell r="H942">
            <v>9525</v>
          </cell>
          <cell r="I942">
            <v>0</v>
          </cell>
          <cell r="J942">
            <v>0</v>
          </cell>
          <cell r="K942">
            <v>1</v>
          </cell>
          <cell r="L942" t="str">
            <v>20</v>
          </cell>
          <cell r="M942" t="str">
            <v>41000</v>
          </cell>
          <cell r="N942" t="str">
            <v>14 2922103</v>
          </cell>
          <cell r="P942">
            <v>3.5</v>
          </cell>
          <cell r="Q942">
            <v>0</v>
          </cell>
          <cell r="R942" t="str">
            <v>1</v>
          </cell>
          <cell r="S942" t="str">
            <v>41</v>
          </cell>
          <cell r="T942">
            <v>0</v>
          </cell>
          <cell r="U942">
            <v>8</v>
          </cell>
          <cell r="V942">
            <v>97</v>
          </cell>
          <cell r="W942">
            <v>8</v>
          </cell>
          <cell r="X942">
            <v>97</v>
          </cell>
          <cell r="Y942">
            <v>0</v>
          </cell>
          <cell r="Z942">
            <v>0</v>
          </cell>
          <cell r="AD942" t="str">
            <v>0</v>
          </cell>
          <cell r="AE942" t="str">
            <v>0</v>
          </cell>
          <cell r="AF942" t="str">
            <v>00</v>
          </cell>
          <cell r="AI942">
            <v>0</v>
          </cell>
          <cell r="AJ942">
            <v>0</v>
          </cell>
        </row>
        <row r="943">
          <cell r="A943" t="str">
            <v>02</v>
          </cell>
          <cell r="B943" t="str">
            <v>10</v>
          </cell>
          <cell r="C943" t="str">
            <v>377</v>
          </cell>
          <cell r="D943" t="str">
            <v>Цисцерна</v>
          </cell>
          <cell r="G943" t="str">
            <v>01</v>
          </cell>
          <cell r="H943">
            <v>25725</v>
          </cell>
          <cell r="I943">
            <v>0</v>
          </cell>
          <cell r="J943">
            <v>0</v>
          </cell>
          <cell r="K943">
            <v>1</v>
          </cell>
          <cell r="L943" t="str">
            <v>20</v>
          </cell>
          <cell r="M943" t="str">
            <v>20236</v>
          </cell>
          <cell r="N943" t="str">
            <v>12 2812030</v>
          </cell>
          <cell r="P943">
            <v>2.8</v>
          </cell>
          <cell r="Q943">
            <v>0</v>
          </cell>
          <cell r="R943" t="str">
            <v>1</v>
          </cell>
          <cell r="S943" t="str">
            <v>20</v>
          </cell>
          <cell r="T943">
            <v>0</v>
          </cell>
          <cell r="U943">
            <v>8</v>
          </cell>
          <cell r="V943">
            <v>97</v>
          </cell>
          <cell r="W943">
            <v>8</v>
          </cell>
          <cell r="X943">
            <v>97</v>
          </cell>
          <cell r="Y943">
            <v>0</v>
          </cell>
          <cell r="Z943">
            <v>0</v>
          </cell>
          <cell r="AD943" t="str">
            <v>0</v>
          </cell>
          <cell r="AE943" t="str">
            <v>0</v>
          </cell>
          <cell r="AF943" t="str">
            <v>00</v>
          </cell>
          <cell r="AI943">
            <v>0</v>
          </cell>
          <cell r="AJ943">
            <v>0</v>
          </cell>
        </row>
        <row r="944">
          <cell r="A944" t="str">
            <v>02</v>
          </cell>
          <cell r="B944" t="str">
            <v>03</v>
          </cell>
          <cell r="C944" t="str">
            <v>383</v>
          </cell>
          <cell r="D944" t="str">
            <v>Агрегат герметич ВСЭ</v>
          </cell>
          <cell r="E944" t="str">
            <v>1250/холод аг-т/Ярос</v>
          </cell>
          <cell r="F944" t="str">
            <v>лавский АООТзN002692</v>
          </cell>
          <cell r="G944" t="str">
            <v>01</v>
          </cell>
          <cell r="H944">
            <v>3125</v>
          </cell>
          <cell r="I944">
            <v>0</v>
          </cell>
          <cell r="J944">
            <v>3750</v>
          </cell>
          <cell r="K944">
            <v>1</v>
          </cell>
          <cell r="L944" t="str">
            <v>26</v>
          </cell>
          <cell r="M944" t="str">
            <v>45800</v>
          </cell>
          <cell r="N944" t="str">
            <v>16 2930100</v>
          </cell>
          <cell r="P944">
            <v>10</v>
          </cell>
          <cell r="Q944">
            <v>0</v>
          </cell>
          <cell r="R944" t="str">
            <v>1</v>
          </cell>
          <cell r="S944" t="str">
            <v>45</v>
          </cell>
          <cell r="T944">
            <v>97</v>
          </cell>
          <cell r="U944">
            <v>9</v>
          </cell>
          <cell r="V944">
            <v>97</v>
          </cell>
          <cell r="W944">
            <v>9</v>
          </cell>
          <cell r="X944">
            <v>97</v>
          </cell>
          <cell r="Y944">
            <v>10</v>
          </cell>
          <cell r="Z944">
            <v>97</v>
          </cell>
          <cell r="AB944" t="str">
            <v>14</v>
          </cell>
          <cell r="AC944">
            <v>8</v>
          </cell>
          <cell r="AD944" t="str">
            <v>0</v>
          </cell>
          <cell r="AE944" t="str">
            <v>0</v>
          </cell>
          <cell r="AF944" t="str">
            <v>00</v>
          </cell>
          <cell r="AI944">
            <v>0</v>
          </cell>
          <cell r="AJ944">
            <v>0</v>
          </cell>
        </row>
        <row r="945">
          <cell r="A945" t="str">
            <v>02</v>
          </cell>
          <cell r="B945" t="str">
            <v>80</v>
          </cell>
          <cell r="C945" t="str">
            <v>384</v>
          </cell>
          <cell r="D945" t="str">
            <v>Радиотелефон дальнег</v>
          </cell>
          <cell r="E945" t="str">
            <v>о действ.SENAY-868</v>
          </cell>
          <cell r="G945" t="str">
            <v>01</v>
          </cell>
          <cell r="H945">
            <v>9666.67</v>
          </cell>
          <cell r="I945">
            <v>0</v>
          </cell>
          <cell r="J945">
            <v>0</v>
          </cell>
          <cell r="K945">
            <v>1</v>
          </cell>
          <cell r="L945" t="str">
            <v>26</v>
          </cell>
          <cell r="M945" t="str">
            <v>45620</v>
          </cell>
          <cell r="N945" t="str">
            <v>14 3220000</v>
          </cell>
          <cell r="P945">
            <v>12.5</v>
          </cell>
          <cell r="Q945">
            <v>0</v>
          </cell>
          <cell r="R945" t="str">
            <v>1</v>
          </cell>
          <cell r="S945" t="str">
            <v>45</v>
          </cell>
          <cell r="T945">
            <v>97</v>
          </cell>
          <cell r="U945">
            <v>9</v>
          </cell>
          <cell r="V945">
            <v>97</v>
          </cell>
          <cell r="W945">
            <v>9</v>
          </cell>
          <cell r="X945">
            <v>97</v>
          </cell>
          <cell r="Y945">
            <v>0</v>
          </cell>
          <cell r="Z945">
            <v>0</v>
          </cell>
          <cell r="AD945" t="str">
            <v>0</v>
          </cell>
          <cell r="AE945" t="str">
            <v>0</v>
          </cell>
          <cell r="AF945" t="str">
            <v>00</v>
          </cell>
          <cell r="AI945">
            <v>0</v>
          </cell>
          <cell r="AJ945">
            <v>0</v>
          </cell>
        </row>
        <row r="946">
          <cell r="A946" t="str">
            <v>02</v>
          </cell>
          <cell r="B946" t="str">
            <v>03</v>
          </cell>
          <cell r="C946" t="str">
            <v>385</v>
          </cell>
          <cell r="D946" t="str">
            <v>Машина подкапывающая</v>
          </cell>
          <cell r="G946" t="str">
            <v>01</v>
          </cell>
          <cell r="H946">
            <v>160991.85999999999</v>
          </cell>
          <cell r="I946">
            <v>0</v>
          </cell>
          <cell r="J946">
            <v>162894.06</v>
          </cell>
          <cell r="K946">
            <v>1</v>
          </cell>
          <cell r="L946" t="str">
            <v>26</v>
          </cell>
          <cell r="M946" t="str">
            <v>43803</v>
          </cell>
          <cell r="N946" t="str">
            <v>14 2920000</v>
          </cell>
          <cell r="P946">
            <v>33.299999999999997</v>
          </cell>
          <cell r="Q946">
            <v>0</v>
          </cell>
          <cell r="R946" t="str">
            <v>1</v>
          </cell>
          <cell r="S946" t="str">
            <v>43</v>
          </cell>
          <cell r="T946">
            <v>97</v>
          </cell>
          <cell r="U946">
            <v>9</v>
          </cell>
          <cell r="V946">
            <v>97</v>
          </cell>
          <cell r="W946">
            <v>9</v>
          </cell>
          <cell r="X946">
            <v>97</v>
          </cell>
          <cell r="Y946">
            <v>9</v>
          </cell>
          <cell r="Z946">
            <v>97</v>
          </cell>
          <cell r="AA946" t="str">
            <v>1</v>
          </cell>
          <cell r="AB946" t="str">
            <v>13</v>
          </cell>
          <cell r="AC946">
            <v>6</v>
          </cell>
          <cell r="AD946" t="str">
            <v>0</v>
          </cell>
          <cell r="AE946" t="str">
            <v>0</v>
          </cell>
          <cell r="AF946" t="str">
            <v>00</v>
          </cell>
          <cell r="AI946">
            <v>0</v>
          </cell>
          <cell r="AJ946">
            <v>0</v>
          </cell>
        </row>
        <row r="947">
          <cell r="A947" t="str">
            <v>02</v>
          </cell>
          <cell r="B947" t="str">
            <v>03</v>
          </cell>
          <cell r="C947" t="str">
            <v>386</v>
          </cell>
          <cell r="D947" t="str">
            <v>Машина подкапывающая</v>
          </cell>
          <cell r="G947" t="str">
            <v>01</v>
          </cell>
          <cell r="H947">
            <v>160991.85999999999</v>
          </cell>
          <cell r="I947">
            <v>0</v>
          </cell>
          <cell r="J947">
            <v>162894.06</v>
          </cell>
          <cell r="K947">
            <v>1</v>
          </cell>
          <cell r="L947" t="str">
            <v>26</v>
          </cell>
          <cell r="M947" t="str">
            <v>43803</v>
          </cell>
          <cell r="N947" t="str">
            <v>14 2920000</v>
          </cell>
          <cell r="P947">
            <v>33.299999999999997</v>
          </cell>
          <cell r="Q947">
            <v>0</v>
          </cell>
          <cell r="R947" t="str">
            <v>1</v>
          </cell>
          <cell r="S947" t="str">
            <v>43</v>
          </cell>
          <cell r="T947">
            <v>97</v>
          </cell>
          <cell r="U947">
            <v>9</v>
          </cell>
          <cell r="V947">
            <v>97</v>
          </cell>
          <cell r="W947">
            <v>9</v>
          </cell>
          <cell r="X947">
            <v>97</v>
          </cell>
          <cell r="Y947">
            <v>9</v>
          </cell>
          <cell r="Z947">
            <v>97</v>
          </cell>
          <cell r="AD947" t="str">
            <v>0</v>
          </cell>
          <cell r="AE947" t="str">
            <v>0</v>
          </cell>
          <cell r="AF947" t="str">
            <v>00</v>
          </cell>
          <cell r="AI947">
            <v>0</v>
          </cell>
          <cell r="AJ947">
            <v>0</v>
          </cell>
        </row>
        <row r="948">
          <cell r="A948" t="str">
            <v>02</v>
          </cell>
          <cell r="B948" t="str">
            <v>80</v>
          </cell>
          <cell r="C948" t="str">
            <v>403</v>
          </cell>
          <cell r="D948" t="str">
            <v>Компьютер Р-200.16 1</v>
          </cell>
          <cell r="E948" t="str">
            <v>666 SVGA/Корея/с при</v>
          </cell>
          <cell r="F948" t="str">
            <v>нтером EPSON LX-1050</v>
          </cell>
          <cell r="G948" t="str">
            <v>01</v>
          </cell>
          <cell r="H948">
            <v>12650</v>
          </cell>
          <cell r="I948">
            <v>0</v>
          </cell>
          <cell r="J948">
            <v>0</v>
          </cell>
          <cell r="K948">
            <v>1</v>
          </cell>
          <cell r="L948" t="str">
            <v>26</v>
          </cell>
          <cell r="M948" t="str">
            <v>48008</v>
          </cell>
          <cell r="N948" t="str">
            <v>14 3020203</v>
          </cell>
          <cell r="P948">
            <v>10</v>
          </cell>
          <cell r="Q948">
            <v>0</v>
          </cell>
          <cell r="R948" t="str">
            <v>1</v>
          </cell>
          <cell r="S948" t="str">
            <v>48</v>
          </cell>
          <cell r="T948">
            <v>97</v>
          </cell>
          <cell r="U948">
            <v>10</v>
          </cell>
          <cell r="V948">
            <v>97</v>
          </cell>
          <cell r="W948">
            <v>10</v>
          </cell>
          <cell r="X948">
            <v>97</v>
          </cell>
          <cell r="Y948">
            <v>10</v>
          </cell>
          <cell r="Z948">
            <v>98</v>
          </cell>
          <cell r="AD948" t="str">
            <v>0</v>
          </cell>
          <cell r="AE948" t="str">
            <v>0</v>
          </cell>
          <cell r="AF948" t="str">
            <v>00</v>
          </cell>
          <cell r="AI948">
            <v>0</v>
          </cell>
          <cell r="AJ948">
            <v>0</v>
          </cell>
        </row>
        <row r="949">
          <cell r="A949" t="str">
            <v>02</v>
          </cell>
          <cell r="B949" t="str">
            <v>80</v>
          </cell>
          <cell r="C949" t="str">
            <v>404</v>
          </cell>
          <cell r="D949" t="str">
            <v>Компьютер Р-200.16</v>
          </cell>
          <cell r="E949" t="str">
            <v>1.666SVGA</v>
          </cell>
          <cell r="F949" t="str">
            <v>Корея</v>
          </cell>
          <cell r="G949" t="str">
            <v>01</v>
          </cell>
          <cell r="H949">
            <v>7150</v>
          </cell>
          <cell r="I949">
            <v>0</v>
          </cell>
          <cell r="J949">
            <v>36270</v>
          </cell>
          <cell r="K949">
            <v>1</v>
          </cell>
          <cell r="L949" t="str">
            <v>26</v>
          </cell>
          <cell r="M949" t="str">
            <v>48008</v>
          </cell>
          <cell r="N949" t="str">
            <v>14 3020203</v>
          </cell>
          <cell r="P949">
            <v>10</v>
          </cell>
          <cell r="Q949">
            <v>0</v>
          </cell>
          <cell r="R949" t="str">
            <v>1</v>
          </cell>
          <cell r="S949" t="str">
            <v>48</v>
          </cell>
          <cell r="T949">
            <v>97</v>
          </cell>
          <cell r="U949">
            <v>10</v>
          </cell>
          <cell r="V949">
            <v>97</v>
          </cell>
          <cell r="W949">
            <v>10</v>
          </cell>
          <cell r="X949">
            <v>97</v>
          </cell>
          <cell r="Y949">
            <v>6</v>
          </cell>
          <cell r="Z949">
            <v>99</v>
          </cell>
          <cell r="AD949" t="str">
            <v>0</v>
          </cell>
          <cell r="AE949" t="str">
            <v>0</v>
          </cell>
          <cell r="AF949" t="str">
            <v>00</v>
          </cell>
          <cell r="AI949">
            <v>0</v>
          </cell>
          <cell r="AJ949">
            <v>0</v>
          </cell>
        </row>
        <row r="950">
          <cell r="A950" t="str">
            <v>02</v>
          </cell>
          <cell r="B950" t="str">
            <v>51</v>
          </cell>
          <cell r="C950" t="str">
            <v>405</v>
          </cell>
          <cell r="D950" t="str">
            <v>Вышка сторожевая /ме</v>
          </cell>
          <cell r="E950" t="str">
            <v>таллич/ изгот.ЦБПО</v>
          </cell>
          <cell r="F950" t="str">
            <v>высота 1.5м</v>
          </cell>
          <cell r="G950" t="str">
            <v>01</v>
          </cell>
          <cell r="H950">
            <v>22261.23</v>
          </cell>
          <cell r="I950">
            <v>0</v>
          </cell>
          <cell r="J950">
            <v>0</v>
          </cell>
          <cell r="K950">
            <v>1</v>
          </cell>
          <cell r="L950" t="str">
            <v>20</v>
          </cell>
          <cell r="M950" t="str">
            <v>20372</v>
          </cell>
          <cell r="N950" t="str">
            <v>12 2811000</v>
          </cell>
          <cell r="P950">
            <v>5</v>
          </cell>
          <cell r="Q950">
            <v>0</v>
          </cell>
          <cell r="R950" t="str">
            <v>1</v>
          </cell>
          <cell r="S950" t="str">
            <v>20</v>
          </cell>
          <cell r="T950">
            <v>97</v>
          </cell>
          <cell r="U950">
            <v>11</v>
          </cell>
          <cell r="V950">
            <v>97</v>
          </cell>
          <cell r="W950">
            <v>11</v>
          </cell>
          <cell r="X950">
            <v>97</v>
          </cell>
          <cell r="Y950">
            <v>0</v>
          </cell>
          <cell r="Z950">
            <v>0</v>
          </cell>
          <cell r="AD950" t="str">
            <v>0</v>
          </cell>
          <cell r="AE950" t="str">
            <v>0</v>
          </cell>
          <cell r="AF950" t="str">
            <v>00</v>
          </cell>
          <cell r="AI950">
            <v>0</v>
          </cell>
          <cell r="AJ950">
            <v>0</v>
          </cell>
        </row>
        <row r="951">
          <cell r="A951" t="str">
            <v>02</v>
          </cell>
          <cell r="B951" t="str">
            <v>23</v>
          </cell>
          <cell r="C951" t="str">
            <v>406</v>
          </cell>
          <cell r="D951" t="str">
            <v>Эл.станция 30 кв./Мо</v>
          </cell>
          <cell r="E951" t="str">
            <v>сковский моторный з-</v>
          </cell>
          <cell r="F951" t="str">
            <v>д/ зав.N21954</v>
          </cell>
          <cell r="G951" t="str">
            <v>01</v>
          </cell>
          <cell r="H951">
            <v>22500</v>
          </cell>
          <cell r="I951">
            <v>0</v>
          </cell>
          <cell r="J951">
            <v>0</v>
          </cell>
          <cell r="K951">
            <v>1</v>
          </cell>
          <cell r="L951" t="str">
            <v>23</v>
          </cell>
          <cell r="M951" t="str">
            <v>40307</v>
          </cell>
          <cell r="N951" t="str">
            <v>14 2911101</v>
          </cell>
          <cell r="P951">
            <v>14.3</v>
          </cell>
          <cell r="Q951">
            <v>0</v>
          </cell>
          <cell r="R951" t="str">
            <v>1</v>
          </cell>
          <cell r="S951" t="str">
            <v>40</v>
          </cell>
          <cell r="T951">
            <v>89</v>
          </cell>
          <cell r="U951">
            <v>11</v>
          </cell>
          <cell r="V951">
            <v>97</v>
          </cell>
          <cell r="W951">
            <v>11</v>
          </cell>
          <cell r="X951">
            <v>97</v>
          </cell>
          <cell r="Y951">
            <v>0</v>
          </cell>
          <cell r="Z951">
            <v>0</v>
          </cell>
          <cell r="AD951" t="str">
            <v>0</v>
          </cell>
          <cell r="AE951" t="str">
            <v>0</v>
          </cell>
          <cell r="AF951" t="str">
            <v>00</v>
          </cell>
          <cell r="AI951">
            <v>0</v>
          </cell>
          <cell r="AJ951">
            <v>0</v>
          </cell>
        </row>
        <row r="952">
          <cell r="A952" t="str">
            <v>02</v>
          </cell>
          <cell r="B952" t="str">
            <v>70</v>
          </cell>
          <cell r="C952" t="str">
            <v>407</v>
          </cell>
          <cell r="D952" t="str">
            <v>Выпрямитель сварочны</v>
          </cell>
          <cell r="E952" t="str">
            <v>й</v>
          </cell>
          <cell r="G952" t="str">
            <v>01</v>
          </cell>
          <cell r="H952">
            <v>4400</v>
          </cell>
          <cell r="I952">
            <v>0</v>
          </cell>
          <cell r="J952">
            <v>0</v>
          </cell>
          <cell r="K952">
            <v>1</v>
          </cell>
          <cell r="L952" t="str">
            <v>20</v>
          </cell>
          <cell r="M952" t="str">
            <v>42502</v>
          </cell>
          <cell r="N952" t="str">
            <v>14 2922804</v>
          </cell>
          <cell r="P952">
            <v>16.7</v>
          </cell>
          <cell r="Q952">
            <v>0</v>
          </cell>
          <cell r="R952" t="str">
            <v>1</v>
          </cell>
          <cell r="S952" t="str">
            <v>42</v>
          </cell>
          <cell r="T952">
            <v>97</v>
          </cell>
          <cell r="U952">
            <v>12</v>
          </cell>
          <cell r="V952">
            <v>97</v>
          </cell>
          <cell r="W952">
            <v>12</v>
          </cell>
          <cell r="X952">
            <v>97</v>
          </cell>
          <cell r="Y952">
            <v>0</v>
          </cell>
          <cell r="Z952">
            <v>0</v>
          </cell>
          <cell r="AB952" t="str">
            <v>14</v>
          </cell>
          <cell r="AC952">
            <v>2</v>
          </cell>
          <cell r="AD952" t="str">
            <v>0</v>
          </cell>
          <cell r="AE952" t="str">
            <v>0</v>
          </cell>
          <cell r="AF952" t="str">
            <v>00</v>
          </cell>
          <cell r="AI952">
            <v>0</v>
          </cell>
          <cell r="AJ952">
            <v>0</v>
          </cell>
        </row>
        <row r="953">
          <cell r="A953" t="str">
            <v>02</v>
          </cell>
          <cell r="B953" t="str">
            <v>70</v>
          </cell>
          <cell r="C953" t="str">
            <v>408</v>
          </cell>
          <cell r="D953" t="str">
            <v>Выпрямитель сварочны</v>
          </cell>
          <cell r="E953" t="str">
            <v>й</v>
          </cell>
          <cell r="G953" t="str">
            <v>01</v>
          </cell>
          <cell r="H953">
            <v>4400</v>
          </cell>
          <cell r="I953">
            <v>0</v>
          </cell>
          <cell r="J953">
            <v>0</v>
          </cell>
          <cell r="K953">
            <v>1</v>
          </cell>
          <cell r="L953" t="str">
            <v>20</v>
          </cell>
          <cell r="M953" t="str">
            <v>42502</v>
          </cell>
          <cell r="N953" t="str">
            <v>14 2922804</v>
          </cell>
          <cell r="P953">
            <v>16.7</v>
          </cell>
          <cell r="Q953">
            <v>0</v>
          </cell>
          <cell r="R953" t="str">
            <v>1</v>
          </cell>
          <cell r="S953" t="str">
            <v>42</v>
          </cell>
          <cell r="T953">
            <v>97</v>
          </cell>
          <cell r="U953">
            <v>12</v>
          </cell>
          <cell r="V953">
            <v>97</v>
          </cell>
          <cell r="W953">
            <v>12</v>
          </cell>
          <cell r="X953">
            <v>97</v>
          </cell>
          <cell r="Y953">
            <v>0</v>
          </cell>
          <cell r="Z953">
            <v>0</v>
          </cell>
          <cell r="AB953" t="str">
            <v>14</v>
          </cell>
          <cell r="AC953">
            <v>2</v>
          </cell>
          <cell r="AD953" t="str">
            <v>0</v>
          </cell>
          <cell r="AE953" t="str">
            <v>0</v>
          </cell>
          <cell r="AF953" t="str">
            <v>00</v>
          </cell>
          <cell r="AI953">
            <v>0</v>
          </cell>
          <cell r="AJ953">
            <v>0</v>
          </cell>
        </row>
        <row r="954">
          <cell r="A954" t="str">
            <v>16</v>
          </cell>
          <cell r="B954" t="str">
            <v>06</v>
          </cell>
          <cell r="C954" t="str">
            <v>409</v>
          </cell>
          <cell r="D954" t="str">
            <v>Трансфор.подстанция</v>
          </cell>
          <cell r="E954" t="str">
            <v>КТПК/ВВ/250/10/0.4</v>
          </cell>
          <cell r="F954" t="str">
            <v>/з-дЭлектрощит/Самар</v>
          </cell>
          <cell r="G954" t="str">
            <v>01</v>
          </cell>
          <cell r="H954">
            <v>4636.32</v>
          </cell>
          <cell r="I954">
            <v>0</v>
          </cell>
          <cell r="J954">
            <v>0</v>
          </cell>
          <cell r="K954">
            <v>1</v>
          </cell>
          <cell r="L954" t="str">
            <v>88/1</v>
          </cell>
          <cell r="M954" t="str">
            <v>40702</v>
          </cell>
          <cell r="N954" t="str">
            <v>14 3115202</v>
          </cell>
          <cell r="P954">
            <v>9.1</v>
          </cell>
          <cell r="Q954">
            <v>0</v>
          </cell>
          <cell r="R954" t="str">
            <v>1</v>
          </cell>
          <cell r="S954" t="str">
            <v>40</v>
          </cell>
          <cell r="T954">
            <v>95</v>
          </cell>
          <cell r="U954">
            <v>12</v>
          </cell>
          <cell r="V954">
            <v>97</v>
          </cell>
          <cell r="W954">
            <v>12</v>
          </cell>
          <cell r="X954">
            <v>97</v>
          </cell>
          <cell r="Y954">
            <v>0</v>
          </cell>
          <cell r="Z954">
            <v>0</v>
          </cell>
          <cell r="AB954" t="str">
            <v>14</v>
          </cell>
          <cell r="AC954">
            <v>2</v>
          </cell>
          <cell r="AD954" t="str">
            <v>0</v>
          </cell>
          <cell r="AE954" t="str">
            <v>0</v>
          </cell>
          <cell r="AF954" t="str">
            <v>16</v>
          </cell>
          <cell r="AI954">
            <v>0</v>
          </cell>
          <cell r="AJ954">
            <v>0</v>
          </cell>
        </row>
        <row r="955">
          <cell r="A955" t="str">
            <v>02</v>
          </cell>
          <cell r="B955" t="str">
            <v>99</v>
          </cell>
          <cell r="C955" t="str">
            <v>410</v>
          </cell>
          <cell r="D955" t="str">
            <v>Трубоукладчик-572-G</v>
          </cell>
          <cell r="E955" t="str">
            <v>Катерпиллар</v>
          </cell>
          <cell r="G955" t="str">
            <v>01</v>
          </cell>
          <cell r="H955">
            <v>1034043.53</v>
          </cell>
          <cell r="I955">
            <v>0</v>
          </cell>
          <cell r="J955">
            <v>0</v>
          </cell>
          <cell r="K955">
            <v>1</v>
          </cell>
          <cell r="L955" t="str">
            <v>20</v>
          </cell>
          <cell r="M955" t="str">
            <v>41723</v>
          </cell>
          <cell r="N955" t="str">
            <v>14 2915246</v>
          </cell>
          <cell r="P955">
            <v>10</v>
          </cell>
          <cell r="Q955">
            <v>0</v>
          </cell>
          <cell r="R955" t="str">
            <v>1</v>
          </cell>
          <cell r="S955" t="str">
            <v>41</v>
          </cell>
          <cell r="T955">
            <v>93</v>
          </cell>
          <cell r="U955">
            <v>12</v>
          </cell>
          <cell r="V955">
            <v>97</v>
          </cell>
          <cell r="W955">
            <v>12</v>
          </cell>
          <cell r="X955">
            <v>97</v>
          </cell>
          <cell r="Y955">
            <v>0</v>
          </cell>
          <cell r="Z955">
            <v>0</v>
          </cell>
          <cell r="AD955" t="str">
            <v>0</v>
          </cell>
          <cell r="AE955" t="str">
            <v>0</v>
          </cell>
          <cell r="AF955" t="str">
            <v>00</v>
          </cell>
          <cell r="AI955">
            <v>0</v>
          </cell>
          <cell r="AJ955">
            <v>0</v>
          </cell>
        </row>
        <row r="956">
          <cell r="A956" t="str">
            <v>02</v>
          </cell>
          <cell r="B956" t="str">
            <v>99</v>
          </cell>
          <cell r="C956" t="str">
            <v>411</v>
          </cell>
          <cell r="D956" t="str">
            <v>Трубоукладчик-572-G</v>
          </cell>
          <cell r="E956" t="str">
            <v>Катерпиллар</v>
          </cell>
          <cell r="G956" t="str">
            <v>01</v>
          </cell>
          <cell r="H956">
            <v>1034043.53</v>
          </cell>
          <cell r="I956">
            <v>0</v>
          </cell>
          <cell r="J956">
            <v>0</v>
          </cell>
          <cell r="K956">
            <v>1</v>
          </cell>
          <cell r="L956" t="str">
            <v>20</v>
          </cell>
          <cell r="M956" t="str">
            <v>41723</v>
          </cell>
          <cell r="N956" t="str">
            <v>14 2915246</v>
          </cell>
          <cell r="P956">
            <v>10</v>
          </cell>
          <cell r="Q956">
            <v>0</v>
          </cell>
          <cell r="R956" t="str">
            <v>1</v>
          </cell>
          <cell r="S956" t="str">
            <v>41</v>
          </cell>
          <cell r="T956">
            <v>93</v>
          </cell>
          <cell r="U956">
            <v>12</v>
          </cell>
          <cell r="V956">
            <v>97</v>
          </cell>
          <cell r="W956">
            <v>12</v>
          </cell>
          <cell r="X956">
            <v>97</v>
          </cell>
          <cell r="Y956">
            <v>0</v>
          </cell>
          <cell r="Z956">
            <v>0</v>
          </cell>
          <cell r="AD956" t="str">
            <v>0</v>
          </cell>
          <cell r="AE956" t="str">
            <v>0</v>
          </cell>
          <cell r="AF956" t="str">
            <v>00</v>
          </cell>
          <cell r="AI956">
            <v>0</v>
          </cell>
          <cell r="AJ956">
            <v>0</v>
          </cell>
        </row>
        <row r="957">
          <cell r="A957" t="str">
            <v>20</v>
          </cell>
          <cell r="B957" t="str">
            <v>17</v>
          </cell>
          <cell r="C957" t="str">
            <v>412</v>
          </cell>
          <cell r="D957" t="str">
            <v>Шкаф ШР-11-7.3</v>
          </cell>
          <cell r="G957" t="str">
            <v>01</v>
          </cell>
          <cell r="H957">
            <v>1130.44</v>
          </cell>
          <cell r="I957">
            <v>0</v>
          </cell>
          <cell r="J957">
            <v>0</v>
          </cell>
          <cell r="K957">
            <v>1</v>
          </cell>
          <cell r="L957" t="str">
            <v>88/4</v>
          </cell>
          <cell r="M957" t="str">
            <v>40702</v>
          </cell>
          <cell r="N957" t="str">
            <v>14 3120293</v>
          </cell>
          <cell r="P957">
            <v>9.1</v>
          </cell>
          <cell r="Q957">
            <v>0</v>
          </cell>
          <cell r="R957" t="str">
            <v>1</v>
          </cell>
          <cell r="S957" t="str">
            <v>40</v>
          </cell>
          <cell r="T957">
            <v>97</v>
          </cell>
          <cell r="U957">
            <v>12</v>
          </cell>
          <cell r="V957">
            <v>97</v>
          </cell>
          <cell r="W957">
            <v>12</v>
          </cell>
          <cell r="X957">
            <v>97</v>
          </cell>
          <cell r="Y957">
            <v>0</v>
          </cell>
          <cell r="Z957">
            <v>0</v>
          </cell>
          <cell r="AB957" t="str">
            <v>14</v>
          </cell>
          <cell r="AC957">
            <v>2</v>
          </cell>
          <cell r="AD957" t="str">
            <v>0</v>
          </cell>
          <cell r="AE957" t="str">
            <v>0</v>
          </cell>
          <cell r="AF957" t="str">
            <v>20</v>
          </cell>
          <cell r="AI957">
            <v>0</v>
          </cell>
          <cell r="AJ957">
            <v>0</v>
          </cell>
        </row>
        <row r="958">
          <cell r="A958" t="str">
            <v>20</v>
          </cell>
          <cell r="B958" t="str">
            <v>17</v>
          </cell>
          <cell r="C958" t="str">
            <v>413</v>
          </cell>
          <cell r="D958" t="str">
            <v>Шкаф ШР-11-7.3</v>
          </cell>
          <cell r="G958" t="str">
            <v>01</v>
          </cell>
          <cell r="H958">
            <v>1130.44</v>
          </cell>
          <cell r="I958">
            <v>0</v>
          </cell>
          <cell r="J958">
            <v>0</v>
          </cell>
          <cell r="K958">
            <v>1</v>
          </cell>
          <cell r="L958" t="str">
            <v>88/4</v>
          </cell>
          <cell r="M958" t="str">
            <v>40702</v>
          </cell>
          <cell r="N958" t="str">
            <v>14 3120293</v>
          </cell>
          <cell r="P958">
            <v>9.1</v>
          </cell>
          <cell r="Q958">
            <v>0</v>
          </cell>
          <cell r="R958" t="str">
            <v>1</v>
          </cell>
          <cell r="S958" t="str">
            <v>40</v>
          </cell>
          <cell r="T958">
            <v>97</v>
          </cell>
          <cell r="U958">
            <v>12</v>
          </cell>
          <cell r="V958">
            <v>97</v>
          </cell>
          <cell r="W958">
            <v>12</v>
          </cell>
          <cell r="X958">
            <v>97</v>
          </cell>
          <cell r="Y958">
            <v>0</v>
          </cell>
          <cell r="Z958">
            <v>0</v>
          </cell>
          <cell r="AB958" t="str">
            <v>14</v>
          </cell>
          <cell r="AC958">
            <v>2</v>
          </cell>
          <cell r="AD958" t="str">
            <v>0</v>
          </cell>
          <cell r="AE958" t="str">
            <v>0</v>
          </cell>
          <cell r="AF958" t="str">
            <v>20</v>
          </cell>
          <cell r="AI958">
            <v>0</v>
          </cell>
          <cell r="AJ958">
            <v>0</v>
          </cell>
        </row>
        <row r="959">
          <cell r="A959" t="str">
            <v>20</v>
          </cell>
          <cell r="B959" t="str">
            <v>17</v>
          </cell>
          <cell r="C959" t="str">
            <v>414</v>
          </cell>
          <cell r="D959" t="str">
            <v>Диз-ль генер.д/мол.</v>
          </cell>
          <cell r="E959" t="str">
            <v>комб.</v>
          </cell>
          <cell r="G959" t="str">
            <v>01</v>
          </cell>
          <cell r="H959">
            <v>83089.899999999994</v>
          </cell>
          <cell r="I959">
            <v>0</v>
          </cell>
          <cell r="J959">
            <v>0</v>
          </cell>
          <cell r="K959">
            <v>1</v>
          </cell>
          <cell r="L959" t="str">
            <v>88/4</v>
          </cell>
          <cell r="M959" t="str">
            <v>40202</v>
          </cell>
          <cell r="N959" t="str">
            <v>14 2914180</v>
          </cell>
          <cell r="P959">
            <v>4.2</v>
          </cell>
          <cell r="Q959">
            <v>0</v>
          </cell>
          <cell r="R959" t="str">
            <v>1</v>
          </cell>
          <cell r="S959" t="str">
            <v>40</v>
          </cell>
          <cell r="T959">
            <v>97</v>
          </cell>
          <cell r="U959">
            <v>12</v>
          </cell>
          <cell r="V959">
            <v>97</v>
          </cell>
          <cell r="W959">
            <v>12</v>
          </cell>
          <cell r="X959">
            <v>97</v>
          </cell>
          <cell r="Y959">
            <v>0</v>
          </cell>
          <cell r="Z959">
            <v>0</v>
          </cell>
          <cell r="AB959" t="str">
            <v>14</v>
          </cell>
          <cell r="AC959">
            <v>2</v>
          </cell>
          <cell r="AD959" t="str">
            <v>0</v>
          </cell>
          <cell r="AE959" t="str">
            <v>0</v>
          </cell>
          <cell r="AF959" t="str">
            <v>20</v>
          </cell>
          <cell r="AI959">
            <v>0</v>
          </cell>
          <cell r="AJ959">
            <v>0</v>
          </cell>
        </row>
        <row r="960">
          <cell r="A960" t="str">
            <v>20</v>
          </cell>
          <cell r="B960" t="str">
            <v>17</v>
          </cell>
          <cell r="C960" t="str">
            <v>415</v>
          </cell>
          <cell r="D960" t="str">
            <v>Емкость для хранения</v>
          </cell>
          <cell r="E960" t="str">
            <v xml:space="preserve"> творога</v>
          </cell>
          <cell r="G960" t="str">
            <v>01</v>
          </cell>
          <cell r="H960">
            <v>16788.05</v>
          </cell>
          <cell r="I960">
            <v>0</v>
          </cell>
          <cell r="J960">
            <v>0</v>
          </cell>
          <cell r="K960">
            <v>1</v>
          </cell>
          <cell r="L960" t="str">
            <v>88/4</v>
          </cell>
          <cell r="M960" t="str">
            <v>42907</v>
          </cell>
          <cell r="N960" t="str">
            <v>14 2925110</v>
          </cell>
          <cell r="P960">
            <v>5</v>
          </cell>
          <cell r="Q960">
            <v>0</v>
          </cell>
          <cell r="R960" t="str">
            <v>1</v>
          </cell>
          <cell r="S960" t="str">
            <v>42</v>
          </cell>
          <cell r="T960">
            <v>97</v>
          </cell>
          <cell r="U960">
            <v>12</v>
          </cell>
          <cell r="V960">
            <v>97</v>
          </cell>
          <cell r="W960">
            <v>12</v>
          </cell>
          <cell r="X960">
            <v>97</v>
          </cell>
          <cell r="Y960">
            <v>0</v>
          </cell>
          <cell r="Z960">
            <v>0</v>
          </cell>
          <cell r="AB960" t="str">
            <v>14</v>
          </cell>
          <cell r="AC960">
            <v>2</v>
          </cell>
          <cell r="AD960" t="str">
            <v>0</v>
          </cell>
          <cell r="AE960" t="str">
            <v>0</v>
          </cell>
          <cell r="AF960" t="str">
            <v>20</v>
          </cell>
          <cell r="AI960">
            <v>0</v>
          </cell>
          <cell r="AJ960">
            <v>0</v>
          </cell>
        </row>
        <row r="961">
          <cell r="A961" t="str">
            <v>20</v>
          </cell>
          <cell r="B961" t="str">
            <v>17</v>
          </cell>
          <cell r="C961" t="str">
            <v>416</v>
          </cell>
          <cell r="D961" t="str">
            <v>Бойлер из нерж.стали</v>
          </cell>
          <cell r="E961" t="str">
            <v xml:space="preserve"> в системе теплосети</v>
          </cell>
          <cell r="G961" t="str">
            <v>01</v>
          </cell>
          <cell r="H961">
            <v>11149.89</v>
          </cell>
          <cell r="I961">
            <v>0</v>
          </cell>
          <cell r="J961">
            <v>0</v>
          </cell>
          <cell r="K961">
            <v>1</v>
          </cell>
          <cell r="L961" t="str">
            <v>88/4</v>
          </cell>
          <cell r="M961" t="str">
            <v>40000</v>
          </cell>
          <cell r="N961" t="str">
            <v>12 2811000</v>
          </cell>
          <cell r="P961">
            <v>3.7</v>
          </cell>
          <cell r="Q961">
            <v>0</v>
          </cell>
          <cell r="R961" t="str">
            <v>1</v>
          </cell>
          <cell r="S961" t="str">
            <v>40</v>
          </cell>
          <cell r="T961">
            <v>97</v>
          </cell>
          <cell r="U961">
            <v>12</v>
          </cell>
          <cell r="V961">
            <v>97</v>
          </cell>
          <cell r="W961">
            <v>12</v>
          </cell>
          <cell r="X961">
            <v>97</v>
          </cell>
          <cell r="Y961">
            <v>0</v>
          </cell>
          <cell r="Z961">
            <v>0</v>
          </cell>
          <cell r="AB961" t="str">
            <v>14</v>
          </cell>
          <cell r="AC961">
            <v>2</v>
          </cell>
          <cell r="AD961" t="str">
            <v>0</v>
          </cell>
          <cell r="AE961" t="str">
            <v>0</v>
          </cell>
          <cell r="AF961" t="str">
            <v>20</v>
          </cell>
          <cell r="AI961">
            <v>0</v>
          </cell>
          <cell r="AJ961">
            <v>0</v>
          </cell>
        </row>
        <row r="962">
          <cell r="A962" t="str">
            <v>20</v>
          </cell>
          <cell r="B962" t="str">
            <v>17</v>
          </cell>
          <cell r="C962" t="str">
            <v>417</v>
          </cell>
          <cell r="D962" t="str">
            <v>Шкаф под высоковольт</v>
          </cell>
          <cell r="E962" t="str">
            <v>аппаратуру в системе</v>
          </cell>
          <cell r="F962" t="str">
            <v>наруж.эл.сетей</v>
          </cell>
          <cell r="G962" t="str">
            <v>01</v>
          </cell>
          <cell r="H962">
            <v>1412.43</v>
          </cell>
          <cell r="I962">
            <v>0</v>
          </cell>
          <cell r="J962">
            <v>0</v>
          </cell>
          <cell r="K962">
            <v>1</v>
          </cell>
          <cell r="L962" t="str">
            <v>88/4</v>
          </cell>
          <cell r="M962" t="str">
            <v>40701</v>
          </cell>
          <cell r="N962" t="str">
            <v>14 3120293</v>
          </cell>
          <cell r="P962">
            <v>4.4000000000000004</v>
          </cell>
          <cell r="Q962">
            <v>0</v>
          </cell>
          <cell r="R962" t="str">
            <v>1</v>
          </cell>
          <cell r="S962" t="str">
            <v>40</v>
          </cell>
          <cell r="T962">
            <v>97</v>
          </cell>
          <cell r="U962">
            <v>12</v>
          </cell>
          <cell r="V962">
            <v>97</v>
          </cell>
          <cell r="W962">
            <v>12</v>
          </cell>
          <cell r="X962">
            <v>97</v>
          </cell>
          <cell r="Y962">
            <v>0</v>
          </cell>
          <cell r="Z962">
            <v>0</v>
          </cell>
          <cell r="AB962" t="str">
            <v>14</v>
          </cell>
          <cell r="AC962">
            <v>2</v>
          </cell>
          <cell r="AD962" t="str">
            <v>0</v>
          </cell>
          <cell r="AE962" t="str">
            <v>0</v>
          </cell>
          <cell r="AF962" t="str">
            <v>20</v>
          </cell>
          <cell r="AI962">
            <v>0</v>
          </cell>
          <cell r="AJ962">
            <v>0</v>
          </cell>
        </row>
        <row r="963">
          <cell r="A963" t="str">
            <v>20</v>
          </cell>
          <cell r="B963" t="str">
            <v>17</v>
          </cell>
          <cell r="C963" t="str">
            <v>418</v>
          </cell>
          <cell r="D963" t="str">
            <v>Насос ВК 5/24 в сист</v>
          </cell>
          <cell r="E963" t="str">
            <v>еме наруж.канализаци</v>
          </cell>
          <cell r="F963" t="str">
            <v>и</v>
          </cell>
          <cell r="G963" t="str">
            <v>01</v>
          </cell>
          <cell r="H963">
            <v>3368.46</v>
          </cell>
          <cell r="I963">
            <v>0</v>
          </cell>
          <cell r="J963">
            <v>0</v>
          </cell>
          <cell r="K963">
            <v>1</v>
          </cell>
          <cell r="L963" t="str">
            <v>88/4</v>
          </cell>
          <cell r="M963" t="str">
            <v>41502</v>
          </cell>
          <cell r="N963" t="str">
            <v>14 2912172</v>
          </cell>
          <cell r="P963">
            <v>12.5</v>
          </cell>
          <cell r="Q963">
            <v>0</v>
          </cell>
          <cell r="R963" t="str">
            <v>1</v>
          </cell>
          <cell r="S963" t="str">
            <v>41</v>
          </cell>
          <cell r="T963">
            <v>97</v>
          </cell>
          <cell r="U963">
            <v>12</v>
          </cell>
          <cell r="V963">
            <v>97</v>
          </cell>
          <cell r="W963">
            <v>12</v>
          </cell>
          <cell r="X963">
            <v>97</v>
          </cell>
          <cell r="Y963">
            <v>0</v>
          </cell>
          <cell r="Z963">
            <v>0</v>
          </cell>
          <cell r="AB963" t="str">
            <v>14</v>
          </cell>
          <cell r="AC963">
            <v>2</v>
          </cell>
          <cell r="AD963" t="str">
            <v>0</v>
          </cell>
          <cell r="AE963" t="str">
            <v>0</v>
          </cell>
          <cell r="AF963" t="str">
            <v>20</v>
          </cell>
          <cell r="AI963">
            <v>0</v>
          </cell>
          <cell r="AJ963">
            <v>0</v>
          </cell>
        </row>
        <row r="964">
          <cell r="A964" t="str">
            <v>20</v>
          </cell>
          <cell r="B964" t="str">
            <v>17</v>
          </cell>
          <cell r="C964" t="str">
            <v>419</v>
          </cell>
          <cell r="D964" t="str">
            <v>Насос ВК 20/30 в сис</v>
          </cell>
          <cell r="E964" t="str">
            <v>теме наружной канали</v>
          </cell>
          <cell r="F964" t="str">
            <v>зации</v>
          </cell>
          <cell r="G964" t="str">
            <v>01</v>
          </cell>
          <cell r="H964">
            <v>4057.93</v>
          </cell>
          <cell r="I964">
            <v>0</v>
          </cell>
          <cell r="J964">
            <v>0</v>
          </cell>
          <cell r="K964">
            <v>1</v>
          </cell>
          <cell r="L964" t="str">
            <v>88/4</v>
          </cell>
          <cell r="M964" t="str">
            <v>41502</v>
          </cell>
          <cell r="N964" t="str">
            <v>14 2912172</v>
          </cell>
          <cell r="P964">
            <v>12.5</v>
          </cell>
          <cell r="Q964">
            <v>0</v>
          </cell>
          <cell r="R964" t="str">
            <v>1</v>
          </cell>
          <cell r="S964" t="str">
            <v>41</v>
          </cell>
          <cell r="T964">
            <v>97</v>
          </cell>
          <cell r="U964">
            <v>12</v>
          </cell>
          <cell r="V964">
            <v>97</v>
          </cell>
          <cell r="W964">
            <v>12</v>
          </cell>
          <cell r="X964">
            <v>97</v>
          </cell>
          <cell r="Y964">
            <v>0</v>
          </cell>
          <cell r="Z964">
            <v>0</v>
          </cell>
          <cell r="AB964" t="str">
            <v>14</v>
          </cell>
          <cell r="AC964">
            <v>2</v>
          </cell>
          <cell r="AD964" t="str">
            <v>0</v>
          </cell>
          <cell r="AE964" t="str">
            <v>0</v>
          </cell>
          <cell r="AF964" t="str">
            <v>20</v>
          </cell>
          <cell r="AI964">
            <v>0</v>
          </cell>
          <cell r="AJ964">
            <v>0</v>
          </cell>
        </row>
        <row r="965">
          <cell r="A965" t="str">
            <v>20</v>
          </cell>
          <cell r="B965" t="str">
            <v>17</v>
          </cell>
          <cell r="C965" t="str">
            <v>420</v>
          </cell>
          <cell r="D965" t="str">
            <v>Насос ВК 20/30 в сис</v>
          </cell>
          <cell r="E965" t="str">
            <v>теме наружной канали</v>
          </cell>
          <cell r="F965" t="str">
            <v>зации</v>
          </cell>
          <cell r="G965" t="str">
            <v>01</v>
          </cell>
          <cell r="H965">
            <v>4057.93</v>
          </cell>
          <cell r="I965">
            <v>0</v>
          </cell>
          <cell r="J965">
            <v>0</v>
          </cell>
          <cell r="K965">
            <v>1</v>
          </cell>
          <cell r="L965" t="str">
            <v>88/4</v>
          </cell>
          <cell r="M965" t="str">
            <v>41502</v>
          </cell>
          <cell r="N965" t="str">
            <v>14 2912172</v>
          </cell>
          <cell r="P965">
            <v>12.5</v>
          </cell>
          <cell r="Q965">
            <v>0</v>
          </cell>
          <cell r="R965" t="str">
            <v>1</v>
          </cell>
          <cell r="S965" t="str">
            <v>41</v>
          </cell>
          <cell r="T965">
            <v>97</v>
          </cell>
          <cell r="U965">
            <v>12</v>
          </cell>
          <cell r="V965">
            <v>97</v>
          </cell>
          <cell r="W965">
            <v>12</v>
          </cell>
          <cell r="X965">
            <v>97</v>
          </cell>
          <cell r="Y965">
            <v>0</v>
          </cell>
          <cell r="Z965">
            <v>0</v>
          </cell>
          <cell r="AB965" t="str">
            <v>14</v>
          </cell>
          <cell r="AC965">
            <v>2</v>
          </cell>
          <cell r="AD965" t="str">
            <v>0</v>
          </cell>
          <cell r="AE965" t="str">
            <v>0</v>
          </cell>
          <cell r="AF965" t="str">
            <v>20</v>
          </cell>
          <cell r="AI965">
            <v>0</v>
          </cell>
          <cell r="AJ965">
            <v>0</v>
          </cell>
        </row>
        <row r="966">
          <cell r="A966" t="str">
            <v>20</v>
          </cell>
          <cell r="B966" t="str">
            <v>17</v>
          </cell>
          <cell r="C966" t="str">
            <v>421</v>
          </cell>
          <cell r="D966" t="str">
            <v>Фильтр натрикотионов</v>
          </cell>
          <cell r="E966" t="str">
            <v>ый в системе наружно</v>
          </cell>
          <cell r="F966" t="str">
            <v>й канализации</v>
          </cell>
          <cell r="G966" t="str">
            <v>01</v>
          </cell>
          <cell r="H966">
            <v>8467.3700000000008</v>
          </cell>
          <cell r="I966">
            <v>0</v>
          </cell>
          <cell r="J966">
            <v>0</v>
          </cell>
          <cell r="K966">
            <v>1</v>
          </cell>
          <cell r="L966" t="str">
            <v>88/4</v>
          </cell>
          <cell r="M966" t="str">
            <v>49013</v>
          </cell>
          <cell r="N966" t="str">
            <v>14 2919360</v>
          </cell>
          <cell r="P966">
            <v>6.7</v>
          </cell>
          <cell r="Q966">
            <v>0</v>
          </cell>
          <cell r="R966" t="str">
            <v>1</v>
          </cell>
          <cell r="S966" t="str">
            <v>49</v>
          </cell>
          <cell r="T966">
            <v>97</v>
          </cell>
          <cell r="U966">
            <v>12</v>
          </cell>
          <cell r="V966">
            <v>97</v>
          </cell>
          <cell r="W966">
            <v>12</v>
          </cell>
          <cell r="X966">
            <v>97</v>
          </cell>
          <cell r="Y966">
            <v>0</v>
          </cell>
          <cell r="Z966">
            <v>0</v>
          </cell>
          <cell r="AB966" t="str">
            <v>14</v>
          </cell>
          <cell r="AC966">
            <v>2</v>
          </cell>
          <cell r="AD966" t="str">
            <v>0</v>
          </cell>
          <cell r="AE966" t="str">
            <v>0</v>
          </cell>
          <cell r="AF966" t="str">
            <v>20</v>
          </cell>
          <cell r="AI966">
            <v>0</v>
          </cell>
          <cell r="AJ966">
            <v>0</v>
          </cell>
        </row>
        <row r="967">
          <cell r="A967" t="str">
            <v>20</v>
          </cell>
          <cell r="B967" t="str">
            <v>17</v>
          </cell>
          <cell r="C967" t="str">
            <v>422</v>
          </cell>
          <cell r="D967" t="str">
            <v>Фильтр натрикотионов</v>
          </cell>
          <cell r="E967" t="str">
            <v>ый в системе наружно</v>
          </cell>
          <cell r="F967" t="str">
            <v>й канализации</v>
          </cell>
          <cell r="G967" t="str">
            <v>01</v>
          </cell>
          <cell r="H967">
            <v>8467.3700000000008</v>
          </cell>
          <cell r="I967">
            <v>0</v>
          </cell>
          <cell r="J967">
            <v>0</v>
          </cell>
          <cell r="K967">
            <v>1</v>
          </cell>
          <cell r="L967" t="str">
            <v>88/4</v>
          </cell>
          <cell r="M967" t="str">
            <v>49013</v>
          </cell>
          <cell r="N967" t="str">
            <v>14 2919360</v>
          </cell>
          <cell r="P967">
            <v>6.7</v>
          </cell>
          <cell r="Q967">
            <v>0</v>
          </cell>
          <cell r="R967" t="str">
            <v>1</v>
          </cell>
          <cell r="S967" t="str">
            <v>49</v>
          </cell>
          <cell r="T967">
            <v>97</v>
          </cell>
          <cell r="U967">
            <v>12</v>
          </cell>
          <cell r="V967">
            <v>97</v>
          </cell>
          <cell r="W967">
            <v>12</v>
          </cell>
          <cell r="X967">
            <v>97</v>
          </cell>
          <cell r="Y967">
            <v>0</v>
          </cell>
          <cell r="Z967">
            <v>0</v>
          </cell>
          <cell r="AB967" t="str">
            <v>14</v>
          </cell>
          <cell r="AC967">
            <v>2</v>
          </cell>
          <cell r="AD967" t="str">
            <v>0</v>
          </cell>
          <cell r="AE967" t="str">
            <v>0</v>
          </cell>
          <cell r="AF967" t="str">
            <v>20</v>
          </cell>
          <cell r="AI967">
            <v>0</v>
          </cell>
          <cell r="AJ967">
            <v>0</v>
          </cell>
        </row>
        <row r="968">
          <cell r="A968" t="str">
            <v>20</v>
          </cell>
          <cell r="B968" t="str">
            <v>17</v>
          </cell>
          <cell r="C968" t="str">
            <v>423</v>
          </cell>
          <cell r="D968" t="str">
            <v>Насос ВКС 5-28 в сис</v>
          </cell>
          <cell r="E968" t="str">
            <v>теме наружной канали</v>
          </cell>
          <cell r="F968" t="str">
            <v>зации</v>
          </cell>
          <cell r="G968" t="str">
            <v>01</v>
          </cell>
          <cell r="H968">
            <v>2270.85</v>
          </cell>
          <cell r="I968">
            <v>0</v>
          </cell>
          <cell r="J968">
            <v>0</v>
          </cell>
          <cell r="K968">
            <v>1</v>
          </cell>
          <cell r="L968" t="str">
            <v>88/4</v>
          </cell>
          <cell r="M968" t="str">
            <v>41502</v>
          </cell>
          <cell r="N968" t="str">
            <v>14 2912172</v>
          </cell>
          <cell r="P968">
            <v>12.5</v>
          </cell>
          <cell r="Q968">
            <v>0</v>
          </cell>
          <cell r="R968" t="str">
            <v>1</v>
          </cell>
          <cell r="S968" t="str">
            <v>41</v>
          </cell>
          <cell r="T968">
            <v>97</v>
          </cell>
          <cell r="U968">
            <v>12</v>
          </cell>
          <cell r="V968">
            <v>97</v>
          </cell>
          <cell r="W968">
            <v>12</v>
          </cell>
          <cell r="X968">
            <v>97</v>
          </cell>
          <cell r="Y968">
            <v>0</v>
          </cell>
          <cell r="Z968">
            <v>0</v>
          </cell>
          <cell r="AB968" t="str">
            <v>14</v>
          </cell>
          <cell r="AC968">
            <v>2</v>
          </cell>
          <cell r="AD968" t="str">
            <v>0</v>
          </cell>
          <cell r="AE968" t="str">
            <v>0</v>
          </cell>
          <cell r="AF968" t="str">
            <v>20</v>
          </cell>
          <cell r="AI968">
            <v>0</v>
          </cell>
          <cell r="AJ968">
            <v>0</v>
          </cell>
        </row>
        <row r="969">
          <cell r="A969" t="str">
            <v>20</v>
          </cell>
          <cell r="B969" t="str">
            <v>17</v>
          </cell>
          <cell r="C969" t="str">
            <v>424</v>
          </cell>
          <cell r="D969" t="str">
            <v>Емкость V-2.5м3 в це</v>
          </cell>
          <cell r="E969" t="str">
            <v>хе по переработке мо</v>
          </cell>
          <cell r="F969" t="str">
            <v>лока</v>
          </cell>
          <cell r="G969" t="str">
            <v>01</v>
          </cell>
          <cell r="H969">
            <v>3761.12</v>
          </cell>
          <cell r="I969">
            <v>0</v>
          </cell>
          <cell r="J969">
            <v>0</v>
          </cell>
          <cell r="K969">
            <v>1</v>
          </cell>
          <cell r="L969" t="str">
            <v>88/4</v>
          </cell>
          <cell r="M969" t="str">
            <v>45100</v>
          </cell>
          <cell r="N969" t="str">
            <v>14 2925110</v>
          </cell>
          <cell r="P969">
            <v>11.8</v>
          </cell>
          <cell r="Q969">
            <v>0</v>
          </cell>
          <cell r="R969" t="str">
            <v>1</v>
          </cell>
          <cell r="S969" t="str">
            <v>45</v>
          </cell>
          <cell r="T969">
            <v>97</v>
          </cell>
          <cell r="U969">
            <v>12</v>
          </cell>
          <cell r="V969">
            <v>97</v>
          </cell>
          <cell r="W969">
            <v>12</v>
          </cell>
          <cell r="X969">
            <v>97</v>
          </cell>
          <cell r="Y969">
            <v>0</v>
          </cell>
          <cell r="Z969">
            <v>0</v>
          </cell>
          <cell r="AB969" t="str">
            <v>14</v>
          </cell>
          <cell r="AC969">
            <v>2</v>
          </cell>
          <cell r="AD969" t="str">
            <v>0</v>
          </cell>
          <cell r="AE969" t="str">
            <v>0</v>
          </cell>
          <cell r="AF969" t="str">
            <v>20</v>
          </cell>
          <cell r="AI969">
            <v>0</v>
          </cell>
          <cell r="AJ969">
            <v>0</v>
          </cell>
        </row>
        <row r="970">
          <cell r="A970" t="str">
            <v>20</v>
          </cell>
          <cell r="B970" t="str">
            <v>17</v>
          </cell>
          <cell r="C970" t="str">
            <v>425</v>
          </cell>
          <cell r="D970" t="str">
            <v>Емкость V-5м3 в цехе</v>
          </cell>
          <cell r="E970" t="str">
            <v xml:space="preserve"> по переработке моло</v>
          </cell>
          <cell r="F970" t="str">
            <v>ка</v>
          </cell>
          <cell r="G970" t="str">
            <v>01</v>
          </cell>
          <cell r="H970">
            <v>7356.02</v>
          </cell>
          <cell r="I970">
            <v>0</v>
          </cell>
          <cell r="J970">
            <v>0</v>
          </cell>
          <cell r="K970">
            <v>1</v>
          </cell>
          <cell r="L970" t="str">
            <v>88/4</v>
          </cell>
          <cell r="M970" t="str">
            <v>45100</v>
          </cell>
          <cell r="N970" t="str">
            <v>14 2925110</v>
          </cell>
          <cell r="P970">
            <v>11.8</v>
          </cell>
          <cell r="Q970">
            <v>0</v>
          </cell>
          <cell r="R970" t="str">
            <v>1</v>
          </cell>
          <cell r="S970" t="str">
            <v>45</v>
          </cell>
          <cell r="T970">
            <v>97</v>
          </cell>
          <cell r="U970">
            <v>12</v>
          </cell>
          <cell r="V970">
            <v>97</v>
          </cell>
          <cell r="W970">
            <v>12</v>
          </cell>
          <cell r="X970">
            <v>97</v>
          </cell>
          <cell r="Y970">
            <v>0</v>
          </cell>
          <cell r="Z970">
            <v>0</v>
          </cell>
          <cell r="AB970" t="str">
            <v>14</v>
          </cell>
          <cell r="AC970">
            <v>2</v>
          </cell>
          <cell r="AD970" t="str">
            <v>0</v>
          </cell>
          <cell r="AE970" t="str">
            <v>0</v>
          </cell>
          <cell r="AF970" t="str">
            <v>20</v>
          </cell>
          <cell r="AI970">
            <v>0</v>
          </cell>
          <cell r="AJ970">
            <v>0</v>
          </cell>
        </row>
        <row r="971">
          <cell r="A971" t="str">
            <v>20</v>
          </cell>
          <cell r="B971" t="str">
            <v>17</v>
          </cell>
          <cell r="C971" t="str">
            <v>426</v>
          </cell>
          <cell r="D971" t="str">
            <v>Емкость V-6м3 в цехе</v>
          </cell>
          <cell r="E971" t="str">
            <v xml:space="preserve"> по переработке моло</v>
          </cell>
          <cell r="F971" t="str">
            <v>ка</v>
          </cell>
          <cell r="G971" t="str">
            <v>01</v>
          </cell>
          <cell r="H971">
            <v>8729.2900000000009</v>
          </cell>
          <cell r="I971">
            <v>0</v>
          </cell>
          <cell r="J971">
            <v>0</v>
          </cell>
          <cell r="K971">
            <v>1</v>
          </cell>
          <cell r="L971" t="str">
            <v>88/4</v>
          </cell>
          <cell r="M971" t="str">
            <v>45100</v>
          </cell>
          <cell r="N971" t="str">
            <v>14 2925110</v>
          </cell>
          <cell r="P971">
            <v>11.8</v>
          </cell>
          <cell r="Q971">
            <v>0</v>
          </cell>
          <cell r="R971" t="str">
            <v>1</v>
          </cell>
          <cell r="S971" t="str">
            <v>45</v>
          </cell>
          <cell r="T971">
            <v>97</v>
          </cell>
          <cell r="U971">
            <v>12</v>
          </cell>
          <cell r="V971">
            <v>97</v>
          </cell>
          <cell r="W971">
            <v>12</v>
          </cell>
          <cell r="X971">
            <v>97</v>
          </cell>
          <cell r="Y971">
            <v>0</v>
          </cell>
          <cell r="Z971">
            <v>0</v>
          </cell>
          <cell r="AB971" t="str">
            <v>14</v>
          </cell>
          <cell r="AC971">
            <v>2</v>
          </cell>
          <cell r="AD971" t="str">
            <v>0</v>
          </cell>
          <cell r="AE971" t="str">
            <v>0</v>
          </cell>
          <cell r="AF971" t="str">
            <v>20</v>
          </cell>
          <cell r="AI971">
            <v>0</v>
          </cell>
          <cell r="AJ971">
            <v>0</v>
          </cell>
        </row>
        <row r="972">
          <cell r="A972" t="str">
            <v>20</v>
          </cell>
          <cell r="B972" t="str">
            <v>17</v>
          </cell>
          <cell r="C972" t="str">
            <v>427</v>
          </cell>
          <cell r="D972" t="str">
            <v>Емкость V-12м3 в сис</v>
          </cell>
          <cell r="E972" t="str">
            <v>теме наружной канали</v>
          </cell>
          <cell r="F972" t="str">
            <v>зации</v>
          </cell>
          <cell r="G972" t="str">
            <v>01</v>
          </cell>
          <cell r="H972">
            <v>16974.38</v>
          </cell>
          <cell r="I972">
            <v>0</v>
          </cell>
          <cell r="J972">
            <v>0</v>
          </cell>
          <cell r="K972">
            <v>1</v>
          </cell>
          <cell r="L972" t="str">
            <v>88/4</v>
          </cell>
          <cell r="M972" t="str">
            <v>49016</v>
          </cell>
          <cell r="N972" t="str">
            <v>14 2919319</v>
          </cell>
          <cell r="P972">
            <v>11.1</v>
          </cell>
          <cell r="Q972">
            <v>0</v>
          </cell>
          <cell r="R972" t="str">
            <v>1</v>
          </cell>
          <cell r="S972" t="str">
            <v>49</v>
          </cell>
          <cell r="T972">
            <v>97</v>
          </cell>
          <cell r="U972">
            <v>12</v>
          </cell>
          <cell r="V972">
            <v>97</v>
          </cell>
          <cell r="W972">
            <v>12</v>
          </cell>
          <cell r="X972">
            <v>97</v>
          </cell>
          <cell r="Y972">
            <v>0</v>
          </cell>
          <cell r="Z972">
            <v>0</v>
          </cell>
          <cell r="AB972" t="str">
            <v>14</v>
          </cell>
          <cell r="AC972">
            <v>2</v>
          </cell>
          <cell r="AD972" t="str">
            <v>0</v>
          </cell>
          <cell r="AE972" t="str">
            <v>0</v>
          </cell>
          <cell r="AF972" t="str">
            <v>20</v>
          </cell>
          <cell r="AI972">
            <v>0</v>
          </cell>
          <cell r="AJ972">
            <v>0</v>
          </cell>
        </row>
        <row r="973">
          <cell r="A973" t="str">
            <v>20</v>
          </cell>
          <cell r="B973" t="str">
            <v>17</v>
          </cell>
          <cell r="C973" t="str">
            <v>428</v>
          </cell>
          <cell r="D973" t="str">
            <v>Горелка газомазутная</v>
          </cell>
          <cell r="E973" t="str">
            <v xml:space="preserve"> в системе теплосети</v>
          </cell>
          <cell r="G973" t="str">
            <v>01</v>
          </cell>
          <cell r="H973">
            <v>3966.62</v>
          </cell>
          <cell r="I973">
            <v>0</v>
          </cell>
          <cell r="J973">
            <v>0</v>
          </cell>
          <cell r="K973">
            <v>1</v>
          </cell>
          <cell r="L973" t="str">
            <v>88/4</v>
          </cell>
          <cell r="M973" t="str">
            <v>40000</v>
          </cell>
          <cell r="N973" t="str">
            <v>14 2914253</v>
          </cell>
          <cell r="P973">
            <v>3.7</v>
          </cell>
          <cell r="Q973">
            <v>0</v>
          </cell>
          <cell r="R973" t="str">
            <v>1</v>
          </cell>
          <cell r="S973" t="str">
            <v>40</v>
          </cell>
          <cell r="T973">
            <v>97</v>
          </cell>
          <cell r="U973">
            <v>12</v>
          </cell>
          <cell r="V973">
            <v>97</v>
          </cell>
          <cell r="W973">
            <v>12</v>
          </cell>
          <cell r="X973">
            <v>97</v>
          </cell>
          <cell r="Y973">
            <v>0</v>
          </cell>
          <cell r="Z973">
            <v>0</v>
          </cell>
          <cell r="AB973" t="str">
            <v>14</v>
          </cell>
          <cell r="AC973">
            <v>2</v>
          </cell>
          <cell r="AD973" t="str">
            <v>0</v>
          </cell>
          <cell r="AE973" t="str">
            <v>0</v>
          </cell>
          <cell r="AF973" t="str">
            <v>20</v>
          </cell>
          <cell r="AI973">
            <v>0</v>
          </cell>
          <cell r="AJ973">
            <v>0</v>
          </cell>
        </row>
        <row r="974">
          <cell r="A974" t="str">
            <v>20</v>
          </cell>
          <cell r="B974" t="str">
            <v>17</v>
          </cell>
          <cell r="C974" t="str">
            <v>429</v>
          </cell>
          <cell r="D974" t="str">
            <v>Эл.тельфер 0.5</v>
          </cell>
          <cell r="G974" t="str">
            <v>01</v>
          </cell>
          <cell r="H974">
            <v>4411.13</v>
          </cell>
          <cell r="I974">
            <v>0</v>
          </cell>
          <cell r="J974">
            <v>0</v>
          </cell>
          <cell r="K974">
            <v>1</v>
          </cell>
          <cell r="L974" t="str">
            <v>88/4</v>
          </cell>
          <cell r="M974" t="str">
            <v>41722</v>
          </cell>
          <cell r="N974" t="str">
            <v>14 2915289</v>
          </cell>
          <cell r="P974">
            <v>14.3</v>
          </cell>
          <cell r="Q974">
            <v>0</v>
          </cell>
          <cell r="R974" t="str">
            <v>1</v>
          </cell>
          <cell r="S974" t="str">
            <v>41</v>
          </cell>
          <cell r="T974">
            <v>97</v>
          </cell>
          <cell r="U974">
            <v>12</v>
          </cell>
          <cell r="V974">
            <v>97</v>
          </cell>
          <cell r="W974">
            <v>12</v>
          </cell>
          <cell r="X974">
            <v>97</v>
          </cell>
          <cell r="Y974">
            <v>0</v>
          </cell>
          <cell r="Z974">
            <v>0</v>
          </cell>
          <cell r="AB974" t="str">
            <v>14</v>
          </cell>
          <cell r="AC974">
            <v>2</v>
          </cell>
          <cell r="AD974" t="str">
            <v>0</v>
          </cell>
          <cell r="AE974" t="str">
            <v>0</v>
          </cell>
          <cell r="AF974" t="str">
            <v>20</v>
          </cell>
          <cell r="AI974">
            <v>0</v>
          </cell>
          <cell r="AJ974">
            <v>0</v>
          </cell>
        </row>
        <row r="975">
          <cell r="A975" t="str">
            <v>20</v>
          </cell>
          <cell r="B975" t="str">
            <v>17</v>
          </cell>
          <cell r="C975" t="str">
            <v>430</v>
          </cell>
          <cell r="D975" t="str">
            <v>Вентилятор ВР-12-26-</v>
          </cell>
          <cell r="E975" t="str">
            <v>3.15 в цехе по перер</v>
          </cell>
          <cell r="F975" t="str">
            <v>аботке молока</v>
          </cell>
          <cell r="G975" t="str">
            <v>01</v>
          </cell>
          <cell r="H975">
            <v>1460.22</v>
          </cell>
          <cell r="I975">
            <v>0</v>
          </cell>
          <cell r="J975">
            <v>0</v>
          </cell>
          <cell r="K975">
            <v>1</v>
          </cell>
          <cell r="L975" t="str">
            <v>88/4</v>
          </cell>
          <cell r="M975" t="str">
            <v>41606</v>
          </cell>
          <cell r="N975" t="str">
            <v>16 2930271</v>
          </cell>
          <cell r="P975">
            <v>11.1</v>
          </cell>
          <cell r="Q975">
            <v>0</v>
          </cell>
          <cell r="R975" t="str">
            <v>1</v>
          </cell>
          <cell r="S975" t="str">
            <v>41</v>
          </cell>
          <cell r="T975">
            <v>97</v>
          </cell>
          <cell r="U975">
            <v>12</v>
          </cell>
          <cell r="V975">
            <v>97</v>
          </cell>
          <cell r="W975">
            <v>12</v>
          </cell>
          <cell r="X975">
            <v>97</v>
          </cell>
          <cell r="Y975">
            <v>0</v>
          </cell>
          <cell r="Z975">
            <v>0</v>
          </cell>
          <cell r="AB975" t="str">
            <v>14</v>
          </cell>
          <cell r="AC975">
            <v>2</v>
          </cell>
          <cell r="AD975" t="str">
            <v>0</v>
          </cell>
          <cell r="AE975" t="str">
            <v>0</v>
          </cell>
          <cell r="AF975" t="str">
            <v>20</v>
          </cell>
          <cell r="AI975">
            <v>0</v>
          </cell>
          <cell r="AJ975">
            <v>0</v>
          </cell>
        </row>
        <row r="976">
          <cell r="A976" t="str">
            <v>20</v>
          </cell>
          <cell r="B976" t="str">
            <v>17</v>
          </cell>
          <cell r="C976" t="str">
            <v>431</v>
          </cell>
          <cell r="D976" t="str">
            <v>Вентилятор ВР-12-26-</v>
          </cell>
          <cell r="E976" t="str">
            <v>3.15 в цехе по перер</v>
          </cell>
          <cell r="F976" t="str">
            <v>аботке молока</v>
          </cell>
          <cell r="G976" t="str">
            <v>01</v>
          </cell>
          <cell r="H976">
            <v>1460.22</v>
          </cell>
          <cell r="I976">
            <v>0</v>
          </cell>
          <cell r="J976">
            <v>0</v>
          </cell>
          <cell r="K976">
            <v>1</v>
          </cell>
          <cell r="L976" t="str">
            <v>88/4</v>
          </cell>
          <cell r="M976" t="str">
            <v>41606</v>
          </cell>
          <cell r="N976" t="str">
            <v>16 2930271</v>
          </cell>
          <cell r="P976">
            <v>11.1</v>
          </cell>
          <cell r="Q976">
            <v>0</v>
          </cell>
          <cell r="R976" t="str">
            <v>1</v>
          </cell>
          <cell r="S976" t="str">
            <v>41</v>
          </cell>
          <cell r="T976">
            <v>97</v>
          </cell>
          <cell r="U976">
            <v>12</v>
          </cell>
          <cell r="V976">
            <v>97</v>
          </cell>
          <cell r="W976">
            <v>12</v>
          </cell>
          <cell r="X976">
            <v>97</v>
          </cell>
          <cell r="Y976">
            <v>0</v>
          </cell>
          <cell r="Z976">
            <v>0</v>
          </cell>
          <cell r="AB976" t="str">
            <v>14</v>
          </cell>
          <cell r="AC976">
            <v>2</v>
          </cell>
          <cell r="AD976" t="str">
            <v>0</v>
          </cell>
          <cell r="AE976" t="str">
            <v>0</v>
          </cell>
          <cell r="AF976" t="str">
            <v>20</v>
          </cell>
          <cell r="AI976">
            <v>0</v>
          </cell>
          <cell r="AJ976">
            <v>0</v>
          </cell>
        </row>
        <row r="977">
          <cell r="A977" t="str">
            <v>20</v>
          </cell>
          <cell r="B977" t="str">
            <v>17</v>
          </cell>
          <cell r="C977" t="str">
            <v>432</v>
          </cell>
          <cell r="D977" t="str">
            <v>Машина сбивальная ZP</v>
          </cell>
          <cell r="E977" t="str">
            <v>200</v>
          </cell>
          <cell r="G977" t="str">
            <v>01</v>
          </cell>
          <cell r="H977">
            <v>17333.54</v>
          </cell>
          <cell r="I977">
            <v>0</v>
          </cell>
          <cell r="J977">
            <v>0</v>
          </cell>
          <cell r="K977">
            <v>1</v>
          </cell>
          <cell r="L977" t="str">
            <v>88/4</v>
          </cell>
          <cell r="M977" t="str">
            <v>45102</v>
          </cell>
          <cell r="N977" t="str">
            <v>14 2925112</v>
          </cell>
          <cell r="P977">
            <v>15.4</v>
          </cell>
          <cell r="Q977">
            <v>0</v>
          </cell>
          <cell r="R977" t="str">
            <v>1</v>
          </cell>
          <cell r="S977" t="str">
            <v>45</v>
          </cell>
          <cell r="T977">
            <v>97</v>
          </cell>
          <cell r="U977">
            <v>12</v>
          </cell>
          <cell r="V977">
            <v>97</v>
          </cell>
          <cell r="W977">
            <v>12</v>
          </cell>
          <cell r="X977">
            <v>97</v>
          </cell>
          <cell r="Y977">
            <v>0</v>
          </cell>
          <cell r="Z977">
            <v>0</v>
          </cell>
          <cell r="AB977" t="str">
            <v>14</v>
          </cell>
          <cell r="AC977">
            <v>2</v>
          </cell>
          <cell r="AD977" t="str">
            <v>0</v>
          </cell>
          <cell r="AE977" t="str">
            <v>0</v>
          </cell>
          <cell r="AF977" t="str">
            <v>20</v>
          </cell>
          <cell r="AI977">
            <v>0</v>
          </cell>
          <cell r="AJ977">
            <v>0</v>
          </cell>
        </row>
        <row r="978">
          <cell r="A978" t="str">
            <v>20</v>
          </cell>
          <cell r="B978" t="str">
            <v>17</v>
          </cell>
          <cell r="C978" t="str">
            <v>433</v>
          </cell>
          <cell r="D978" t="str">
            <v>Машина брикетировочн</v>
          </cell>
          <cell r="E978" t="str">
            <v>ая</v>
          </cell>
          <cell r="G978" t="str">
            <v>01</v>
          </cell>
          <cell r="H978">
            <v>111161.93</v>
          </cell>
          <cell r="I978">
            <v>0</v>
          </cell>
          <cell r="J978">
            <v>0</v>
          </cell>
          <cell r="K978">
            <v>1</v>
          </cell>
          <cell r="L978" t="str">
            <v>88/4</v>
          </cell>
          <cell r="M978" t="str">
            <v>45100</v>
          </cell>
          <cell r="N978" t="str">
            <v>14 2925104</v>
          </cell>
          <cell r="P978">
            <v>11.8</v>
          </cell>
          <cell r="Q978">
            <v>0</v>
          </cell>
          <cell r="R978" t="str">
            <v>1</v>
          </cell>
          <cell r="S978" t="str">
            <v>45</v>
          </cell>
          <cell r="T978">
            <v>97</v>
          </cell>
          <cell r="U978">
            <v>12</v>
          </cell>
          <cell r="V978">
            <v>97</v>
          </cell>
          <cell r="W978">
            <v>12</v>
          </cell>
          <cell r="X978">
            <v>97</v>
          </cell>
          <cell r="Y978">
            <v>0</v>
          </cell>
          <cell r="Z978">
            <v>0</v>
          </cell>
          <cell r="AB978" t="str">
            <v>14</v>
          </cell>
          <cell r="AC978">
            <v>2</v>
          </cell>
          <cell r="AD978" t="str">
            <v>0</v>
          </cell>
          <cell r="AE978" t="str">
            <v>0</v>
          </cell>
          <cell r="AF978" t="str">
            <v>20</v>
          </cell>
          <cell r="AI978">
            <v>0</v>
          </cell>
          <cell r="AJ978">
            <v>0</v>
          </cell>
        </row>
        <row r="979">
          <cell r="A979" t="str">
            <v>20</v>
          </cell>
          <cell r="B979" t="str">
            <v>17</v>
          </cell>
          <cell r="C979" t="str">
            <v>434</v>
          </cell>
          <cell r="D979" t="str">
            <v>Электронасос самозал</v>
          </cell>
          <cell r="E979" t="str">
            <v>ивной SA 200 MR</v>
          </cell>
          <cell r="G979" t="str">
            <v>01</v>
          </cell>
          <cell r="H979">
            <v>14199.72</v>
          </cell>
          <cell r="I979">
            <v>0</v>
          </cell>
          <cell r="J979">
            <v>0</v>
          </cell>
          <cell r="K979">
            <v>1</v>
          </cell>
          <cell r="L979" t="str">
            <v>88/4</v>
          </cell>
          <cell r="M979" t="str">
            <v>41502</v>
          </cell>
          <cell r="N979" t="str">
            <v>14 2912177</v>
          </cell>
          <cell r="P979">
            <v>12.5</v>
          </cell>
          <cell r="Q979">
            <v>0</v>
          </cell>
          <cell r="R979" t="str">
            <v>1</v>
          </cell>
          <cell r="S979" t="str">
            <v>41</v>
          </cell>
          <cell r="T979">
            <v>97</v>
          </cell>
          <cell r="U979">
            <v>12</v>
          </cell>
          <cell r="V979">
            <v>97</v>
          </cell>
          <cell r="W979">
            <v>12</v>
          </cell>
          <cell r="X979">
            <v>97</v>
          </cell>
          <cell r="Y979">
            <v>0</v>
          </cell>
          <cell r="Z979">
            <v>0</v>
          </cell>
          <cell r="AB979" t="str">
            <v>14</v>
          </cell>
          <cell r="AC979">
            <v>2</v>
          </cell>
          <cell r="AD979" t="str">
            <v>0</v>
          </cell>
          <cell r="AE979" t="str">
            <v>0</v>
          </cell>
          <cell r="AF979" t="str">
            <v>20</v>
          </cell>
          <cell r="AI979">
            <v>0</v>
          </cell>
          <cell r="AJ979">
            <v>0</v>
          </cell>
        </row>
        <row r="980">
          <cell r="A980" t="str">
            <v>20</v>
          </cell>
          <cell r="B980" t="str">
            <v>17</v>
          </cell>
          <cell r="C980" t="str">
            <v>435</v>
          </cell>
          <cell r="D980" t="str">
            <v>Емкость для молока</v>
          </cell>
          <cell r="E980" t="str">
            <v>5000 л</v>
          </cell>
          <cell r="G980" t="str">
            <v>01</v>
          </cell>
          <cell r="H980">
            <v>17292.919999999998</v>
          </cell>
          <cell r="I980">
            <v>0</v>
          </cell>
          <cell r="J980">
            <v>0</v>
          </cell>
          <cell r="K980">
            <v>1</v>
          </cell>
          <cell r="L980" t="str">
            <v>88/4</v>
          </cell>
          <cell r="M980" t="str">
            <v>45100</v>
          </cell>
          <cell r="N980" t="str">
            <v>14 2925110</v>
          </cell>
          <cell r="P980">
            <v>11.8</v>
          </cell>
          <cell r="Q980">
            <v>0</v>
          </cell>
          <cell r="R980" t="str">
            <v>1</v>
          </cell>
          <cell r="S980" t="str">
            <v>45</v>
          </cell>
          <cell r="T980">
            <v>97</v>
          </cell>
          <cell r="U980">
            <v>12</v>
          </cell>
          <cell r="V980">
            <v>97</v>
          </cell>
          <cell r="W980">
            <v>12</v>
          </cell>
          <cell r="X980">
            <v>97</v>
          </cell>
          <cell r="Y980">
            <v>0</v>
          </cell>
          <cell r="Z980">
            <v>0</v>
          </cell>
          <cell r="AB980" t="str">
            <v>14</v>
          </cell>
          <cell r="AC980">
            <v>2</v>
          </cell>
          <cell r="AD980" t="str">
            <v>0</v>
          </cell>
          <cell r="AE980" t="str">
            <v>0</v>
          </cell>
          <cell r="AF980" t="str">
            <v>20</v>
          </cell>
          <cell r="AI980">
            <v>0</v>
          </cell>
          <cell r="AJ980">
            <v>0</v>
          </cell>
        </row>
        <row r="981">
          <cell r="A981" t="str">
            <v>20</v>
          </cell>
          <cell r="B981" t="str">
            <v>17</v>
          </cell>
          <cell r="C981" t="str">
            <v>436</v>
          </cell>
          <cell r="D981" t="str">
            <v>Емкость для молока</v>
          </cell>
          <cell r="E981" t="str">
            <v>5000 л</v>
          </cell>
          <cell r="G981" t="str">
            <v>01</v>
          </cell>
          <cell r="H981">
            <v>17292.919999999998</v>
          </cell>
          <cell r="I981">
            <v>0</v>
          </cell>
          <cell r="J981">
            <v>0</v>
          </cell>
          <cell r="K981">
            <v>1</v>
          </cell>
          <cell r="L981" t="str">
            <v>88/4</v>
          </cell>
          <cell r="M981" t="str">
            <v>45100</v>
          </cell>
          <cell r="N981" t="str">
            <v>14 2925110</v>
          </cell>
          <cell r="P981">
            <v>11.8</v>
          </cell>
          <cell r="Q981">
            <v>0</v>
          </cell>
          <cell r="R981" t="str">
            <v>1</v>
          </cell>
          <cell r="S981" t="str">
            <v>45</v>
          </cell>
          <cell r="T981">
            <v>97</v>
          </cell>
          <cell r="U981">
            <v>12</v>
          </cell>
          <cell r="V981">
            <v>97</v>
          </cell>
          <cell r="W981">
            <v>12</v>
          </cell>
          <cell r="X981">
            <v>97</v>
          </cell>
          <cell r="Y981">
            <v>0</v>
          </cell>
          <cell r="Z981">
            <v>0</v>
          </cell>
          <cell r="AB981" t="str">
            <v>14</v>
          </cell>
          <cell r="AC981">
            <v>2</v>
          </cell>
          <cell r="AD981" t="str">
            <v>0</v>
          </cell>
          <cell r="AE981" t="str">
            <v>0</v>
          </cell>
          <cell r="AF981" t="str">
            <v>20</v>
          </cell>
          <cell r="AI981">
            <v>0</v>
          </cell>
          <cell r="AJ981">
            <v>0</v>
          </cell>
        </row>
        <row r="982">
          <cell r="A982" t="str">
            <v>20</v>
          </cell>
          <cell r="B982" t="str">
            <v>17</v>
          </cell>
          <cell r="C982" t="str">
            <v>437</v>
          </cell>
          <cell r="D982" t="str">
            <v>Ванна постоянного ур</v>
          </cell>
          <cell r="E982" t="str">
            <v>овня и мойка</v>
          </cell>
          <cell r="G982" t="str">
            <v>01</v>
          </cell>
          <cell r="H982">
            <v>36917.01</v>
          </cell>
          <cell r="I982">
            <v>0</v>
          </cell>
          <cell r="J982">
            <v>0</v>
          </cell>
          <cell r="K982">
            <v>1</v>
          </cell>
          <cell r="L982" t="str">
            <v>88/4</v>
          </cell>
          <cell r="M982" t="str">
            <v>45100</v>
          </cell>
          <cell r="N982" t="str">
            <v>14 2925110</v>
          </cell>
          <cell r="P982">
            <v>11.8</v>
          </cell>
          <cell r="Q982">
            <v>0</v>
          </cell>
          <cell r="R982" t="str">
            <v>1</v>
          </cell>
          <cell r="S982" t="str">
            <v>45</v>
          </cell>
          <cell r="T982">
            <v>97</v>
          </cell>
          <cell r="U982">
            <v>12</v>
          </cell>
          <cell r="V982">
            <v>97</v>
          </cell>
          <cell r="W982">
            <v>12</v>
          </cell>
          <cell r="X982">
            <v>97</v>
          </cell>
          <cell r="Y982">
            <v>0</v>
          </cell>
          <cell r="Z982">
            <v>0</v>
          </cell>
          <cell r="AB982" t="str">
            <v>14</v>
          </cell>
          <cell r="AC982">
            <v>2</v>
          </cell>
          <cell r="AD982" t="str">
            <v>0</v>
          </cell>
          <cell r="AE982" t="str">
            <v>0</v>
          </cell>
          <cell r="AF982" t="str">
            <v>20</v>
          </cell>
          <cell r="AI982">
            <v>0</v>
          </cell>
          <cell r="AJ982">
            <v>0</v>
          </cell>
        </row>
        <row r="983">
          <cell r="A983" t="str">
            <v>20</v>
          </cell>
          <cell r="B983" t="str">
            <v>17</v>
          </cell>
          <cell r="C983" t="str">
            <v>438</v>
          </cell>
          <cell r="D983" t="str">
            <v>Ванна постоянного ур</v>
          </cell>
          <cell r="E983" t="str">
            <v>овня и мойка</v>
          </cell>
          <cell r="G983" t="str">
            <v>01</v>
          </cell>
          <cell r="H983">
            <v>36917.01</v>
          </cell>
          <cell r="I983">
            <v>0</v>
          </cell>
          <cell r="J983">
            <v>0</v>
          </cell>
          <cell r="K983">
            <v>1</v>
          </cell>
          <cell r="L983" t="str">
            <v>88/4</v>
          </cell>
          <cell r="M983" t="str">
            <v>45100</v>
          </cell>
          <cell r="N983" t="str">
            <v>14 2925110</v>
          </cell>
          <cell r="P983">
            <v>11.8</v>
          </cell>
          <cell r="Q983">
            <v>0</v>
          </cell>
          <cell r="R983" t="str">
            <v>1</v>
          </cell>
          <cell r="S983" t="str">
            <v>45</v>
          </cell>
          <cell r="T983">
            <v>97</v>
          </cell>
          <cell r="U983">
            <v>12</v>
          </cell>
          <cell r="V983">
            <v>97</v>
          </cell>
          <cell r="W983">
            <v>12</v>
          </cell>
          <cell r="X983">
            <v>97</v>
          </cell>
          <cell r="Y983">
            <v>0</v>
          </cell>
          <cell r="Z983">
            <v>0</v>
          </cell>
          <cell r="AB983" t="str">
            <v>14</v>
          </cell>
          <cell r="AC983">
            <v>2</v>
          </cell>
          <cell r="AD983" t="str">
            <v>0</v>
          </cell>
          <cell r="AE983" t="str">
            <v>0</v>
          </cell>
          <cell r="AF983" t="str">
            <v>20</v>
          </cell>
          <cell r="AI983">
            <v>0</v>
          </cell>
          <cell r="AJ983">
            <v>0</v>
          </cell>
        </row>
        <row r="984">
          <cell r="A984" t="str">
            <v>20</v>
          </cell>
          <cell r="B984" t="str">
            <v>17</v>
          </cell>
          <cell r="C984" t="str">
            <v>439</v>
          </cell>
          <cell r="D984" t="str">
            <v>Емкость с формами</v>
          </cell>
          <cell r="G984" t="str">
            <v>01</v>
          </cell>
          <cell r="H984">
            <v>28492.7</v>
          </cell>
          <cell r="I984">
            <v>0</v>
          </cell>
          <cell r="J984">
            <v>0</v>
          </cell>
          <cell r="K984">
            <v>1</v>
          </cell>
          <cell r="L984" t="str">
            <v>88/4</v>
          </cell>
          <cell r="M984" t="str">
            <v>45100</v>
          </cell>
          <cell r="N984" t="str">
            <v>14 2925110</v>
          </cell>
          <cell r="P984">
            <v>11.8</v>
          </cell>
          <cell r="Q984">
            <v>0</v>
          </cell>
          <cell r="R984" t="str">
            <v>1</v>
          </cell>
          <cell r="S984" t="str">
            <v>45</v>
          </cell>
          <cell r="T984">
            <v>97</v>
          </cell>
          <cell r="U984">
            <v>12</v>
          </cell>
          <cell r="V984">
            <v>97</v>
          </cell>
          <cell r="W984">
            <v>12</v>
          </cell>
          <cell r="X984">
            <v>97</v>
          </cell>
          <cell r="Y984">
            <v>0</v>
          </cell>
          <cell r="Z984">
            <v>0</v>
          </cell>
          <cell r="AB984" t="str">
            <v>14</v>
          </cell>
          <cell r="AC984">
            <v>2</v>
          </cell>
          <cell r="AD984" t="str">
            <v>0</v>
          </cell>
          <cell r="AE984" t="str">
            <v>0</v>
          </cell>
          <cell r="AF984" t="str">
            <v>20</v>
          </cell>
          <cell r="AI984">
            <v>0</v>
          </cell>
          <cell r="AJ984">
            <v>0</v>
          </cell>
        </row>
        <row r="985">
          <cell r="A985" t="str">
            <v>20</v>
          </cell>
          <cell r="B985" t="str">
            <v>17</v>
          </cell>
          <cell r="C985" t="str">
            <v>440</v>
          </cell>
          <cell r="D985" t="str">
            <v>Емкость с формами</v>
          </cell>
          <cell r="G985" t="str">
            <v>01</v>
          </cell>
          <cell r="H985">
            <v>28492.79</v>
          </cell>
          <cell r="I985">
            <v>0</v>
          </cell>
          <cell r="J985">
            <v>0</v>
          </cell>
          <cell r="K985">
            <v>1</v>
          </cell>
          <cell r="L985" t="str">
            <v>88/4</v>
          </cell>
          <cell r="M985" t="str">
            <v>45100</v>
          </cell>
          <cell r="N985" t="str">
            <v>14 2925110</v>
          </cell>
          <cell r="P985">
            <v>11.8</v>
          </cell>
          <cell r="Q985">
            <v>0</v>
          </cell>
          <cell r="R985" t="str">
            <v>1</v>
          </cell>
          <cell r="S985" t="str">
            <v>45</v>
          </cell>
          <cell r="T985">
            <v>97</v>
          </cell>
          <cell r="U985">
            <v>12</v>
          </cell>
          <cell r="V985">
            <v>97</v>
          </cell>
          <cell r="W985">
            <v>12</v>
          </cell>
          <cell r="X985">
            <v>97</v>
          </cell>
          <cell r="Y985">
            <v>0</v>
          </cell>
          <cell r="Z985">
            <v>0</v>
          </cell>
          <cell r="AB985" t="str">
            <v>14</v>
          </cell>
          <cell r="AC985">
            <v>2</v>
          </cell>
          <cell r="AD985" t="str">
            <v>0</v>
          </cell>
          <cell r="AE985" t="str">
            <v>0</v>
          </cell>
          <cell r="AF985" t="str">
            <v>20</v>
          </cell>
          <cell r="AI985">
            <v>0</v>
          </cell>
          <cell r="AJ985">
            <v>0</v>
          </cell>
        </row>
        <row r="986">
          <cell r="A986" t="str">
            <v>20</v>
          </cell>
          <cell r="B986" t="str">
            <v>17</v>
          </cell>
          <cell r="C986" t="str">
            <v>441</v>
          </cell>
          <cell r="D986" t="str">
            <v>Туннель прессования</v>
          </cell>
          <cell r="G986" t="str">
            <v>01</v>
          </cell>
          <cell r="H986">
            <v>37311.19</v>
          </cell>
          <cell r="I986">
            <v>0</v>
          </cell>
          <cell r="J986">
            <v>0</v>
          </cell>
          <cell r="K986">
            <v>1</v>
          </cell>
          <cell r="L986" t="str">
            <v>88/4</v>
          </cell>
          <cell r="M986" t="str">
            <v>45101</v>
          </cell>
          <cell r="N986" t="str">
            <v>14 2925113</v>
          </cell>
          <cell r="P986">
            <v>12.5</v>
          </cell>
          <cell r="Q986">
            <v>0</v>
          </cell>
          <cell r="R986" t="str">
            <v>1</v>
          </cell>
          <cell r="S986" t="str">
            <v>45</v>
          </cell>
          <cell r="T986">
            <v>97</v>
          </cell>
          <cell r="U986">
            <v>12</v>
          </cell>
          <cell r="V986">
            <v>97</v>
          </cell>
          <cell r="W986">
            <v>12</v>
          </cell>
          <cell r="X986">
            <v>97</v>
          </cell>
          <cell r="Y986">
            <v>0</v>
          </cell>
          <cell r="Z986">
            <v>0</v>
          </cell>
          <cell r="AB986" t="str">
            <v>14</v>
          </cell>
          <cell r="AC986">
            <v>2</v>
          </cell>
          <cell r="AD986" t="str">
            <v>0</v>
          </cell>
          <cell r="AE986" t="str">
            <v>0</v>
          </cell>
          <cell r="AF986" t="str">
            <v>20</v>
          </cell>
          <cell r="AI986">
            <v>0</v>
          </cell>
          <cell r="AJ986">
            <v>0</v>
          </cell>
        </row>
        <row r="987">
          <cell r="A987" t="str">
            <v>20</v>
          </cell>
          <cell r="B987" t="str">
            <v>17</v>
          </cell>
          <cell r="C987" t="str">
            <v>442</v>
          </cell>
          <cell r="D987" t="str">
            <v>Резервуав накопитель</v>
          </cell>
          <cell r="E987" t="str">
            <v>ный 2000 л</v>
          </cell>
          <cell r="G987" t="str">
            <v>01</v>
          </cell>
          <cell r="H987">
            <v>8748.58</v>
          </cell>
          <cell r="I987">
            <v>0</v>
          </cell>
          <cell r="J987">
            <v>0</v>
          </cell>
          <cell r="K987">
            <v>1</v>
          </cell>
          <cell r="L987" t="str">
            <v>88/4</v>
          </cell>
          <cell r="M987" t="str">
            <v>45100</v>
          </cell>
          <cell r="N987" t="str">
            <v>14 2925110</v>
          </cell>
          <cell r="P987">
            <v>11.8</v>
          </cell>
          <cell r="Q987">
            <v>0</v>
          </cell>
          <cell r="R987" t="str">
            <v>1</v>
          </cell>
          <cell r="S987" t="str">
            <v>45</v>
          </cell>
          <cell r="T987">
            <v>97</v>
          </cell>
          <cell r="U987">
            <v>12</v>
          </cell>
          <cell r="V987">
            <v>97</v>
          </cell>
          <cell r="W987">
            <v>12</v>
          </cell>
          <cell r="X987">
            <v>97</v>
          </cell>
          <cell r="Y987">
            <v>0</v>
          </cell>
          <cell r="Z987">
            <v>0</v>
          </cell>
          <cell r="AB987" t="str">
            <v>14</v>
          </cell>
          <cell r="AC987">
            <v>2</v>
          </cell>
          <cell r="AD987" t="str">
            <v>0</v>
          </cell>
          <cell r="AE987" t="str">
            <v>0</v>
          </cell>
          <cell r="AF987" t="str">
            <v>20</v>
          </cell>
          <cell r="AI987">
            <v>0</v>
          </cell>
          <cell r="AJ987">
            <v>0</v>
          </cell>
        </row>
        <row r="988">
          <cell r="A988" t="str">
            <v>20</v>
          </cell>
          <cell r="B988" t="str">
            <v>17</v>
          </cell>
          <cell r="C988" t="str">
            <v>443</v>
          </cell>
          <cell r="D988" t="str">
            <v>Установ ка для обезж</v>
          </cell>
          <cell r="E988" t="str">
            <v>иривания SE 07 X</v>
          </cell>
          <cell r="G988" t="str">
            <v>01</v>
          </cell>
          <cell r="H988">
            <v>70990.080000000002</v>
          </cell>
          <cell r="I988">
            <v>0</v>
          </cell>
          <cell r="J988">
            <v>0</v>
          </cell>
          <cell r="K988">
            <v>1</v>
          </cell>
          <cell r="L988" t="str">
            <v>88/4</v>
          </cell>
          <cell r="M988" t="str">
            <v>45100</v>
          </cell>
          <cell r="N988" t="str">
            <v>14 2925110</v>
          </cell>
          <cell r="P988">
            <v>11.8</v>
          </cell>
          <cell r="Q988">
            <v>0</v>
          </cell>
          <cell r="R988" t="str">
            <v>1</v>
          </cell>
          <cell r="S988" t="str">
            <v>45</v>
          </cell>
          <cell r="T988">
            <v>97</v>
          </cell>
          <cell r="U988">
            <v>12</v>
          </cell>
          <cell r="V988">
            <v>97</v>
          </cell>
          <cell r="W988">
            <v>12</v>
          </cell>
          <cell r="X988">
            <v>97</v>
          </cell>
          <cell r="Y988">
            <v>0</v>
          </cell>
          <cell r="Z988">
            <v>0</v>
          </cell>
          <cell r="AB988" t="str">
            <v>14</v>
          </cell>
          <cell r="AC988">
            <v>2</v>
          </cell>
          <cell r="AD988" t="str">
            <v>0</v>
          </cell>
          <cell r="AE988" t="str">
            <v>0</v>
          </cell>
          <cell r="AF988" t="str">
            <v>20</v>
          </cell>
          <cell r="AI988">
            <v>0</v>
          </cell>
          <cell r="AJ988">
            <v>0</v>
          </cell>
        </row>
        <row r="989">
          <cell r="A989" t="str">
            <v>20</v>
          </cell>
          <cell r="B989" t="str">
            <v>17</v>
          </cell>
          <cell r="C989" t="str">
            <v>444</v>
          </cell>
          <cell r="D989" t="str">
            <v>Установка 3х1000л</v>
          </cell>
          <cell r="G989" t="str">
            <v>01</v>
          </cell>
          <cell r="H989">
            <v>131594.65</v>
          </cell>
          <cell r="I989">
            <v>0</v>
          </cell>
          <cell r="J989">
            <v>0</v>
          </cell>
          <cell r="K989">
            <v>1</v>
          </cell>
          <cell r="L989" t="str">
            <v>88/4</v>
          </cell>
          <cell r="M989" t="str">
            <v>45100</v>
          </cell>
          <cell r="N989" t="str">
            <v>14 2925110</v>
          </cell>
          <cell r="P989">
            <v>11.8</v>
          </cell>
          <cell r="Q989">
            <v>0</v>
          </cell>
          <cell r="R989" t="str">
            <v>1</v>
          </cell>
          <cell r="S989" t="str">
            <v>45</v>
          </cell>
          <cell r="T989">
            <v>97</v>
          </cell>
          <cell r="U989">
            <v>12</v>
          </cell>
          <cell r="V989">
            <v>97</v>
          </cell>
          <cell r="W989">
            <v>12</v>
          </cell>
          <cell r="X989">
            <v>97</v>
          </cell>
          <cell r="Y989">
            <v>0</v>
          </cell>
          <cell r="Z989">
            <v>0</v>
          </cell>
          <cell r="AB989" t="str">
            <v>14</v>
          </cell>
          <cell r="AC989">
            <v>2</v>
          </cell>
          <cell r="AD989" t="str">
            <v>0</v>
          </cell>
          <cell r="AE989" t="str">
            <v>0</v>
          </cell>
          <cell r="AF989" t="str">
            <v>20</v>
          </cell>
          <cell r="AI989">
            <v>0</v>
          </cell>
          <cell r="AJ989">
            <v>0</v>
          </cell>
        </row>
        <row r="990">
          <cell r="A990" t="str">
            <v>20</v>
          </cell>
          <cell r="B990" t="str">
            <v>17</v>
          </cell>
          <cell r="C990" t="str">
            <v>445</v>
          </cell>
          <cell r="D990" t="str">
            <v>Электронасос СА 200</v>
          </cell>
          <cell r="E990" t="str">
            <v>MR</v>
          </cell>
          <cell r="G990" t="str">
            <v>01</v>
          </cell>
          <cell r="H990">
            <v>17530.16</v>
          </cell>
          <cell r="I990">
            <v>0</v>
          </cell>
          <cell r="J990">
            <v>0</v>
          </cell>
          <cell r="K990">
            <v>1</v>
          </cell>
          <cell r="L990" t="str">
            <v>88/4</v>
          </cell>
          <cell r="M990" t="str">
            <v>45100</v>
          </cell>
          <cell r="N990" t="str">
            <v>14 2925110</v>
          </cell>
          <cell r="P990">
            <v>11.8</v>
          </cell>
          <cell r="Q990">
            <v>0</v>
          </cell>
          <cell r="R990" t="str">
            <v>1</v>
          </cell>
          <cell r="S990" t="str">
            <v>41</v>
          </cell>
          <cell r="T990">
            <v>97</v>
          </cell>
          <cell r="U990">
            <v>12</v>
          </cell>
          <cell r="V990">
            <v>97</v>
          </cell>
          <cell r="W990">
            <v>12</v>
          </cell>
          <cell r="X990">
            <v>97</v>
          </cell>
          <cell r="Y990">
            <v>0</v>
          </cell>
          <cell r="Z990">
            <v>0</v>
          </cell>
          <cell r="AB990" t="str">
            <v>14</v>
          </cell>
          <cell r="AC990">
            <v>2</v>
          </cell>
          <cell r="AD990" t="str">
            <v>0</v>
          </cell>
          <cell r="AE990" t="str">
            <v>0</v>
          </cell>
          <cell r="AF990" t="str">
            <v>20</v>
          </cell>
          <cell r="AI990">
            <v>0</v>
          </cell>
          <cell r="AJ990">
            <v>0</v>
          </cell>
        </row>
        <row r="991">
          <cell r="A991" t="str">
            <v>20</v>
          </cell>
          <cell r="B991" t="str">
            <v>17</v>
          </cell>
          <cell r="C991" t="str">
            <v>446</v>
          </cell>
          <cell r="D991" t="str">
            <v>Емкость для сыворотк</v>
          </cell>
          <cell r="E991" t="str">
            <v>и 5000л</v>
          </cell>
          <cell r="G991" t="str">
            <v>01</v>
          </cell>
          <cell r="H991">
            <v>23838.59</v>
          </cell>
          <cell r="I991">
            <v>0</v>
          </cell>
          <cell r="J991">
            <v>0</v>
          </cell>
          <cell r="K991">
            <v>1</v>
          </cell>
          <cell r="L991" t="str">
            <v>88/4</v>
          </cell>
          <cell r="M991" t="str">
            <v>45100</v>
          </cell>
          <cell r="N991" t="str">
            <v>14 2925110</v>
          </cell>
          <cell r="P991">
            <v>11.8</v>
          </cell>
          <cell r="Q991">
            <v>0</v>
          </cell>
          <cell r="R991" t="str">
            <v>1</v>
          </cell>
          <cell r="S991" t="str">
            <v>45</v>
          </cell>
          <cell r="T991">
            <v>97</v>
          </cell>
          <cell r="U991">
            <v>12</v>
          </cell>
          <cell r="V991">
            <v>97</v>
          </cell>
          <cell r="W991">
            <v>12</v>
          </cell>
          <cell r="X991">
            <v>97</v>
          </cell>
          <cell r="Y991">
            <v>0</v>
          </cell>
          <cell r="Z991">
            <v>0</v>
          </cell>
          <cell r="AB991" t="str">
            <v>14</v>
          </cell>
          <cell r="AC991">
            <v>2</v>
          </cell>
          <cell r="AD991" t="str">
            <v>0</v>
          </cell>
          <cell r="AE991" t="str">
            <v>0</v>
          </cell>
          <cell r="AF991" t="str">
            <v>20</v>
          </cell>
          <cell r="AI991">
            <v>0</v>
          </cell>
          <cell r="AJ991">
            <v>0</v>
          </cell>
        </row>
        <row r="992">
          <cell r="A992" t="str">
            <v>20</v>
          </cell>
          <cell r="B992" t="str">
            <v>17</v>
          </cell>
          <cell r="C992" t="str">
            <v>447</v>
          </cell>
          <cell r="D992" t="str">
            <v>Электронасос загрузк</v>
          </cell>
          <cell r="E992" t="str">
            <v>и сыворотки  S20 CMR</v>
          </cell>
          <cell r="G992" t="str">
            <v>01</v>
          </cell>
          <cell r="H992">
            <v>17154.16</v>
          </cell>
          <cell r="I992">
            <v>0</v>
          </cell>
          <cell r="J992">
            <v>0</v>
          </cell>
          <cell r="K992">
            <v>1</v>
          </cell>
          <cell r="L992" t="str">
            <v>88/4</v>
          </cell>
          <cell r="M992" t="str">
            <v>45100</v>
          </cell>
          <cell r="N992" t="str">
            <v>14 2925110</v>
          </cell>
          <cell r="P992">
            <v>11.8</v>
          </cell>
          <cell r="Q992">
            <v>0</v>
          </cell>
          <cell r="R992" t="str">
            <v>1</v>
          </cell>
          <cell r="S992" t="str">
            <v>45</v>
          </cell>
          <cell r="T992">
            <v>97</v>
          </cell>
          <cell r="U992">
            <v>12</v>
          </cell>
          <cell r="V992">
            <v>97</v>
          </cell>
          <cell r="W992">
            <v>12</v>
          </cell>
          <cell r="X992">
            <v>97</v>
          </cell>
          <cell r="Y992">
            <v>0</v>
          </cell>
          <cell r="Z992">
            <v>0</v>
          </cell>
          <cell r="AB992" t="str">
            <v>14</v>
          </cell>
          <cell r="AC992">
            <v>2</v>
          </cell>
          <cell r="AD992" t="str">
            <v>0</v>
          </cell>
          <cell r="AE992" t="str">
            <v>0</v>
          </cell>
          <cell r="AF992" t="str">
            <v>20</v>
          </cell>
          <cell r="AI992">
            <v>0</v>
          </cell>
          <cell r="AJ992">
            <v>0</v>
          </cell>
        </row>
        <row r="993">
          <cell r="A993" t="str">
            <v>20</v>
          </cell>
          <cell r="B993" t="str">
            <v>17</v>
          </cell>
          <cell r="C993" t="str">
            <v>448</v>
          </cell>
          <cell r="D993" t="str">
            <v>Помещение для созрев</v>
          </cell>
          <cell r="E993" t="str">
            <v>ания сыров</v>
          </cell>
          <cell r="G993" t="str">
            <v>01</v>
          </cell>
          <cell r="H993">
            <v>19848.86</v>
          </cell>
          <cell r="I993">
            <v>0</v>
          </cell>
          <cell r="J993">
            <v>0</v>
          </cell>
          <cell r="K993">
            <v>1</v>
          </cell>
          <cell r="L993" t="str">
            <v>88/4</v>
          </cell>
          <cell r="M993" t="str">
            <v>45101</v>
          </cell>
          <cell r="N993" t="str">
            <v>14 2925113</v>
          </cell>
          <cell r="P993">
            <v>12.5</v>
          </cell>
          <cell r="Q993">
            <v>0</v>
          </cell>
          <cell r="R993" t="str">
            <v>1</v>
          </cell>
          <cell r="S993" t="str">
            <v>45</v>
          </cell>
          <cell r="T993">
            <v>97</v>
          </cell>
          <cell r="U993">
            <v>12</v>
          </cell>
          <cell r="V993">
            <v>97</v>
          </cell>
          <cell r="W993">
            <v>12</v>
          </cell>
          <cell r="X993">
            <v>97</v>
          </cell>
          <cell r="Y993">
            <v>0</v>
          </cell>
          <cell r="Z993">
            <v>0</v>
          </cell>
          <cell r="AB993" t="str">
            <v>14</v>
          </cell>
          <cell r="AC993">
            <v>2</v>
          </cell>
          <cell r="AD993" t="str">
            <v>0</v>
          </cell>
          <cell r="AE993" t="str">
            <v>0</v>
          </cell>
          <cell r="AF993" t="str">
            <v>20</v>
          </cell>
          <cell r="AI993">
            <v>0</v>
          </cell>
          <cell r="AJ993">
            <v>0</v>
          </cell>
        </row>
        <row r="994">
          <cell r="A994" t="str">
            <v>20</v>
          </cell>
          <cell r="B994" t="str">
            <v>17</v>
          </cell>
          <cell r="C994" t="str">
            <v>449</v>
          </cell>
          <cell r="D994" t="str">
            <v>Помещение для посола</v>
          </cell>
          <cell r="E994" t="str">
            <v>3.5х7</v>
          </cell>
          <cell r="G994" t="str">
            <v>01</v>
          </cell>
          <cell r="H994">
            <v>15176.1</v>
          </cell>
          <cell r="I994">
            <v>0</v>
          </cell>
          <cell r="J994">
            <v>0</v>
          </cell>
          <cell r="K994">
            <v>1</v>
          </cell>
          <cell r="L994" t="str">
            <v>88/4</v>
          </cell>
          <cell r="M994" t="str">
            <v>45101</v>
          </cell>
          <cell r="N994" t="str">
            <v>14 2925113</v>
          </cell>
          <cell r="P994">
            <v>12.5</v>
          </cell>
          <cell r="Q994">
            <v>0</v>
          </cell>
          <cell r="R994" t="str">
            <v>1</v>
          </cell>
          <cell r="S994" t="str">
            <v>45</v>
          </cell>
          <cell r="T994">
            <v>97</v>
          </cell>
          <cell r="U994">
            <v>12</v>
          </cell>
          <cell r="V994">
            <v>97</v>
          </cell>
          <cell r="W994">
            <v>12</v>
          </cell>
          <cell r="X994">
            <v>97</v>
          </cell>
          <cell r="Y994">
            <v>0</v>
          </cell>
          <cell r="Z994">
            <v>0</v>
          </cell>
          <cell r="AB994" t="str">
            <v>14</v>
          </cell>
          <cell r="AC994">
            <v>2</v>
          </cell>
          <cell r="AD994" t="str">
            <v>0</v>
          </cell>
          <cell r="AE994" t="str">
            <v>0</v>
          </cell>
          <cell r="AF994" t="str">
            <v>20</v>
          </cell>
          <cell r="AI994">
            <v>0</v>
          </cell>
          <cell r="AJ994">
            <v>0</v>
          </cell>
        </row>
        <row r="995">
          <cell r="A995" t="str">
            <v>20</v>
          </cell>
          <cell r="B995" t="str">
            <v>17</v>
          </cell>
          <cell r="C995" t="str">
            <v>450</v>
          </cell>
          <cell r="D995" t="str">
            <v>Камера для пастерили</v>
          </cell>
          <cell r="E995" t="str">
            <v>зации молока</v>
          </cell>
          <cell r="G995" t="str">
            <v>01</v>
          </cell>
          <cell r="H995">
            <v>38889.86</v>
          </cell>
          <cell r="I995">
            <v>0</v>
          </cell>
          <cell r="J995">
            <v>0</v>
          </cell>
          <cell r="K995">
            <v>1</v>
          </cell>
          <cell r="L995" t="str">
            <v>88/4</v>
          </cell>
          <cell r="M995" t="str">
            <v>45101</v>
          </cell>
          <cell r="N995" t="str">
            <v>14 2925110</v>
          </cell>
          <cell r="P995">
            <v>12.5</v>
          </cell>
          <cell r="Q995">
            <v>0</v>
          </cell>
          <cell r="R995" t="str">
            <v>1</v>
          </cell>
          <cell r="S995" t="str">
            <v>45</v>
          </cell>
          <cell r="T995">
            <v>97</v>
          </cell>
          <cell r="U995">
            <v>12</v>
          </cell>
          <cell r="V995">
            <v>97</v>
          </cell>
          <cell r="W995">
            <v>12</v>
          </cell>
          <cell r="X995">
            <v>97</v>
          </cell>
          <cell r="Y995">
            <v>0</v>
          </cell>
          <cell r="Z995">
            <v>0</v>
          </cell>
          <cell r="AB995" t="str">
            <v>14</v>
          </cell>
          <cell r="AC995">
            <v>2</v>
          </cell>
          <cell r="AD995" t="str">
            <v>0</v>
          </cell>
          <cell r="AE995" t="str">
            <v>0</v>
          </cell>
          <cell r="AF995" t="str">
            <v>20</v>
          </cell>
          <cell r="AI995">
            <v>0</v>
          </cell>
          <cell r="AJ995">
            <v>0</v>
          </cell>
        </row>
        <row r="996">
          <cell r="A996" t="str">
            <v>20</v>
          </cell>
          <cell r="B996" t="str">
            <v>17</v>
          </cell>
          <cell r="C996" t="str">
            <v>451</v>
          </cell>
          <cell r="D996" t="str">
            <v>Камера для кефира</v>
          </cell>
          <cell r="E996" t="str">
            <v>2.3х4.5</v>
          </cell>
          <cell r="G996" t="str">
            <v>01</v>
          </cell>
          <cell r="H996">
            <v>38889.86</v>
          </cell>
          <cell r="I996">
            <v>0</v>
          </cell>
          <cell r="J996">
            <v>0</v>
          </cell>
          <cell r="K996">
            <v>1</v>
          </cell>
          <cell r="L996" t="str">
            <v>88/4</v>
          </cell>
          <cell r="M996" t="str">
            <v>45101</v>
          </cell>
          <cell r="N996" t="str">
            <v>14 2925110</v>
          </cell>
          <cell r="P996">
            <v>12.5</v>
          </cell>
          <cell r="Q996">
            <v>0</v>
          </cell>
          <cell r="R996" t="str">
            <v>1</v>
          </cell>
          <cell r="S996" t="str">
            <v>45</v>
          </cell>
          <cell r="T996">
            <v>97</v>
          </cell>
          <cell r="U996">
            <v>12</v>
          </cell>
          <cell r="V996">
            <v>97</v>
          </cell>
          <cell r="W996">
            <v>12</v>
          </cell>
          <cell r="X996">
            <v>97</v>
          </cell>
          <cell r="Y996">
            <v>0</v>
          </cell>
          <cell r="Z996">
            <v>0</v>
          </cell>
          <cell r="AB996" t="str">
            <v>14</v>
          </cell>
          <cell r="AC996">
            <v>2</v>
          </cell>
          <cell r="AD996" t="str">
            <v>0</v>
          </cell>
          <cell r="AE996" t="str">
            <v>0</v>
          </cell>
          <cell r="AF996" t="str">
            <v>20</v>
          </cell>
          <cell r="AI996">
            <v>0</v>
          </cell>
          <cell r="AJ996">
            <v>0</v>
          </cell>
        </row>
        <row r="997">
          <cell r="A997" t="str">
            <v>20</v>
          </cell>
          <cell r="B997" t="str">
            <v>17</v>
          </cell>
          <cell r="C997" t="str">
            <v>452</v>
          </cell>
          <cell r="D997" t="str">
            <v>Камера для свежих пр</v>
          </cell>
          <cell r="E997" t="str">
            <v>одуктов</v>
          </cell>
          <cell r="G997" t="str">
            <v>01</v>
          </cell>
          <cell r="H997">
            <v>19733.310000000001</v>
          </cell>
          <cell r="I997">
            <v>0</v>
          </cell>
          <cell r="J997">
            <v>0</v>
          </cell>
          <cell r="K997">
            <v>1</v>
          </cell>
          <cell r="L997" t="str">
            <v>88/4</v>
          </cell>
          <cell r="M997" t="str">
            <v>45101</v>
          </cell>
          <cell r="N997" t="str">
            <v>14 2925110</v>
          </cell>
          <cell r="P997">
            <v>12.5</v>
          </cell>
          <cell r="Q997">
            <v>0</v>
          </cell>
          <cell r="R997" t="str">
            <v>1</v>
          </cell>
          <cell r="S997" t="str">
            <v>45</v>
          </cell>
          <cell r="T997">
            <v>97</v>
          </cell>
          <cell r="U997">
            <v>12</v>
          </cell>
          <cell r="V997">
            <v>97</v>
          </cell>
          <cell r="W997">
            <v>12</v>
          </cell>
          <cell r="X997">
            <v>97</v>
          </cell>
          <cell r="Y997">
            <v>0</v>
          </cell>
          <cell r="Z997">
            <v>0</v>
          </cell>
          <cell r="AB997" t="str">
            <v>14</v>
          </cell>
          <cell r="AC997">
            <v>2</v>
          </cell>
          <cell r="AD997" t="str">
            <v>0</v>
          </cell>
          <cell r="AE997" t="str">
            <v>0</v>
          </cell>
          <cell r="AF997" t="str">
            <v>20</v>
          </cell>
          <cell r="AI997">
            <v>0</v>
          </cell>
          <cell r="AJ997">
            <v>0</v>
          </cell>
        </row>
        <row r="998">
          <cell r="A998" t="str">
            <v>20</v>
          </cell>
          <cell r="B998" t="str">
            <v>17</v>
          </cell>
          <cell r="C998" t="str">
            <v>453</v>
          </cell>
          <cell r="D998" t="str">
            <v>Агрега холодильный У</v>
          </cell>
          <cell r="E998" t="str">
            <v>нисистем IBN 120 EUV</v>
          </cell>
          <cell r="F998" t="str">
            <v>R 22</v>
          </cell>
          <cell r="G998" t="str">
            <v>01</v>
          </cell>
          <cell r="H998">
            <v>68479.72</v>
          </cell>
          <cell r="I998">
            <v>0</v>
          </cell>
          <cell r="J998">
            <v>0</v>
          </cell>
          <cell r="K998">
            <v>1</v>
          </cell>
          <cell r="L998" t="str">
            <v>88/4</v>
          </cell>
          <cell r="M998" t="str">
            <v>45104</v>
          </cell>
          <cell r="N998" t="str">
            <v>14 2919595</v>
          </cell>
          <cell r="P998">
            <v>10</v>
          </cell>
          <cell r="Q998">
            <v>0</v>
          </cell>
          <cell r="R998" t="str">
            <v>1</v>
          </cell>
          <cell r="S998" t="str">
            <v>45</v>
          </cell>
          <cell r="T998">
            <v>97</v>
          </cell>
          <cell r="U998">
            <v>12</v>
          </cell>
          <cell r="V998">
            <v>97</v>
          </cell>
          <cell r="W998">
            <v>12</v>
          </cell>
          <cell r="X998">
            <v>97</v>
          </cell>
          <cell r="Y998">
            <v>0</v>
          </cell>
          <cell r="Z998">
            <v>0</v>
          </cell>
          <cell r="AB998" t="str">
            <v>14</v>
          </cell>
          <cell r="AC998">
            <v>2</v>
          </cell>
          <cell r="AD998" t="str">
            <v>0</v>
          </cell>
          <cell r="AE998" t="str">
            <v>0</v>
          </cell>
          <cell r="AF998" t="str">
            <v>20</v>
          </cell>
          <cell r="AI998">
            <v>0</v>
          </cell>
          <cell r="AJ998">
            <v>0</v>
          </cell>
        </row>
        <row r="999">
          <cell r="A999" t="str">
            <v>20</v>
          </cell>
          <cell r="B999" t="str">
            <v>17</v>
          </cell>
          <cell r="C999" t="str">
            <v>454</v>
          </cell>
          <cell r="D999" t="str">
            <v>Агрегат холодильный</v>
          </cell>
          <cell r="E999" t="str">
            <v>Унисистем IBN 120 EU</v>
          </cell>
          <cell r="F999" t="str">
            <v>VR 22</v>
          </cell>
          <cell r="G999" t="str">
            <v>01</v>
          </cell>
          <cell r="H999">
            <v>68479.72</v>
          </cell>
          <cell r="I999">
            <v>0</v>
          </cell>
          <cell r="J999">
            <v>0</v>
          </cell>
          <cell r="K999">
            <v>1</v>
          </cell>
          <cell r="L999" t="str">
            <v>88/4</v>
          </cell>
          <cell r="M999" t="str">
            <v>45104</v>
          </cell>
          <cell r="N999" t="str">
            <v>14 2919595</v>
          </cell>
          <cell r="P999">
            <v>10</v>
          </cell>
          <cell r="Q999">
            <v>0</v>
          </cell>
          <cell r="R999" t="str">
            <v>1</v>
          </cell>
          <cell r="S999" t="str">
            <v>45</v>
          </cell>
          <cell r="T999">
            <v>97</v>
          </cell>
          <cell r="U999">
            <v>12</v>
          </cell>
          <cell r="V999">
            <v>97</v>
          </cell>
          <cell r="W999">
            <v>12</v>
          </cell>
          <cell r="X999">
            <v>97</v>
          </cell>
          <cell r="Y999">
            <v>0</v>
          </cell>
          <cell r="Z999">
            <v>0</v>
          </cell>
          <cell r="AB999" t="str">
            <v>14</v>
          </cell>
          <cell r="AC999">
            <v>2</v>
          </cell>
          <cell r="AD999" t="str">
            <v>0</v>
          </cell>
          <cell r="AE999" t="str">
            <v>0</v>
          </cell>
          <cell r="AF999" t="str">
            <v>20</v>
          </cell>
          <cell r="AI999">
            <v>0</v>
          </cell>
          <cell r="AJ999">
            <v>0</v>
          </cell>
        </row>
        <row r="1000">
          <cell r="A1000" t="str">
            <v>20</v>
          </cell>
          <cell r="B1000" t="str">
            <v>17</v>
          </cell>
          <cell r="C1000" t="str">
            <v>455</v>
          </cell>
          <cell r="D1000" t="str">
            <v>Агрегат холодильный</v>
          </cell>
          <cell r="E1000" t="str">
            <v>Унисистем INB 120 EU</v>
          </cell>
          <cell r="F1000" t="str">
            <v>VR 22</v>
          </cell>
          <cell r="G1000" t="str">
            <v>01</v>
          </cell>
          <cell r="H1000">
            <v>68479.72</v>
          </cell>
          <cell r="I1000">
            <v>0</v>
          </cell>
          <cell r="J1000">
            <v>0</v>
          </cell>
          <cell r="K1000">
            <v>1</v>
          </cell>
          <cell r="L1000" t="str">
            <v>88/4</v>
          </cell>
          <cell r="M1000" t="str">
            <v>45104</v>
          </cell>
          <cell r="N1000" t="str">
            <v>14 2919595</v>
          </cell>
          <cell r="P1000">
            <v>10</v>
          </cell>
          <cell r="Q1000">
            <v>0</v>
          </cell>
          <cell r="R1000" t="str">
            <v>1</v>
          </cell>
          <cell r="S1000" t="str">
            <v>45</v>
          </cell>
          <cell r="T1000">
            <v>97</v>
          </cell>
          <cell r="U1000">
            <v>12</v>
          </cell>
          <cell r="V1000">
            <v>97</v>
          </cell>
          <cell r="W1000">
            <v>12</v>
          </cell>
          <cell r="X1000">
            <v>97</v>
          </cell>
          <cell r="Y1000">
            <v>0</v>
          </cell>
          <cell r="Z1000">
            <v>0</v>
          </cell>
          <cell r="AB1000" t="str">
            <v>14</v>
          </cell>
          <cell r="AC1000">
            <v>2</v>
          </cell>
          <cell r="AD1000" t="str">
            <v>0</v>
          </cell>
          <cell r="AE1000" t="str">
            <v>0</v>
          </cell>
          <cell r="AF1000" t="str">
            <v>20</v>
          </cell>
          <cell r="AI1000">
            <v>0</v>
          </cell>
          <cell r="AJ1000">
            <v>0</v>
          </cell>
        </row>
        <row r="1001">
          <cell r="A1001" t="str">
            <v>20</v>
          </cell>
          <cell r="B1001" t="str">
            <v>17</v>
          </cell>
          <cell r="C1001" t="str">
            <v>456</v>
          </cell>
          <cell r="D1001" t="str">
            <v>Агрегат холодильный</v>
          </cell>
          <cell r="E1001" t="str">
            <v>Унисистем INB 120 EU</v>
          </cell>
          <cell r="F1001" t="str">
            <v>VR 22</v>
          </cell>
          <cell r="G1001" t="str">
            <v>01</v>
          </cell>
          <cell r="H1001">
            <v>68479.72</v>
          </cell>
          <cell r="I1001">
            <v>0</v>
          </cell>
          <cell r="J1001">
            <v>0</v>
          </cell>
          <cell r="K1001">
            <v>1</v>
          </cell>
          <cell r="L1001" t="str">
            <v>88/4</v>
          </cell>
          <cell r="M1001" t="str">
            <v>45104</v>
          </cell>
          <cell r="N1001" t="str">
            <v>14 2919595</v>
          </cell>
          <cell r="P1001">
            <v>10</v>
          </cell>
          <cell r="Q1001">
            <v>0</v>
          </cell>
          <cell r="R1001" t="str">
            <v>1</v>
          </cell>
          <cell r="S1001" t="str">
            <v>45</v>
          </cell>
          <cell r="T1001">
            <v>97</v>
          </cell>
          <cell r="U1001">
            <v>12</v>
          </cell>
          <cell r="V1001">
            <v>97</v>
          </cell>
          <cell r="W1001">
            <v>12</v>
          </cell>
          <cell r="X1001">
            <v>97</v>
          </cell>
          <cell r="Y1001">
            <v>0</v>
          </cell>
          <cell r="Z1001">
            <v>0</v>
          </cell>
          <cell r="AB1001" t="str">
            <v>14</v>
          </cell>
          <cell r="AC1001">
            <v>2</v>
          </cell>
          <cell r="AD1001" t="str">
            <v>0</v>
          </cell>
          <cell r="AE1001" t="str">
            <v>0</v>
          </cell>
          <cell r="AF1001" t="str">
            <v>20</v>
          </cell>
          <cell r="AI1001">
            <v>0</v>
          </cell>
          <cell r="AJ1001">
            <v>0</v>
          </cell>
        </row>
        <row r="1002">
          <cell r="A1002" t="str">
            <v>20</v>
          </cell>
          <cell r="B1002" t="str">
            <v>17</v>
          </cell>
          <cell r="C1002" t="str">
            <v>457</v>
          </cell>
          <cell r="D1002" t="str">
            <v>Агрегат холодильный</v>
          </cell>
          <cell r="E1002" t="str">
            <v>Унисистем INB 120 EU</v>
          </cell>
          <cell r="F1002" t="str">
            <v>VR 22</v>
          </cell>
          <cell r="G1002" t="str">
            <v>01</v>
          </cell>
          <cell r="H1002">
            <v>68479.72</v>
          </cell>
          <cell r="I1002">
            <v>0</v>
          </cell>
          <cell r="J1002">
            <v>0</v>
          </cell>
          <cell r="K1002">
            <v>1</v>
          </cell>
          <cell r="L1002" t="str">
            <v>88/4</v>
          </cell>
          <cell r="M1002" t="str">
            <v>45104</v>
          </cell>
          <cell r="N1002" t="str">
            <v>14 2919595</v>
          </cell>
          <cell r="P1002">
            <v>10</v>
          </cell>
          <cell r="Q1002">
            <v>0</v>
          </cell>
          <cell r="R1002" t="str">
            <v>1</v>
          </cell>
          <cell r="S1002" t="str">
            <v>45</v>
          </cell>
          <cell r="T1002">
            <v>97</v>
          </cell>
          <cell r="U1002">
            <v>12</v>
          </cell>
          <cell r="V1002">
            <v>97</v>
          </cell>
          <cell r="W1002">
            <v>12</v>
          </cell>
          <cell r="X1002">
            <v>97</v>
          </cell>
          <cell r="Y1002">
            <v>0</v>
          </cell>
          <cell r="Z1002">
            <v>0</v>
          </cell>
          <cell r="AB1002" t="str">
            <v>14</v>
          </cell>
          <cell r="AC1002">
            <v>2</v>
          </cell>
          <cell r="AD1002" t="str">
            <v>0</v>
          </cell>
          <cell r="AE1002" t="str">
            <v>0</v>
          </cell>
          <cell r="AF1002" t="str">
            <v>20</v>
          </cell>
          <cell r="AI1002">
            <v>0</v>
          </cell>
          <cell r="AJ1002">
            <v>0</v>
          </cell>
        </row>
        <row r="1003">
          <cell r="A1003" t="str">
            <v>20</v>
          </cell>
          <cell r="B1003" t="str">
            <v>17</v>
          </cell>
          <cell r="C1003" t="str">
            <v>458</v>
          </cell>
          <cell r="D1003" t="str">
            <v>Агрегат холодильный</v>
          </cell>
          <cell r="E1003" t="str">
            <v>Унисистем INB 120 EU</v>
          </cell>
          <cell r="F1003" t="str">
            <v>VR 22</v>
          </cell>
          <cell r="G1003" t="str">
            <v>01</v>
          </cell>
          <cell r="H1003">
            <v>68479.73</v>
          </cell>
          <cell r="I1003">
            <v>0</v>
          </cell>
          <cell r="J1003">
            <v>0</v>
          </cell>
          <cell r="K1003">
            <v>1</v>
          </cell>
          <cell r="L1003" t="str">
            <v>88/4</v>
          </cell>
          <cell r="M1003" t="str">
            <v>45104</v>
          </cell>
          <cell r="N1003" t="str">
            <v>14 2919595</v>
          </cell>
          <cell r="P1003">
            <v>10</v>
          </cell>
          <cell r="Q1003">
            <v>0</v>
          </cell>
          <cell r="R1003" t="str">
            <v>1</v>
          </cell>
          <cell r="S1003" t="str">
            <v>45</v>
          </cell>
          <cell r="T1003">
            <v>97</v>
          </cell>
          <cell r="U1003">
            <v>12</v>
          </cell>
          <cell r="V1003">
            <v>97</v>
          </cell>
          <cell r="W1003">
            <v>12</v>
          </cell>
          <cell r="X1003">
            <v>97</v>
          </cell>
          <cell r="Y1003">
            <v>0</v>
          </cell>
          <cell r="Z1003">
            <v>0</v>
          </cell>
          <cell r="AB1003" t="str">
            <v>14</v>
          </cell>
          <cell r="AC1003">
            <v>2</v>
          </cell>
          <cell r="AD1003" t="str">
            <v>0</v>
          </cell>
          <cell r="AE1003" t="str">
            <v>0</v>
          </cell>
          <cell r="AF1003" t="str">
            <v>20</v>
          </cell>
          <cell r="AI1003">
            <v>0</v>
          </cell>
          <cell r="AJ1003">
            <v>0</v>
          </cell>
        </row>
        <row r="1004">
          <cell r="A1004" t="str">
            <v>20</v>
          </cell>
          <cell r="B1004" t="str">
            <v>17</v>
          </cell>
          <cell r="C1004" t="str">
            <v>459</v>
          </cell>
          <cell r="D1004" t="str">
            <v>Пластинчатый теплооб</v>
          </cell>
          <cell r="E1004" t="str">
            <v>менник</v>
          </cell>
          <cell r="G1004" t="str">
            <v>01</v>
          </cell>
          <cell r="H1004">
            <v>42386.93</v>
          </cell>
          <cell r="I1004">
            <v>0</v>
          </cell>
          <cell r="J1004">
            <v>0</v>
          </cell>
          <cell r="K1004">
            <v>1</v>
          </cell>
          <cell r="L1004" t="str">
            <v>88/4</v>
          </cell>
          <cell r="M1004" t="str">
            <v>45104</v>
          </cell>
          <cell r="N1004" t="str">
            <v>14 2919609</v>
          </cell>
          <cell r="P1004">
            <v>10</v>
          </cell>
          <cell r="Q1004">
            <v>0</v>
          </cell>
          <cell r="R1004" t="str">
            <v>1</v>
          </cell>
          <cell r="S1004" t="str">
            <v>45</v>
          </cell>
          <cell r="T1004">
            <v>97</v>
          </cell>
          <cell r="U1004">
            <v>12</v>
          </cell>
          <cell r="V1004">
            <v>97</v>
          </cell>
          <cell r="W1004">
            <v>12</v>
          </cell>
          <cell r="X1004">
            <v>97</v>
          </cell>
          <cell r="Y1004">
            <v>0</v>
          </cell>
          <cell r="Z1004">
            <v>0</v>
          </cell>
          <cell r="AB1004" t="str">
            <v>14</v>
          </cell>
          <cell r="AC1004">
            <v>2</v>
          </cell>
          <cell r="AD1004" t="str">
            <v>0</v>
          </cell>
          <cell r="AE1004" t="str">
            <v>0</v>
          </cell>
          <cell r="AF1004" t="str">
            <v>20</v>
          </cell>
          <cell r="AI1004">
            <v>0</v>
          </cell>
          <cell r="AJ1004">
            <v>0</v>
          </cell>
        </row>
        <row r="1005">
          <cell r="A1005" t="str">
            <v>20</v>
          </cell>
          <cell r="B1005" t="str">
            <v>17</v>
          </cell>
          <cell r="C1005" t="str">
            <v>460</v>
          </cell>
          <cell r="D1005" t="str">
            <v>Многофункц.ванна с а</v>
          </cell>
          <cell r="E1005" t="str">
            <v>втомат.мойкой POL-ME</v>
          </cell>
          <cell r="F1005" t="str">
            <v>C 16</v>
          </cell>
          <cell r="G1005" t="str">
            <v>01</v>
          </cell>
          <cell r="H1005">
            <v>26725.11</v>
          </cell>
          <cell r="I1005">
            <v>0</v>
          </cell>
          <cell r="J1005">
            <v>0</v>
          </cell>
          <cell r="K1005">
            <v>1</v>
          </cell>
          <cell r="L1005" t="str">
            <v>88/4</v>
          </cell>
          <cell r="M1005" t="str">
            <v>45100</v>
          </cell>
          <cell r="N1005" t="str">
            <v>14 2925110</v>
          </cell>
          <cell r="P1005">
            <v>11.8</v>
          </cell>
          <cell r="Q1005">
            <v>0</v>
          </cell>
          <cell r="R1005" t="str">
            <v>1</v>
          </cell>
          <cell r="S1005" t="str">
            <v>45</v>
          </cell>
          <cell r="T1005">
            <v>97</v>
          </cell>
          <cell r="U1005">
            <v>12</v>
          </cell>
          <cell r="V1005">
            <v>97</v>
          </cell>
          <cell r="W1005">
            <v>12</v>
          </cell>
          <cell r="X1005">
            <v>97</v>
          </cell>
          <cell r="Y1005">
            <v>0</v>
          </cell>
          <cell r="Z1005">
            <v>0</v>
          </cell>
          <cell r="AB1005" t="str">
            <v>14</v>
          </cell>
          <cell r="AC1005">
            <v>2</v>
          </cell>
          <cell r="AD1005" t="str">
            <v>0</v>
          </cell>
          <cell r="AE1005" t="str">
            <v>0</v>
          </cell>
          <cell r="AF1005" t="str">
            <v>20</v>
          </cell>
          <cell r="AI1005">
            <v>0</v>
          </cell>
          <cell r="AJ1005">
            <v>0</v>
          </cell>
        </row>
        <row r="1006">
          <cell r="A1006" t="str">
            <v>20</v>
          </cell>
          <cell r="B1006" t="str">
            <v>17</v>
          </cell>
          <cell r="C1006" t="str">
            <v>461</v>
          </cell>
          <cell r="D1006" t="str">
            <v>Электронасос для сыв</v>
          </cell>
          <cell r="E1006" t="str">
            <v>оротки А-80 MR</v>
          </cell>
          <cell r="G1006" t="str">
            <v>01</v>
          </cell>
          <cell r="H1006">
            <v>13699.72</v>
          </cell>
          <cell r="I1006">
            <v>0</v>
          </cell>
          <cell r="J1006">
            <v>0</v>
          </cell>
          <cell r="K1006">
            <v>1</v>
          </cell>
          <cell r="L1006" t="str">
            <v>88/4</v>
          </cell>
          <cell r="M1006" t="str">
            <v>45100</v>
          </cell>
          <cell r="N1006" t="str">
            <v>14 2925110</v>
          </cell>
          <cell r="P1006">
            <v>11.8</v>
          </cell>
          <cell r="Q1006">
            <v>0</v>
          </cell>
          <cell r="R1006" t="str">
            <v>1</v>
          </cell>
          <cell r="S1006" t="str">
            <v>45</v>
          </cell>
          <cell r="T1006">
            <v>97</v>
          </cell>
          <cell r="U1006">
            <v>12</v>
          </cell>
          <cell r="V1006">
            <v>97</v>
          </cell>
          <cell r="W1006">
            <v>12</v>
          </cell>
          <cell r="X1006">
            <v>97</v>
          </cell>
          <cell r="Y1006">
            <v>0</v>
          </cell>
          <cell r="Z1006">
            <v>0</v>
          </cell>
          <cell r="AB1006" t="str">
            <v>14</v>
          </cell>
          <cell r="AC1006">
            <v>2</v>
          </cell>
          <cell r="AD1006" t="str">
            <v>0</v>
          </cell>
          <cell r="AE1006" t="str">
            <v>0</v>
          </cell>
          <cell r="AF1006" t="str">
            <v>20</v>
          </cell>
          <cell r="AI1006">
            <v>0</v>
          </cell>
          <cell r="AJ1006">
            <v>0</v>
          </cell>
        </row>
        <row r="1007">
          <cell r="A1007" t="str">
            <v>20</v>
          </cell>
          <cell r="B1007" t="str">
            <v>17</v>
          </cell>
          <cell r="C1007" t="str">
            <v>462</v>
          </cell>
          <cell r="D1007" t="str">
            <v>Устан.подготовки фер</v>
          </cell>
          <cell r="E1007" t="str">
            <v>ментов термолакт 1х</v>
          </cell>
          <cell r="F1007" t="str">
            <v>50</v>
          </cell>
          <cell r="G1007" t="str">
            <v>01</v>
          </cell>
          <cell r="H1007">
            <v>27631.64</v>
          </cell>
          <cell r="I1007">
            <v>0</v>
          </cell>
          <cell r="J1007">
            <v>0</v>
          </cell>
          <cell r="K1007">
            <v>1</v>
          </cell>
          <cell r="L1007" t="str">
            <v>88/4</v>
          </cell>
          <cell r="M1007" t="str">
            <v>45100</v>
          </cell>
          <cell r="N1007" t="str">
            <v>14 2925110</v>
          </cell>
          <cell r="P1007">
            <v>11.8</v>
          </cell>
          <cell r="Q1007">
            <v>0</v>
          </cell>
          <cell r="R1007" t="str">
            <v>1</v>
          </cell>
          <cell r="S1007" t="str">
            <v>45</v>
          </cell>
          <cell r="T1007">
            <v>97</v>
          </cell>
          <cell r="U1007">
            <v>12</v>
          </cell>
          <cell r="V1007">
            <v>97</v>
          </cell>
          <cell r="W1007">
            <v>12</v>
          </cell>
          <cell r="X1007">
            <v>97</v>
          </cell>
          <cell r="Y1007">
            <v>0</v>
          </cell>
          <cell r="Z1007">
            <v>0</v>
          </cell>
          <cell r="AB1007" t="str">
            <v>14</v>
          </cell>
          <cell r="AC1007">
            <v>2</v>
          </cell>
          <cell r="AD1007" t="str">
            <v>0</v>
          </cell>
          <cell r="AE1007" t="str">
            <v>0</v>
          </cell>
          <cell r="AF1007" t="str">
            <v>20</v>
          </cell>
          <cell r="AI1007">
            <v>0</v>
          </cell>
          <cell r="AJ1007">
            <v>0</v>
          </cell>
        </row>
        <row r="1008">
          <cell r="A1008" t="str">
            <v>20</v>
          </cell>
          <cell r="B1008" t="str">
            <v>17</v>
          </cell>
          <cell r="C1008" t="str">
            <v>463</v>
          </cell>
          <cell r="D1008" t="str">
            <v>Холодильник для холо</v>
          </cell>
          <cell r="E1008" t="str">
            <v>д.воды Е18-2-1-029</v>
          </cell>
          <cell r="G1008" t="str">
            <v>01</v>
          </cell>
          <cell r="H1008">
            <v>19059.88</v>
          </cell>
          <cell r="I1008">
            <v>0</v>
          </cell>
          <cell r="J1008">
            <v>0</v>
          </cell>
          <cell r="K1008">
            <v>1</v>
          </cell>
          <cell r="L1008" t="str">
            <v>88/4</v>
          </cell>
          <cell r="M1008" t="str">
            <v>45104</v>
          </cell>
          <cell r="N1008" t="str">
            <v>14 2919595</v>
          </cell>
          <cell r="P1008">
            <v>10</v>
          </cell>
          <cell r="Q1008">
            <v>0</v>
          </cell>
          <cell r="R1008" t="str">
            <v>1</v>
          </cell>
          <cell r="S1008" t="str">
            <v>45</v>
          </cell>
          <cell r="T1008">
            <v>97</v>
          </cell>
          <cell r="U1008">
            <v>12</v>
          </cell>
          <cell r="V1008">
            <v>97</v>
          </cell>
          <cell r="W1008">
            <v>12</v>
          </cell>
          <cell r="X1008">
            <v>97</v>
          </cell>
          <cell r="Y1008">
            <v>0</v>
          </cell>
          <cell r="Z1008">
            <v>0</v>
          </cell>
          <cell r="AB1008" t="str">
            <v>14</v>
          </cell>
          <cell r="AC1008">
            <v>2</v>
          </cell>
          <cell r="AD1008" t="str">
            <v>0</v>
          </cell>
          <cell r="AE1008" t="str">
            <v>0</v>
          </cell>
          <cell r="AF1008" t="str">
            <v>20</v>
          </cell>
          <cell r="AI1008">
            <v>0</v>
          </cell>
          <cell r="AJ1008">
            <v>0</v>
          </cell>
        </row>
        <row r="1009">
          <cell r="A1009" t="str">
            <v>20</v>
          </cell>
          <cell r="B1009" t="str">
            <v>17</v>
          </cell>
          <cell r="C1009" t="str">
            <v>464</v>
          </cell>
          <cell r="D1009" t="str">
            <v>Электри. щит 10.09.1</v>
          </cell>
          <cell r="G1009" t="str">
            <v>01</v>
          </cell>
          <cell r="H1009">
            <v>3578.98</v>
          </cell>
          <cell r="I1009">
            <v>0</v>
          </cell>
          <cell r="J1009">
            <v>0</v>
          </cell>
          <cell r="K1009">
            <v>1</v>
          </cell>
          <cell r="L1009" t="str">
            <v>88/4</v>
          </cell>
          <cell r="M1009" t="str">
            <v>40702</v>
          </cell>
          <cell r="N1009" t="str">
            <v>14 3120293</v>
          </cell>
          <cell r="P1009">
            <v>9.1</v>
          </cell>
          <cell r="Q1009">
            <v>0</v>
          </cell>
          <cell r="R1009" t="str">
            <v>1</v>
          </cell>
          <cell r="S1009" t="str">
            <v>40</v>
          </cell>
          <cell r="T1009">
            <v>97</v>
          </cell>
          <cell r="U1009">
            <v>12</v>
          </cell>
          <cell r="V1009">
            <v>97</v>
          </cell>
          <cell r="W1009">
            <v>12</v>
          </cell>
          <cell r="X1009">
            <v>97</v>
          </cell>
          <cell r="Y1009">
            <v>0</v>
          </cell>
          <cell r="Z1009">
            <v>0</v>
          </cell>
          <cell r="AB1009" t="str">
            <v>14</v>
          </cell>
          <cell r="AC1009">
            <v>2</v>
          </cell>
          <cell r="AD1009" t="str">
            <v>0</v>
          </cell>
          <cell r="AE1009" t="str">
            <v>0</v>
          </cell>
          <cell r="AF1009" t="str">
            <v>20</v>
          </cell>
          <cell r="AI1009">
            <v>0</v>
          </cell>
          <cell r="AJ1009">
            <v>0</v>
          </cell>
        </row>
        <row r="1010">
          <cell r="A1010" t="str">
            <v>20</v>
          </cell>
          <cell r="B1010" t="str">
            <v>17</v>
          </cell>
          <cell r="C1010" t="str">
            <v>465</v>
          </cell>
          <cell r="D1010" t="str">
            <v>Компрессор передвижн</v>
          </cell>
          <cell r="E1010" t="str">
            <v>ой Е-79Е в системе</v>
          </cell>
          <cell r="F1010" t="str">
            <v>наружной канализации</v>
          </cell>
          <cell r="G1010" t="str">
            <v>01</v>
          </cell>
          <cell r="H1010">
            <v>62655.93</v>
          </cell>
          <cell r="I1010">
            <v>0</v>
          </cell>
          <cell r="J1010">
            <v>0</v>
          </cell>
          <cell r="K1010">
            <v>1</v>
          </cell>
          <cell r="L1010" t="str">
            <v>88/4</v>
          </cell>
          <cell r="M1010" t="str">
            <v>49016</v>
          </cell>
          <cell r="N1010" t="str">
            <v>14 2912132</v>
          </cell>
          <cell r="P1010">
            <v>11.1</v>
          </cell>
          <cell r="Q1010">
            <v>0</v>
          </cell>
          <cell r="R1010" t="str">
            <v>1</v>
          </cell>
          <cell r="S1010" t="str">
            <v>49</v>
          </cell>
          <cell r="T1010">
            <v>97</v>
          </cell>
          <cell r="U1010">
            <v>12</v>
          </cell>
          <cell r="V1010">
            <v>97</v>
          </cell>
          <cell r="W1010">
            <v>12</v>
          </cell>
          <cell r="X1010">
            <v>97</v>
          </cell>
          <cell r="Y1010">
            <v>0</v>
          </cell>
          <cell r="Z1010">
            <v>0</v>
          </cell>
          <cell r="AB1010" t="str">
            <v>14</v>
          </cell>
          <cell r="AC1010">
            <v>2</v>
          </cell>
          <cell r="AD1010" t="str">
            <v>0</v>
          </cell>
          <cell r="AE1010" t="str">
            <v>0</v>
          </cell>
          <cell r="AF1010" t="str">
            <v>20</v>
          </cell>
          <cell r="AI1010">
            <v>0</v>
          </cell>
          <cell r="AJ1010">
            <v>0</v>
          </cell>
        </row>
        <row r="1011">
          <cell r="A1011" t="str">
            <v>20</v>
          </cell>
          <cell r="B1011" t="str">
            <v>17</v>
          </cell>
          <cell r="C1011" t="str">
            <v>466</v>
          </cell>
          <cell r="D1011" t="str">
            <v>Основа. со всеми раз</v>
          </cell>
          <cell r="E1011" t="str">
            <v>водками</v>
          </cell>
          <cell r="G1011" t="str">
            <v>01</v>
          </cell>
          <cell r="H1011">
            <v>34670.78</v>
          </cell>
          <cell r="I1011">
            <v>0</v>
          </cell>
          <cell r="J1011">
            <v>0</v>
          </cell>
          <cell r="K1011">
            <v>1</v>
          </cell>
          <cell r="L1011" t="str">
            <v>88/4</v>
          </cell>
          <cell r="M1011" t="str">
            <v>45100</v>
          </cell>
          <cell r="N1011" t="str">
            <v>14 2925110</v>
          </cell>
          <cell r="P1011">
            <v>11.8</v>
          </cell>
          <cell r="Q1011">
            <v>0</v>
          </cell>
          <cell r="R1011" t="str">
            <v>1</v>
          </cell>
          <cell r="S1011" t="str">
            <v>45</v>
          </cell>
          <cell r="T1011">
            <v>97</v>
          </cell>
          <cell r="U1011">
            <v>12</v>
          </cell>
          <cell r="V1011">
            <v>97</v>
          </cell>
          <cell r="W1011">
            <v>12</v>
          </cell>
          <cell r="X1011">
            <v>97</v>
          </cell>
          <cell r="Y1011">
            <v>0</v>
          </cell>
          <cell r="Z1011">
            <v>0</v>
          </cell>
          <cell r="AB1011" t="str">
            <v>14</v>
          </cell>
          <cell r="AC1011">
            <v>2</v>
          </cell>
          <cell r="AD1011" t="str">
            <v>0</v>
          </cell>
          <cell r="AE1011" t="str">
            <v>0</v>
          </cell>
          <cell r="AF1011" t="str">
            <v>20</v>
          </cell>
          <cell r="AI1011">
            <v>0</v>
          </cell>
          <cell r="AJ1011">
            <v>0</v>
          </cell>
        </row>
        <row r="1012">
          <cell r="A1012" t="str">
            <v>20</v>
          </cell>
          <cell r="B1012" t="str">
            <v>17</v>
          </cell>
          <cell r="C1012" t="str">
            <v>467</v>
          </cell>
          <cell r="D1012" t="str">
            <v>Электронасос самозал</v>
          </cell>
          <cell r="E1012" t="str">
            <v>ивной S26 EMR</v>
          </cell>
          <cell r="G1012" t="str">
            <v>01</v>
          </cell>
          <cell r="H1012">
            <v>15299.72</v>
          </cell>
          <cell r="I1012">
            <v>0</v>
          </cell>
          <cell r="J1012">
            <v>0</v>
          </cell>
          <cell r="K1012">
            <v>1</v>
          </cell>
          <cell r="L1012" t="str">
            <v>88/4</v>
          </cell>
          <cell r="M1012" t="str">
            <v>45100</v>
          </cell>
          <cell r="N1012" t="str">
            <v>14 2912177</v>
          </cell>
          <cell r="P1012">
            <v>11.8</v>
          </cell>
          <cell r="Q1012">
            <v>0</v>
          </cell>
          <cell r="R1012" t="str">
            <v>1</v>
          </cell>
          <cell r="S1012" t="str">
            <v>45</v>
          </cell>
          <cell r="T1012">
            <v>97</v>
          </cell>
          <cell r="U1012">
            <v>12</v>
          </cell>
          <cell r="V1012">
            <v>97</v>
          </cell>
          <cell r="W1012">
            <v>12</v>
          </cell>
          <cell r="X1012">
            <v>97</v>
          </cell>
          <cell r="Y1012">
            <v>0</v>
          </cell>
          <cell r="Z1012">
            <v>0</v>
          </cell>
          <cell r="AB1012" t="str">
            <v>14</v>
          </cell>
          <cell r="AC1012">
            <v>2</v>
          </cell>
          <cell r="AD1012" t="str">
            <v>0</v>
          </cell>
          <cell r="AE1012" t="str">
            <v>0</v>
          </cell>
          <cell r="AF1012" t="str">
            <v>20</v>
          </cell>
          <cell r="AI1012">
            <v>0</v>
          </cell>
          <cell r="AJ1012">
            <v>0</v>
          </cell>
        </row>
        <row r="1013">
          <cell r="A1013" t="str">
            <v>20</v>
          </cell>
          <cell r="B1013" t="str">
            <v>17</v>
          </cell>
          <cell r="C1013" t="str">
            <v>468</v>
          </cell>
          <cell r="D1013" t="str">
            <v>Электронасос центроб</v>
          </cell>
          <cell r="E1013" t="str">
            <v>ежный S26 EMR</v>
          </cell>
          <cell r="G1013" t="str">
            <v>01</v>
          </cell>
          <cell r="H1013">
            <v>16691.400000000001</v>
          </cell>
          <cell r="I1013">
            <v>0</v>
          </cell>
          <cell r="J1013">
            <v>0</v>
          </cell>
          <cell r="K1013">
            <v>1</v>
          </cell>
          <cell r="L1013" t="str">
            <v>88/4</v>
          </cell>
          <cell r="M1013" t="str">
            <v>45100</v>
          </cell>
          <cell r="N1013" t="str">
            <v>14 2912177</v>
          </cell>
          <cell r="P1013">
            <v>11.8</v>
          </cell>
          <cell r="Q1013">
            <v>0</v>
          </cell>
          <cell r="R1013" t="str">
            <v>1</v>
          </cell>
          <cell r="S1013" t="str">
            <v>45</v>
          </cell>
          <cell r="T1013">
            <v>97</v>
          </cell>
          <cell r="U1013">
            <v>12</v>
          </cell>
          <cell r="V1013">
            <v>97</v>
          </cell>
          <cell r="W1013">
            <v>12</v>
          </cell>
          <cell r="X1013">
            <v>97</v>
          </cell>
          <cell r="Y1013">
            <v>0</v>
          </cell>
          <cell r="Z1013">
            <v>0</v>
          </cell>
          <cell r="AB1013" t="str">
            <v>14</v>
          </cell>
          <cell r="AC1013">
            <v>2</v>
          </cell>
          <cell r="AD1013" t="str">
            <v>0</v>
          </cell>
          <cell r="AE1013" t="str">
            <v>0</v>
          </cell>
          <cell r="AF1013" t="str">
            <v>20</v>
          </cell>
          <cell r="AI1013">
            <v>0</v>
          </cell>
          <cell r="AJ1013">
            <v>0</v>
          </cell>
        </row>
        <row r="1014">
          <cell r="A1014" t="str">
            <v>20</v>
          </cell>
          <cell r="B1014" t="str">
            <v>17</v>
          </cell>
          <cell r="C1014" t="str">
            <v>469</v>
          </cell>
          <cell r="D1014" t="str">
            <v>Емкость для холод.во</v>
          </cell>
          <cell r="E1014" t="str">
            <v>ды 100 л</v>
          </cell>
          <cell r="G1014" t="str">
            <v>01</v>
          </cell>
          <cell r="H1014">
            <v>4048.66</v>
          </cell>
          <cell r="I1014">
            <v>0</v>
          </cell>
          <cell r="J1014">
            <v>0</v>
          </cell>
          <cell r="K1014">
            <v>1</v>
          </cell>
          <cell r="L1014" t="str">
            <v>88/4</v>
          </cell>
          <cell r="M1014" t="str">
            <v>45100</v>
          </cell>
          <cell r="N1014" t="str">
            <v>14 2925110</v>
          </cell>
          <cell r="P1014">
            <v>11.8</v>
          </cell>
          <cell r="Q1014">
            <v>0</v>
          </cell>
          <cell r="R1014" t="str">
            <v>1</v>
          </cell>
          <cell r="S1014" t="str">
            <v>45</v>
          </cell>
          <cell r="T1014">
            <v>97</v>
          </cell>
          <cell r="U1014">
            <v>12</v>
          </cell>
          <cell r="V1014">
            <v>97</v>
          </cell>
          <cell r="W1014">
            <v>12</v>
          </cell>
          <cell r="X1014">
            <v>97</v>
          </cell>
          <cell r="Y1014">
            <v>0</v>
          </cell>
          <cell r="Z1014">
            <v>0</v>
          </cell>
          <cell r="AB1014" t="str">
            <v>14</v>
          </cell>
          <cell r="AC1014">
            <v>2</v>
          </cell>
          <cell r="AD1014" t="str">
            <v>0</v>
          </cell>
          <cell r="AE1014" t="str">
            <v>0</v>
          </cell>
          <cell r="AF1014" t="str">
            <v>20</v>
          </cell>
          <cell r="AI1014">
            <v>0</v>
          </cell>
          <cell r="AJ1014">
            <v>0</v>
          </cell>
        </row>
        <row r="1015">
          <cell r="A1015" t="str">
            <v>20</v>
          </cell>
          <cell r="B1015" t="str">
            <v>17</v>
          </cell>
          <cell r="C1015" t="str">
            <v>470</v>
          </cell>
          <cell r="D1015" t="str">
            <v>Электронасос лоя лед</v>
          </cell>
          <cell r="E1015" t="str">
            <v>ян.воды 3М32-160/2.2</v>
          </cell>
          <cell r="G1015" t="str">
            <v>01</v>
          </cell>
          <cell r="H1015">
            <v>4222.7</v>
          </cell>
          <cell r="I1015">
            <v>0</v>
          </cell>
          <cell r="J1015">
            <v>0</v>
          </cell>
          <cell r="K1015">
            <v>1</v>
          </cell>
          <cell r="L1015" t="str">
            <v>88/4</v>
          </cell>
          <cell r="M1015" t="str">
            <v>45100</v>
          </cell>
          <cell r="N1015" t="str">
            <v>14 2922177</v>
          </cell>
          <cell r="P1015">
            <v>11.8</v>
          </cell>
          <cell r="Q1015">
            <v>0</v>
          </cell>
          <cell r="R1015" t="str">
            <v>1</v>
          </cell>
          <cell r="S1015" t="str">
            <v>45</v>
          </cell>
          <cell r="T1015">
            <v>97</v>
          </cell>
          <cell r="U1015">
            <v>12</v>
          </cell>
          <cell r="V1015">
            <v>97</v>
          </cell>
          <cell r="W1015">
            <v>12</v>
          </cell>
          <cell r="X1015">
            <v>97</v>
          </cell>
          <cell r="Y1015">
            <v>0</v>
          </cell>
          <cell r="Z1015">
            <v>0</v>
          </cell>
          <cell r="AB1015" t="str">
            <v>14</v>
          </cell>
          <cell r="AC1015">
            <v>2</v>
          </cell>
          <cell r="AD1015" t="str">
            <v>0</v>
          </cell>
          <cell r="AE1015" t="str">
            <v>0</v>
          </cell>
          <cell r="AF1015" t="str">
            <v>20</v>
          </cell>
          <cell r="AI1015">
            <v>0</v>
          </cell>
          <cell r="AJ1015">
            <v>0</v>
          </cell>
        </row>
        <row r="1016">
          <cell r="A1016" t="str">
            <v>20</v>
          </cell>
          <cell r="B1016" t="str">
            <v>17</v>
          </cell>
          <cell r="C1016" t="str">
            <v>471</v>
          </cell>
          <cell r="D1016" t="str">
            <v>Электронасос для лед</v>
          </cell>
          <cell r="E1016" t="str">
            <v>ян.воды 3М32-160/2.2</v>
          </cell>
          <cell r="G1016" t="str">
            <v>01</v>
          </cell>
          <cell r="H1016">
            <v>4222.7</v>
          </cell>
          <cell r="I1016">
            <v>0</v>
          </cell>
          <cell r="J1016">
            <v>0</v>
          </cell>
          <cell r="K1016">
            <v>1</v>
          </cell>
          <cell r="L1016" t="str">
            <v>88/4</v>
          </cell>
          <cell r="M1016" t="str">
            <v>45100</v>
          </cell>
          <cell r="N1016" t="str">
            <v>14 2912177</v>
          </cell>
          <cell r="P1016">
            <v>11.8</v>
          </cell>
          <cell r="Q1016">
            <v>0</v>
          </cell>
          <cell r="R1016" t="str">
            <v>1</v>
          </cell>
          <cell r="S1016" t="str">
            <v>45</v>
          </cell>
          <cell r="T1016">
            <v>97</v>
          </cell>
          <cell r="U1016">
            <v>12</v>
          </cell>
          <cell r="V1016">
            <v>97</v>
          </cell>
          <cell r="W1016">
            <v>12</v>
          </cell>
          <cell r="X1016">
            <v>97</v>
          </cell>
          <cell r="Y1016">
            <v>0</v>
          </cell>
          <cell r="Z1016">
            <v>0</v>
          </cell>
          <cell r="AB1016" t="str">
            <v>14</v>
          </cell>
          <cell r="AC1016">
            <v>2</v>
          </cell>
          <cell r="AD1016" t="str">
            <v>0</v>
          </cell>
          <cell r="AE1016" t="str">
            <v>0</v>
          </cell>
          <cell r="AF1016" t="str">
            <v>20</v>
          </cell>
          <cell r="AI1016">
            <v>0</v>
          </cell>
          <cell r="AJ1016">
            <v>0</v>
          </cell>
        </row>
        <row r="1017">
          <cell r="A1017" t="str">
            <v>20</v>
          </cell>
          <cell r="B1017" t="str">
            <v>17</v>
          </cell>
          <cell r="C1017" t="str">
            <v>472</v>
          </cell>
          <cell r="D1017" t="str">
            <v>Электронасос для мой</v>
          </cell>
          <cell r="E1017" t="str">
            <v>ки NM32/168E</v>
          </cell>
          <cell r="G1017" t="str">
            <v>01</v>
          </cell>
          <cell r="H1017">
            <v>4053.08</v>
          </cell>
          <cell r="I1017">
            <v>0</v>
          </cell>
          <cell r="J1017">
            <v>0</v>
          </cell>
          <cell r="K1017">
            <v>1</v>
          </cell>
          <cell r="L1017" t="str">
            <v>88/4</v>
          </cell>
          <cell r="M1017" t="str">
            <v>45100</v>
          </cell>
          <cell r="N1017" t="str">
            <v>14 2912177</v>
          </cell>
          <cell r="P1017">
            <v>11.8</v>
          </cell>
          <cell r="Q1017">
            <v>0</v>
          </cell>
          <cell r="R1017" t="str">
            <v>1</v>
          </cell>
          <cell r="S1017" t="str">
            <v>45</v>
          </cell>
          <cell r="T1017">
            <v>97</v>
          </cell>
          <cell r="U1017">
            <v>12</v>
          </cell>
          <cell r="V1017">
            <v>97</v>
          </cell>
          <cell r="W1017">
            <v>12</v>
          </cell>
          <cell r="X1017">
            <v>97</v>
          </cell>
          <cell r="Y1017">
            <v>0</v>
          </cell>
          <cell r="Z1017">
            <v>0</v>
          </cell>
          <cell r="AB1017" t="str">
            <v>14</v>
          </cell>
          <cell r="AC1017">
            <v>2</v>
          </cell>
          <cell r="AD1017" t="str">
            <v>0</v>
          </cell>
          <cell r="AE1017" t="str">
            <v>0</v>
          </cell>
          <cell r="AF1017" t="str">
            <v>20</v>
          </cell>
          <cell r="AI1017">
            <v>0</v>
          </cell>
          <cell r="AJ1017">
            <v>0</v>
          </cell>
        </row>
        <row r="1018">
          <cell r="A1018" t="str">
            <v>20</v>
          </cell>
          <cell r="B1018" t="str">
            <v>17</v>
          </cell>
          <cell r="C1018" t="str">
            <v>473</v>
          </cell>
          <cell r="D1018" t="str">
            <v>Газовый парогенерато</v>
          </cell>
          <cell r="E1018" t="str">
            <v>р ИФ ЛЦ-5172-001-073</v>
          </cell>
          <cell r="G1018" t="str">
            <v>01</v>
          </cell>
          <cell r="H1018">
            <v>74036.95</v>
          </cell>
          <cell r="I1018">
            <v>0</v>
          </cell>
          <cell r="J1018">
            <v>0</v>
          </cell>
          <cell r="K1018">
            <v>1</v>
          </cell>
          <cell r="L1018" t="str">
            <v>88/4</v>
          </cell>
          <cell r="M1018" t="str">
            <v>49020</v>
          </cell>
          <cell r="N1018" t="str">
            <v>14 2911134</v>
          </cell>
          <cell r="P1018">
            <v>5</v>
          </cell>
          <cell r="Q1018">
            <v>0</v>
          </cell>
          <cell r="R1018" t="str">
            <v>1</v>
          </cell>
          <cell r="S1018" t="str">
            <v>49</v>
          </cell>
          <cell r="T1018">
            <v>97</v>
          </cell>
          <cell r="U1018">
            <v>12</v>
          </cell>
          <cell r="V1018">
            <v>97</v>
          </cell>
          <cell r="W1018">
            <v>12</v>
          </cell>
          <cell r="X1018">
            <v>97</v>
          </cell>
          <cell r="Y1018">
            <v>0</v>
          </cell>
          <cell r="Z1018">
            <v>0</v>
          </cell>
          <cell r="AB1018" t="str">
            <v>14</v>
          </cell>
          <cell r="AC1018">
            <v>2</v>
          </cell>
          <cell r="AD1018" t="str">
            <v>0</v>
          </cell>
          <cell r="AE1018" t="str">
            <v>0</v>
          </cell>
          <cell r="AF1018" t="str">
            <v>20</v>
          </cell>
          <cell r="AI1018">
            <v>0</v>
          </cell>
          <cell r="AJ1018">
            <v>0</v>
          </cell>
        </row>
        <row r="1019">
          <cell r="A1019" t="str">
            <v>20</v>
          </cell>
          <cell r="B1019" t="str">
            <v>17</v>
          </cell>
          <cell r="C1019" t="str">
            <v>474</v>
          </cell>
          <cell r="D1019" t="str">
            <v>Фильтр на активном у</v>
          </cell>
          <cell r="E1019" t="str">
            <v>зле для воды</v>
          </cell>
          <cell r="G1019" t="str">
            <v>01</v>
          </cell>
          <cell r="H1019">
            <v>52155.21</v>
          </cell>
          <cell r="I1019">
            <v>0</v>
          </cell>
          <cell r="J1019">
            <v>0</v>
          </cell>
          <cell r="K1019">
            <v>1</v>
          </cell>
          <cell r="L1019" t="str">
            <v>88/4</v>
          </cell>
          <cell r="M1019" t="str">
            <v>49013</v>
          </cell>
          <cell r="N1019" t="str">
            <v>14 2813151</v>
          </cell>
          <cell r="P1019">
            <v>6.7</v>
          </cell>
          <cell r="Q1019">
            <v>0</v>
          </cell>
          <cell r="R1019" t="str">
            <v>1</v>
          </cell>
          <cell r="S1019" t="str">
            <v>49</v>
          </cell>
          <cell r="T1019">
            <v>97</v>
          </cell>
          <cell r="U1019">
            <v>12</v>
          </cell>
          <cell r="V1019">
            <v>97</v>
          </cell>
          <cell r="W1019">
            <v>12</v>
          </cell>
          <cell r="X1019">
            <v>97</v>
          </cell>
          <cell r="Y1019">
            <v>0</v>
          </cell>
          <cell r="Z1019">
            <v>0</v>
          </cell>
          <cell r="AB1019" t="str">
            <v>14</v>
          </cell>
          <cell r="AC1019">
            <v>2</v>
          </cell>
          <cell r="AD1019" t="str">
            <v>0</v>
          </cell>
          <cell r="AE1019" t="str">
            <v>0</v>
          </cell>
          <cell r="AF1019" t="str">
            <v>20</v>
          </cell>
          <cell r="AI1019">
            <v>0</v>
          </cell>
          <cell r="AJ1019">
            <v>0</v>
          </cell>
        </row>
        <row r="1020">
          <cell r="A1020" t="str">
            <v>20</v>
          </cell>
          <cell r="B1020" t="str">
            <v>17</v>
          </cell>
          <cell r="C1020" t="str">
            <v>475</v>
          </cell>
          <cell r="D1020" t="str">
            <v>Машина для вакуумной</v>
          </cell>
          <cell r="E1020" t="str">
            <v xml:space="preserve"> упаковки SACC-VC-40</v>
          </cell>
          <cell r="F1020" t="str">
            <v>0</v>
          </cell>
          <cell r="G1020" t="str">
            <v>01</v>
          </cell>
          <cell r="H1020">
            <v>36063.089999999997</v>
          </cell>
          <cell r="I1020">
            <v>0</v>
          </cell>
          <cell r="J1020">
            <v>0</v>
          </cell>
          <cell r="K1020">
            <v>1</v>
          </cell>
          <cell r="L1020" t="str">
            <v>88/4</v>
          </cell>
          <cell r="M1020" t="str">
            <v>45100</v>
          </cell>
          <cell r="N1020" t="str">
            <v>14 2925104</v>
          </cell>
          <cell r="P1020">
            <v>11.8</v>
          </cell>
          <cell r="Q1020">
            <v>0</v>
          </cell>
          <cell r="R1020" t="str">
            <v>1</v>
          </cell>
          <cell r="S1020" t="str">
            <v>45</v>
          </cell>
          <cell r="T1020">
            <v>97</v>
          </cell>
          <cell r="U1020">
            <v>12</v>
          </cell>
          <cell r="V1020">
            <v>97</v>
          </cell>
          <cell r="W1020">
            <v>12</v>
          </cell>
          <cell r="X1020">
            <v>97</v>
          </cell>
          <cell r="Y1020">
            <v>0</v>
          </cell>
          <cell r="Z1020">
            <v>0</v>
          </cell>
          <cell r="AB1020" t="str">
            <v>14</v>
          </cell>
          <cell r="AC1020">
            <v>2</v>
          </cell>
          <cell r="AD1020" t="str">
            <v>0</v>
          </cell>
          <cell r="AE1020" t="str">
            <v>0</v>
          </cell>
          <cell r="AF1020" t="str">
            <v>20</v>
          </cell>
          <cell r="AI1020">
            <v>0</v>
          </cell>
          <cell r="AJ1020">
            <v>0</v>
          </cell>
        </row>
        <row r="1021">
          <cell r="A1021" t="str">
            <v>20</v>
          </cell>
          <cell r="B1021" t="str">
            <v>17</v>
          </cell>
          <cell r="C1021" t="str">
            <v>476</v>
          </cell>
          <cell r="D1021" t="str">
            <v>Весы 200 кг DMS -11-</v>
          </cell>
          <cell r="E1021" t="str">
            <v>1982</v>
          </cell>
          <cell r="G1021" t="str">
            <v>01</v>
          </cell>
          <cell r="H1021">
            <v>4666.09</v>
          </cell>
          <cell r="I1021">
            <v>0</v>
          </cell>
          <cell r="J1021">
            <v>0</v>
          </cell>
          <cell r="K1021">
            <v>1</v>
          </cell>
          <cell r="L1021" t="str">
            <v>88/4</v>
          </cell>
          <cell r="M1021" t="str">
            <v>47039</v>
          </cell>
          <cell r="N1021" t="str">
            <v>14 3312122</v>
          </cell>
          <cell r="P1021">
            <v>6.7</v>
          </cell>
          <cell r="Q1021">
            <v>0</v>
          </cell>
          <cell r="R1021" t="str">
            <v>1</v>
          </cell>
          <cell r="S1021" t="str">
            <v>47</v>
          </cell>
          <cell r="T1021">
            <v>97</v>
          </cell>
          <cell r="U1021">
            <v>12</v>
          </cell>
          <cell r="V1021">
            <v>97</v>
          </cell>
          <cell r="W1021">
            <v>12</v>
          </cell>
          <cell r="X1021">
            <v>97</v>
          </cell>
          <cell r="Y1021">
            <v>0</v>
          </cell>
          <cell r="Z1021">
            <v>0</v>
          </cell>
          <cell r="AB1021" t="str">
            <v>14</v>
          </cell>
          <cell r="AC1021">
            <v>2</v>
          </cell>
          <cell r="AD1021" t="str">
            <v>0</v>
          </cell>
          <cell r="AE1021" t="str">
            <v>0</v>
          </cell>
          <cell r="AF1021" t="str">
            <v>20</v>
          </cell>
          <cell r="AI1021">
            <v>0</v>
          </cell>
          <cell r="AJ1021">
            <v>0</v>
          </cell>
        </row>
        <row r="1022">
          <cell r="A1022" t="str">
            <v>20</v>
          </cell>
          <cell r="B1022" t="str">
            <v>17</v>
          </cell>
          <cell r="C1022" t="str">
            <v>477</v>
          </cell>
          <cell r="D1022" t="str">
            <v>Стол рабочий стац.из</v>
          </cell>
          <cell r="E1022" t="str">
            <v>нерж. стали</v>
          </cell>
          <cell r="G1022" t="str">
            <v>01</v>
          </cell>
          <cell r="H1022">
            <v>8215.23</v>
          </cell>
          <cell r="I1022">
            <v>0</v>
          </cell>
          <cell r="J1022">
            <v>0</v>
          </cell>
          <cell r="K1022">
            <v>1</v>
          </cell>
          <cell r="L1022" t="str">
            <v>88/4</v>
          </cell>
          <cell r="M1022" t="str">
            <v>45100</v>
          </cell>
          <cell r="N1022" t="str">
            <v>14 2925110</v>
          </cell>
          <cell r="P1022">
            <v>11.8</v>
          </cell>
          <cell r="Q1022">
            <v>0</v>
          </cell>
          <cell r="R1022" t="str">
            <v>1</v>
          </cell>
          <cell r="S1022" t="str">
            <v>45</v>
          </cell>
          <cell r="T1022">
            <v>97</v>
          </cell>
          <cell r="U1022">
            <v>12</v>
          </cell>
          <cell r="V1022">
            <v>97</v>
          </cell>
          <cell r="W1022">
            <v>12</v>
          </cell>
          <cell r="X1022">
            <v>97</v>
          </cell>
          <cell r="Y1022">
            <v>0</v>
          </cell>
          <cell r="Z1022">
            <v>0</v>
          </cell>
          <cell r="AB1022" t="str">
            <v>14</v>
          </cell>
          <cell r="AC1022">
            <v>2</v>
          </cell>
          <cell r="AD1022" t="str">
            <v>0</v>
          </cell>
          <cell r="AE1022" t="str">
            <v>0</v>
          </cell>
          <cell r="AF1022" t="str">
            <v>20</v>
          </cell>
          <cell r="AI1022">
            <v>0</v>
          </cell>
          <cell r="AJ1022">
            <v>0</v>
          </cell>
        </row>
        <row r="1023">
          <cell r="A1023" t="str">
            <v>20</v>
          </cell>
          <cell r="B1023" t="str">
            <v>17</v>
          </cell>
          <cell r="C1023" t="str">
            <v>478</v>
          </cell>
          <cell r="D1023" t="str">
            <v>Стол рабочий стац.из</v>
          </cell>
          <cell r="E1023" t="str">
            <v>нерж.стали</v>
          </cell>
          <cell r="G1023" t="str">
            <v>01</v>
          </cell>
          <cell r="H1023">
            <v>8215.23</v>
          </cell>
          <cell r="I1023">
            <v>0</v>
          </cell>
          <cell r="J1023">
            <v>0</v>
          </cell>
          <cell r="K1023">
            <v>1</v>
          </cell>
          <cell r="L1023" t="str">
            <v>88/4</v>
          </cell>
          <cell r="M1023" t="str">
            <v>45100</v>
          </cell>
          <cell r="N1023" t="str">
            <v>14 2925110</v>
          </cell>
          <cell r="P1023">
            <v>11.8</v>
          </cell>
          <cell r="Q1023">
            <v>0</v>
          </cell>
          <cell r="R1023" t="str">
            <v>1</v>
          </cell>
          <cell r="S1023" t="str">
            <v>45</v>
          </cell>
          <cell r="T1023">
            <v>97</v>
          </cell>
          <cell r="U1023">
            <v>12</v>
          </cell>
          <cell r="V1023">
            <v>97</v>
          </cell>
          <cell r="W1023">
            <v>12</v>
          </cell>
          <cell r="X1023">
            <v>97</v>
          </cell>
          <cell r="Y1023">
            <v>0</v>
          </cell>
          <cell r="Z1023">
            <v>0</v>
          </cell>
          <cell r="AB1023" t="str">
            <v>14</v>
          </cell>
          <cell r="AC1023">
            <v>2</v>
          </cell>
          <cell r="AD1023" t="str">
            <v>0</v>
          </cell>
          <cell r="AE1023" t="str">
            <v>0</v>
          </cell>
          <cell r="AF1023" t="str">
            <v>20</v>
          </cell>
          <cell r="AI1023">
            <v>0</v>
          </cell>
          <cell r="AJ1023">
            <v>0</v>
          </cell>
        </row>
        <row r="1024">
          <cell r="A1024" t="str">
            <v>20</v>
          </cell>
          <cell r="B1024" t="str">
            <v>17</v>
          </cell>
          <cell r="C1024" t="str">
            <v>479</v>
          </cell>
          <cell r="D1024" t="str">
            <v>Тележка для перевозк</v>
          </cell>
          <cell r="E1024" t="str">
            <v>и сыров</v>
          </cell>
          <cell r="G1024" t="str">
            <v>01</v>
          </cell>
          <cell r="H1024">
            <v>3738.24</v>
          </cell>
          <cell r="I1024">
            <v>0</v>
          </cell>
          <cell r="J1024">
            <v>0</v>
          </cell>
          <cell r="K1024">
            <v>1</v>
          </cell>
          <cell r="L1024" t="str">
            <v>88/4</v>
          </cell>
          <cell r="M1024" t="str">
            <v>45100</v>
          </cell>
          <cell r="N1024" t="str">
            <v>14 2925110</v>
          </cell>
          <cell r="P1024">
            <v>11.8</v>
          </cell>
          <cell r="Q1024">
            <v>0</v>
          </cell>
          <cell r="R1024" t="str">
            <v>1</v>
          </cell>
          <cell r="S1024" t="str">
            <v>45</v>
          </cell>
          <cell r="T1024">
            <v>97</v>
          </cell>
          <cell r="U1024">
            <v>12</v>
          </cell>
          <cell r="V1024">
            <v>97</v>
          </cell>
          <cell r="W1024">
            <v>12</v>
          </cell>
          <cell r="X1024">
            <v>97</v>
          </cell>
          <cell r="Y1024">
            <v>0</v>
          </cell>
          <cell r="Z1024">
            <v>0</v>
          </cell>
          <cell r="AB1024" t="str">
            <v>14</v>
          </cell>
          <cell r="AC1024">
            <v>2</v>
          </cell>
          <cell r="AD1024" t="str">
            <v>0</v>
          </cell>
          <cell r="AE1024" t="str">
            <v>0</v>
          </cell>
          <cell r="AF1024" t="str">
            <v>20</v>
          </cell>
          <cell r="AI1024">
            <v>0</v>
          </cell>
          <cell r="AJ1024">
            <v>0</v>
          </cell>
        </row>
        <row r="1025">
          <cell r="A1025" t="str">
            <v>20</v>
          </cell>
          <cell r="B1025" t="str">
            <v>17</v>
          </cell>
          <cell r="C1025" t="str">
            <v>480</v>
          </cell>
          <cell r="D1025" t="str">
            <v>Ванна стац. из нерж.</v>
          </cell>
          <cell r="E1025" t="str">
            <v>стали</v>
          </cell>
          <cell r="G1025" t="str">
            <v>01</v>
          </cell>
          <cell r="H1025">
            <v>10946.73</v>
          </cell>
          <cell r="I1025">
            <v>0</v>
          </cell>
          <cell r="J1025">
            <v>0</v>
          </cell>
          <cell r="K1025">
            <v>1</v>
          </cell>
          <cell r="L1025" t="str">
            <v>88/4</v>
          </cell>
          <cell r="M1025" t="str">
            <v>45100</v>
          </cell>
          <cell r="N1025" t="str">
            <v>14 2925110</v>
          </cell>
          <cell r="P1025">
            <v>11.8</v>
          </cell>
          <cell r="Q1025">
            <v>0</v>
          </cell>
          <cell r="R1025" t="str">
            <v>1</v>
          </cell>
          <cell r="S1025" t="str">
            <v>45</v>
          </cell>
          <cell r="T1025">
            <v>97</v>
          </cell>
          <cell r="U1025">
            <v>12</v>
          </cell>
          <cell r="V1025">
            <v>97</v>
          </cell>
          <cell r="W1025">
            <v>12</v>
          </cell>
          <cell r="X1025">
            <v>97</v>
          </cell>
          <cell r="Y1025">
            <v>0</v>
          </cell>
          <cell r="Z1025">
            <v>0</v>
          </cell>
          <cell r="AB1025" t="str">
            <v>14</v>
          </cell>
          <cell r="AC1025">
            <v>2</v>
          </cell>
          <cell r="AD1025" t="str">
            <v>0</v>
          </cell>
          <cell r="AE1025" t="str">
            <v>0</v>
          </cell>
          <cell r="AF1025" t="str">
            <v>20</v>
          </cell>
          <cell r="AI1025">
            <v>0</v>
          </cell>
          <cell r="AJ1025">
            <v>0</v>
          </cell>
        </row>
        <row r="1026">
          <cell r="A1026" t="str">
            <v>20</v>
          </cell>
          <cell r="B1026" t="str">
            <v>17</v>
          </cell>
          <cell r="C1026" t="str">
            <v>481</v>
          </cell>
          <cell r="D1026" t="str">
            <v>Ванна стац. из нерж.</v>
          </cell>
          <cell r="E1026" t="str">
            <v>стали</v>
          </cell>
          <cell r="G1026" t="str">
            <v>01</v>
          </cell>
          <cell r="H1026">
            <v>10946.73</v>
          </cell>
          <cell r="I1026">
            <v>0</v>
          </cell>
          <cell r="J1026">
            <v>0</v>
          </cell>
          <cell r="K1026">
            <v>1</v>
          </cell>
          <cell r="L1026" t="str">
            <v>88/4</v>
          </cell>
          <cell r="M1026" t="str">
            <v>45100</v>
          </cell>
          <cell r="N1026" t="str">
            <v>14 2925110</v>
          </cell>
          <cell r="P1026">
            <v>11.8</v>
          </cell>
          <cell r="Q1026">
            <v>0</v>
          </cell>
          <cell r="R1026" t="str">
            <v>1</v>
          </cell>
          <cell r="S1026" t="str">
            <v>45</v>
          </cell>
          <cell r="T1026">
            <v>97</v>
          </cell>
          <cell r="U1026">
            <v>12</v>
          </cell>
          <cell r="V1026">
            <v>97</v>
          </cell>
          <cell r="W1026">
            <v>12</v>
          </cell>
          <cell r="X1026">
            <v>97</v>
          </cell>
          <cell r="Y1026">
            <v>0</v>
          </cell>
          <cell r="Z1026">
            <v>0</v>
          </cell>
          <cell r="AB1026" t="str">
            <v>14</v>
          </cell>
          <cell r="AC1026">
            <v>2</v>
          </cell>
          <cell r="AD1026" t="str">
            <v>0</v>
          </cell>
          <cell r="AE1026" t="str">
            <v>0</v>
          </cell>
          <cell r="AF1026" t="str">
            <v>20</v>
          </cell>
          <cell r="AI1026">
            <v>0</v>
          </cell>
          <cell r="AJ1026">
            <v>0</v>
          </cell>
        </row>
        <row r="1027">
          <cell r="A1027" t="str">
            <v>20</v>
          </cell>
          <cell r="B1027" t="str">
            <v>17</v>
          </cell>
          <cell r="C1027" t="str">
            <v>482</v>
          </cell>
          <cell r="D1027" t="str">
            <v>Ванна стац.  из нерж</v>
          </cell>
          <cell r="E1027" t="str">
            <v>стали</v>
          </cell>
          <cell r="G1027" t="str">
            <v>01</v>
          </cell>
          <cell r="H1027">
            <v>10946.73</v>
          </cell>
          <cell r="I1027">
            <v>0</v>
          </cell>
          <cell r="J1027">
            <v>0</v>
          </cell>
          <cell r="K1027">
            <v>1</v>
          </cell>
          <cell r="L1027" t="str">
            <v>88/4</v>
          </cell>
          <cell r="M1027" t="str">
            <v>45100</v>
          </cell>
          <cell r="N1027" t="str">
            <v>14 2925110</v>
          </cell>
          <cell r="P1027">
            <v>11.8</v>
          </cell>
          <cell r="Q1027">
            <v>0</v>
          </cell>
          <cell r="R1027" t="str">
            <v>1</v>
          </cell>
          <cell r="S1027" t="str">
            <v>45</v>
          </cell>
          <cell r="T1027">
            <v>97</v>
          </cell>
          <cell r="U1027">
            <v>12</v>
          </cell>
          <cell r="V1027">
            <v>97</v>
          </cell>
          <cell r="W1027">
            <v>12</v>
          </cell>
          <cell r="X1027">
            <v>97</v>
          </cell>
          <cell r="Y1027">
            <v>0</v>
          </cell>
          <cell r="Z1027">
            <v>0</v>
          </cell>
          <cell r="AB1027" t="str">
            <v>14</v>
          </cell>
          <cell r="AC1027">
            <v>2</v>
          </cell>
          <cell r="AD1027" t="str">
            <v>0</v>
          </cell>
          <cell r="AE1027" t="str">
            <v>0</v>
          </cell>
          <cell r="AF1027" t="str">
            <v>20</v>
          </cell>
          <cell r="AI1027">
            <v>0</v>
          </cell>
          <cell r="AJ1027">
            <v>0</v>
          </cell>
        </row>
        <row r="1028">
          <cell r="A1028" t="str">
            <v>20</v>
          </cell>
          <cell r="B1028" t="str">
            <v>17</v>
          </cell>
          <cell r="C1028" t="str">
            <v>483</v>
          </cell>
          <cell r="D1028" t="str">
            <v>Электронасос передви</v>
          </cell>
          <cell r="E1028" t="str">
            <v>жной 3л.с.А-80 MR</v>
          </cell>
          <cell r="G1028" t="str">
            <v>01</v>
          </cell>
          <cell r="H1028">
            <v>4222.7</v>
          </cell>
          <cell r="I1028">
            <v>0</v>
          </cell>
          <cell r="J1028">
            <v>0</v>
          </cell>
          <cell r="K1028">
            <v>1</v>
          </cell>
          <cell r="L1028" t="str">
            <v>88/4</v>
          </cell>
          <cell r="M1028" t="str">
            <v>45100</v>
          </cell>
          <cell r="N1028" t="str">
            <v>14 2925110</v>
          </cell>
          <cell r="P1028">
            <v>11.8</v>
          </cell>
          <cell r="Q1028">
            <v>0</v>
          </cell>
          <cell r="R1028" t="str">
            <v>1</v>
          </cell>
          <cell r="S1028" t="str">
            <v>45</v>
          </cell>
          <cell r="T1028">
            <v>97</v>
          </cell>
          <cell r="U1028">
            <v>12</v>
          </cell>
          <cell r="V1028">
            <v>97</v>
          </cell>
          <cell r="W1028">
            <v>12</v>
          </cell>
          <cell r="X1028">
            <v>97</v>
          </cell>
          <cell r="Y1028">
            <v>0</v>
          </cell>
          <cell r="Z1028">
            <v>0</v>
          </cell>
          <cell r="AB1028" t="str">
            <v>14</v>
          </cell>
          <cell r="AC1028">
            <v>2</v>
          </cell>
          <cell r="AD1028" t="str">
            <v>0</v>
          </cell>
          <cell r="AE1028" t="str">
            <v>0</v>
          </cell>
          <cell r="AF1028" t="str">
            <v>20</v>
          </cell>
          <cell r="AI1028">
            <v>0</v>
          </cell>
          <cell r="AJ1028">
            <v>0</v>
          </cell>
        </row>
        <row r="1029">
          <cell r="A1029" t="str">
            <v>20</v>
          </cell>
          <cell r="B1029" t="str">
            <v>17</v>
          </cell>
          <cell r="C1029" t="str">
            <v>484</v>
          </cell>
          <cell r="D1029" t="str">
            <v>Корзина на колесах</v>
          </cell>
          <cell r="G1029" t="str">
            <v>01</v>
          </cell>
          <cell r="H1029">
            <v>4185.03</v>
          </cell>
          <cell r="I1029">
            <v>0</v>
          </cell>
          <cell r="J1029">
            <v>0</v>
          </cell>
          <cell r="K1029">
            <v>1</v>
          </cell>
          <cell r="L1029" t="str">
            <v>88/4</v>
          </cell>
          <cell r="M1029" t="str">
            <v>45100</v>
          </cell>
          <cell r="N1029" t="str">
            <v>14 2925110</v>
          </cell>
          <cell r="P1029">
            <v>11.8</v>
          </cell>
          <cell r="Q1029">
            <v>0</v>
          </cell>
          <cell r="R1029" t="str">
            <v>1</v>
          </cell>
          <cell r="S1029" t="str">
            <v>45</v>
          </cell>
          <cell r="T1029">
            <v>97</v>
          </cell>
          <cell r="U1029">
            <v>12</v>
          </cell>
          <cell r="V1029">
            <v>97</v>
          </cell>
          <cell r="W1029">
            <v>12</v>
          </cell>
          <cell r="X1029">
            <v>97</v>
          </cell>
          <cell r="Y1029">
            <v>0</v>
          </cell>
          <cell r="Z1029">
            <v>0</v>
          </cell>
          <cell r="AB1029" t="str">
            <v>14</v>
          </cell>
          <cell r="AC1029">
            <v>2</v>
          </cell>
          <cell r="AD1029" t="str">
            <v>0</v>
          </cell>
          <cell r="AE1029" t="str">
            <v>0</v>
          </cell>
          <cell r="AF1029" t="str">
            <v>20</v>
          </cell>
          <cell r="AI1029">
            <v>0</v>
          </cell>
          <cell r="AJ1029">
            <v>0</v>
          </cell>
        </row>
        <row r="1030">
          <cell r="A1030" t="str">
            <v>20</v>
          </cell>
          <cell r="B1030" t="str">
            <v>17</v>
          </cell>
          <cell r="C1030" t="str">
            <v>485</v>
          </cell>
          <cell r="D1030" t="str">
            <v>Стеллаж для сыров</v>
          </cell>
          <cell r="G1030" t="str">
            <v>01</v>
          </cell>
          <cell r="H1030">
            <v>5758.19</v>
          </cell>
          <cell r="I1030">
            <v>0</v>
          </cell>
          <cell r="J1030">
            <v>0</v>
          </cell>
          <cell r="K1030">
            <v>1</v>
          </cell>
          <cell r="L1030" t="str">
            <v>88/4</v>
          </cell>
          <cell r="M1030" t="str">
            <v>45101</v>
          </cell>
          <cell r="N1030" t="str">
            <v>14 2925113</v>
          </cell>
          <cell r="P1030">
            <v>12.5</v>
          </cell>
          <cell r="Q1030">
            <v>0</v>
          </cell>
          <cell r="R1030" t="str">
            <v>1</v>
          </cell>
          <cell r="S1030" t="str">
            <v>45</v>
          </cell>
          <cell r="T1030">
            <v>97</v>
          </cell>
          <cell r="U1030">
            <v>12</v>
          </cell>
          <cell r="V1030">
            <v>97</v>
          </cell>
          <cell r="W1030">
            <v>12</v>
          </cell>
          <cell r="X1030">
            <v>97</v>
          </cell>
          <cell r="Y1030">
            <v>0</v>
          </cell>
          <cell r="Z1030">
            <v>0</v>
          </cell>
          <cell r="AB1030" t="str">
            <v>14</v>
          </cell>
          <cell r="AC1030">
            <v>2</v>
          </cell>
          <cell r="AD1030" t="str">
            <v>0</v>
          </cell>
          <cell r="AE1030" t="str">
            <v>0</v>
          </cell>
          <cell r="AF1030" t="str">
            <v>20</v>
          </cell>
          <cell r="AI1030">
            <v>0</v>
          </cell>
          <cell r="AJ1030">
            <v>0</v>
          </cell>
        </row>
        <row r="1031">
          <cell r="A1031" t="str">
            <v>20</v>
          </cell>
          <cell r="B1031" t="str">
            <v>17</v>
          </cell>
          <cell r="C1031" t="str">
            <v>486</v>
          </cell>
          <cell r="D1031" t="str">
            <v>Стеллаж для сыров</v>
          </cell>
          <cell r="G1031" t="str">
            <v>01</v>
          </cell>
          <cell r="H1031">
            <v>5758.19</v>
          </cell>
          <cell r="I1031">
            <v>0</v>
          </cell>
          <cell r="J1031">
            <v>0</v>
          </cell>
          <cell r="K1031">
            <v>1</v>
          </cell>
          <cell r="L1031" t="str">
            <v>88/4</v>
          </cell>
          <cell r="M1031" t="str">
            <v>45101</v>
          </cell>
          <cell r="N1031" t="str">
            <v>14 2925113</v>
          </cell>
          <cell r="P1031">
            <v>12.5</v>
          </cell>
          <cell r="Q1031">
            <v>0</v>
          </cell>
          <cell r="R1031" t="str">
            <v>1</v>
          </cell>
          <cell r="S1031" t="str">
            <v>45</v>
          </cell>
          <cell r="T1031">
            <v>97</v>
          </cell>
          <cell r="U1031">
            <v>12</v>
          </cell>
          <cell r="V1031">
            <v>97</v>
          </cell>
          <cell r="W1031">
            <v>12</v>
          </cell>
          <cell r="X1031">
            <v>97</v>
          </cell>
          <cell r="Y1031">
            <v>0</v>
          </cell>
          <cell r="Z1031">
            <v>0</v>
          </cell>
          <cell r="AB1031" t="str">
            <v>14</v>
          </cell>
          <cell r="AC1031">
            <v>2</v>
          </cell>
          <cell r="AD1031" t="str">
            <v>0</v>
          </cell>
          <cell r="AE1031" t="str">
            <v>0</v>
          </cell>
          <cell r="AF1031" t="str">
            <v>20</v>
          </cell>
          <cell r="AI1031">
            <v>0</v>
          </cell>
          <cell r="AJ1031">
            <v>0</v>
          </cell>
        </row>
        <row r="1032">
          <cell r="A1032" t="str">
            <v>20</v>
          </cell>
          <cell r="B1032" t="str">
            <v>17</v>
          </cell>
          <cell r="C1032" t="str">
            <v>487</v>
          </cell>
          <cell r="D1032" t="str">
            <v>Стеллаж для сыров</v>
          </cell>
          <cell r="G1032" t="str">
            <v>01</v>
          </cell>
          <cell r="H1032">
            <v>5758.19</v>
          </cell>
          <cell r="I1032">
            <v>0</v>
          </cell>
          <cell r="J1032">
            <v>0</v>
          </cell>
          <cell r="K1032">
            <v>1</v>
          </cell>
          <cell r="L1032" t="str">
            <v>88/4</v>
          </cell>
          <cell r="M1032" t="str">
            <v>45101</v>
          </cell>
          <cell r="N1032" t="str">
            <v>14 2925113</v>
          </cell>
          <cell r="P1032">
            <v>12.5</v>
          </cell>
          <cell r="Q1032">
            <v>0</v>
          </cell>
          <cell r="R1032" t="str">
            <v>1</v>
          </cell>
          <cell r="S1032" t="str">
            <v>45</v>
          </cell>
          <cell r="T1032">
            <v>97</v>
          </cell>
          <cell r="U1032">
            <v>12</v>
          </cell>
          <cell r="V1032">
            <v>97</v>
          </cell>
          <cell r="W1032">
            <v>12</v>
          </cell>
          <cell r="X1032">
            <v>97</v>
          </cell>
          <cell r="Y1032">
            <v>0</v>
          </cell>
          <cell r="Z1032">
            <v>0</v>
          </cell>
          <cell r="AB1032" t="str">
            <v>14</v>
          </cell>
          <cell r="AC1032">
            <v>2</v>
          </cell>
          <cell r="AD1032" t="str">
            <v>0</v>
          </cell>
          <cell r="AE1032" t="str">
            <v>0</v>
          </cell>
          <cell r="AF1032" t="str">
            <v>20</v>
          </cell>
          <cell r="AI1032">
            <v>0</v>
          </cell>
          <cell r="AJ1032">
            <v>0</v>
          </cell>
        </row>
        <row r="1033">
          <cell r="A1033" t="str">
            <v>20</v>
          </cell>
          <cell r="B1033" t="str">
            <v>17</v>
          </cell>
          <cell r="C1033" t="str">
            <v>488</v>
          </cell>
          <cell r="D1033" t="str">
            <v>Стеллаж для сыров</v>
          </cell>
          <cell r="G1033" t="str">
            <v>01</v>
          </cell>
          <cell r="H1033">
            <v>5758.19</v>
          </cell>
          <cell r="I1033">
            <v>0</v>
          </cell>
          <cell r="J1033">
            <v>0</v>
          </cell>
          <cell r="K1033">
            <v>1</v>
          </cell>
          <cell r="L1033" t="str">
            <v>88/4</v>
          </cell>
          <cell r="M1033" t="str">
            <v>45101</v>
          </cell>
          <cell r="N1033" t="str">
            <v>14 2925113</v>
          </cell>
          <cell r="P1033">
            <v>12.5</v>
          </cell>
          <cell r="Q1033">
            <v>0</v>
          </cell>
          <cell r="R1033" t="str">
            <v>1</v>
          </cell>
          <cell r="S1033" t="str">
            <v>45</v>
          </cell>
          <cell r="T1033">
            <v>97</v>
          </cell>
          <cell r="U1033">
            <v>12</v>
          </cell>
          <cell r="V1033">
            <v>97</v>
          </cell>
          <cell r="W1033">
            <v>12</v>
          </cell>
          <cell r="X1033">
            <v>97</v>
          </cell>
          <cell r="Y1033">
            <v>0</v>
          </cell>
          <cell r="Z1033">
            <v>0</v>
          </cell>
          <cell r="AB1033" t="str">
            <v>14</v>
          </cell>
          <cell r="AC1033">
            <v>2</v>
          </cell>
          <cell r="AD1033" t="str">
            <v>0</v>
          </cell>
          <cell r="AE1033" t="str">
            <v>0</v>
          </cell>
          <cell r="AF1033" t="str">
            <v>20</v>
          </cell>
          <cell r="AI1033">
            <v>0</v>
          </cell>
          <cell r="AJ1033">
            <v>0</v>
          </cell>
        </row>
        <row r="1034">
          <cell r="A1034" t="str">
            <v>20</v>
          </cell>
          <cell r="B1034" t="str">
            <v>17</v>
          </cell>
          <cell r="C1034" t="str">
            <v>489</v>
          </cell>
          <cell r="D1034" t="str">
            <v>Стеллаж для сыров</v>
          </cell>
          <cell r="G1034" t="str">
            <v>01</v>
          </cell>
          <cell r="H1034">
            <v>5758.19</v>
          </cell>
          <cell r="I1034">
            <v>0</v>
          </cell>
          <cell r="J1034">
            <v>0</v>
          </cell>
          <cell r="K1034">
            <v>1</v>
          </cell>
          <cell r="L1034" t="str">
            <v>88/4</v>
          </cell>
          <cell r="M1034" t="str">
            <v>45101</v>
          </cell>
          <cell r="N1034" t="str">
            <v>14 2925113</v>
          </cell>
          <cell r="P1034">
            <v>12.5</v>
          </cell>
          <cell r="Q1034">
            <v>0</v>
          </cell>
          <cell r="R1034" t="str">
            <v>1</v>
          </cell>
          <cell r="S1034" t="str">
            <v>45</v>
          </cell>
          <cell r="T1034">
            <v>97</v>
          </cell>
          <cell r="U1034">
            <v>12</v>
          </cell>
          <cell r="V1034">
            <v>97</v>
          </cell>
          <cell r="W1034">
            <v>12</v>
          </cell>
          <cell r="X1034">
            <v>97</v>
          </cell>
          <cell r="Y1034">
            <v>0</v>
          </cell>
          <cell r="Z1034">
            <v>0</v>
          </cell>
          <cell r="AB1034" t="str">
            <v>14</v>
          </cell>
          <cell r="AC1034">
            <v>2</v>
          </cell>
          <cell r="AD1034" t="str">
            <v>0</v>
          </cell>
          <cell r="AE1034" t="str">
            <v>1</v>
          </cell>
          <cell r="AF1034" t="str">
            <v>20</v>
          </cell>
          <cell r="AI1034">
            <v>0</v>
          </cell>
          <cell r="AJ1034">
            <v>0</v>
          </cell>
        </row>
        <row r="1035">
          <cell r="A1035" t="str">
            <v>20</v>
          </cell>
          <cell r="B1035" t="str">
            <v>17</v>
          </cell>
          <cell r="C1035" t="str">
            <v>490</v>
          </cell>
          <cell r="D1035" t="str">
            <v>Цех ремонтный</v>
          </cell>
          <cell r="G1035" t="str">
            <v>01</v>
          </cell>
          <cell r="H1035">
            <v>47746.81</v>
          </cell>
          <cell r="I1035">
            <v>0</v>
          </cell>
          <cell r="J1035">
            <v>0</v>
          </cell>
          <cell r="K1035">
            <v>1</v>
          </cell>
          <cell r="L1035" t="str">
            <v>88/4</v>
          </cell>
          <cell r="M1035" t="str">
            <v>10102</v>
          </cell>
          <cell r="N1035" t="str">
            <v>11 4524362</v>
          </cell>
          <cell r="P1035">
            <v>1</v>
          </cell>
          <cell r="Q1035">
            <v>0</v>
          </cell>
          <cell r="R1035" t="str">
            <v>1</v>
          </cell>
          <cell r="S1035" t="str">
            <v>10</v>
          </cell>
          <cell r="T1035">
            <v>97</v>
          </cell>
          <cell r="U1035">
            <v>12</v>
          </cell>
          <cell r="V1035">
            <v>97</v>
          </cell>
          <cell r="W1035">
            <v>12</v>
          </cell>
          <cell r="X1035">
            <v>97</v>
          </cell>
          <cell r="Y1035">
            <v>0</v>
          </cell>
          <cell r="Z1035">
            <v>0</v>
          </cell>
          <cell r="AB1035" t="str">
            <v>14</v>
          </cell>
          <cell r="AC1035">
            <v>2</v>
          </cell>
          <cell r="AD1035" t="str">
            <v>0</v>
          </cell>
          <cell r="AE1035" t="str">
            <v>0</v>
          </cell>
          <cell r="AF1035" t="str">
            <v>20</v>
          </cell>
          <cell r="AI1035">
            <v>0</v>
          </cell>
          <cell r="AJ1035">
            <v>0</v>
          </cell>
        </row>
        <row r="1036">
          <cell r="A1036" t="str">
            <v>20</v>
          </cell>
          <cell r="B1036" t="str">
            <v>17</v>
          </cell>
          <cell r="C1036" t="str">
            <v>491</v>
          </cell>
          <cell r="D1036" t="str">
            <v>Упаков.машина для мо</v>
          </cell>
          <cell r="E1036" t="str">
            <v>лока кефира PV-200</v>
          </cell>
          <cell r="G1036" t="str">
            <v>01</v>
          </cell>
          <cell r="H1036">
            <v>27720.85</v>
          </cell>
          <cell r="I1036">
            <v>0</v>
          </cell>
          <cell r="J1036">
            <v>0</v>
          </cell>
          <cell r="K1036">
            <v>1</v>
          </cell>
          <cell r="L1036" t="str">
            <v>88/4</v>
          </cell>
          <cell r="M1036" t="str">
            <v>45100</v>
          </cell>
          <cell r="N1036" t="str">
            <v>14 2925104</v>
          </cell>
          <cell r="P1036">
            <v>11.8</v>
          </cell>
          <cell r="Q1036">
            <v>0</v>
          </cell>
          <cell r="R1036" t="str">
            <v>1</v>
          </cell>
          <cell r="S1036" t="str">
            <v>45</v>
          </cell>
          <cell r="T1036">
            <v>97</v>
          </cell>
          <cell r="U1036">
            <v>12</v>
          </cell>
          <cell r="V1036">
            <v>97</v>
          </cell>
          <cell r="W1036">
            <v>12</v>
          </cell>
          <cell r="X1036">
            <v>97</v>
          </cell>
          <cell r="Y1036">
            <v>0</v>
          </cell>
          <cell r="Z1036">
            <v>0</v>
          </cell>
          <cell r="AB1036" t="str">
            <v>14</v>
          </cell>
          <cell r="AC1036">
            <v>2</v>
          </cell>
          <cell r="AD1036" t="str">
            <v>0</v>
          </cell>
          <cell r="AE1036" t="str">
            <v>1</v>
          </cell>
          <cell r="AF1036" t="str">
            <v>20</v>
          </cell>
          <cell r="AI1036">
            <v>0</v>
          </cell>
          <cell r="AJ1036">
            <v>0</v>
          </cell>
        </row>
        <row r="1037">
          <cell r="A1037" t="str">
            <v>20</v>
          </cell>
          <cell r="B1037" t="str">
            <v>17</v>
          </cell>
          <cell r="C1037" t="str">
            <v>492</v>
          </cell>
          <cell r="D1037" t="str">
            <v>Тележка с бортом</v>
          </cell>
          <cell r="G1037" t="str">
            <v>01</v>
          </cell>
          <cell r="H1037">
            <v>4083.17</v>
          </cell>
          <cell r="I1037">
            <v>0</v>
          </cell>
          <cell r="J1037">
            <v>0</v>
          </cell>
          <cell r="K1037">
            <v>1</v>
          </cell>
          <cell r="L1037" t="str">
            <v>88/4</v>
          </cell>
          <cell r="M1037" t="str">
            <v>45100</v>
          </cell>
          <cell r="N1037" t="str">
            <v>14 2925110</v>
          </cell>
          <cell r="P1037">
            <v>11.8</v>
          </cell>
          <cell r="Q1037">
            <v>0</v>
          </cell>
          <cell r="R1037" t="str">
            <v>1</v>
          </cell>
          <cell r="S1037" t="str">
            <v>45</v>
          </cell>
          <cell r="T1037">
            <v>97</v>
          </cell>
          <cell r="U1037">
            <v>12</v>
          </cell>
          <cell r="V1037">
            <v>97</v>
          </cell>
          <cell r="W1037">
            <v>12</v>
          </cell>
          <cell r="X1037">
            <v>97</v>
          </cell>
          <cell r="Y1037">
            <v>0</v>
          </cell>
          <cell r="Z1037">
            <v>0</v>
          </cell>
          <cell r="AB1037" t="str">
            <v>14</v>
          </cell>
          <cell r="AC1037">
            <v>2</v>
          </cell>
          <cell r="AD1037" t="str">
            <v>0</v>
          </cell>
          <cell r="AE1037" t="str">
            <v>0</v>
          </cell>
          <cell r="AF1037" t="str">
            <v>20</v>
          </cell>
          <cell r="AI1037">
            <v>0</v>
          </cell>
          <cell r="AJ1037">
            <v>0</v>
          </cell>
        </row>
        <row r="1038">
          <cell r="A1038" t="str">
            <v>20</v>
          </cell>
          <cell r="B1038" t="str">
            <v>17</v>
          </cell>
          <cell r="C1038" t="str">
            <v>493</v>
          </cell>
          <cell r="D1038" t="str">
            <v>Тележка с бортом</v>
          </cell>
          <cell r="G1038" t="str">
            <v>01</v>
          </cell>
          <cell r="H1038">
            <v>4083.17</v>
          </cell>
          <cell r="I1038">
            <v>0</v>
          </cell>
          <cell r="J1038">
            <v>0</v>
          </cell>
          <cell r="K1038">
            <v>1</v>
          </cell>
          <cell r="L1038" t="str">
            <v>88/4</v>
          </cell>
          <cell r="M1038" t="str">
            <v>45100</v>
          </cell>
          <cell r="N1038" t="str">
            <v>14 2925110</v>
          </cell>
          <cell r="P1038">
            <v>11.8</v>
          </cell>
          <cell r="Q1038">
            <v>0</v>
          </cell>
          <cell r="R1038" t="str">
            <v>1</v>
          </cell>
          <cell r="S1038" t="str">
            <v>45</v>
          </cell>
          <cell r="T1038">
            <v>97</v>
          </cell>
          <cell r="U1038">
            <v>12</v>
          </cell>
          <cell r="V1038">
            <v>97</v>
          </cell>
          <cell r="W1038">
            <v>12</v>
          </cell>
          <cell r="X1038">
            <v>97</v>
          </cell>
          <cell r="Y1038">
            <v>0</v>
          </cell>
          <cell r="Z1038">
            <v>0</v>
          </cell>
          <cell r="AB1038" t="str">
            <v>14</v>
          </cell>
          <cell r="AC1038">
            <v>2</v>
          </cell>
          <cell r="AD1038" t="str">
            <v>0</v>
          </cell>
          <cell r="AE1038" t="str">
            <v>0</v>
          </cell>
          <cell r="AF1038" t="str">
            <v>20</v>
          </cell>
          <cell r="AI1038">
            <v>0</v>
          </cell>
          <cell r="AJ1038">
            <v>0</v>
          </cell>
        </row>
        <row r="1039">
          <cell r="A1039" t="str">
            <v>20</v>
          </cell>
          <cell r="B1039" t="str">
            <v>17</v>
          </cell>
          <cell r="C1039" t="str">
            <v>494</v>
          </cell>
          <cell r="D1039" t="str">
            <v>Машина упаков. для м</v>
          </cell>
          <cell r="E1039" t="str">
            <v>асла SACC-VC</v>
          </cell>
          <cell r="G1039" t="str">
            <v>01</v>
          </cell>
          <cell r="H1039">
            <v>40030.839999999997</v>
          </cell>
          <cell r="I1039">
            <v>0</v>
          </cell>
          <cell r="J1039">
            <v>0</v>
          </cell>
          <cell r="K1039">
            <v>1</v>
          </cell>
          <cell r="L1039" t="str">
            <v>88/4</v>
          </cell>
          <cell r="M1039" t="str">
            <v>45100</v>
          </cell>
          <cell r="N1039" t="str">
            <v>14 2925104</v>
          </cell>
          <cell r="P1039">
            <v>11.8</v>
          </cell>
          <cell r="Q1039">
            <v>0</v>
          </cell>
          <cell r="R1039" t="str">
            <v>1</v>
          </cell>
          <cell r="S1039" t="str">
            <v>45</v>
          </cell>
          <cell r="T1039">
            <v>97</v>
          </cell>
          <cell r="U1039">
            <v>12</v>
          </cell>
          <cell r="V1039">
            <v>97</v>
          </cell>
          <cell r="W1039">
            <v>12</v>
          </cell>
          <cell r="X1039">
            <v>97</v>
          </cell>
          <cell r="Y1039">
            <v>0</v>
          </cell>
          <cell r="Z1039">
            <v>0</v>
          </cell>
          <cell r="AB1039" t="str">
            <v>14</v>
          </cell>
          <cell r="AC1039">
            <v>2</v>
          </cell>
          <cell r="AD1039" t="str">
            <v>0</v>
          </cell>
          <cell r="AE1039" t="str">
            <v>0</v>
          </cell>
          <cell r="AF1039" t="str">
            <v>20</v>
          </cell>
          <cell r="AI1039">
            <v>0</v>
          </cell>
          <cell r="AJ1039">
            <v>0</v>
          </cell>
        </row>
        <row r="1040">
          <cell r="A1040" t="str">
            <v>20</v>
          </cell>
          <cell r="B1040" t="str">
            <v>17</v>
          </cell>
          <cell r="C1040" t="str">
            <v>495</v>
          </cell>
          <cell r="D1040" t="str">
            <v>Стеллаж металлически</v>
          </cell>
          <cell r="E1040" t="str">
            <v>й</v>
          </cell>
          <cell r="G1040" t="str">
            <v>01</v>
          </cell>
          <cell r="H1040">
            <v>7533.79</v>
          </cell>
          <cell r="I1040">
            <v>0</v>
          </cell>
          <cell r="J1040">
            <v>0</v>
          </cell>
          <cell r="K1040">
            <v>1</v>
          </cell>
          <cell r="L1040" t="str">
            <v>88/4</v>
          </cell>
          <cell r="M1040" t="str">
            <v>45100</v>
          </cell>
          <cell r="N1040" t="str">
            <v>14 2925110</v>
          </cell>
          <cell r="P1040">
            <v>11.8</v>
          </cell>
          <cell r="Q1040">
            <v>0</v>
          </cell>
          <cell r="R1040" t="str">
            <v>1</v>
          </cell>
          <cell r="S1040" t="str">
            <v>45</v>
          </cell>
          <cell r="T1040">
            <v>97</v>
          </cell>
          <cell r="U1040">
            <v>12</v>
          </cell>
          <cell r="V1040">
            <v>97</v>
          </cell>
          <cell r="W1040">
            <v>12</v>
          </cell>
          <cell r="X1040">
            <v>97</v>
          </cell>
          <cell r="Y1040">
            <v>0</v>
          </cell>
          <cell r="Z1040">
            <v>0</v>
          </cell>
          <cell r="AB1040" t="str">
            <v>14</v>
          </cell>
          <cell r="AC1040">
            <v>2</v>
          </cell>
          <cell r="AD1040" t="str">
            <v>0</v>
          </cell>
          <cell r="AE1040" t="str">
            <v>0</v>
          </cell>
          <cell r="AF1040" t="str">
            <v>20</v>
          </cell>
          <cell r="AI1040">
            <v>0</v>
          </cell>
          <cell r="AJ1040">
            <v>0</v>
          </cell>
        </row>
        <row r="1041">
          <cell r="A1041" t="str">
            <v>20</v>
          </cell>
          <cell r="B1041" t="str">
            <v>17</v>
          </cell>
          <cell r="C1041" t="str">
            <v>496</v>
          </cell>
          <cell r="D1041" t="str">
            <v>Стеллаж металлически</v>
          </cell>
          <cell r="E1041" t="str">
            <v>й</v>
          </cell>
          <cell r="G1041" t="str">
            <v>01</v>
          </cell>
          <cell r="H1041">
            <v>7533.79</v>
          </cell>
          <cell r="I1041">
            <v>0</v>
          </cell>
          <cell r="J1041">
            <v>0</v>
          </cell>
          <cell r="K1041">
            <v>1</v>
          </cell>
          <cell r="L1041" t="str">
            <v>88/4</v>
          </cell>
          <cell r="M1041" t="str">
            <v>45100</v>
          </cell>
          <cell r="N1041" t="str">
            <v>14 2924110</v>
          </cell>
          <cell r="P1041">
            <v>11.8</v>
          </cell>
          <cell r="Q1041">
            <v>0</v>
          </cell>
          <cell r="R1041" t="str">
            <v>1</v>
          </cell>
          <cell r="S1041" t="str">
            <v>45</v>
          </cell>
          <cell r="T1041">
            <v>97</v>
          </cell>
          <cell r="U1041">
            <v>12</v>
          </cell>
          <cell r="V1041">
            <v>97</v>
          </cell>
          <cell r="W1041">
            <v>12</v>
          </cell>
          <cell r="X1041">
            <v>97</v>
          </cell>
          <cell r="Y1041">
            <v>0</v>
          </cell>
          <cell r="Z1041">
            <v>0</v>
          </cell>
          <cell r="AB1041" t="str">
            <v>14</v>
          </cell>
          <cell r="AC1041">
            <v>2</v>
          </cell>
          <cell r="AD1041" t="str">
            <v>0</v>
          </cell>
          <cell r="AE1041" t="str">
            <v>0</v>
          </cell>
          <cell r="AF1041" t="str">
            <v>20</v>
          </cell>
          <cell r="AI1041">
            <v>0</v>
          </cell>
          <cell r="AJ1041">
            <v>0</v>
          </cell>
        </row>
        <row r="1042">
          <cell r="A1042" t="str">
            <v>20</v>
          </cell>
          <cell r="B1042" t="str">
            <v>17</v>
          </cell>
          <cell r="C1042" t="str">
            <v>497</v>
          </cell>
          <cell r="D1042" t="str">
            <v>Стеллаж металлически</v>
          </cell>
          <cell r="E1042" t="str">
            <v>й</v>
          </cell>
          <cell r="G1042" t="str">
            <v>01</v>
          </cell>
          <cell r="H1042">
            <v>7533.79</v>
          </cell>
          <cell r="I1042">
            <v>0</v>
          </cell>
          <cell r="J1042">
            <v>0</v>
          </cell>
          <cell r="K1042">
            <v>1</v>
          </cell>
          <cell r="L1042" t="str">
            <v>88/4</v>
          </cell>
          <cell r="M1042" t="str">
            <v>45100</v>
          </cell>
          <cell r="N1042" t="str">
            <v>14 2924110</v>
          </cell>
          <cell r="P1042">
            <v>11.8</v>
          </cell>
          <cell r="Q1042">
            <v>0</v>
          </cell>
          <cell r="R1042" t="str">
            <v>1</v>
          </cell>
          <cell r="S1042" t="str">
            <v>45</v>
          </cell>
          <cell r="T1042">
            <v>97</v>
          </cell>
          <cell r="U1042">
            <v>12</v>
          </cell>
          <cell r="V1042">
            <v>97</v>
          </cell>
          <cell r="W1042">
            <v>12</v>
          </cell>
          <cell r="X1042">
            <v>97</v>
          </cell>
          <cell r="Y1042">
            <v>0</v>
          </cell>
          <cell r="Z1042">
            <v>0</v>
          </cell>
          <cell r="AB1042" t="str">
            <v>14</v>
          </cell>
          <cell r="AC1042">
            <v>2</v>
          </cell>
          <cell r="AD1042" t="str">
            <v>0</v>
          </cell>
          <cell r="AE1042" t="str">
            <v>0</v>
          </cell>
          <cell r="AF1042" t="str">
            <v>20</v>
          </cell>
          <cell r="AI1042">
            <v>0</v>
          </cell>
          <cell r="AJ1042">
            <v>0</v>
          </cell>
        </row>
        <row r="1043">
          <cell r="A1043" t="str">
            <v>20</v>
          </cell>
          <cell r="B1043" t="str">
            <v>17</v>
          </cell>
          <cell r="C1043" t="str">
            <v>498</v>
          </cell>
          <cell r="D1043" t="str">
            <v>Стеллаж металлически</v>
          </cell>
          <cell r="E1043" t="str">
            <v>й</v>
          </cell>
          <cell r="G1043" t="str">
            <v>01</v>
          </cell>
          <cell r="H1043">
            <v>7533.79</v>
          </cell>
          <cell r="I1043">
            <v>0</v>
          </cell>
          <cell r="J1043">
            <v>0</v>
          </cell>
          <cell r="K1043">
            <v>1</v>
          </cell>
          <cell r="L1043" t="str">
            <v>88/4</v>
          </cell>
          <cell r="M1043" t="str">
            <v>45100</v>
          </cell>
          <cell r="N1043" t="str">
            <v>14 2925110</v>
          </cell>
          <cell r="P1043">
            <v>11.8</v>
          </cell>
          <cell r="Q1043">
            <v>0</v>
          </cell>
          <cell r="R1043" t="str">
            <v>1</v>
          </cell>
          <cell r="S1043" t="str">
            <v>45</v>
          </cell>
          <cell r="T1043">
            <v>97</v>
          </cell>
          <cell r="U1043">
            <v>12</v>
          </cell>
          <cell r="V1043">
            <v>97</v>
          </cell>
          <cell r="W1043">
            <v>12</v>
          </cell>
          <cell r="X1043">
            <v>97</v>
          </cell>
          <cell r="Y1043">
            <v>0</v>
          </cell>
          <cell r="Z1043">
            <v>0</v>
          </cell>
          <cell r="AB1043" t="str">
            <v>14</v>
          </cell>
          <cell r="AC1043">
            <v>2</v>
          </cell>
          <cell r="AD1043" t="str">
            <v>0</v>
          </cell>
          <cell r="AE1043" t="str">
            <v>0</v>
          </cell>
          <cell r="AF1043" t="str">
            <v>20</v>
          </cell>
          <cell r="AI1043">
            <v>0</v>
          </cell>
          <cell r="AJ1043">
            <v>0</v>
          </cell>
        </row>
        <row r="1044">
          <cell r="A1044" t="str">
            <v>20</v>
          </cell>
          <cell r="B1044" t="str">
            <v>17</v>
          </cell>
          <cell r="C1044" t="str">
            <v>499</v>
          </cell>
          <cell r="D1044" t="str">
            <v>Шкаф металлический</v>
          </cell>
          <cell r="G1044" t="str">
            <v>01</v>
          </cell>
          <cell r="H1044">
            <v>2048.17</v>
          </cell>
          <cell r="I1044">
            <v>0</v>
          </cell>
          <cell r="J1044">
            <v>0</v>
          </cell>
          <cell r="K1044">
            <v>1</v>
          </cell>
          <cell r="L1044" t="str">
            <v>88/4</v>
          </cell>
          <cell r="M1044" t="str">
            <v>45100</v>
          </cell>
          <cell r="N1044" t="str">
            <v>14 2925110</v>
          </cell>
          <cell r="P1044">
            <v>11.8</v>
          </cell>
          <cell r="Q1044">
            <v>0</v>
          </cell>
          <cell r="R1044" t="str">
            <v>1</v>
          </cell>
          <cell r="S1044" t="str">
            <v>45</v>
          </cell>
          <cell r="T1044">
            <v>97</v>
          </cell>
          <cell r="U1044">
            <v>12</v>
          </cell>
          <cell r="V1044">
            <v>97</v>
          </cell>
          <cell r="W1044">
            <v>12</v>
          </cell>
          <cell r="X1044">
            <v>97</v>
          </cell>
          <cell r="Y1044">
            <v>0</v>
          </cell>
          <cell r="Z1044">
            <v>0</v>
          </cell>
          <cell r="AB1044" t="str">
            <v>14</v>
          </cell>
          <cell r="AC1044">
            <v>2</v>
          </cell>
          <cell r="AD1044" t="str">
            <v>0</v>
          </cell>
          <cell r="AE1044" t="str">
            <v>0</v>
          </cell>
          <cell r="AF1044" t="str">
            <v>20</v>
          </cell>
          <cell r="AI1044">
            <v>0</v>
          </cell>
          <cell r="AJ1044">
            <v>0</v>
          </cell>
        </row>
        <row r="1045">
          <cell r="A1045" t="str">
            <v>20</v>
          </cell>
          <cell r="B1045" t="str">
            <v>17</v>
          </cell>
          <cell r="C1045" t="str">
            <v>500</v>
          </cell>
          <cell r="D1045" t="str">
            <v>Шкаф металлический</v>
          </cell>
          <cell r="G1045" t="str">
            <v>01</v>
          </cell>
          <cell r="H1045">
            <v>2048.17</v>
          </cell>
          <cell r="I1045">
            <v>0</v>
          </cell>
          <cell r="J1045">
            <v>0</v>
          </cell>
          <cell r="K1045">
            <v>1</v>
          </cell>
          <cell r="L1045" t="str">
            <v>88/4</v>
          </cell>
          <cell r="M1045" t="str">
            <v>45100</v>
          </cell>
          <cell r="N1045" t="str">
            <v>14 2925110</v>
          </cell>
          <cell r="P1045">
            <v>11.8</v>
          </cell>
          <cell r="Q1045">
            <v>0</v>
          </cell>
          <cell r="R1045" t="str">
            <v>1</v>
          </cell>
          <cell r="S1045" t="str">
            <v>45</v>
          </cell>
          <cell r="T1045">
            <v>97</v>
          </cell>
          <cell r="U1045">
            <v>12</v>
          </cell>
          <cell r="V1045">
            <v>97</v>
          </cell>
          <cell r="W1045">
            <v>12</v>
          </cell>
          <cell r="X1045">
            <v>97</v>
          </cell>
          <cell r="Y1045">
            <v>0</v>
          </cell>
          <cell r="Z1045">
            <v>0</v>
          </cell>
          <cell r="AB1045" t="str">
            <v>14</v>
          </cell>
          <cell r="AC1045">
            <v>2</v>
          </cell>
          <cell r="AD1045" t="str">
            <v>0</v>
          </cell>
          <cell r="AE1045" t="str">
            <v>0</v>
          </cell>
          <cell r="AF1045" t="str">
            <v>20</v>
          </cell>
          <cell r="AI1045">
            <v>0</v>
          </cell>
          <cell r="AJ1045">
            <v>0</v>
          </cell>
        </row>
        <row r="1046">
          <cell r="A1046" t="str">
            <v>20</v>
          </cell>
          <cell r="B1046" t="str">
            <v>17</v>
          </cell>
          <cell r="C1046" t="str">
            <v>501</v>
          </cell>
          <cell r="D1046" t="str">
            <v>Лестница на колесика</v>
          </cell>
          <cell r="E1046" t="str">
            <v>х</v>
          </cell>
          <cell r="G1046" t="str">
            <v>01</v>
          </cell>
          <cell r="H1046">
            <v>3041.56</v>
          </cell>
          <cell r="I1046">
            <v>0</v>
          </cell>
          <cell r="J1046">
            <v>0</v>
          </cell>
          <cell r="K1046">
            <v>1</v>
          </cell>
          <cell r="L1046" t="str">
            <v>88/4</v>
          </cell>
          <cell r="M1046" t="str">
            <v>45100</v>
          </cell>
          <cell r="N1046" t="str">
            <v>14 2925110</v>
          </cell>
          <cell r="P1046">
            <v>11.8</v>
          </cell>
          <cell r="Q1046">
            <v>0</v>
          </cell>
          <cell r="R1046" t="str">
            <v>1</v>
          </cell>
          <cell r="S1046" t="str">
            <v>45</v>
          </cell>
          <cell r="T1046">
            <v>97</v>
          </cell>
          <cell r="U1046">
            <v>12</v>
          </cell>
          <cell r="V1046">
            <v>97</v>
          </cell>
          <cell r="W1046">
            <v>12</v>
          </cell>
          <cell r="X1046">
            <v>97</v>
          </cell>
          <cell r="Y1046">
            <v>0</v>
          </cell>
          <cell r="Z1046">
            <v>0</v>
          </cell>
          <cell r="AB1046" t="str">
            <v>14</v>
          </cell>
          <cell r="AC1046">
            <v>2</v>
          </cell>
          <cell r="AD1046" t="str">
            <v>0</v>
          </cell>
          <cell r="AE1046" t="str">
            <v>0</v>
          </cell>
          <cell r="AF1046" t="str">
            <v>20</v>
          </cell>
          <cell r="AI1046">
            <v>0</v>
          </cell>
          <cell r="AJ1046">
            <v>0</v>
          </cell>
        </row>
        <row r="1047">
          <cell r="A1047" t="str">
            <v>20</v>
          </cell>
          <cell r="B1047" t="str">
            <v>17</v>
          </cell>
          <cell r="C1047" t="str">
            <v>502</v>
          </cell>
          <cell r="D1047" t="str">
            <v>Лестница раздвижная</v>
          </cell>
          <cell r="G1047" t="str">
            <v>01</v>
          </cell>
          <cell r="H1047">
            <v>3622.91</v>
          </cell>
          <cell r="I1047">
            <v>0</v>
          </cell>
          <cell r="J1047">
            <v>0</v>
          </cell>
          <cell r="K1047">
            <v>1</v>
          </cell>
          <cell r="L1047" t="str">
            <v>88/4</v>
          </cell>
          <cell r="M1047" t="str">
            <v>45100</v>
          </cell>
          <cell r="N1047" t="str">
            <v>14 2925110</v>
          </cell>
          <cell r="P1047">
            <v>11.8</v>
          </cell>
          <cell r="Q1047">
            <v>0</v>
          </cell>
          <cell r="R1047" t="str">
            <v>1</v>
          </cell>
          <cell r="S1047" t="str">
            <v>45</v>
          </cell>
          <cell r="T1047">
            <v>97</v>
          </cell>
          <cell r="U1047">
            <v>12</v>
          </cell>
          <cell r="V1047">
            <v>97</v>
          </cell>
          <cell r="W1047">
            <v>12</v>
          </cell>
          <cell r="X1047">
            <v>97</v>
          </cell>
          <cell r="Y1047">
            <v>0</v>
          </cell>
          <cell r="Z1047">
            <v>0</v>
          </cell>
          <cell r="AB1047" t="str">
            <v>14</v>
          </cell>
          <cell r="AC1047">
            <v>2</v>
          </cell>
          <cell r="AD1047" t="str">
            <v>0</v>
          </cell>
          <cell r="AE1047" t="str">
            <v>0</v>
          </cell>
          <cell r="AF1047" t="str">
            <v>20</v>
          </cell>
          <cell r="AI1047">
            <v>0</v>
          </cell>
          <cell r="AJ1047">
            <v>0</v>
          </cell>
        </row>
        <row r="1048">
          <cell r="A1048" t="str">
            <v>20</v>
          </cell>
          <cell r="B1048" t="str">
            <v>17</v>
          </cell>
          <cell r="C1048" t="str">
            <v>503</v>
          </cell>
          <cell r="D1048" t="str">
            <v>Лестница раздвижная</v>
          </cell>
          <cell r="G1048" t="str">
            <v>01</v>
          </cell>
          <cell r="H1048">
            <v>3622.91</v>
          </cell>
          <cell r="I1048">
            <v>0</v>
          </cell>
          <cell r="J1048">
            <v>0</v>
          </cell>
          <cell r="K1048">
            <v>1</v>
          </cell>
          <cell r="L1048" t="str">
            <v>88/4</v>
          </cell>
          <cell r="M1048" t="str">
            <v>45100</v>
          </cell>
          <cell r="N1048" t="str">
            <v>14 2925110</v>
          </cell>
          <cell r="P1048">
            <v>11.8</v>
          </cell>
          <cell r="Q1048">
            <v>0</v>
          </cell>
          <cell r="R1048" t="str">
            <v>1</v>
          </cell>
          <cell r="S1048" t="str">
            <v>45</v>
          </cell>
          <cell r="T1048">
            <v>97</v>
          </cell>
          <cell r="U1048">
            <v>12</v>
          </cell>
          <cell r="V1048">
            <v>97</v>
          </cell>
          <cell r="W1048">
            <v>12</v>
          </cell>
          <cell r="X1048">
            <v>97</v>
          </cell>
          <cell r="Y1048">
            <v>0</v>
          </cell>
          <cell r="Z1048">
            <v>0</v>
          </cell>
          <cell r="AB1048" t="str">
            <v>14</v>
          </cell>
          <cell r="AC1048">
            <v>2</v>
          </cell>
          <cell r="AD1048" t="str">
            <v>0</v>
          </cell>
          <cell r="AE1048" t="str">
            <v>0</v>
          </cell>
          <cell r="AF1048" t="str">
            <v>20</v>
          </cell>
          <cell r="AI1048">
            <v>0</v>
          </cell>
          <cell r="AJ1048">
            <v>0</v>
          </cell>
        </row>
        <row r="1049">
          <cell r="A1049" t="str">
            <v>20</v>
          </cell>
          <cell r="B1049" t="str">
            <v>17</v>
          </cell>
          <cell r="C1049" t="str">
            <v>504</v>
          </cell>
          <cell r="D1049" t="str">
            <v>Холодильник FILIPS</v>
          </cell>
          <cell r="G1049" t="str">
            <v>01</v>
          </cell>
          <cell r="H1049">
            <v>5088.3599999999997</v>
          </cell>
          <cell r="I1049">
            <v>0</v>
          </cell>
          <cell r="J1049">
            <v>0</v>
          </cell>
          <cell r="K1049">
            <v>1</v>
          </cell>
          <cell r="L1049" t="str">
            <v>88/4</v>
          </cell>
          <cell r="M1049" t="str">
            <v>45104</v>
          </cell>
          <cell r="N1049" t="str">
            <v>14 2919595</v>
          </cell>
          <cell r="P1049">
            <v>10</v>
          </cell>
          <cell r="Q1049">
            <v>0</v>
          </cell>
          <cell r="R1049" t="str">
            <v>1</v>
          </cell>
          <cell r="S1049" t="str">
            <v>45</v>
          </cell>
          <cell r="T1049">
            <v>97</v>
          </cell>
          <cell r="U1049">
            <v>12</v>
          </cell>
          <cell r="V1049">
            <v>97</v>
          </cell>
          <cell r="W1049">
            <v>12</v>
          </cell>
          <cell r="X1049">
            <v>97</v>
          </cell>
          <cell r="Y1049">
            <v>0</v>
          </cell>
          <cell r="Z1049">
            <v>0</v>
          </cell>
          <cell r="AB1049" t="str">
            <v>14</v>
          </cell>
          <cell r="AC1049">
            <v>2</v>
          </cell>
          <cell r="AD1049" t="str">
            <v>0</v>
          </cell>
          <cell r="AE1049" t="str">
            <v>0</v>
          </cell>
          <cell r="AF1049" t="str">
            <v>20</v>
          </cell>
          <cell r="AI1049">
            <v>0</v>
          </cell>
          <cell r="AJ1049">
            <v>0</v>
          </cell>
        </row>
        <row r="1050">
          <cell r="A1050" t="str">
            <v>20</v>
          </cell>
          <cell r="B1050" t="str">
            <v>17</v>
          </cell>
          <cell r="C1050" t="str">
            <v>505</v>
          </cell>
          <cell r="D1050" t="str">
            <v>Мойка</v>
          </cell>
          <cell r="G1050" t="str">
            <v>01</v>
          </cell>
          <cell r="H1050">
            <v>89531.18</v>
          </cell>
          <cell r="I1050">
            <v>0</v>
          </cell>
          <cell r="J1050">
            <v>0</v>
          </cell>
          <cell r="K1050">
            <v>1</v>
          </cell>
          <cell r="L1050" t="str">
            <v>88/4</v>
          </cell>
          <cell r="M1050" t="str">
            <v>45100</v>
          </cell>
          <cell r="N1050" t="str">
            <v>14 2925110</v>
          </cell>
          <cell r="P1050">
            <v>11.8</v>
          </cell>
          <cell r="Q1050">
            <v>0</v>
          </cell>
          <cell r="R1050" t="str">
            <v>1</v>
          </cell>
          <cell r="S1050" t="str">
            <v>45</v>
          </cell>
          <cell r="T1050">
            <v>97</v>
          </cell>
          <cell r="U1050">
            <v>12</v>
          </cell>
          <cell r="V1050">
            <v>97</v>
          </cell>
          <cell r="W1050">
            <v>12</v>
          </cell>
          <cell r="X1050">
            <v>97</v>
          </cell>
          <cell r="Y1050">
            <v>0</v>
          </cell>
          <cell r="Z1050">
            <v>0</v>
          </cell>
          <cell r="AB1050" t="str">
            <v>14</v>
          </cell>
          <cell r="AC1050">
            <v>2</v>
          </cell>
          <cell r="AD1050" t="str">
            <v>0</v>
          </cell>
          <cell r="AE1050" t="str">
            <v>0</v>
          </cell>
          <cell r="AF1050" t="str">
            <v>20</v>
          </cell>
          <cell r="AI1050">
            <v>0</v>
          </cell>
          <cell r="AJ1050">
            <v>0</v>
          </cell>
        </row>
        <row r="1051">
          <cell r="A1051" t="str">
            <v>20</v>
          </cell>
          <cell r="B1051" t="str">
            <v>17</v>
          </cell>
          <cell r="C1051" t="str">
            <v>506</v>
          </cell>
          <cell r="D1051" t="str">
            <v>Водонагреватель в си</v>
          </cell>
          <cell r="E1051" t="str">
            <v>стеме теплосети</v>
          </cell>
          <cell r="G1051" t="str">
            <v>01</v>
          </cell>
          <cell r="H1051">
            <v>906.19</v>
          </cell>
          <cell r="I1051">
            <v>0</v>
          </cell>
          <cell r="J1051">
            <v>0</v>
          </cell>
          <cell r="K1051">
            <v>1</v>
          </cell>
          <cell r="L1051" t="str">
            <v>88/4</v>
          </cell>
          <cell r="M1051" t="str">
            <v>40000</v>
          </cell>
          <cell r="N1051" t="str">
            <v>14 2914135</v>
          </cell>
          <cell r="P1051">
            <v>3.7</v>
          </cell>
          <cell r="Q1051">
            <v>0</v>
          </cell>
          <cell r="R1051" t="str">
            <v>1</v>
          </cell>
          <cell r="S1051" t="str">
            <v>40</v>
          </cell>
          <cell r="T1051">
            <v>97</v>
          </cell>
          <cell r="U1051">
            <v>12</v>
          </cell>
          <cell r="V1051">
            <v>97</v>
          </cell>
          <cell r="W1051">
            <v>12</v>
          </cell>
          <cell r="X1051">
            <v>97</v>
          </cell>
          <cell r="Y1051">
            <v>0</v>
          </cell>
          <cell r="Z1051">
            <v>0</v>
          </cell>
          <cell r="AB1051" t="str">
            <v>14</v>
          </cell>
          <cell r="AC1051">
            <v>2</v>
          </cell>
          <cell r="AD1051" t="str">
            <v>0</v>
          </cell>
          <cell r="AE1051" t="str">
            <v>0</v>
          </cell>
          <cell r="AF1051" t="str">
            <v>20</v>
          </cell>
          <cell r="AI1051">
            <v>0</v>
          </cell>
          <cell r="AJ1051">
            <v>0</v>
          </cell>
        </row>
        <row r="1052">
          <cell r="A1052" t="str">
            <v>20</v>
          </cell>
          <cell r="B1052" t="str">
            <v>17</v>
          </cell>
          <cell r="C1052" t="str">
            <v>507</v>
          </cell>
          <cell r="D1052" t="str">
            <v>Водонагреватель в си</v>
          </cell>
          <cell r="E1052" t="str">
            <v>стеме теплосети</v>
          </cell>
          <cell r="G1052" t="str">
            <v>01</v>
          </cell>
          <cell r="H1052">
            <v>906.19</v>
          </cell>
          <cell r="I1052">
            <v>0</v>
          </cell>
          <cell r="J1052">
            <v>0</v>
          </cell>
          <cell r="K1052">
            <v>1</v>
          </cell>
          <cell r="L1052" t="str">
            <v>88/4</v>
          </cell>
          <cell r="M1052" t="str">
            <v>40000</v>
          </cell>
          <cell r="N1052" t="str">
            <v>14 2914135</v>
          </cell>
          <cell r="P1052">
            <v>3.7</v>
          </cell>
          <cell r="Q1052">
            <v>0</v>
          </cell>
          <cell r="R1052" t="str">
            <v>1</v>
          </cell>
          <cell r="S1052" t="str">
            <v>40</v>
          </cell>
          <cell r="T1052">
            <v>97</v>
          </cell>
          <cell r="U1052">
            <v>12</v>
          </cell>
          <cell r="V1052">
            <v>97</v>
          </cell>
          <cell r="W1052">
            <v>12</v>
          </cell>
          <cell r="X1052">
            <v>97</v>
          </cell>
          <cell r="Y1052">
            <v>0</v>
          </cell>
          <cell r="Z1052">
            <v>0</v>
          </cell>
          <cell r="AB1052" t="str">
            <v>14</v>
          </cell>
          <cell r="AC1052">
            <v>2</v>
          </cell>
          <cell r="AD1052" t="str">
            <v>0</v>
          </cell>
          <cell r="AE1052" t="str">
            <v>0</v>
          </cell>
          <cell r="AF1052" t="str">
            <v>20</v>
          </cell>
          <cell r="AI1052">
            <v>0</v>
          </cell>
          <cell r="AJ1052">
            <v>0</v>
          </cell>
        </row>
        <row r="1053">
          <cell r="A1053" t="str">
            <v>20</v>
          </cell>
          <cell r="B1053" t="str">
            <v>17</v>
          </cell>
          <cell r="C1053" t="str">
            <v>508</v>
          </cell>
          <cell r="D1053" t="str">
            <v>Водонагреватель в си</v>
          </cell>
          <cell r="E1053" t="str">
            <v>стеме теплосети</v>
          </cell>
          <cell r="G1053" t="str">
            <v>01</v>
          </cell>
          <cell r="H1053">
            <v>906.19</v>
          </cell>
          <cell r="I1053">
            <v>0</v>
          </cell>
          <cell r="J1053">
            <v>0</v>
          </cell>
          <cell r="K1053">
            <v>1</v>
          </cell>
          <cell r="L1053" t="str">
            <v>88/4</v>
          </cell>
          <cell r="M1053" t="str">
            <v>40000</v>
          </cell>
          <cell r="N1053" t="str">
            <v>14 2914135</v>
          </cell>
          <cell r="P1053">
            <v>3.7</v>
          </cell>
          <cell r="Q1053">
            <v>0</v>
          </cell>
          <cell r="R1053" t="str">
            <v>1</v>
          </cell>
          <cell r="S1053" t="str">
            <v>40</v>
          </cell>
          <cell r="T1053">
            <v>97</v>
          </cell>
          <cell r="U1053">
            <v>12</v>
          </cell>
          <cell r="V1053">
            <v>97</v>
          </cell>
          <cell r="W1053">
            <v>12</v>
          </cell>
          <cell r="X1053">
            <v>97</v>
          </cell>
          <cell r="Y1053">
            <v>0</v>
          </cell>
          <cell r="Z1053">
            <v>0</v>
          </cell>
          <cell r="AB1053" t="str">
            <v>14</v>
          </cell>
          <cell r="AC1053">
            <v>2</v>
          </cell>
          <cell r="AD1053" t="str">
            <v>0</v>
          </cell>
          <cell r="AE1053" t="str">
            <v>0</v>
          </cell>
          <cell r="AF1053" t="str">
            <v>20</v>
          </cell>
          <cell r="AI1053">
            <v>0</v>
          </cell>
          <cell r="AJ1053">
            <v>0</v>
          </cell>
        </row>
        <row r="1054">
          <cell r="A1054" t="str">
            <v>20</v>
          </cell>
          <cell r="B1054" t="str">
            <v>17</v>
          </cell>
          <cell r="C1054" t="str">
            <v>509</v>
          </cell>
          <cell r="D1054" t="str">
            <v>Шкаф ВРУ 50-01 в сис</v>
          </cell>
          <cell r="E1054" t="str">
            <v>теме наруж.эл.сетей</v>
          </cell>
          <cell r="G1054" t="str">
            <v>01</v>
          </cell>
          <cell r="H1054">
            <v>5634.61</v>
          </cell>
          <cell r="I1054">
            <v>0</v>
          </cell>
          <cell r="J1054">
            <v>0</v>
          </cell>
          <cell r="K1054">
            <v>1</v>
          </cell>
          <cell r="L1054" t="str">
            <v>88/4</v>
          </cell>
          <cell r="M1054" t="str">
            <v>40701</v>
          </cell>
          <cell r="N1054" t="str">
            <v>14 3120293</v>
          </cell>
          <cell r="P1054">
            <v>4.4000000000000004</v>
          </cell>
          <cell r="Q1054">
            <v>0</v>
          </cell>
          <cell r="R1054" t="str">
            <v>1</v>
          </cell>
          <cell r="S1054" t="str">
            <v>40</v>
          </cell>
          <cell r="T1054">
            <v>97</v>
          </cell>
          <cell r="U1054">
            <v>12</v>
          </cell>
          <cell r="V1054">
            <v>97</v>
          </cell>
          <cell r="W1054">
            <v>12</v>
          </cell>
          <cell r="X1054">
            <v>97</v>
          </cell>
          <cell r="Y1054">
            <v>0</v>
          </cell>
          <cell r="Z1054">
            <v>0</v>
          </cell>
          <cell r="AB1054" t="str">
            <v>14</v>
          </cell>
          <cell r="AC1054">
            <v>2</v>
          </cell>
          <cell r="AD1054" t="str">
            <v>0</v>
          </cell>
          <cell r="AE1054" t="str">
            <v>0</v>
          </cell>
          <cell r="AF1054" t="str">
            <v>20</v>
          </cell>
          <cell r="AI1054">
            <v>0</v>
          </cell>
          <cell r="AJ1054">
            <v>0</v>
          </cell>
        </row>
        <row r="1055">
          <cell r="A1055" t="str">
            <v>20</v>
          </cell>
          <cell r="B1055" t="str">
            <v>17</v>
          </cell>
          <cell r="C1055" t="str">
            <v>510</v>
          </cell>
          <cell r="D1055" t="str">
            <v>Насос 40с125/25 с эл</v>
          </cell>
          <cell r="E1055" t="str">
            <v>двигателем ДМР100Л2</v>
          </cell>
          <cell r="F1055" t="str">
            <v>в системе нар.канали</v>
          </cell>
          <cell r="G1055" t="str">
            <v>01</v>
          </cell>
          <cell r="H1055">
            <v>16807.79</v>
          </cell>
          <cell r="I1055">
            <v>0</v>
          </cell>
          <cell r="J1055">
            <v>0</v>
          </cell>
          <cell r="K1055">
            <v>1</v>
          </cell>
          <cell r="L1055" t="str">
            <v>88/4</v>
          </cell>
          <cell r="M1055" t="str">
            <v>41502</v>
          </cell>
          <cell r="N1055" t="str">
            <v>14 2912177</v>
          </cell>
          <cell r="P1055">
            <v>12.5</v>
          </cell>
          <cell r="Q1055">
            <v>0</v>
          </cell>
          <cell r="R1055" t="str">
            <v>1</v>
          </cell>
          <cell r="S1055" t="str">
            <v>41</v>
          </cell>
          <cell r="T1055">
            <v>97</v>
          </cell>
          <cell r="U1055">
            <v>12</v>
          </cell>
          <cell r="V1055">
            <v>97</v>
          </cell>
          <cell r="W1055">
            <v>12</v>
          </cell>
          <cell r="X1055">
            <v>97</v>
          </cell>
          <cell r="Y1055">
            <v>0</v>
          </cell>
          <cell r="Z1055">
            <v>0</v>
          </cell>
          <cell r="AB1055" t="str">
            <v>14</v>
          </cell>
          <cell r="AC1055">
            <v>2</v>
          </cell>
          <cell r="AD1055" t="str">
            <v>0</v>
          </cell>
          <cell r="AE1055" t="str">
            <v>0</v>
          </cell>
          <cell r="AF1055" t="str">
            <v>20</v>
          </cell>
          <cell r="AI1055">
            <v>0</v>
          </cell>
          <cell r="AJ1055">
            <v>0</v>
          </cell>
        </row>
        <row r="1056">
          <cell r="A1056" t="str">
            <v>20</v>
          </cell>
          <cell r="B1056" t="str">
            <v>17</v>
          </cell>
          <cell r="C1056" t="str">
            <v>511</v>
          </cell>
          <cell r="D1056" t="str">
            <v>Насос 40с125/25 с эл</v>
          </cell>
          <cell r="E1056" t="str">
            <v>двигат.ДМР100Л2 в си</v>
          </cell>
          <cell r="F1056" t="str">
            <v>стеме наруж.канализ.</v>
          </cell>
          <cell r="G1056" t="str">
            <v>01</v>
          </cell>
          <cell r="H1056">
            <v>16807.79</v>
          </cell>
          <cell r="I1056">
            <v>0</v>
          </cell>
          <cell r="J1056">
            <v>0</v>
          </cell>
          <cell r="K1056">
            <v>1</v>
          </cell>
          <cell r="L1056" t="str">
            <v>88/4</v>
          </cell>
          <cell r="M1056" t="str">
            <v>41502</v>
          </cell>
          <cell r="N1056" t="str">
            <v>14 2912177</v>
          </cell>
          <cell r="P1056">
            <v>12.5</v>
          </cell>
          <cell r="Q1056">
            <v>0</v>
          </cell>
          <cell r="R1056" t="str">
            <v>1</v>
          </cell>
          <cell r="S1056" t="str">
            <v>41</v>
          </cell>
          <cell r="T1056">
            <v>97</v>
          </cell>
          <cell r="U1056">
            <v>12</v>
          </cell>
          <cell r="V1056">
            <v>97</v>
          </cell>
          <cell r="W1056">
            <v>12</v>
          </cell>
          <cell r="X1056">
            <v>97</v>
          </cell>
          <cell r="Y1056">
            <v>0</v>
          </cell>
          <cell r="Z1056">
            <v>0</v>
          </cell>
          <cell r="AB1056" t="str">
            <v>14</v>
          </cell>
          <cell r="AC1056">
            <v>2</v>
          </cell>
          <cell r="AD1056" t="str">
            <v>0</v>
          </cell>
          <cell r="AE1056" t="str">
            <v>0</v>
          </cell>
          <cell r="AF1056" t="str">
            <v>20</v>
          </cell>
          <cell r="AI1056">
            <v>0</v>
          </cell>
          <cell r="AJ1056">
            <v>0</v>
          </cell>
        </row>
        <row r="1057">
          <cell r="A1057" t="str">
            <v>20</v>
          </cell>
          <cell r="B1057" t="str">
            <v>17</v>
          </cell>
          <cell r="C1057" t="str">
            <v>512</v>
          </cell>
          <cell r="D1057" t="str">
            <v>Установка УДВ-616-А6</v>
          </cell>
          <cell r="E1057" t="str">
            <v>1 в системе очистных</v>
          </cell>
          <cell r="F1057" t="str">
            <v xml:space="preserve"> сооружений</v>
          </cell>
          <cell r="G1057" t="str">
            <v>01</v>
          </cell>
          <cell r="H1057">
            <v>20809.650000000001</v>
          </cell>
          <cell r="I1057">
            <v>0</v>
          </cell>
          <cell r="J1057">
            <v>0</v>
          </cell>
          <cell r="K1057">
            <v>1</v>
          </cell>
          <cell r="L1057" t="str">
            <v>88/4</v>
          </cell>
          <cell r="M1057" t="str">
            <v>45100</v>
          </cell>
          <cell r="N1057" t="str">
            <v>14 2912190</v>
          </cell>
          <cell r="P1057">
            <v>11.8</v>
          </cell>
          <cell r="Q1057">
            <v>0</v>
          </cell>
          <cell r="R1057" t="str">
            <v>1</v>
          </cell>
          <cell r="S1057" t="str">
            <v>45</v>
          </cell>
          <cell r="T1057">
            <v>97</v>
          </cell>
          <cell r="U1057">
            <v>12</v>
          </cell>
          <cell r="V1057">
            <v>97</v>
          </cell>
          <cell r="W1057">
            <v>12</v>
          </cell>
          <cell r="X1057">
            <v>97</v>
          </cell>
          <cell r="Y1057">
            <v>0</v>
          </cell>
          <cell r="Z1057">
            <v>0</v>
          </cell>
          <cell r="AB1057" t="str">
            <v>14</v>
          </cell>
          <cell r="AC1057">
            <v>2</v>
          </cell>
          <cell r="AD1057" t="str">
            <v>0</v>
          </cell>
          <cell r="AE1057" t="str">
            <v>0</v>
          </cell>
          <cell r="AF1057" t="str">
            <v>20</v>
          </cell>
          <cell r="AI1057">
            <v>0</v>
          </cell>
          <cell r="AJ1057">
            <v>0</v>
          </cell>
        </row>
        <row r="1058">
          <cell r="A1058" t="str">
            <v>20</v>
          </cell>
          <cell r="B1058" t="str">
            <v>17</v>
          </cell>
          <cell r="C1058" t="str">
            <v>513</v>
          </cell>
          <cell r="D1058" t="str">
            <v>Горел.устр=во 33у-6</v>
          </cell>
          <cell r="E1058" t="str">
            <v>в системе газопровод</v>
          </cell>
          <cell r="F1058" t="str">
            <v>а</v>
          </cell>
          <cell r="G1058" t="str">
            <v>01</v>
          </cell>
          <cell r="H1058">
            <v>2743.15</v>
          </cell>
          <cell r="I1058">
            <v>0</v>
          </cell>
          <cell r="J1058">
            <v>0</v>
          </cell>
          <cell r="K1058">
            <v>1</v>
          </cell>
          <cell r="L1058" t="str">
            <v>88/4</v>
          </cell>
          <cell r="M1058" t="str">
            <v>49020</v>
          </cell>
          <cell r="N1058" t="str">
            <v>14 2914251</v>
          </cell>
          <cell r="P1058">
            <v>5</v>
          </cell>
          <cell r="Q1058">
            <v>0</v>
          </cell>
          <cell r="R1058" t="str">
            <v>1</v>
          </cell>
          <cell r="S1058" t="str">
            <v>49</v>
          </cell>
          <cell r="T1058">
            <v>97</v>
          </cell>
          <cell r="U1058">
            <v>12</v>
          </cell>
          <cell r="V1058">
            <v>97</v>
          </cell>
          <cell r="W1058">
            <v>12</v>
          </cell>
          <cell r="X1058">
            <v>97</v>
          </cell>
          <cell r="Y1058">
            <v>0</v>
          </cell>
          <cell r="Z1058">
            <v>0</v>
          </cell>
          <cell r="AB1058" t="str">
            <v>14</v>
          </cell>
          <cell r="AC1058">
            <v>2</v>
          </cell>
          <cell r="AD1058" t="str">
            <v>0</v>
          </cell>
          <cell r="AE1058" t="str">
            <v>0</v>
          </cell>
          <cell r="AF1058" t="str">
            <v>20</v>
          </cell>
          <cell r="AI1058">
            <v>0</v>
          </cell>
          <cell r="AJ1058">
            <v>0</v>
          </cell>
        </row>
        <row r="1059">
          <cell r="A1059" t="str">
            <v>20</v>
          </cell>
          <cell r="B1059" t="str">
            <v>17</v>
          </cell>
          <cell r="C1059" t="str">
            <v>514</v>
          </cell>
          <cell r="D1059" t="str">
            <v>Кран-балка в системе</v>
          </cell>
          <cell r="E1059" t="str">
            <v xml:space="preserve"> очистных сооружений</v>
          </cell>
          <cell r="G1059" t="str">
            <v>01</v>
          </cell>
          <cell r="H1059">
            <v>31086.240000000002</v>
          </cell>
          <cell r="I1059">
            <v>0</v>
          </cell>
          <cell r="J1059">
            <v>0</v>
          </cell>
          <cell r="K1059">
            <v>1</v>
          </cell>
          <cell r="L1059" t="str">
            <v>88/4</v>
          </cell>
          <cell r="M1059" t="str">
            <v>41722</v>
          </cell>
          <cell r="N1059" t="str">
            <v>14 2915249</v>
          </cell>
          <cell r="P1059">
            <v>14.3</v>
          </cell>
          <cell r="Q1059">
            <v>0</v>
          </cell>
          <cell r="R1059" t="str">
            <v>1</v>
          </cell>
          <cell r="S1059" t="str">
            <v>41</v>
          </cell>
          <cell r="T1059">
            <v>97</v>
          </cell>
          <cell r="U1059">
            <v>12</v>
          </cell>
          <cell r="V1059">
            <v>97</v>
          </cell>
          <cell r="W1059">
            <v>12</v>
          </cell>
          <cell r="X1059">
            <v>97</v>
          </cell>
          <cell r="Y1059">
            <v>0</v>
          </cell>
          <cell r="Z1059">
            <v>0</v>
          </cell>
          <cell r="AB1059" t="str">
            <v>14</v>
          </cell>
          <cell r="AC1059">
            <v>2</v>
          </cell>
          <cell r="AD1059" t="str">
            <v>0</v>
          </cell>
          <cell r="AE1059" t="str">
            <v>0</v>
          </cell>
          <cell r="AF1059" t="str">
            <v>20</v>
          </cell>
          <cell r="AI1059">
            <v>0</v>
          </cell>
          <cell r="AJ1059">
            <v>0</v>
          </cell>
        </row>
        <row r="1060">
          <cell r="A1060" t="str">
            <v>20</v>
          </cell>
          <cell r="B1060" t="str">
            <v>17</v>
          </cell>
          <cell r="C1060" t="str">
            <v>515</v>
          </cell>
          <cell r="D1060" t="str">
            <v>Емкость ЕП-8м3 в сис</v>
          </cell>
          <cell r="E1060" t="str">
            <v>теме очистных сооруж</v>
          </cell>
          <cell r="F1060" t="str">
            <v>ений</v>
          </cell>
          <cell r="G1060" t="str">
            <v>01</v>
          </cell>
          <cell r="H1060">
            <v>11588.21</v>
          </cell>
          <cell r="I1060">
            <v>0</v>
          </cell>
          <cell r="J1060">
            <v>0</v>
          </cell>
          <cell r="K1060">
            <v>1</v>
          </cell>
          <cell r="L1060" t="str">
            <v>88/4</v>
          </cell>
          <cell r="M1060" t="str">
            <v>20323</v>
          </cell>
          <cell r="N1060" t="str">
            <v>12 2811000</v>
          </cell>
          <cell r="P1060">
            <v>4</v>
          </cell>
          <cell r="Q1060">
            <v>0</v>
          </cell>
          <cell r="R1060" t="str">
            <v>1</v>
          </cell>
          <cell r="S1060" t="str">
            <v>20</v>
          </cell>
          <cell r="T1060">
            <v>97</v>
          </cell>
          <cell r="U1060">
            <v>12</v>
          </cell>
          <cell r="V1060">
            <v>97</v>
          </cell>
          <cell r="W1060">
            <v>12</v>
          </cell>
          <cell r="X1060">
            <v>97</v>
          </cell>
          <cell r="Y1060">
            <v>0</v>
          </cell>
          <cell r="Z1060">
            <v>0</v>
          </cell>
          <cell r="AB1060" t="str">
            <v>14</v>
          </cell>
          <cell r="AC1060">
            <v>2</v>
          </cell>
          <cell r="AD1060" t="str">
            <v>0</v>
          </cell>
          <cell r="AE1060" t="str">
            <v>0</v>
          </cell>
          <cell r="AF1060" t="str">
            <v>20</v>
          </cell>
          <cell r="AI1060">
            <v>0</v>
          </cell>
          <cell r="AJ1060">
            <v>0</v>
          </cell>
        </row>
        <row r="1061">
          <cell r="A1061" t="str">
            <v>20</v>
          </cell>
          <cell r="B1061" t="str">
            <v>17</v>
          </cell>
          <cell r="C1061" t="str">
            <v>517</v>
          </cell>
          <cell r="D1061" t="str">
            <v>Насос НС 50/56 в сис</v>
          </cell>
          <cell r="E1061" t="str">
            <v>теме очистных сооруж</v>
          </cell>
          <cell r="F1061" t="str">
            <v>ений</v>
          </cell>
          <cell r="G1061" t="str">
            <v>01</v>
          </cell>
          <cell r="H1061">
            <v>5914.79</v>
          </cell>
          <cell r="I1061">
            <v>0</v>
          </cell>
          <cell r="J1061">
            <v>0</v>
          </cell>
          <cell r="K1061">
            <v>1</v>
          </cell>
          <cell r="L1061" t="str">
            <v>88/4</v>
          </cell>
          <cell r="M1061" t="str">
            <v>41502</v>
          </cell>
          <cell r="N1061" t="str">
            <v>14 2912179</v>
          </cell>
          <cell r="P1061">
            <v>12.5</v>
          </cell>
          <cell r="Q1061">
            <v>0</v>
          </cell>
          <cell r="R1061" t="str">
            <v>1</v>
          </cell>
          <cell r="S1061" t="str">
            <v>41</v>
          </cell>
          <cell r="T1061">
            <v>97</v>
          </cell>
          <cell r="U1061">
            <v>12</v>
          </cell>
          <cell r="V1061">
            <v>97</v>
          </cell>
          <cell r="W1061">
            <v>12</v>
          </cell>
          <cell r="X1061">
            <v>97</v>
          </cell>
          <cell r="Y1061">
            <v>0</v>
          </cell>
          <cell r="Z1061">
            <v>0</v>
          </cell>
          <cell r="AB1061" t="str">
            <v>14</v>
          </cell>
          <cell r="AC1061">
            <v>2</v>
          </cell>
          <cell r="AD1061" t="str">
            <v>0</v>
          </cell>
          <cell r="AE1061" t="str">
            <v>0</v>
          </cell>
          <cell r="AF1061" t="str">
            <v>20</v>
          </cell>
          <cell r="AI1061">
            <v>0</v>
          </cell>
          <cell r="AJ1061">
            <v>0</v>
          </cell>
        </row>
        <row r="1062">
          <cell r="A1062" t="str">
            <v>20</v>
          </cell>
          <cell r="B1062" t="str">
            <v>17</v>
          </cell>
          <cell r="C1062" t="str">
            <v>518</v>
          </cell>
          <cell r="D1062" t="str">
            <v>Насос НС 50/56 в сис</v>
          </cell>
          <cell r="E1062" t="str">
            <v>теме очистных сооруж</v>
          </cell>
          <cell r="F1062" t="str">
            <v>ений</v>
          </cell>
          <cell r="G1062" t="str">
            <v>01</v>
          </cell>
          <cell r="H1062">
            <v>5914.79</v>
          </cell>
          <cell r="I1062">
            <v>0</v>
          </cell>
          <cell r="J1062">
            <v>0</v>
          </cell>
          <cell r="K1062">
            <v>1</v>
          </cell>
          <cell r="L1062" t="str">
            <v>88/4</v>
          </cell>
          <cell r="M1062" t="str">
            <v>41502</v>
          </cell>
          <cell r="N1062" t="str">
            <v>14 2912179</v>
          </cell>
          <cell r="P1062">
            <v>12.5</v>
          </cell>
          <cell r="Q1062">
            <v>0</v>
          </cell>
          <cell r="R1062" t="str">
            <v>1</v>
          </cell>
          <cell r="S1062" t="str">
            <v>41</v>
          </cell>
          <cell r="T1062">
            <v>97</v>
          </cell>
          <cell r="U1062">
            <v>12</v>
          </cell>
          <cell r="V1062">
            <v>97</v>
          </cell>
          <cell r="W1062">
            <v>12</v>
          </cell>
          <cell r="X1062">
            <v>97</v>
          </cell>
          <cell r="Y1062">
            <v>0</v>
          </cell>
          <cell r="Z1062">
            <v>0</v>
          </cell>
          <cell r="AB1062" t="str">
            <v>14</v>
          </cell>
          <cell r="AC1062">
            <v>2</v>
          </cell>
          <cell r="AD1062" t="str">
            <v>0</v>
          </cell>
          <cell r="AE1062" t="str">
            <v>0</v>
          </cell>
          <cell r="AF1062" t="str">
            <v>20</v>
          </cell>
          <cell r="AI1062">
            <v>0</v>
          </cell>
          <cell r="AJ1062">
            <v>0</v>
          </cell>
        </row>
        <row r="1063">
          <cell r="A1063" t="str">
            <v>20</v>
          </cell>
          <cell r="B1063" t="str">
            <v>17</v>
          </cell>
          <cell r="C1063" t="str">
            <v>519</v>
          </cell>
          <cell r="D1063" t="str">
            <v>Подстанция КТП-250</v>
          </cell>
          <cell r="E1063" t="str">
            <v>в системе наруж.эл.с</v>
          </cell>
          <cell r="F1063" t="str">
            <v>етей</v>
          </cell>
          <cell r="G1063" t="str">
            <v>01</v>
          </cell>
          <cell r="H1063">
            <v>23588.97</v>
          </cell>
          <cell r="I1063">
            <v>0</v>
          </cell>
          <cell r="J1063">
            <v>0</v>
          </cell>
          <cell r="K1063">
            <v>1</v>
          </cell>
          <cell r="L1063" t="str">
            <v>88/4</v>
          </cell>
          <cell r="M1063" t="str">
            <v>40702</v>
          </cell>
          <cell r="N1063" t="str">
            <v>14 3115202</v>
          </cell>
          <cell r="P1063">
            <v>9.1</v>
          </cell>
          <cell r="Q1063">
            <v>0</v>
          </cell>
          <cell r="R1063" t="str">
            <v>1</v>
          </cell>
          <cell r="S1063" t="str">
            <v>40</v>
          </cell>
          <cell r="T1063">
            <v>97</v>
          </cell>
          <cell r="U1063">
            <v>12</v>
          </cell>
          <cell r="V1063">
            <v>97</v>
          </cell>
          <cell r="W1063">
            <v>12</v>
          </cell>
          <cell r="X1063">
            <v>97</v>
          </cell>
          <cell r="Y1063">
            <v>0</v>
          </cell>
          <cell r="Z1063">
            <v>0</v>
          </cell>
          <cell r="AB1063" t="str">
            <v>14</v>
          </cell>
          <cell r="AC1063">
            <v>2</v>
          </cell>
          <cell r="AD1063" t="str">
            <v>0</v>
          </cell>
          <cell r="AE1063" t="str">
            <v>0</v>
          </cell>
          <cell r="AF1063" t="str">
            <v>20</v>
          </cell>
          <cell r="AI1063">
            <v>0</v>
          </cell>
          <cell r="AJ1063">
            <v>0</v>
          </cell>
        </row>
        <row r="1064">
          <cell r="A1064" t="str">
            <v>20</v>
          </cell>
          <cell r="B1064" t="str">
            <v>17</v>
          </cell>
          <cell r="C1064" t="str">
            <v>520</v>
          </cell>
          <cell r="D1064" t="str">
            <v>Трансформатор ТМ-250</v>
          </cell>
          <cell r="E1064" t="str">
            <v>/0.04 в системе нару</v>
          </cell>
          <cell r="F1064" t="str">
            <v>ж.эл.сетей</v>
          </cell>
          <cell r="G1064" t="str">
            <v>01</v>
          </cell>
          <cell r="H1064">
            <v>19017.46</v>
          </cell>
          <cell r="I1064">
            <v>0</v>
          </cell>
          <cell r="J1064">
            <v>0</v>
          </cell>
          <cell r="K1064">
            <v>1</v>
          </cell>
          <cell r="L1064" t="str">
            <v>88/4</v>
          </cell>
          <cell r="M1064" t="str">
            <v>40702</v>
          </cell>
          <cell r="N1064" t="str">
            <v>14 3115120</v>
          </cell>
          <cell r="P1064">
            <v>9.1</v>
          </cell>
          <cell r="Q1064">
            <v>0</v>
          </cell>
          <cell r="R1064" t="str">
            <v>1</v>
          </cell>
          <cell r="S1064" t="str">
            <v>40</v>
          </cell>
          <cell r="T1064">
            <v>97</v>
          </cell>
          <cell r="U1064">
            <v>12</v>
          </cell>
          <cell r="V1064">
            <v>97</v>
          </cell>
          <cell r="W1064">
            <v>12</v>
          </cell>
          <cell r="X1064">
            <v>97</v>
          </cell>
          <cell r="Y1064">
            <v>0</v>
          </cell>
          <cell r="Z1064">
            <v>0</v>
          </cell>
          <cell r="AB1064" t="str">
            <v>14</v>
          </cell>
          <cell r="AC1064">
            <v>2</v>
          </cell>
          <cell r="AD1064" t="str">
            <v>0</v>
          </cell>
          <cell r="AE1064" t="str">
            <v>0</v>
          </cell>
          <cell r="AF1064" t="str">
            <v>20</v>
          </cell>
          <cell r="AI1064">
            <v>0</v>
          </cell>
          <cell r="AJ1064">
            <v>0</v>
          </cell>
        </row>
        <row r="1065">
          <cell r="A1065" t="str">
            <v>20</v>
          </cell>
          <cell r="B1065" t="str">
            <v>17</v>
          </cell>
          <cell r="C1065" t="str">
            <v>521</v>
          </cell>
          <cell r="D1065" t="str">
            <v>Мешалка МГК 1м3 N669</v>
          </cell>
          <cell r="E1065" t="str">
            <v>в системе очистных с</v>
          </cell>
          <cell r="F1065" t="str">
            <v>ооружений</v>
          </cell>
          <cell r="G1065" t="str">
            <v>01</v>
          </cell>
          <cell r="H1065">
            <v>10042.379999999999</v>
          </cell>
          <cell r="I1065">
            <v>0</v>
          </cell>
          <cell r="J1065">
            <v>0</v>
          </cell>
          <cell r="K1065">
            <v>1</v>
          </cell>
          <cell r="L1065" t="str">
            <v>88/4</v>
          </cell>
          <cell r="M1065" t="str">
            <v>45100</v>
          </cell>
          <cell r="N1065" t="str">
            <v>14 2912190</v>
          </cell>
          <cell r="P1065">
            <v>11.8</v>
          </cell>
          <cell r="Q1065">
            <v>0</v>
          </cell>
          <cell r="R1065" t="str">
            <v>1</v>
          </cell>
          <cell r="S1065" t="str">
            <v>45</v>
          </cell>
          <cell r="T1065">
            <v>97</v>
          </cell>
          <cell r="U1065">
            <v>12</v>
          </cell>
          <cell r="V1065">
            <v>97</v>
          </cell>
          <cell r="W1065">
            <v>12</v>
          </cell>
          <cell r="X1065">
            <v>97</v>
          </cell>
          <cell r="Y1065">
            <v>0</v>
          </cell>
          <cell r="Z1065">
            <v>0</v>
          </cell>
          <cell r="AB1065" t="str">
            <v>14</v>
          </cell>
          <cell r="AC1065">
            <v>2</v>
          </cell>
          <cell r="AD1065" t="str">
            <v>0</v>
          </cell>
          <cell r="AE1065" t="str">
            <v>0</v>
          </cell>
          <cell r="AF1065" t="str">
            <v>20</v>
          </cell>
          <cell r="AI1065">
            <v>0</v>
          </cell>
          <cell r="AJ1065">
            <v>0</v>
          </cell>
        </row>
        <row r="1066">
          <cell r="A1066" t="str">
            <v>20</v>
          </cell>
          <cell r="B1066" t="str">
            <v>17</v>
          </cell>
          <cell r="C1066" t="str">
            <v>522</v>
          </cell>
          <cell r="D1066" t="str">
            <v>Компрессор С-415М в</v>
          </cell>
          <cell r="E1066" t="str">
            <v>системе очистных соо</v>
          </cell>
          <cell r="F1066" t="str">
            <v>ружений</v>
          </cell>
          <cell r="G1066" t="str">
            <v>01</v>
          </cell>
          <cell r="H1066">
            <v>4388.6499999999996</v>
          </cell>
          <cell r="I1066">
            <v>0</v>
          </cell>
          <cell r="J1066">
            <v>0</v>
          </cell>
          <cell r="K1066">
            <v>1</v>
          </cell>
          <cell r="L1066" t="str">
            <v>88/4</v>
          </cell>
          <cell r="M1066" t="str">
            <v>41404</v>
          </cell>
          <cell r="N1066" t="str">
            <v>14 2912133</v>
          </cell>
          <cell r="P1066">
            <v>14.3</v>
          </cell>
          <cell r="Q1066">
            <v>0</v>
          </cell>
          <cell r="R1066" t="str">
            <v>1</v>
          </cell>
          <cell r="S1066" t="str">
            <v>41</v>
          </cell>
          <cell r="T1066">
            <v>97</v>
          </cell>
          <cell r="U1066">
            <v>12</v>
          </cell>
          <cell r="V1066">
            <v>97</v>
          </cell>
          <cell r="W1066">
            <v>12</v>
          </cell>
          <cell r="X1066">
            <v>97</v>
          </cell>
          <cell r="Y1066">
            <v>0</v>
          </cell>
          <cell r="Z1066">
            <v>0</v>
          </cell>
          <cell r="AB1066" t="str">
            <v>14</v>
          </cell>
          <cell r="AC1066">
            <v>2</v>
          </cell>
          <cell r="AD1066" t="str">
            <v>0</v>
          </cell>
          <cell r="AE1066" t="str">
            <v>0</v>
          </cell>
          <cell r="AF1066" t="str">
            <v>20</v>
          </cell>
          <cell r="AI1066">
            <v>0</v>
          </cell>
          <cell r="AJ1066">
            <v>0</v>
          </cell>
        </row>
        <row r="1067">
          <cell r="A1067" t="str">
            <v>20</v>
          </cell>
          <cell r="B1067" t="str">
            <v>17</v>
          </cell>
          <cell r="C1067" t="str">
            <v>523</v>
          </cell>
          <cell r="D1067" t="str">
            <v>Пункт разъединит.ПР3</v>
          </cell>
          <cell r="E1067" t="str">
            <v>078 в системе наруж.</v>
          </cell>
          <cell r="F1067" t="str">
            <v>эл.сетей</v>
          </cell>
          <cell r="G1067" t="str">
            <v>01</v>
          </cell>
          <cell r="H1067">
            <v>2419.2399999999998</v>
          </cell>
          <cell r="I1067">
            <v>0</v>
          </cell>
          <cell r="J1067">
            <v>0</v>
          </cell>
          <cell r="K1067">
            <v>1</v>
          </cell>
          <cell r="L1067" t="str">
            <v>88/4</v>
          </cell>
          <cell r="M1067" t="str">
            <v>40702</v>
          </cell>
          <cell r="N1067" t="str">
            <v>14 3120292</v>
          </cell>
          <cell r="P1067">
            <v>9.1</v>
          </cell>
          <cell r="Q1067">
            <v>0</v>
          </cell>
          <cell r="R1067" t="str">
            <v>1</v>
          </cell>
          <cell r="S1067" t="str">
            <v>40</v>
          </cell>
          <cell r="T1067">
            <v>97</v>
          </cell>
          <cell r="U1067">
            <v>12</v>
          </cell>
          <cell r="V1067">
            <v>97</v>
          </cell>
          <cell r="W1067">
            <v>12</v>
          </cell>
          <cell r="X1067">
            <v>97</v>
          </cell>
          <cell r="Y1067">
            <v>0</v>
          </cell>
          <cell r="Z1067">
            <v>0</v>
          </cell>
          <cell r="AB1067" t="str">
            <v>14</v>
          </cell>
          <cell r="AC1067">
            <v>2</v>
          </cell>
          <cell r="AD1067" t="str">
            <v>0</v>
          </cell>
          <cell r="AE1067" t="str">
            <v>0</v>
          </cell>
          <cell r="AF1067" t="str">
            <v>20</v>
          </cell>
          <cell r="AI1067">
            <v>0</v>
          </cell>
          <cell r="AJ1067">
            <v>0</v>
          </cell>
        </row>
        <row r="1068">
          <cell r="A1068" t="str">
            <v>20</v>
          </cell>
          <cell r="B1068" t="str">
            <v>17</v>
          </cell>
          <cell r="C1068" t="str">
            <v>524</v>
          </cell>
          <cell r="D1068" t="str">
            <v>Емкость V-62м3 в сис</v>
          </cell>
          <cell r="E1068" t="str">
            <v>теме очистных сооруж</v>
          </cell>
          <cell r="F1068" t="str">
            <v>ений</v>
          </cell>
          <cell r="G1068" t="str">
            <v>01</v>
          </cell>
          <cell r="H1068">
            <v>27429.03</v>
          </cell>
          <cell r="I1068">
            <v>0</v>
          </cell>
          <cell r="J1068">
            <v>0</v>
          </cell>
          <cell r="K1068">
            <v>1</v>
          </cell>
          <cell r="L1068" t="str">
            <v>88/4</v>
          </cell>
          <cell r="M1068" t="str">
            <v>20323</v>
          </cell>
          <cell r="N1068" t="str">
            <v>12 2811000</v>
          </cell>
          <cell r="P1068">
            <v>4</v>
          </cell>
          <cell r="Q1068">
            <v>0</v>
          </cell>
          <cell r="R1068" t="str">
            <v>1</v>
          </cell>
          <cell r="S1068" t="str">
            <v>20</v>
          </cell>
          <cell r="T1068">
            <v>97</v>
          </cell>
          <cell r="U1068">
            <v>12</v>
          </cell>
          <cell r="V1068">
            <v>97</v>
          </cell>
          <cell r="W1068">
            <v>12</v>
          </cell>
          <cell r="X1068">
            <v>97</v>
          </cell>
          <cell r="Y1068">
            <v>0</v>
          </cell>
          <cell r="Z1068">
            <v>0</v>
          </cell>
          <cell r="AB1068" t="str">
            <v>14</v>
          </cell>
          <cell r="AC1068">
            <v>2</v>
          </cell>
          <cell r="AD1068" t="str">
            <v>0</v>
          </cell>
          <cell r="AE1068" t="str">
            <v>0</v>
          </cell>
          <cell r="AF1068" t="str">
            <v>20</v>
          </cell>
          <cell r="AI1068">
            <v>0</v>
          </cell>
          <cell r="AJ1068">
            <v>0</v>
          </cell>
        </row>
        <row r="1069">
          <cell r="A1069" t="str">
            <v>20</v>
          </cell>
          <cell r="B1069" t="str">
            <v>17</v>
          </cell>
          <cell r="C1069" t="str">
            <v>525</v>
          </cell>
          <cell r="D1069" t="str">
            <v>Насос Н1В1.6/5-0.16К</v>
          </cell>
          <cell r="E1069" t="str">
            <v>с эл.двиг.АИР 80В6 в</v>
          </cell>
          <cell r="F1069" t="str">
            <v>системе очист.сооруж</v>
          </cell>
          <cell r="G1069" t="str">
            <v>01</v>
          </cell>
          <cell r="H1069">
            <v>10054.450000000001</v>
          </cell>
          <cell r="I1069">
            <v>0</v>
          </cell>
          <cell r="J1069">
            <v>0</v>
          </cell>
          <cell r="K1069">
            <v>1</v>
          </cell>
          <cell r="L1069" t="str">
            <v>88/4</v>
          </cell>
          <cell r="M1069" t="str">
            <v>41502</v>
          </cell>
          <cell r="N1069" t="str">
            <v>14 2912177</v>
          </cell>
          <cell r="P1069">
            <v>12.5</v>
          </cell>
          <cell r="Q1069">
            <v>0</v>
          </cell>
          <cell r="R1069" t="str">
            <v>1</v>
          </cell>
          <cell r="S1069" t="str">
            <v>41</v>
          </cell>
          <cell r="T1069">
            <v>97</v>
          </cell>
          <cell r="U1069">
            <v>12</v>
          </cell>
          <cell r="V1069">
            <v>97</v>
          </cell>
          <cell r="W1069">
            <v>12</v>
          </cell>
          <cell r="X1069">
            <v>97</v>
          </cell>
          <cell r="Y1069">
            <v>0</v>
          </cell>
          <cell r="Z1069">
            <v>0</v>
          </cell>
          <cell r="AB1069" t="str">
            <v>14</v>
          </cell>
          <cell r="AC1069">
            <v>2</v>
          </cell>
          <cell r="AD1069" t="str">
            <v>0</v>
          </cell>
          <cell r="AE1069" t="str">
            <v>0</v>
          </cell>
          <cell r="AF1069" t="str">
            <v>20</v>
          </cell>
          <cell r="AI1069">
            <v>0</v>
          </cell>
          <cell r="AJ1069">
            <v>0</v>
          </cell>
        </row>
        <row r="1070">
          <cell r="A1070" t="str">
            <v>20</v>
          </cell>
          <cell r="B1070" t="str">
            <v>17</v>
          </cell>
          <cell r="C1070" t="str">
            <v>526</v>
          </cell>
          <cell r="D1070" t="str">
            <v>Оборудование для очи</v>
          </cell>
          <cell r="E1070" t="str">
            <v>стных сооруж Установ</v>
          </cell>
          <cell r="F1070" t="str">
            <v>ка СПО-1</v>
          </cell>
          <cell r="G1070" t="str">
            <v>01</v>
          </cell>
          <cell r="H1070">
            <v>649681.16</v>
          </cell>
          <cell r="I1070">
            <v>0</v>
          </cell>
          <cell r="J1070">
            <v>0</v>
          </cell>
          <cell r="K1070">
            <v>1</v>
          </cell>
          <cell r="L1070" t="str">
            <v>88/4</v>
          </cell>
          <cell r="M1070" t="str">
            <v>45100</v>
          </cell>
          <cell r="N1070" t="str">
            <v>14 2912190</v>
          </cell>
          <cell r="P1070">
            <v>11.8</v>
          </cell>
          <cell r="Q1070">
            <v>0</v>
          </cell>
          <cell r="R1070" t="str">
            <v>1</v>
          </cell>
          <cell r="S1070" t="str">
            <v>45</v>
          </cell>
          <cell r="T1070">
            <v>97</v>
          </cell>
          <cell r="U1070">
            <v>12</v>
          </cell>
          <cell r="V1070">
            <v>97</v>
          </cell>
          <cell r="W1070">
            <v>12</v>
          </cell>
          <cell r="X1070">
            <v>97</v>
          </cell>
          <cell r="Y1070">
            <v>0</v>
          </cell>
          <cell r="Z1070">
            <v>0</v>
          </cell>
          <cell r="AB1070" t="str">
            <v>14</v>
          </cell>
          <cell r="AC1070">
            <v>2</v>
          </cell>
          <cell r="AD1070" t="str">
            <v>0</v>
          </cell>
          <cell r="AE1070" t="str">
            <v>0</v>
          </cell>
          <cell r="AF1070" t="str">
            <v>20</v>
          </cell>
          <cell r="AI1070">
            <v>0</v>
          </cell>
          <cell r="AJ1070">
            <v>0</v>
          </cell>
        </row>
        <row r="1071">
          <cell r="A1071" t="str">
            <v>20</v>
          </cell>
          <cell r="B1071" t="str">
            <v>17</v>
          </cell>
          <cell r="C1071" t="str">
            <v>527</v>
          </cell>
          <cell r="D1071" t="str">
            <v>Газорегулятор 2Ц400</v>
          </cell>
          <cell r="E1071" t="str">
            <v>в системе газопровод</v>
          </cell>
          <cell r="F1071" t="str">
            <v>а</v>
          </cell>
          <cell r="G1071" t="str">
            <v>01</v>
          </cell>
          <cell r="H1071">
            <v>8877.49</v>
          </cell>
          <cell r="I1071">
            <v>0</v>
          </cell>
          <cell r="J1071">
            <v>0</v>
          </cell>
          <cell r="K1071">
            <v>1</v>
          </cell>
          <cell r="L1071" t="str">
            <v>88/4</v>
          </cell>
          <cell r="M1071" t="str">
            <v>49020</v>
          </cell>
          <cell r="N1071" t="str">
            <v>14 2919134</v>
          </cell>
          <cell r="P1071">
            <v>5</v>
          </cell>
          <cell r="Q1071">
            <v>0</v>
          </cell>
          <cell r="R1071" t="str">
            <v>1</v>
          </cell>
          <cell r="S1071" t="str">
            <v>49</v>
          </cell>
          <cell r="T1071">
            <v>97</v>
          </cell>
          <cell r="U1071">
            <v>12</v>
          </cell>
          <cell r="V1071">
            <v>97</v>
          </cell>
          <cell r="W1071">
            <v>12</v>
          </cell>
          <cell r="X1071">
            <v>97</v>
          </cell>
          <cell r="Y1071">
            <v>0</v>
          </cell>
          <cell r="Z1071">
            <v>0</v>
          </cell>
          <cell r="AB1071" t="str">
            <v>14</v>
          </cell>
          <cell r="AC1071">
            <v>2</v>
          </cell>
          <cell r="AD1071" t="str">
            <v>0</v>
          </cell>
          <cell r="AE1071" t="str">
            <v>0</v>
          </cell>
          <cell r="AF1071" t="str">
            <v>20</v>
          </cell>
          <cell r="AI1071">
            <v>0</v>
          </cell>
          <cell r="AJ1071">
            <v>0</v>
          </cell>
        </row>
        <row r="1072">
          <cell r="A1072" t="str">
            <v>20</v>
          </cell>
          <cell r="B1072" t="str">
            <v>17</v>
          </cell>
          <cell r="C1072" t="str">
            <v>529</v>
          </cell>
          <cell r="D1072" t="str">
            <v>Теплосети к цеху по</v>
          </cell>
          <cell r="E1072" t="str">
            <v>переработке молока</v>
          </cell>
          <cell r="G1072" t="str">
            <v>01</v>
          </cell>
          <cell r="H1072">
            <v>103367.51</v>
          </cell>
          <cell r="I1072">
            <v>0</v>
          </cell>
          <cell r="J1072">
            <v>0</v>
          </cell>
          <cell r="K1072">
            <v>1</v>
          </cell>
          <cell r="L1072" t="str">
            <v>88/4</v>
          </cell>
          <cell r="M1072" t="str">
            <v>30121</v>
          </cell>
          <cell r="N1072" t="str">
            <v>12 4527392</v>
          </cell>
          <cell r="P1072">
            <v>4</v>
          </cell>
          <cell r="Q1072">
            <v>0</v>
          </cell>
          <cell r="R1072" t="str">
            <v>1</v>
          </cell>
          <cell r="S1072" t="str">
            <v>30</v>
          </cell>
          <cell r="T1072">
            <v>97</v>
          </cell>
          <cell r="U1072">
            <v>12</v>
          </cell>
          <cell r="V1072">
            <v>97</v>
          </cell>
          <cell r="W1072">
            <v>12</v>
          </cell>
          <cell r="X1072">
            <v>97</v>
          </cell>
          <cell r="Y1072">
            <v>0</v>
          </cell>
          <cell r="Z1072">
            <v>0</v>
          </cell>
          <cell r="AB1072" t="str">
            <v>14</v>
          </cell>
          <cell r="AC1072">
            <v>2</v>
          </cell>
          <cell r="AD1072" t="str">
            <v>0</v>
          </cell>
          <cell r="AE1072" t="str">
            <v>0</v>
          </cell>
          <cell r="AF1072" t="str">
            <v>20</v>
          </cell>
          <cell r="AI1072">
            <v>0</v>
          </cell>
          <cell r="AJ1072">
            <v>0</v>
          </cell>
        </row>
        <row r="1073">
          <cell r="A1073" t="str">
            <v>20</v>
          </cell>
          <cell r="B1073" t="str">
            <v>17</v>
          </cell>
          <cell r="C1073" t="str">
            <v>530</v>
          </cell>
          <cell r="D1073" t="str">
            <v>Наружние эл.сети к ц</v>
          </cell>
          <cell r="E1073" t="str">
            <v>еху по переработке</v>
          </cell>
          <cell r="F1073" t="str">
            <v>молока</v>
          </cell>
          <cell r="G1073" t="str">
            <v>01</v>
          </cell>
          <cell r="H1073">
            <v>38944.089999999997</v>
          </cell>
          <cell r="I1073">
            <v>0</v>
          </cell>
          <cell r="J1073">
            <v>0</v>
          </cell>
          <cell r="K1073">
            <v>1</v>
          </cell>
          <cell r="L1073" t="str">
            <v>88/4</v>
          </cell>
          <cell r="M1073" t="str">
            <v>30012</v>
          </cell>
          <cell r="N1073" t="str">
            <v>12 4527342</v>
          </cell>
          <cell r="P1073">
            <v>4</v>
          </cell>
          <cell r="Q1073">
            <v>0</v>
          </cell>
          <cell r="R1073" t="str">
            <v>1</v>
          </cell>
          <cell r="S1073" t="str">
            <v>30</v>
          </cell>
          <cell r="T1073">
            <v>97</v>
          </cell>
          <cell r="U1073">
            <v>12</v>
          </cell>
          <cell r="V1073">
            <v>97</v>
          </cell>
          <cell r="W1073">
            <v>12</v>
          </cell>
          <cell r="X1073">
            <v>97</v>
          </cell>
          <cell r="Y1073">
            <v>0</v>
          </cell>
          <cell r="Z1073">
            <v>0</v>
          </cell>
          <cell r="AB1073" t="str">
            <v>14</v>
          </cell>
          <cell r="AC1073">
            <v>2</v>
          </cell>
          <cell r="AD1073" t="str">
            <v>0</v>
          </cell>
          <cell r="AE1073" t="str">
            <v>0</v>
          </cell>
          <cell r="AF1073" t="str">
            <v>20</v>
          </cell>
          <cell r="AI1073">
            <v>0</v>
          </cell>
          <cell r="AJ1073">
            <v>0</v>
          </cell>
        </row>
        <row r="1074">
          <cell r="A1074" t="str">
            <v>20</v>
          </cell>
          <cell r="B1074" t="str">
            <v>17</v>
          </cell>
          <cell r="C1074" t="str">
            <v>531</v>
          </cell>
          <cell r="D1074" t="str">
            <v>Канализационные сети</v>
          </cell>
          <cell r="E1074" t="str">
            <v xml:space="preserve"> к цеху по переработ</v>
          </cell>
          <cell r="F1074" t="str">
            <v>ке молока</v>
          </cell>
          <cell r="G1074" t="str">
            <v>01</v>
          </cell>
          <cell r="H1074">
            <v>635621.64</v>
          </cell>
          <cell r="I1074">
            <v>0</v>
          </cell>
          <cell r="J1074">
            <v>0</v>
          </cell>
          <cell r="K1074">
            <v>1</v>
          </cell>
          <cell r="L1074" t="str">
            <v>88/4</v>
          </cell>
          <cell r="M1074" t="str">
            <v>30108</v>
          </cell>
          <cell r="N1074" t="str">
            <v>12 4527372</v>
          </cell>
          <cell r="P1074">
            <v>4</v>
          </cell>
          <cell r="Q1074">
            <v>0</v>
          </cell>
          <cell r="R1074" t="str">
            <v>1</v>
          </cell>
          <cell r="S1074" t="str">
            <v>30</v>
          </cell>
          <cell r="T1074">
            <v>97</v>
          </cell>
          <cell r="U1074">
            <v>12</v>
          </cell>
          <cell r="V1074">
            <v>97</v>
          </cell>
          <cell r="W1074">
            <v>12</v>
          </cell>
          <cell r="X1074">
            <v>97</v>
          </cell>
          <cell r="Y1074">
            <v>0</v>
          </cell>
          <cell r="Z1074">
            <v>0</v>
          </cell>
          <cell r="AB1074" t="str">
            <v>14</v>
          </cell>
          <cell r="AC1074">
            <v>2</v>
          </cell>
          <cell r="AD1074" t="str">
            <v>0</v>
          </cell>
          <cell r="AE1074" t="str">
            <v>0</v>
          </cell>
          <cell r="AF1074" t="str">
            <v>20</v>
          </cell>
          <cell r="AI1074">
            <v>0</v>
          </cell>
          <cell r="AJ1074">
            <v>0</v>
          </cell>
        </row>
        <row r="1075">
          <cell r="A1075" t="str">
            <v>20</v>
          </cell>
          <cell r="B1075" t="str">
            <v>17</v>
          </cell>
          <cell r="C1075" t="str">
            <v>532</v>
          </cell>
          <cell r="D1075" t="str">
            <v>Здание очист.сооруже</v>
          </cell>
          <cell r="E1075" t="str">
            <v>ний к цеху по перера</v>
          </cell>
          <cell r="F1075" t="str">
            <v>ботке молока</v>
          </cell>
          <cell r="G1075" t="str">
            <v>01</v>
          </cell>
          <cell r="H1075">
            <v>1629689.16</v>
          </cell>
          <cell r="I1075">
            <v>0</v>
          </cell>
          <cell r="J1075">
            <v>0</v>
          </cell>
          <cell r="K1075">
            <v>1</v>
          </cell>
          <cell r="L1075" t="str">
            <v>88/4</v>
          </cell>
          <cell r="M1075" t="str">
            <v>10008</v>
          </cell>
          <cell r="N1075" t="str">
            <v>11 4524362</v>
          </cell>
          <cell r="P1075">
            <v>5</v>
          </cell>
          <cell r="Q1075">
            <v>0</v>
          </cell>
          <cell r="R1075" t="str">
            <v>1</v>
          </cell>
          <cell r="S1075" t="str">
            <v>10</v>
          </cell>
          <cell r="T1075">
            <v>97</v>
          </cell>
          <cell r="U1075">
            <v>12</v>
          </cell>
          <cell r="V1075">
            <v>97</v>
          </cell>
          <cell r="W1075">
            <v>12</v>
          </cell>
          <cell r="X1075">
            <v>97</v>
          </cell>
          <cell r="Y1075">
            <v>0</v>
          </cell>
          <cell r="Z1075">
            <v>0</v>
          </cell>
          <cell r="AB1075" t="str">
            <v>14</v>
          </cell>
          <cell r="AC1075">
            <v>2</v>
          </cell>
          <cell r="AD1075" t="str">
            <v>0</v>
          </cell>
          <cell r="AE1075" t="str">
            <v>0</v>
          </cell>
          <cell r="AF1075" t="str">
            <v>20</v>
          </cell>
          <cell r="AI1075">
            <v>0</v>
          </cell>
          <cell r="AJ1075">
            <v>0</v>
          </cell>
        </row>
        <row r="1076">
          <cell r="A1076" t="str">
            <v>20</v>
          </cell>
          <cell r="B1076" t="str">
            <v>17</v>
          </cell>
          <cell r="C1076" t="str">
            <v>533</v>
          </cell>
          <cell r="D1076" t="str">
            <v>Газопровод к цеху по</v>
          </cell>
          <cell r="E1076" t="str">
            <v xml:space="preserve"> переработке молока</v>
          </cell>
          <cell r="G1076" t="str">
            <v>01</v>
          </cell>
          <cell r="H1076">
            <v>25709.43</v>
          </cell>
          <cell r="I1076">
            <v>0</v>
          </cell>
          <cell r="J1076">
            <v>0</v>
          </cell>
          <cell r="K1076">
            <v>1</v>
          </cell>
          <cell r="L1076" t="str">
            <v>88/4</v>
          </cell>
          <cell r="M1076" t="str">
            <v>30101</v>
          </cell>
          <cell r="N1076" t="str">
            <v>14 4527384</v>
          </cell>
          <cell r="P1076">
            <v>2.5</v>
          </cell>
          <cell r="Q1076">
            <v>0</v>
          </cell>
          <cell r="R1076" t="str">
            <v>1</v>
          </cell>
          <cell r="S1076" t="str">
            <v>30</v>
          </cell>
          <cell r="T1076">
            <v>97</v>
          </cell>
          <cell r="U1076">
            <v>12</v>
          </cell>
          <cell r="V1076">
            <v>97</v>
          </cell>
          <cell r="W1076">
            <v>12</v>
          </cell>
          <cell r="X1076">
            <v>97</v>
          </cell>
          <cell r="Y1076">
            <v>0</v>
          </cell>
          <cell r="Z1076">
            <v>0</v>
          </cell>
          <cell r="AB1076" t="str">
            <v>14</v>
          </cell>
          <cell r="AC1076">
            <v>2</v>
          </cell>
          <cell r="AD1076" t="str">
            <v>0</v>
          </cell>
          <cell r="AE1076" t="str">
            <v>0</v>
          </cell>
          <cell r="AF1076" t="str">
            <v>20</v>
          </cell>
          <cell r="AI1076">
            <v>0</v>
          </cell>
          <cell r="AJ1076">
            <v>0</v>
          </cell>
        </row>
        <row r="1077">
          <cell r="A1077" t="str">
            <v>20</v>
          </cell>
          <cell r="B1077" t="str">
            <v>17</v>
          </cell>
          <cell r="C1077" t="str">
            <v>534</v>
          </cell>
          <cell r="D1077" t="str">
            <v>Здание цеха по перер</v>
          </cell>
          <cell r="E1077" t="str">
            <v>аботке молока 30х12</v>
          </cell>
          <cell r="G1077" t="str">
            <v>01</v>
          </cell>
          <cell r="H1077">
            <v>463357.65</v>
          </cell>
          <cell r="I1077">
            <v>0</v>
          </cell>
          <cell r="J1077">
            <v>0</v>
          </cell>
          <cell r="K1077">
            <v>1</v>
          </cell>
          <cell r="L1077" t="str">
            <v>88/4</v>
          </cell>
          <cell r="M1077" t="str">
            <v>10008</v>
          </cell>
          <cell r="N1077" t="str">
            <v>11 4524362</v>
          </cell>
          <cell r="P1077">
            <v>5</v>
          </cell>
          <cell r="Q1077">
            <v>0</v>
          </cell>
          <cell r="R1077" t="str">
            <v>1</v>
          </cell>
          <cell r="S1077" t="str">
            <v>10</v>
          </cell>
          <cell r="T1077">
            <v>97</v>
          </cell>
          <cell r="U1077">
            <v>12</v>
          </cell>
          <cell r="V1077">
            <v>97</v>
          </cell>
          <cell r="W1077">
            <v>12</v>
          </cell>
          <cell r="X1077">
            <v>97</v>
          </cell>
          <cell r="Y1077">
            <v>0</v>
          </cell>
          <cell r="Z1077">
            <v>0</v>
          </cell>
          <cell r="AB1077" t="str">
            <v>14</v>
          </cell>
          <cell r="AC1077">
            <v>2</v>
          </cell>
          <cell r="AD1077" t="str">
            <v>0</v>
          </cell>
          <cell r="AE1077" t="str">
            <v>0</v>
          </cell>
          <cell r="AF1077" t="str">
            <v>20</v>
          </cell>
          <cell r="AI1077">
            <v>0</v>
          </cell>
          <cell r="AJ1077">
            <v>0</v>
          </cell>
        </row>
        <row r="1078">
          <cell r="A1078" t="str">
            <v>20</v>
          </cell>
          <cell r="B1078" t="str">
            <v>17</v>
          </cell>
          <cell r="C1078" t="str">
            <v>535</v>
          </cell>
          <cell r="D1078" t="str">
            <v>Наружние водопроводн</v>
          </cell>
          <cell r="E1078" t="str">
            <v>ые сети /стальные/ к</v>
          </cell>
          <cell r="F1078" t="str">
            <v>цеху по перераб.мол.</v>
          </cell>
          <cell r="G1078" t="str">
            <v>01</v>
          </cell>
          <cell r="H1078">
            <v>152920.29999999999</v>
          </cell>
          <cell r="I1078">
            <v>0</v>
          </cell>
          <cell r="J1078">
            <v>0</v>
          </cell>
          <cell r="K1078">
            <v>1</v>
          </cell>
          <cell r="L1078" t="str">
            <v>88/4</v>
          </cell>
          <cell r="M1078" t="str">
            <v>30109</v>
          </cell>
          <cell r="N1078" t="str">
            <v>12 4527351</v>
          </cell>
          <cell r="P1078">
            <v>5</v>
          </cell>
          <cell r="Q1078">
            <v>0</v>
          </cell>
          <cell r="R1078" t="str">
            <v>1</v>
          </cell>
          <cell r="S1078" t="str">
            <v>30</v>
          </cell>
          <cell r="T1078">
            <v>97</v>
          </cell>
          <cell r="U1078">
            <v>12</v>
          </cell>
          <cell r="V1078">
            <v>97</v>
          </cell>
          <cell r="W1078">
            <v>12</v>
          </cell>
          <cell r="X1078">
            <v>97</v>
          </cell>
          <cell r="Y1078">
            <v>0</v>
          </cell>
          <cell r="Z1078">
            <v>0</v>
          </cell>
          <cell r="AB1078" t="str">
            <v>14</v>
          </cell>
          <cell r="AC1078">
            <v>2</v>
          </cell>
          <cell r="AD1078" t="str">
            <v>0</v>
          </cell>
          <cell r="AE1078" t="str">
            <v>0</v>
          </cell>
          <cell r="AF1078" t="str">
            <v>20</v>
          </cell>
          <cell r="AI1078">
            <v>0</v>
          </cell>
          <cell r="AJ1078">
            <v>0</v>
          </cell>
        </row>
        <row r="1079">
          <cell r="A1079" t="str">
            <v>20</v>
          </cell>
          <cell r="B1079" t="str">
            <v>17</v>
          </cell>
          <cell r="C1079" t="str">
            <v>536</v>
          </cell>
          <cell r="D1079" t="str">
            <v>Благоустройство терр</v>
          </cell>
          <cell r="E1079" t="str">
            <v>итории цеха по перер</v>
          </cell>
          <cell r="F1079" t="str">
            <v>аботке молока</v>
          </cell>
          <cell r="G1079" t="str">
            <v>01</v>
          </cell>
          <cell r="H1079">
            <v>715947.11</v>
          </cell>
          <cell r="I1079">
            <v>0</v>
          </cell>
          <cell r="J1079">
            <v>0</v>
          </cell>
          <cell r="K1079">
            <v>1</v>
          </cell>
          <cell r="L1079" t="str">
            <v>88/4</v>
          </cell>
          <cell r="M1079" t="str">
            <v>20223</v>
          </cell>
          <cell r="N1079" t="str">
            <v>12 4526372</v>
          </cell>
          <cell r="P1079">
            <v>3.2</v>
          </cell>
          <cell r="Q1079">
            <v>0</v>
          </cell>
          <cell r="R1079" t="str">
            <v>1</v>
          </cell>
          <cell r="S1079" t="str">
            <v>20</v>
          </cell>
          <cell r="T1079">
            <v>97</v>
          </cell>
          <cell r="U1079">
            <v>12</v>
          </cell>
          <cell r="V1079">
            <v>97</v>
          </cell>
          <cell r="W1079">
            <v>12</v>
          </cell>
          <cell r="X1079">
            <v>97</v>
          </cell>
          <cell r="Y1079">
            <v>0</v>
          </cell>
          <cell r="Z1079">
            <v>0</v>
          </cell>
          <cell r="AB1079" t="str">
            <v>14</v>
          </cell>
          <cell r="AC1079">
            <v>2</v>
          </cell>
          <cell r="AD1079" t="str">
            <v>0</v>
          </cell>
          <cell r="AE1079" t="str">
            <v>0</v>
          </cell>
          <cell r="AF1079" t="str">
            <v>20</v>
          </cell>
          <cell r="AI1079">
            <v>0</v>
          </cell>
          <cell r="AJ1079">
            <v>0</v>
          </cell>
        </row>
        <row r="1080">
          <cell r="A1080" t="str">
            <v>02</v>
          </cell>
          <cell r="B1080" t="str">
            <v>80</v>
          </cell>
          <cell r="C1080" t="str">
            <v>538</v>
          </cell>
          <cell r="D1080" t="str">
            <v>Компьютер Р-166.1.76</v>
          </cell>
          <cell r="E1080" t="str">
            <v>в SVGA с принтером</v>
          </cell>
          <cell r="F1080" t="str">
            <v>EPSON-1050</v>
          </cell>
          <cell r="G1080" t="str">
            <v>01</v>
          </cell>
          <cell r="H1080">
            <v>7750</v>
          </cell>
          <cell r="I1080">
            <v>0</v>
          </cell>
          <cell r="J1080">
            <v>0</v>
          </cell>
          <cell r="L1080" t="str">
            <v>26</v>
          </cell>
          <cell r="M1080" t="str">
            <v>48008</v>
          </cell>
          <cell r="N1080" t="str">
            <v>14 3020203</v>
          </cell>
          <cell r="P1080">
            <v>10</v>
          </cell>
          <cell r="Q1080">
            <v>0</v>
          </cell>
          <cell r="R1080" t="str">
            <v>1</v>
          </cell>
          <cell r="S1080" t="str">
            <v>48</v>
          </cell>
          <cell r="T1080">
            <v>97</v>
          </cell>
          <cell r="U1080">
            <v>2</v>
          </cell>
          <cell r="V1080">
            <v>98</v>
          </cell>
          <cell r="W1080">
            <v>2</v>
          </cell>
          <cell r="X1080">
            <v>98</v>
          </cell>
          <cell r="Y1080">
            <v>0</v>
          </cell>
          <cell r="Z1080">
            <v>0</v>
          </cell>
          <cell r="AD1080" t="str">
            <v>0</v>
          </cell>
          <cell r="AE1080" t="str">
            <v>0</v>
          </cell>
          <cell r="AF1080" t="str">
            <v>00</v>
          </cell>
        </row>
        <row r="1081">
          <cell r="A1081" t="str">
            <v>02</v>
          </cell>
          <cell r="B1081" t="str">
            <v>80</v>
          </cell>
          <cell r="C1081" t="str">
            <v>537</v>
          </cell>
          <cell r="D1081" t="str">
            <v>Компьютер Р-166.16.1</v>
          </cell>
          <cell r="E1081" t="str">
            <v>76вSVGA с принтером</v>
          </cell>
          <cell r="F1081" t="str">
            <v>EPSON LX-1050</v>
          </cell>
          <cell r="G1081" t="str">
            <v>01</v>
          </cell>
          <cell r="H1081">
            <v>7750</v>
          </cell>
          <cell r="I1081">
            <v>0</v>
          </cell>
          <cell r="J1081">
            <v>0</v>
          </cell>
          <cell r="L1081" t="str">
            <v>26</v>
          </cell>
          <cell r="M1081" t="str">
            <v>48008</v>
          </cell>
          <cell r="N1081" t="str">
            <v>14 3020203</v>
          </cell>
          <cell r="P1081">
            <v>10</v>
          </cell>
          <cell r="Q1081">
            <v>0</v>
          </cell>
          <cell r="R1081" t="str">
            <v>1</v>
          </cell>
          <cell r="S1081" t="str">
            <v>48</v>
          </cell>
          <cell r="T1081">
            <v>97</v>
          </cell>
          <cell r="U1081">
            <v>2</v>
          </cell>
          <cell r="V1081">
            <v>98</v>
          </cell>
          <cell r="W1081">
            <v>2</v>
          </cell>
          <cell r="X1081">
            <v>98</v>
          </cell>
          <cell r="Y1081">
            <v>0</v>
          </cell>
          <cell r="Z1081">
            <v>0</v>
          </cell>
          <cell r="AD1081" t="str">
            <v>0</v>
          </cell>
          <cell r="AE1081" t="str">
            <v>0</v>
          </cell>
          <cell r="AF1081" t="str">
            <v>00</v>
          </cell>
        </row>
        <row r="1082">
          <cell r="A1082" t="str">
            <v>02</v>
          </cell>
          <cell r="B1082" t="str">
            <v>80</v>
          </cell>
          <cell r="C1082" t="str">
            <v>541</v>
          </cell>
          <cell r="D1082" t="str">
            <v>Компьютер П-166.16.1</v>
          </cell>
          <cell r="E1082" t="str">
            <v>76в SVGA с принтером</v>
          </cell>
          <cell r="F1082" t="str">
            <v>EPSON-1050</v>
          </cell>
          <cell r="G1082" t="str">
            <v>01</v>
          </cell>
          <cell r="H1082">
            <v>7750</v>
          </cell>
          <cell r="I1082">
            <v>0</v>
          </cell>
          <cell r="J1082">
            <v>0</v>
          </cell>
          <cell r="L1082" t="str">
            <v>26</v>
          </cell>
          <cell r="M1082" t="str">
            <v>48008</v>
          </cell>
          <cell r="N1082" t="str">
            <v>14 3020203</v>
          </cell>
          <cell r="P1082">
            <v>10</v>
          </cell>
          <cell r="Q1082">
            <v>0</v>
          </cell>
          <cell r="R1082" t="str">
            <v>1</v>
          </cell>
          <cell r="S1082" t="str">
            <v>48</v>
          </cell>
          <cell r="T1082">
            <v>97</v>
          </cell>
          <cell r="U1082">
            <v>2</v>
          </cell>
          <cell r="V1082">
            <v>98</v>
          </cell>
          <cell r="W1082">
            <v>2</v>
          </cell>
          <cell r="X1082">
            <v>98</v>
          </cell>
          <cell r="Y1082">
            <v>0</v>
          </cell>
          <cell r="Z1082">
            <v>0</v>
          </cell>
          <cell r="AD1082" t="str">
            <v>0</v>
          </cell>
          <cell r="AE1082" t="str">
            <v>0</v>
          </cell>
          <cell r="AF1082" t="str">
            <v>00</v>
          </cell>
        </row>
        <row r="1083">
          <cell r="A1083" t="str">
            <v>02</v>
          </cell>
          <cell r="B1083" t="str">
            <v>05</v>
          </cell>
          <cell r="C1083" t="str">
            <v>545</v>
          </cell>
          <cell r="D1083" t="str">
            <v>Центратор</v>
          </cell>
          <cell r="E1083" t="str">
            <v>изготов.ЦБПО</v>
          </cell>
          <cell r="G1083" t="str">
            <v>01</v>
          </cell>
          <cell r="H1083">
            <v>11912.2</v>
          </cell>
          <cell r="I1083">
            <v>0</v>
          </cell>
          <cell r="J1083">
            <v>0</v>
          </cell>
          <cell r="L1083" t="str">
            <v>23</v>
          </cell>
          <cell r="M1083" t="str">
            <v>43807</v>
          </cell>
          <cell r="N1083" t="str">
            <v>14 2928286</v>
          </cell>
          <cell r="P1083">
            <v>25</v>
          </cell>
          <cell r="Q1083">
            <v>0</v>
          </cell>
          <cell r="R1083" t="str">
            <v>1</v>
          </cell>
          <cell r="S1083" t="str">
            <v>43</v>
          </cell>
          <cell r="T1083">
            <v>98</v>
          </cell>
          <cell r="U1083">
            <v>4</v>
          </cell>
          <cell r="V1083">
            <v>98</v>
          </cell>
          <cell r="W1083">
            <v>4</v>
          </cell>
          <cell r="X1083">
            <v>98</v>
          </cell>
          <cell r="Y1083">
            <v>0</v>
          </cell>
          <cell r="Z1083">
            <v>0</v>
          </cell>
          <cell r="AD1083" t="str">
            <v>0</v>
          </cell>
          <cell r="AE1083" t="str">
            <v>0</v>
          </cell>
          <cell r="AF1083" t="str">
            <v>00</v>
          </cell>
        </row>
        <row r="1084">
          <cell r="A1084" t="str">
            <v>02</v>
          </cell>
          <cell r="B1084" t="str">
            <v>05</v>
          </cell>
          <cell r="C1084" t="str">
            <v>546</v>
          </cell>
          <cell r="D1084" t="str">
            <v>Распред.шкаф ПР-1</v>
          </cell>
          <cell r="E1084" t="str">
            <v>г.Радомир з-д Электр</v>
          </cell>
          <cell r="F1084" t="str">
            <v>ик  380/220 в</v>
          </cell>
          <cell r="G1084" t="str">
            <v>01</v>
          </cell>
          <cell r="H1084">
            <v>3230</v>
          </cell>
          <cell r="I1084">
            <v>0</v>
          </cell>
          <cell r="J1084">
            <v>0</v>
          </cell>
          <cell r="L1084" t="str">
            <v>23</v>
          </cell>
          <cell r="M1084" t="str">
            <v>40702</v>
          </cell>
          <cell r="N1084" t="str">
            <v>14 3120390</v>
          </cell>
          <cell r="P1084">
            <v>9.1</v>
          </cell>
          <cell r="Q1084">
            <v>0</v>
          </cell>
          <cell r="R1084" t="str">
            <v>1</v>
          </cell>
          <cell r="S1084" t="str">
            <v>40</v>
          </cell>
          <cell r="T1084">
            <v>87</v>
          </cell>
          <cell r="U1084">
            <v>4</v>
          </cell>
          <cell r="V1084">
            <v>98</v>
          </cell>
          <cell r="W1084">
            <v>4</v>
          </cell>
          <cell r="X1084">
            <v>98</v>
          </cell>
          <cell r="Y1084">
            <v>0</v>
          </cell>
          <cell r="Z1084">
            <v>0</v>
          </cell>
          <cell r="AD1084" t="str">
            <v>0</v>
          </cell>
          <cell r="AE1084" t="str">
            <v>0</v>
          </cell>
          <cell r="AF1084" t="str">
            <v>00</v>
          </cell>
        </row>
        <row r="1085">
          <cell r="A1085" t="str">
            <v>02</v>
          </cell>
          <cell r="B1085" t="str">
            <v>05</v>
          </cell>
          <cell r="C1085" t="str">
            <v>547</v>
          </cell>
          <cell r="D1085" t="str">
            <v>Центратор</v>
          </cell>
          <cell r="E1085" t="str">
            <v>изготов ЦБПО</v>
          </cell>
          <cell r="G1085" t="str">
            <v>01</v>
          </cell>
          <cell r="H1085">
            <v>11912.2</v>
          </cell>
          <cell r="I1085">
            <v>0</v>
          </cell>
          <cell r="J1085">
            <v>0</v>
          </cell>
          <cell r="L1085" t="str">
            <v>23</v>
          </cell>
          <cell r="M1085" t="str">
            <v>43807</v>
          </cell>
          <cell r="N1085" t="str">
            <v>14 2928286</v>
          </cell>
          <cell r="P1085">
            <v>25</v>
          </cell>
          <cell r="Q1085">
            <v>0</v>
          </cell>
          <cell r="R1085" t="str">
            <v>1</v>
          </cell>
          <cell r="S1085" t="str">
            <v>43</v>
          </cell>
          <cell r="T1085">
            <v>98</v>
          </cell>
          <cell r="U1085">
            <v>4</v>
          </cell>
          <cell r="V1085">
            <v>98</v>
          </cell>
          <cell r="W1085">
            <v>4</v>
          </cell>
          <cell r="X1085">
            <v>98</v>
          </cell>
          <cell r="Y1085">
            <v>0</v>
          </cell>
          <cell r="Z1085">
            <v>0</v>
          </cell>
          <cell r="AD1085" t="str">
            <v>0</v>
          </cell>
          <cell r="AE1085" t="str">
            <v>0</v>
          </cell>
          <cell r="AF1085" t="str">
            <v>00</v>
          </cell>
        </row>
        <row r="1086">
          <cell r="A1086" t="str">
            <v>02</v>
          </cell>
          <cell r="B1086" t="str">
            <v>70</v>
          </cell>
          <cell r="C1086" t="str">
            <v>548</v>
          </cell>
          <cell r="D1086" t="str">
            <v>Центратор</v>
          </cell>
          <cell r="E1086" t="str">
            <v>изготов. ЦБПО</v>
          </cell>
          <cell r="G1086" t="str">
            <v>01</v>
          </cell>
          <cell r="H1086">
            <v>11912.21</v>
          </cell>
          <cell r="I1086">
            <v>0</v>
          </cell>
          <cell r="J1086">
            <v>0</v>
          </cell>
          <cell r="L1086" t="str">
            <v>20</v>
          </cell>
          <cell r="M1086" t="str">
            <v>43807</v>
          </cell>
          <cell r="N1086" t="str">
            <v>14 2928286</v>
          </cell>
          <cell r="P1086">
            <v>25</v>
          </cell>
          <cell r="Q1086">
            <v>0</v>
          </cell>
          <cell r="R1086" t="str">
            <v>1</v>
          </cell>
          <cell r="S1086" t="str">
            <v>43</v>
          </cell>
          <cell r="T1086">
            <v>98</v>
          </cell>
          <cell r="U1086">
            <v>4</v>
          </cell>
          <cell r="V1086">
            <v>98</v>
          </cell>
          <cell r="W1086">
            <v>4</v>
          </cell>
          <cell r="X1086">
            <v>98</v>
          </cell>
          <cell r="Y1086">
            <v>0</v>
          </cell>
          <cell r="Z1086">
            <v>0</v>
          </cell>
          <cell r="AB1086" t="str">
            <v>14</v>
          </cell>
          <cell r="AC1086">
            <v>5</v>
          </cell>
          <cell r="AD1086" t="str">
            <v>0</v>
          </cell>
          <cell r="AE1086" t="str">
            <v>0</v>
          </cell>
          <cell r="AF1086" t="str">
            <v>00</v>
          </cell>
        </row>
        <row r="1087">
          <cell r="A1087" t="str">
            <v>02</v>
          </cell>
          <cell r="B1087" t="str">
            <v>71</v>
          </cell>
          <cell r="C1087" t="str">
            <v>549</v>
          </cell>
          <cell r="D1087" t="str">
            <v>Гидромолот МГ-300</v>
          </cell>
          <cell r="E1087" t="str">
            <v>/Тверской экскаватор</v>
          </cell>
          <cell r="F1087" t="str">
            <v>ный з-д/</v>
          </cell>
          <cell r="G1087" t="str">
            <v>01</v>
          </cell>
          <cell r="H1087">
            <v>33333.33</v>
          </cell>
          <cell r="I1087">
            <v>0</v>
          </cell>
          <cell r="J1087">
            <v>0</v>
          </cell>
          <cell r="L1087" t="str">
            <v>23</v>
          </cell>
          <cell r="M1087" t="str">
            <v>41200</v>
          </cell>
          <cell r="N1087" t="str">
            <v>14 3699000</v>
          </cell>
          <cell r="P1087">
            <v>5.39</v>
          </cell>
          <cell r="Q1087">
            <v>0</v>
          </cell>
          <cell r="R1087" t="str">
            <v>1</v>
          </cell>
          <cell r="S1087" t="str">
            <v>41</v>
          </cell>
          <cell r="T1087">
            <v>98</v>
          </cell>
          <cell r="U1087">
            <v>5</v>
          </cell>
          <cell r="V1087">
            <v>98</v>
          </cell>
          <cell r="W1087">
            <v>5</v>
          </cell>
          <cell r="X1087">
            <v>98</v>
          </cell>
          <cell r="Y1087">
            <v>0</v>
          </cell>
          <cell r="Z1087">
            <v>0</v>
          </cell>
          <cell r="AD1087" t="str">
            <v>0</v>
          </cell>
          <cell r="AE1087" t="str">
            <v>0</v>
          </cell>
          <cell r="AF1087" t="str">
            <v>00</v>
          </cell>
        </row>
        <row r="1088">
          <cell r="A1088" t="str">
            <v>02</v>
          </cell>
          <cell r="B1088" t="str">
            <v>23</v>
          </cell>
          <cell r="C1088" t="str">
            <v>550</v>
          </cell>
          <cell r="D1088" t="str">
            <v>А/м ЗИЛ-131 фургон г</v>
          </cell>
          <cell r="E1088" t="str">
            <v>рузопассаж.NоТ931НУ</v>
          </cell>
          <cell r="F1088" t="str">
            <v>дв 736880 ш 015676</v>
          </cell>
          <cell r="G1088" t="str">
            <v>01</v>
          </cell>
          <cell r="H1088">
            <v>62150</v>
          </cell>
          <cell r="I1088">
            <v>46087.26</v>
          </cell>
          <cell r="J1088">
            <v>0</v>
          </cell>
          <cell r="L1088" t="str">
            <v>23</v>
          </cell>
          <cell r="M1088" t="str">
            <v>50426</v>
          </cell>
          <cell r="N1088" t="str">
            <v>15 3410359</v>
          </cell>
          <cell r="P1088">
            <v>10</v>
          </cell>
          <cell r="Q1088">
            <v>0</v>
          </cell>
          <cell r="R1088" t="str">
            <v>1</v>
          </cell>
          <cell r="S1088" t="str">
            <v>50</v>
          </cell>
          <cell r="T1088">
            <v>91</v>
          </cell>
          <cell r="U1088">
            <v>5</v>
          </cell>
          <cell r="V1088">
            <v>98</v>
          </cell>
          <cell r="W1088">
            <v>5</v>
          </cell>
          <cell r="X1088">
            <v>98</v>
          </cell>
          <cell r="Y1088">
            <v>0</v>
          </cell>
          <cell r="Z1088">
            <v>0</v>
          </cell>
          <cell r="AD1088" t="str">
            <v>0</v>
          </cell>
          <cell r="AE1088" t="str">
            <v>0</v>
          </cell>
          <cell r="AF1088" t="str">
            <v>00</v>
          </cell>
        </row>
        <row r="1089">
          <cell r="A1089" t="str">
            <v>02</v>
          </cell>
          <cell r="B1089" t="str">
            <v>70</v>
          </cell>
          <cell r="C1089" t="str">
            <v>551</v>
          </cell>
          <cell r="D1089" t="str">
            <v>Трубоукладчик ОМТ-16</v>
          </cell>
          <cell r="G1089" t="str">
            <v>01</v>
          </cell>
          <cell r="H1089">
            <v>257148.39</v>
          </cell>
          <cell r="I1089">
            <v>68572.88</v>
          </cell>
          <cell r="J1089">
            <v>0</v>
          </cell>
          <cell r="L1089" t="str">
            <v>20</v>
          </cell>
          <cell r="M1089" t="str">
            <v>41723</v>
          </cell>
          <cell r="N1089" t="str">
            <v>14 2915246</v>
          </cell>
          <cell r="P1089">
            <v>10</v>
          </cell>
          <cell r="Q1089">
            <v>0</v>
          </cell>
          <cell r="R1089" t="str">
            <v>1</v>
          </cell>
          <cell r="S1089" t="str">
            <v>41</v>
          </cell>
          <cell r="T1089">
            <v>95</v>
          </cell>
          <cell r="U1089">
            <v>5</v>
          </cell>
          <cell r="V1089">
            <v>98</v>
          </cell>
          <cell r="W1089">
            <v>5</v>
          </cell>
          <cell r="X1089">
            <v>98</v>
          </cell>
          <cell r="Y1089">
            <v>0</v>
          </cell>
          <cell r="Z1089">
            <v>0</v>
          </cell>
          <cell r="AB1089" t="str">
            <v>14</v>
          </cell>
          <cell r="AC1089">
            <v>6</v>
          </cell>
          <cell r="AD1089" t="str">
            <v>0</v>
          </cell>
          <cell r="AE1089" t="str">
            <v>0</v>
          </cell>
          <cell r="AF1089" t="str">
            <v>00</v>
          </cell>
        </row>
        <row r="1090">
          <cell r="A1090" t="str">
            <v>02</v>
          </cell>
          <cell r="B1090" t="str">
            <v>71</v>
          </cell>
          <cell r="C1090" t="str">
            <v>552</v>
          </cell>
          <cell r="D1090" t="str">
            <v>Бульдозер Катерпилле</v>
          </cell>
          <cell r="E1090" t="str">
            <v>р</v>
          </cell>
          <cell r="G1090" t="str">
            <v>01</v>
          </cell>
          <cell r="H1090">
            <v>724697.92</v>
          </cell>
          <cell r="I1090">
            <v>39254.449999999997</v>
          </cell>
          <cell r="J1090">
            <v>0</v>
          </cell>
          <cell r="L1090" t="str">
            <v>23</v>
          </cell>
          <cell r="M1090" t="str">
            <v>41816</v>
          </cell>
          <cell r="N1090" t="str">
            <v>14 2924340</v>
          </cell>
          <cell r="P1090">
            <v>10</v>
          </cell>
          <cell r="Q1090">
            <v>0</v>
          </cell>
          <cell r="R1090" t="str">
            <v>1</v>
          </cell>
          <cell r="S1090" t="str">
            <v>41</v>
          </cell>
          <cell r="T1090">
            <v>94</v>
          </cell>
          <cell r="U1090">
            <v>5</v>
          </cell>
          <cell r="V1090">
            <v>98</v>
          </cell>
          <cell r="W1090">
            <v>5</v>
          </cell>
          <cell r="X1090">
            <v>98</v>
          </cell>
          <cell r="Y1090">
            <v>0</v>
          </cell>
          <cell r="Z1090">
            <v>0</v>
          </cell>
          <cell r="AB1090" t="str">
            <v>14</v>
          </cell>
          <cell r="AC1090">
            <v>7</v>
          </cell>
          <cell r="AD1090" t="str">
            <v>0</v>
          </cell>
          <cell r="AE1090" t="str">
            <v>0</v>
          </cell>
          <cell r="AF1090" t="str">
            <v>00</v>
          </cell>
        </row>
        <row r="1091">
          <cell r="A1091" t="str">
            <v>02</v>
          </cell>
          <cell r="B1091" t="str">
            <v>71</v>
          </cell>
          <cell r="C1091" t="str">
            <v>554</v>
          </cell>
          <cell r="D1091" t="str">
            <v>Бульдозер Катерпилле</v>
          </cell>
          <cell r="E1091" t="str">
            <v>р</v>
          </cell>
          <cell r="G1091" t="str">
            <v>01</v>
          </cell>
          <cell r="H1091">
            <v>724697.92</v>
          </cell>
          <cell r="I1091">
            <v>39254.449999999997</v>
          </cell>
          <cell r="J1091">
            <v>0</v>
          </cell>
          <cell r="L1091" t="str">
            <v>23</v>
          </cell>
          <cell r="M1091" t="str">
            <v>41816</v>
          </cell>
          <cell r="N1091" t="str">
            <v>14 2924340</v>
          </cell>
          <cell r="P1091">
            <v>10</v>
          </cell>
          <cell r="Q1091">
            <v>0</v>
          </cell>
          <cell r="R1091" t="str">
            <v>1</v>
          </cell>
          <cell r="S1091" t="str">
            <v>41</v>
          </cell>
          <cell r="T1091">
            <v>94</v>
          </cell>
          <cell r="U1091">
            <v>5</v>
          </cell>
          <cell r="V1091">
            <v>98</v>
          </cell>
          <cell r="W1091">
            <v>5</v>
          </cell>
          <cell r="X1091">
            <v>98</v>
          </cell>
          <cell r="Y1091">
            <v>0</v>
          </cell>
          <cell r="Z1091">
            <v>0</v>
          </cell>
          <cell r="AB1091" t="str">
            <v>14</v>
          </cell>
          <cell r="AC1091">
            <v>6</v>
          </cell>
          <cell r="AD1091" t="str">
            <v>0</v>
          </cell>
          <cell r="AE1091" t="str">
            <v>0</v>
          </cell>
          <cell r="AF1091" t="str">
            <v>00</v>
          </cell>
        </row>
        <row r="1092">
          <cell r="A1092" t="str">
            <v>02</v>
          </cell>
          <cell r="B1092" t="str">
            <v>23</v>
          </cell>
          <cell r="C1092" t="str">
            <v>553</v>
          </cell>
          <cell r="D1092" t="str">
            <v>А/м КАМАЗ-5511</v>
          </cell>
          <cell r="E1092" t="str">
            <v>Nо Т855СС ш189402</v>
          </cell>
          <cell r="F1092" t="str">
            <v>дв022744</v>
          </cell>
          <cell r="G1092" t="str">
            <v>01</v>
          </cell>
          <cell r="H1092">
            <v>133000</v>
          </cell>
          <cell r="I1092">
            <v>81385</v>
          </cell>
          <cell r="J1092">
            <v>0</v>
          </cell>
          <cell r="L1092" t="str">
            <v>23</v>
          </cell>
          <cell r="M1092" t="str">
            <v>50402</v>
          </cell>
          <cell r="N1092" t="str">
            <v>15 3410349</v>
          </cell>
          <cell r="P1092">
            <v>0.37</v>
          </cell>
          <cell r="Q1092">
            <v>0</v>
          </cell>
          <cell r="R1092" t="str">
            <v>1</v>
          </cell>
          <cell r="S1092" t="str">
            <v>50</v>
          </cell>
          <cell r="T1092">
            <v>0</v>
          </cell>
          <cell r="U1092">
            <v>6</v>
          </cell>
          <cell r="V1092">
            <v>98</v>
          </cell>
          <cell r="W1092">
            <v>6</v>
          </cell>
          <cell r="X1092">
            <v>98</v>
          </cell>
          <cell r="Y1092">
            <v>0</v>
          </cell>
          <cell r="Z1092">
            <v>0</v>
          </cell>
          <cell r="AD1092" t="str">
            <v>0</v>
          </cell>
          <cell r="AE1092" t="str">
            <v>0</v>
          </cell>
          <cell r="AF1092" t="str">
            <v>00</v>
          </cell>
        </row>
        <row r="1093">
          <cell r="A1093" t="str">
            <v>02</v>
          </cell>
          <cell r="B1093" t="str">
            <v>23</v>
          </cell>
          <cell r="C1093" t="str">
            <v>555</v>
          </cell>
          <cell r="D1093" t="str">
            <v>А/М КАМАЗ-5513</v>
          </cell>
          <cell r="E1093" t="str">
            <v>Nо Т839СС ш1036453</v>
          </cell>
          <cell r="F1093" t="str">
            <v>дв041110</v>
          </cell>
          <cell r="G1093" t="str">
            <v>01</v>
          </cell>
          <cell r="H1093">
            <v>106220</v>
          </cell>
          <cell r="I1093">
            <v>63459.79</v>
          </cell>
          <cell r="J1093">
            <v>0</v>
          </cell>
          <cell r="L1093" t="str">
            <v>23</v>
          </cell>
          <cell r="M1093" t="str">
            <v>50402</v>
          </cell>
          <cell r="N1093" t="str">
            <v>15 3410349</v>
          </cell>
          <cell r="P1093">
            <v>0.37</v>
          </cell>
          <cell r="Q1093">
            <v>0</v>
          </cell>
          <cell r="R1093" t="str">
            <v>1</v>
          </cell>
          <cell r="S1093" t="str">
            <v>50</v>
          </cell>
          <cell r="T1093">
            <v>0</v>
          </cell>
          <cell r="U1093">
            <v>6</v>
          </cell>
          <cell r="V1093">
            <v>98</v>
          </cell>
          <cell r="W1093">
            <v>6</v>
          </cell>
          <cell r="X1093">
            <v>98</v>
          </cell>
          <cell r="Y1093">
            <v>0</v>
          </cell>
          <cell r="Z1093">
            <v>0</v>
          </cell>
          <cell r="AD1093" t="str">
            <v>0</v>
          </cell>
          <cell r="AE1093" t="str">
            <v>0</v>
          </cell>
          <cell r="AF1093" t="str">
            <v>00</v>
          </cell>
        </row>
        <row r="1094">
          <cell r="A1094" t="str">
            <v>02</v>
          </cell>
          <cell r="B1094" t="str">
            <v>02</v>
          </cell>
          <cell r="C1094" t="str">
            <v>556</v>
          </cell>
          <cell r="D1094" t="str">
            <v>Трубоукладчик КАТЕРП</v>
          </cell>
          <cell r="E1094" t="str">
            <v>ИЛЛАР завN00536</v>
          </cell>
          <cell r="G1094" t="str">
            <v>01</v>
          </cell>
          <cell r="H1094">
            <v>1728161.32</v>
          </cell>
          <cell r="I1094">
            <v>604856.43999999994</v>
          </cell>
          <cell r="J1094">
            <v>0</v>
          </cell>
          <cell r="L1094" t="str">
            <v>20</v>
          </cell>
          <cell r="M1094" t="str">
            <v>41723</v>
          </cell>
          <cell r="N1094" t="str">
            <v>14 2915246</v>
          </cell>
          <cell r="P1094">
            <v>10</v>
          </cell>
          <cell r="Q1094">
            <v>0</v>
          </cell>
          <cell r="R1094" t="str">
            <v>1</v>
          </cell>
          <cell r="S1094" t="str">
            <v>41</v>
          </cell>
          <cell r="T1094">
            <v>94</v>
          </cell>
          <cell r="U1094">
            <v>6</v>
          </cell>
          <cell r="V1094">
            <v>98</v>
          </cell>
          <cell r="W1094">
            <v>6</v>
          </cell>
          <cell r="X1094">
            <v>98</v>
          </cell>
          <cell r="Y1094">
            <v>0</v>
          </cell>
          <cell r="Z1094">
            <v>0</v>
          </cell>
          <cell r="AD1094" t="str">
            <v>0</v>
          </cell>
          <cell r="AE1094" t="str">
            <v>0</v>
          </cell>
          <cell r="AF1094" t="str">
            <v>00</v>
          </cell>
        </row>
        <row r="1095">
          <cell r="A1095" t="str">
            <v>02</v>
          </cell>
          <cell r="B1095" t="str">
            <v>02</v>
          </cell>
          <cell r="C1095" t="str">
            <v>557</v>
          </cell>
          <cell r="D1095" t="str">
            <v>Трубоукладчик КАТЕРП</v>
          </cell>
          <cell r="E1095" t="str">
            <v>ИЛЛАР 572 завN00527</v>
          </cell>
          <cell r="G1095" t="str">
            <v>01</v>
          </cell>
          <cell r="H1095">
            <v>1728161.32</v>
          </cell>
          <cell r="I1095">
            <v>604856.43999999994</v>
          </cell>
          <cell r="J1095">
            <v>0</v>
          </cell>
          <cell r="L1095" t="str">
            <v>20</v>
          </cell>
          <cell r="M1095" t="str">
            <v>41723</v>
          </cell>
          <cell r="N1095" t="str">
            <v>114 291524</v>
          </cell>
          <cell r="P1095">
            <v>10</v>
          </cell>
          <cell r="Q1095">
            <v>0</v>
          </cell>
          <cell r="R1095" t="str">
            <v>1</v>
          </cell>
          <cell r="S1095" t="str">
            <v>41</v>
          </cell>
          <cell r="T1095">
            <v>94</v>
          </cell>
          <cell r="U1095">
            <v>6</v>
          </cell>
          <cell r="V1095">
            <v>98</v>
          </cell>
          <cell r="W1095">
            <v>6</v>
          </cell>
          <cell r="X1095">
            <v>98</v>
          </cell>
          <cell r="Y1095">
            <v>0</v>
          </cell>
          <cell r="Z1095">
            <v>0</v>
          </cell>
          <cell r="AD1095" t="str">
            <v>0</v>
          </cell>
          <cell r="AE1095" t="str">
            <v>0</v>
          </cell>
          <cell r="AF1095" t="str">
            <v>00</v>
          </cell>
        </row>
        <row r="1096">
          <cell r="A1096" t="str">
            <v>02</v>
          </cell>
          <cell r="B1096" t="str">
            <v>02</v>
          </cell>
          <cell r="C1096" t="str">
            <v>558</v>
          </cell>
          <cell r="D1096" t="str">
            <v>Экскаватор ЭО-4224</v>
          </cell>
          <cell r="E1096" t="str">
            <v>завN1403</v>
          </cell>
          <cell r="G1096" t="str">
            <v>01</v>
          </cell>
          <cell r="H1096">
            <v>353000</v>
          </cell>
          <cell r="I1096">
            <v>206123</v>
          </cell>
          <cell r="J1096">
            <v>0</v>
          </cell>
          <cell r="L1096" t="str">
            <v>20</v>
          </cell>
          <cell r="M1096" t="str">
            <v>41803</v>
          </cell>
          <cell r="N1096" t="str">
            <v>14 2924331</v>
          </cell>
          <cell r="P1096">
            <v>9.1</v>
          </cell>
          <cell r="Q1096">
            <v>0</v>
          </cell>
          <cell r="R1096" t="str">
            <v>1</v>
          </cell>
          <cell r="S1096" t="str">
            <v>41</v>
          </cell>
          <cell r="T1096">
            <v>91</v>
          </cell>
          <cell r="U1096">
            <v>6</v>
          </cell>
          <cell r="V1096">
            <v>98</v>
          </cell>
          <cell r="W1096">
            <v>6</v>
          </cell>
          <cell r="X1096">
            <v>98</v>
          </cell>
          <cell r="Y1096">
            <v>0</v>
          </cell>
          <cell r="Z1096">
            <v>0</v>
          </cell>
          <cell r="AD1096" t="str">
            <v>0</v>
          </cell>
          <cell r="AE1096" t="str">
            <v>0</v>
          </cell>
          <cell r="AF1096" t="str">
            <v>00</v>
          </cell>
        </row>
        <row r="1097">
          <cell r="A1097" t="str">
            <v>02</v>
          </cell>
          <cell r="B1097" t="str">
            <v>02</v>
          </cell>
          <cell r="C1097" t="str">
            <v>559</v>
          </cell>
          <cell r="D1097" t="str">
            <v>Машина грунтовочная</v>
          </cell>
          <cell r="E1097" t="str">
            <v>с щеточным устройств</v>
          </cell>
          <cell r="F1097" t="str">
            <v>ом МГ-1220</v>
          </cell>
          <cell r="G1097" t="str">
            <v>01</v>
          </cell>
          <cell r="H1097">
            <v>143333</v>
          </cell>
          <cell r="I1097">
            <v>0</v>
          </cell>
          <cell r="J1097">
            <v>147833</v>
          </cell>
          <cell r="L1097" t="str">
            <v>20</v>
          </cell>
          <cell r="M1097" t="str">
            <v>43803</v>
          </cell>
          <cell r="N1097" t="str">
            <v>14 2947195</v>
          </cell>
          <cell r="P1097">
            <v>33.299999999999997</v>
          </cell>
          <cell r="Q1097">
            <v>0</v>
          </cell>
          <cell r="R1097" t="str">
            <v>1</v>
          </cell>
          <cell r="S1097" t="str">
            <v>43</v>
          </cell>
          <cell r="T1097">
            <v>98</v>
          </cell>
          <cell r="U1097">
            <v>6</v>
          </cell>
          <cell r="V1097">
            <v>98</v>
          </cell>
          <cell r="W1097">
            <v>6</v>
          </cell>
          <cell r="X1097">
            <v>98</v>
          </cell>
          <cell r="Y1097">
            <v>6</v>
          </cell>
          <cell r="Z1097">
            <v>98</v>
          </cell>
          <cell r="AB1097" t="str">
            <v>14</v>
          </cell>
          <cell r="AC1097">
            <v>7</v>
          </cell>
          <cell r="AD1097" t="str">
            <v>0</v>
          </cell>
          <cell r="AE1097" t="str">
            <v>0</v>
          </cell>
          <cell r="AF1097" t="str">
            <v>00</v>
          </cell>
        </row>
        <row r="1098">
          <cell r="A1098" t="str">
            <v>02</v>
          </cell>
          <cell r="B1098" t="str">
            <v>99</v>
          </cell>
          <cell r="C1098" t="str">
            <v>560</v>
          </cell>
          <cell r="D1098" t="str">
            <v>Пескоструйное устрой</v>
          </cell>
          <cell r="E1098" t="str">
            <v>ство /для чистки тру</v>
          </cell>
          <cell r="F1098" t="str">
            <v>б/</v>
          </cell>
          <cell r="G1098" t="str">
            <v>01</v>
          </cell>
          <cell r="H1098">
            <v>10000</v>
          </cell>
          <cell r="I1098">
            <v>0</v>
          </cell>
          <cell r="J1098">
            <v>0</v>
          </cell>
          <cell r="L1098" t="str">
            <v>20</v>
          </cell>
          <cell r="M1098" t="str">
            <v>43803</v>
          </cell>
          <cell r="N1098" t="str">
            <v>14 2947195</v>
          </cell>
          <cell r="P1098">
            <v>33.299999999999997</v>
          </cell>
          <cell r="Q1098">
            <v>0</v>
          </cell>
          <cell r="R1098" t="str">
            <v>1</v>
          </cell>
          <cell r="S1098" t="str">
            <v>43</v>
          </cell>
          <cell r="T1098">
            <v>98</v>
          </cell>
          <cell r="U1098">
            <v>6</v>
          </cell>
          <cell r="V1098">
            <v>98</v>
          </cell>
          <cell r="W1098">
            <v>6</v>
          </cell>
          <cell r="X1098">
            <v>98</v>
          </cell>
          <cell r="Y1098">
            <v>0</v>
          </cell>
          <cell r="Z1098">
            <v>0</v>
          </cell>
          <cell r="AD1098" t="str">
            <v>0</v>
          </cell>
          <cell r="AE1098" t="str">
            <v>0</v>
          </cell>
          <cell r="AF1098" t="str">
            <v>00</v>
          </cell>
        </row>
        <row r="1099">
          <cell r="A1099" t="str">
            <v>02</v>
          </cell>
          <cell r="B1099" t="str">
            <v>99</v>
          </cell>
          <cell r="C1099" t="str">
            <v>561</v>
          </cell>
          <cell r="D1099" t="str">
            <v>Компрессор с дизельн</v>
          </cell>
          <cell r="E1099" t="str">
            <v>ым проводом</v>
          </cell>
          <cell r="G1099" t="str">
            <v>01</v>
          </cell>
          <cell r="H1099">
            <v>42000</v>
          </cell>
          <cell r="I1099">
            <v>0</v>
          </cell>
          <cell r="J1099">
            <v>0</v>
          </cell>
          <cell r="L1099" t="str">
            <v>20</v>
          </cell>
          <cell r="M1099" t="str">
            <v>41400</v>
          </cell>
          <cell r="P1099">
            <v>5.4</v>
          </cell>
          <cell r="Q1099">
            <v>0</v>
          </cell>
          <cell r="R1099" t="str">
            <v>1</v>
          </cell>
          <cell r="S1099" t="str">
            <v>41</v>
          </cell>
          <cell r="T1099">
            <v>98</v>
          </cell>
          <cell r="U1099">
            <v>6</v>
          </cell>
          <cell r="V1099">
            <v>98</v>
          </cell>
          <cell r="W1099">
            <v>6</v>
          </cell>
          <cell r="X1099">
            <v>98</v>
          </cell>
          <cell r="Y1099">
            <v>0</v>
          </cell>
          <cell r="Z1099">
            <v>0</v>
          </cell>
          <cell r="AD1099" t="str">
            <v>0</v>
          </cell>
          <cell r="AE1099" t="str">
            <v>0</v>
          </cell>
          <cell r="AF1099" t="str">
            <v>00</v>
          </cell>
        </row>
        <row r="1100">
          <cell r="A1100" t="str">
            <v>02</v>
          </cell>
          <cell r="B1100" t="str">
            <v>02</v>
          </cell>
          <cell r="C1100" t="str">
            <v>565</v>
          </cell>
          <cell r="D1100" t="str">
            <v>Стрела-упопр /гпрузо</v>
          </cell>
          <cell r="E1100" t="str">
            <v>подъем.приспособл.</v>
          </cell>
          <cell r="F1100" t="str">
            <v>для тпрубоукладчика</v>
          </cell>
          <cell r="G1100" t="str">
            <v>01</v>
          </cell>
          <cell r="H1100">
            <v>32601.95</v>
          </cell>
          <cell r="I1100">
            <v>0</v>
          </cell>
          <cell r="J1100">
            <v>0</v>
          </cell>
          <cell r="L1100" t="str">
            <v>20</v>
          </cell>
          <cell r="M1100" t="str">
            <v>41723</v>
          </cell>
          <cell r="N1100" t="str">
            <v>14 2915319</v>
          </cell>
          <cell r="P1100">
            <v>10</v>
          </cell>
          <cell r="Q1100">
            <v>0</v>
          </cell>
          <cell r="R1100" t="str">
            <v>1</v>
          </cell>
          <cell r="S1100" t="str">
            <v>41</v>
          </cell>
          <cell r="T1100">
            <v>98</v>
          </cell>
          <cell r="U1100">
            <v>7</v>
          </cell>
          <cell r="V1100">
            <v>98</v>
          </cell>
          <cell r="W1100">
            <v>7</v>
          </cell>
          <cell r="X1100">
            <v>98</v>
          </cell>
          <cell r="Y1100">
            <v>0</v>
          </cell>
          <cell r="Z1100">
            <v>0</v>
          </cell>
          <cell r="AD1100" t="str">
            <v>0</v>
          </cell>
          <cell r="AE1100" t="str">
            <v>0</v>
          </cell>
          <cell r="AF1100" t="str">
            <v>00</v>
          </cell>
        </row>
        <row r="1101">
          <cell r="A1101" t="str">
            <v>02</v>
          </cell>
          <cell r="B1101" t="str">
            <v>02</v>
          </cell>
          <cell r="C1101" t="str">
            <v>566</v>
          </cell>
          <cell r="D1101" t="str">
            <v>Стрела-упор /грузопо</v>
          </cell>
          <cell r="E1101" t="str">
            <v>дъемн приспособл для</v>
          </cell>
          <cell r="F1101" t="str">
            <v>трубоукладчика</v>
          </cell>
          <cell r="G1101" t="str">
            <v>01</v>
          </cell>
          <cell r="H1101">
            <v>32601.95</v>
          </cell>
          <cell r="I1101">
            <v>0</v>
          </cell>
          <cell r="J1101">
            <v>0</v>
          </cell>
          <cell r="L1101" t="str">
            <v>20</v>
          </cell>
          <cell r="M1101" t="str">
            <v>41723</v>
          </cell>
          <cell r="N1101" t="str">
            <v>14 2915319</v>
          </cell>
          <cell r="P1101">
            <v>10</v>
          </cell>
          <cell r="Q1101">
            <v>0</v>
          </cell>
          <cell r="R1101" t="str">
            <v>1</v>
          </cell>
          <cell r="S1101" t="str">
            <v>41</v>
          </cell>
          <cell r="T1101">
            <v>98</v>
          </cell>
          <cell r="U1101">
            <v>7</v>
          </cell>
          <cell r="V1101">
            <v>98</v>
          </cell>
          <cell r="W1101">
            <v>7</v>
          </cell>
          <cell r="X1101">
            <v>98</v>
          </cell>
          <cell r="Y1101">
            <v>0</v>
          </cell>
          <cell r="Z1101">
            <v>0</v>
          </cell>
          <cell r="AD1101" t="str">
            <v>0</v>
          </cell>
          <cell r="AE1101" t="str">
            <v>0</v>
          </cell>
          <cell r="AF1101" t="str">
            <v>00</v>
          </cell>
        </row>
        <row r="1102">
          <cell r="A1102" t="str">
            <v>02</v>
          </cell>
          <cell r="B1102" t="str">
            <v>02</v>
          </cell>
          <cell r="C1102" t="str">
            <v>567</v>
          </cell>
          <cell r="D1102" t="str">
            <v>Стрела-упор /грузопо</v>
          </cell>
          <cell r="E1102" t="str">
            <v>дъем приспособл для</v>
          </cell>
          <cell r="F1102" t="str">
            <v>трубоукладчика</v>
          </cell>
          <cell r="G1102" t="str">
            <v>01</v>
          </cell>
          <cell r="H1102">
            <v>32601.95</v>
          </cell>
          <cell r="I1102">
            <v>0</v>
          </cell>
          <cell r="J1102">
            <v>0</v>
          </cell>
          <cell r="L1102" t="str">
            <v>20</v>
          </cell>
          <cell r="M1102" t="str">
            <v>41723</v>
          </cell>
          <cell r="N1102" t="str">
            <v>14 2915319</v>
          </cell>
          <cell r="P1102">
            <v>10</v>
          </cell>
          <cell r="Q1102">
            <v>0</v>
          </cell>
          <cell r="R1102" t="str">
            <v>1</v>
          </cell>
          <cell r="S1102" t="str">
            <v>41</v>
          </cell>
          <cell r="T1102">
            <v>98</v>
          </cell>
          <cell r="U1102">
            <v>7</v>
          </cell>
          <cell r="V1102">
            <v>98</v>
          </cell>
          <cell r="W1102">
            <v>7</v>
          </cell>
          <cell r="X1102">
            <v>98</v>
          </cell>
          <cell r="Y1102">
            <v>0</v>
          </cell>
          <cell r="Z1102">
            <v>0</v>
          </cell>
          <cell r="AD1102" t="str">
            <v>0</v>
          </cell>
          <cell r="AE1102" t="str">
            <v>0</v>
          </cell>
          <cell r="AF1102" t="str">
            <v>00</v>
          </cell>
        </row>
        <row r="1103">
          <cell r="A1103" t="str">
            <v>02</v>
          </cell>
          <cell r="B1103" t="str">
            <v>02</v>
          </cell>
          <cell r="C1103" t="str">
            <v>568</v>
          </cell>
          <cell r="D1103" t="str">
            <v>Диз.эл.станция ДГ-10</v>
          </cell>
          <cell r="E1103" t="str">
            <v>0 /Москов.прожекторн</v>
          </cell>
          <cell r="F1103" t="str">
            <v>ый з-д зN9303026/</v>
          </cell>
          <cell r="G1103" t="str">
            <v>01</v>
          </cell>
          <cell r="H1103">
            <v>127783.33</v>
          </cell>
          <cell r="I1103">
            <v>0</v>
          </cell>
          <cell r="J1103">
            <v>0</v>
          </cell>
          <cell r="L1103" t="str">
            <v>20</v>
          </cell>
          <cell r="M1103" t="str">
            <v>40301</v>
          </cell>
          <cell r="N1103" t="str">
            <v>14 3149130</v>
          </cell>
          <cell r="P1103">
            <v>10.8</v>
          </cell>
          <cell r="Q1103">
            <v>0</v>
          </cell>
          <cell r="R1103" t="str">
            <v>1</v>
          </cell>
          <cell r="S1103" t="str">
            <v>40</v>
          </cell>
          <cell r="T1103">
            <v>93</v>
          </cell>
          <cell r="U1103">
            <v>7</v>
          </cell>
          <cell r="V1103">
            <v>98</v>
          </cell>
          <cell r="W1103">
            <v>7</v>
          </cell>
          <cell r="X1103">
            <v>98</v>
          </cell>
          <cell r="Y1103">
            <v>0</v>
          </cell>
          <cell r="Z1103">
            <v>0</v>
          </cell>
          <cell r="AD1103" t="str">
            <v>0</v>
          </cell>
          <cell r="AE1103" t="str">
            <v>0</v>
          </cell>
          <cell r="AF1103" t="str">
            <v>00</v>
          </cell>
        </row>
        <row r="1104">
          <cell r="A1104" t="str">
            <v>02</v>
          </cell>
          <cell r="B1104" t="str">
            <v>02</v>
          </cell>
          <cell r="C1104" t="str">
            <v>569</v>
          </cell>
          <cell r="D1104" t="str">
            <v>Прицеп-фургон МАЗ-52</v>
          </cell>
          <cell r="E1104" t="str">
            <v>243 /Минский а/з-д /</v>
          </cell>
          <cell r="G1104" t="str">
            <v>01</v>
          </cell>
          <cell r="H1104">
            <v>3883.33</v>
          </cell>
          <cell r="I1104">
            <v>0</v>
          </cell>
          <cell r="J1104">
            <v>4271.6499999999996</v>
          </cell>
          <cell r="L1104" t="str">
            <v>20</v>
          </cell>
          <cell r="M1104" t="str">
            <v>50410</v>
          </cell>
          <cell r="N1104" t="str">
            <v>14 3420203</v>
          </cell>
          <cell r="P1104">
            <v>12.5</v>
          </cell>
          <cell r="Q1104">
            <v>0</v>
          </cell>
          <cell r="R1104" t="str">
            <v>1</v>
          </cell>
          <cell r="S1104" t="str">
            <v>50</v>
          </cell>
          <cell r="T1104">
            <v>93</v>
          </cell>
          <cell r="U1104">
            <v>7</v>
          </cell>
          <cell r="V1104">
            <v>98</v>
          </cell>
          <cell r="W1104">
            <v>7</v>
          </cell>
          <cell r="X1104">
            <v>98</v>
          </cell>
          <cell r="Y1104">
            <v>7</v>
          </cell>
          <cell r="Z1104">
            <v>98</v>
          </cell>
          <cell r="AD1104" t="str">
            <v>0</v>
          </cell>
          <cell r="AE1104" t="str">
            <v>0</v>
          </cell>
          <cell r="AF1104" t="str">
            <v>00</v>
          </cell>
        </row>
        <row r="1105">
          <cell r="A1105" t="str">
            <v>02</v>
          </cell>
          <cell r="B1105" t="str">
            <v>23</v>
          </cell>
          <cell r="C1105" t="str">
            <v>570</v>
          </cell>
          <cell r="D1105" t="str">
            <v>Помпа водяная</v>
          </cell>
          <cell r="G1105" t="str">
            <v>01</v>
          </cell>
          <cell r="H1105">
            <v>12500</v>
          </cell>
          <cell r="I1105">
            <v>0</v>
          </cell>
          <cell r="J1105">
            <v>0</v>
          </cell>
          <cell r="L1105" t="str">
            <v>23</v>
          </cell>
          <cell r="M1105" t="str">
            <v>41500</v>
          </cell>
          <cell r="N1105" t="str">
            <v>14 2912110</v>
          </cell>
          <cell r="P1105">
            <v>20</v>
          </cell>
          <cell r="Q1105">
            <v>0</v>
          </cell>
          <cell r="R1105" t="str">
            <v>1</v>
          </cell>
          <cell r="S1105" t="str">
            <v>41</v>
          </cell>
          <cell r="T1105">
            <v>98</v>
          </cell>
          <cell r="U1105">
            <v>7</v>
          </cell>
          <cell r="V1105">
            <v>98</v>
          </cell>
          <cell r="W1105">
            <v>7</v>
          </cell>
          <cell r="X1105">
            <v>98</v>
          </cell>
          <cell r="Y1105">
            <v>0</v>
          </cell>
          <cell r="Z1105">
            <v>0</v>
          </cell>
          <cell r="AD1105" t="str">
            <v>0</v>
          </cell>
          <cell r="AE1105" t="str">
            <v>0</v>
          </cell>
          <cell r="AF1105" t="str">
            <v>00</v>
          </cell>
        </row>
        <row r="1106">
          <cell r="A1106" t="str">
            <v>02</v>
          </cell>
          <cell r="B1106" t="str">
            <v>23</v>
          </cell>
          <cell r="C1106" t="str">
            <v>571</v>
          </cell>
          <cell r="D1106" t="str">
            <v>Генератор</v>
          </cell>
          <cell r="G1106" t="str">
            <v>01</v>
          </cell>
          <cell r="H1106">
            <v>10550</v>
          </cell>
          <cell r="I1106">
            <v>0</v>
          </cell>
          <cell r="J1106">
            <v>0</v>
          </cell>
          <cell r="L1106" t="str">
            <v>23</v>
          </cell>
          <cell r="M1106" t="str">
            <v>40203</v>
          </cell>
          <cell r="N1106" t="str">
            <v>14 2911100</v>
          </cell>
          <cell r="P1106">
            <v>6.2</v>
          </cell>
          <cell r="Q1106">
            <v>0</v>
          </cell>
          <cell r="R1106" t="str">
            <v>1</v>
          </cell>
          <cell r="S1106" t="str">
            <v>40</v>
          </cell>
          <cell r="T1106">
            <v>98</v>
          </cell>
          <cell r="U1106">
            <v>7</v>
          </cell>
          <cell r="V1106">
            <v>98</v>
          </cell>
          <cell r="W1106">
            <v>7</v>
          </cell>
          <cell r="X1106">
            <v>98</v>
          </cell>
          <cell r="Y1106">
            <v>0</v>
          </cell>
          <cell r="Z1106">
            <v>0</v>
          </cell>
          <cell r="AD1106" t="str">
            <v>0</v>
          </cell>
          <cell r="AE1106" t="str">
            <v>0</v>
          </cell>
          <cell r="AF1106" t="str">
            <v>00</v>
          </cell>
        </row>
        <row r="1107">
          <cell r="A1107" t="str">
            <v>02</v>
          </cell>
          <cell r="B1107" t="str">
            <v>71</v>
          </cell>
          <cell r="C1107" t="str">
            <v>572</v>
          </cell>
          <cell r="D1107" t="str">
            <v>Бульдозер ДЗ-171</v>
          </cell>
          <cell r="G1107" t="str">
            <v>01</v>
          </cell>
          <cell r="H1107">
            <v>190000</v>
          </cell>
          <cell r="I1107">
            <v>181133.34</v>
          </cell>
          <cell r="J1107">
            <v>0</v>
          </cell>
          <cell r="L1107" t="str">
            <v>23</v>
          </cell>
          <cell r="M1107" t="str">
            <v>41814</v>
          </cell>
          <cell r="N1107" t="str">
            <v>14 2924340</v>
          </cell>
          <cell r="P1107">
            <v>14.3</v>
          </cell>
          <cell r="Q1107">
            <v>0</v>
          </cell>
          <cell r="R1107" t="str">
            <v>1</v>
          </cell>
          <cell r="S1107" t="str">
            <v>41</v>
          </cell>
          <cell r="T1107">
            <v>91</v>
          </cell>
          <cell r="U1107">
            <v>7</v>
          </cell>
          <cell r="V1107">
            <v>98</v>
          </cell>
          <cell r="W1107">
            <v>7</v>
          </cell>
          <cell r="X1107">
            <v>98</v>
          </cell>
          <cell r="Y1107">
            <v>0</v>
          </cell>
          <cell r="Z1107">
            <v>0</v>
          </cell>
          <cell r="AD1107" t="str">
            <v>0</v>
          </cell>
          <cell r="AE1107" t="str">
            <v>0</v>
          </cell>
          <cell r="AF1107" t="str">
            <v>00</v>
          </cell>
        </row>
        <row r="1108">
          <cell r="A1108" t="str">
            <v>02</v>
          </cell>
          <cell r="B1108" t="str">
            <v>02</v>
          </cell>
          <cell r="C1108" t="str">
            <v>573</v>
          </cell>
          <cell r="D1108" t="str">
            <v>Очистная машина ОМГ-</v>
          </cell>
          <cell r="E1108" t="str">
            <v>1220 г.Камешково</v>
          </cell>
          <cell r="F1108" t="str">
            <v>ОАО "КАМЗ"/мех.з-д/</v>
          </cell>
          <cell r="G1108" t="str">
            <v>01</v>
          </cell>
          <cell r="H1108">
            <v>190000</v>
          </cell>
          <cell r="I1108">
            <v>0</v>
          </cell>
          <cell r="J1108">
            <v>0</v>
          </cell>
          <cell r="L1108" t="str">
            <v>20</v>
          </cell>
          <cell r="M1108" t="str">
            <v>43803</v>
          </cell>
          <cell r="N1108" t="str">
            <v>14 2947195</v>
          </cell>
          <cell r="P1108">
            <v>33.299999999999997</v>
          </cell>
          <cell r="Q1108">
            <v>0</v>
          </cell>
          <cell r="R1108" t="str">
            <v>1</v>
          </cell>
          <cell r="S1108" t="str">
            <v>43</v>
          </cell>
          <cell r="T1108">
            <v>98</v>
          </cell>
          <cell r="U1108">
            <v>8</v>
          </cell>
          <cell r="V1108">
            <v>98</v>
          </cell>
          <cell r="W1108">
            <v>8</v>
          </cell>
          <cell r="X1108">
            <v>98</v>
          </cell>
          <cell r="Y1108">
            <v>0</v>
          </cell>
          <cell r="Z1108">
            <v>0</v>
          </cell>
          <cell r="AD1108" t="str">
            <v>0</v>
          </cell>
          <cell r="AE1108" t="str">
            <v>0</v>
          </cell>
          <cell r="AF1108" t="str">
            <v>00</v>
          </cell>
        </row>
        <row r="1109">
          <cell r="A1109" t="str">
            <v>02</v>
          </cell>
          <cell r="B1109" t="str">
            <v>02</v>
          </cell>
          <cell r="C1109" t="str">
            <v>574</v>
          </cell>
          <cell r="D1109" t="str">
            <v>Подвеска троллейная</v>
          </cell>
          <cell r="E1109" t="str">
            <v>РПТ-1220РС</v>
          </cell>
          <cell r="G1109" t="str">
            <v>01</v>
          </cell>
          <cell r="H1109">
            <v>76884</v>
          </cell>
          <cell r="I1109">
            <v>0</v>
          </cell>
          <cell r="J1109">
            <v>64070</v>
          </cell>
          <cell r="L1109" t="str">
            <v>20</v>
          </cell>
          <cell r="M1109" t="str">
            <v>43814</v>
          </cell>
          <cell r="N1109" t="str">
            <v>14 2947192</v>
          </cell>
          <cell r="P1109">
            <v>33.299999999999997</v>
          </cell>
          <cell r="Q1109">
            <v>0</v>
          </cell>
          <cell r="R1109" t="str">
            <v>1</v>
          </cell>
          <cell r="S1109" t="str">
            <v>43</v>
          </cell>
          <cell r="T1109">
            <v>98</v>
          </cell>
          <cell r="U1109">
            <v>8</v>
          </cell>
          <cell r="V1109">
            <v>98</v>
          </cell>
          <cell r="W1109">
            <v>8</v>
          </cell>
          <cell r="X1109">
            <v>98</v>
          </cell>
          <cell r="Y1109">
            <v>8</v>
          </cell>
          <cell r="Z1109">
            <v>98</v>
          </cell>
          <cell r="AD1109" t="str">
            <v>0</v>
          </cell>
          <cell r="AE1109" t="str">
            <v>0</v>
          </cell>
          <cell r="AF1109" t="str">
            <v>00</v>
          </cell>
        </row>
        <row r="1110">
          <cell r="A1110" t="str">
            <v>02</v>
          </cell>
          <cell r="B1110" t="str">
            <v>02</v>
          </cell>
          <cell r="C1110" t="str">
            <v>575</v>
          </cell>
          <cell r="D1110" t="str">
            <v>Подвеска троллейная</v>
          </cell>
          <cell r="E1110" t="str">
            <v>РПТ-1220</v>
          </cell>
          <cell r="G1110" t="str">
            <v>01</v>
          </cell>
          <cell r="H1110">
            <v>76884</v>
          </cell>
          <cell r="I1110">
            <v>0</v>
          </cell>
          <cell r="J1110">
            <v>64070</v>
          </cell>
          <cell r="L1110" t="str">
            <v>20</v>
          </cell>
          <cell r="M1110" t="str">
            <v>43814</v>
          </cell>
          <cell r="N1110" t="str">
            <v>14 2947192</v>
          </cell>
          <cell r="P1110">
            <v>33.299999999999997</v>
          </cell>
          <cell r="Q1110">
            <v>0</v>
          </cell>
          <cell r="R1110" t="str">
            <v>1</v>
          </cell>
          <cell r="S1110" t="str">
            <v>43</v>
          </cell>
          <cell r="T1110">
            <v>98</v>
          </cell>
          <cell r="U1110">
            <v>8</v>
          </cell>
          <cell r="V1110">
            <v>98</v>
          </cell>
          <cell r="W1110">
            <v>8</v>
          </cell>
          <cell r="X1110">
            <v>98</v>
          </cell>
          <cell r="Y1110">
            <v>8</v>
          </cell>
          <cell r="Z1110">
            <v>98</v>
          </cell>
          <cell r="AD1110" t="str">
            <v>0</v>
          </cell>
          <cell r="AE1110" t="str">
            <v>0</v>
          </cell>
          <cell r="AF1110" t="str">
            <v>00</v>
          </cell>
        </row>
        <row r="1111">
          <cell r="A1111" t="str">
            <v>02</v>
          </cell>
          <cell r="B1111" t="str">
            <v>02</v>
          </cell>
          <cell r="C1111" t="str">
            <v>576</v>
          </cell>
          <cell r="D1111" t="str">
            <v>Подвеска троллейная</v>
          </cell>
          <cell r="E1111" t="str">
            <v>РПТ-1220РС</v>
          </cell>
          <cell r="G1111" t="str">
            <v>01</v>
          </cell>
          <cell r="H1111">
            <v>76884</v>
          </cell>
          <cell r="I1111">
            <v>0</v>
          </cell>
          <cell r="J1111">
            <v>64070</v>
          </cell>
          <cell r="L1111" t="str">
            <v>20</v>
          </cell>
          <cell r="M1111" t="str">
            <v>43814</v>
          </cell>
          <cell r="N1111" t="str">
            <v>14 2947192</v>
          </cell>
          <cell r="P1111">
            <v>33.299999999999997</v>
          </cell>
          <cell r="Q1111">
            <v>0</v>
          </cell>
          <cell r="R1111" t="str">
            <v>1</v>
          </cell>
          <cell r="S1111" t="str">
            <v>43</v>
          </cell>
          <cell r="T1111">
            <v>98</v>
          </cell>
          <cell r="U1111">
            <v>8</v>
          </cell>
          <cell r="V1111">
            <v>98</v>
          </cell>
          <cell r="W1111">
            <v>8</v>
          </cell>
          <cell r="X1111">
            <v>98</v>
          </cell>
          <cell r="Y1111">
            <v>8</v>
          </cell>
          <cell r="Z1111">
            <v>98</v>
          </cell>
          <cell r="AD1111" t="str">
            <v>0</v>
          </cell>
          <cell r="AE1111" t="str">
            <v>0</v>
          </cell>
          <cell r="AF1111" t="str">
            <v>00</v>
          </cell>
        </row>
        <row r="1112">
          <cell r="A1112" t="str">
            <v>02</v>
          </cell>
          <cell r="B1112" t="str">
            <v>70</v>
          </cell>
          <cell r="C1112" t="str">
            <v>577</v>
          </cell>
          <cell r="D1112" t="str">
            <v>Свароч.полуавтомат</v>
          </cell>
          <cell r="E1112" t="str">
            <v>ПДГ-312-4 /ВДГ-3033/</v>
          </cell>
          <cell r="F1112" t="str">
            <v>ЗАО"СЭЛМА"гСимферопо</v>
          </cell>
          <cell r="G1112" t="str">
            <v>01</v>
          </cell>
          <cell r="H1112">
            <v>15000</v>
          </cell>
          <cell r="I1112">
            <v>0</v>
          </cell>
          <cell r="J1112">
            <v>0</v>
          </cell>
          <cell r="L1112" t="str">
            <v>20</v>
          </cell>
          <cell r="M1112" t="str">
            <v>42502</v>
          </cell>
          <cell r="N1112" t="str">
            <v>14 2922772</v>
          </cell>
          <cell r="P1112">
            <v>16.7</v>
          </cell>
          <cell r="Q1112">
            <v>0</v>
          </cell>
          <cell r="R1112" t="str">
            <v>1</v>
          </cell>
          <cell r="S1112" t="str">
            <v>42</v>
          </cell>
          <cell r="T1112">
            <v>96</v>
          </cell>
          <cell r="U1112">
            <v>8</v>
          </cell>
          <cell r="V1112">
            <v>98</v>
          </cell>
          <cell r="W1112">
            <v>8</v>
          </cell>
          <cell r="X1112">
            <v>98</v>
          </cell>
          <cell r="Y1112">
            <v>0</v>
          </cell>
          <cell r="Z1112">
            <v>0</v>
          </cell>
          <cell r="AD1112" t="str">
            <v>0</v>
          </cell>
          <cell r="AE1112" t="str">
            <v>0</v>
          </cell>
          <cell r="AF1112" t="str">
            <v>00</v>
          </cell>
        </row>
        <row r="1113">
          <cell r="A1113" t="str">
            <v>02</v>
          </cell>
          <cell r="B1113" t="str">
            <v>23</v>
          </cell>
          <cell r="C1113" t="str">
            <v>578</v>
          </cell>
          <cell r="D1113" t="str">
            <v>А/м КАМАЗ-5511 г/нТ</v>
          </cell>
          <cell r="E1113" t="str">
            <v>838СС дв133158 ш0081</v>
          </cell>
          <cell r="F1113" t="str">
            <v>091Камский а/з-д</v>
          </cell>
          <cell r="G1113" t="str">
            <v>01</v>
          </cell>
          <cell r="H1113">
            <v>106531</v>
          </cell>
          <cell r="I1113">
            <v>106531</v>
          </cell>
          <cell r="J1113">
            <v>0</v>
          </cell>
          <cell r="L1113" t="str">
            <v>23</v>
          </cell>
          <cell r="M1113" t="str">
            <v>50426</v>
          </cell>
          <cell r="N1113" t="str">
            <v>15 3410349</v>
          </cell>
          <cell r="P1113">
            <v>10</v>
          </cell>
          <cell r="Q1113">
            <v>0</v>
          </cell>
          <cell r="R1113" t="str">
            <v>1</v>
          </cell>
          <cell r="S1113" t="str">
            <v>50</v>
          </cell>
          <cell r="T1113">
            <v>84</v>
          </cell>
          <cell r="U1113">
            <v>8</v>
          </cell>
          <cell r="V1113">
            <v>98</v>
          </cell>
          <cell r="W1113">
            <v>8</v>
          </cell>
          <cell r="X1113">
            <v>98</v>
          </cell>
          <cell r="Y1113">
            <v>0</v>
          </cell>
          <cell r="Z1113">
            <v>0</v>
          </cell>
          <cell r="AD1113" t="str">
            <v>0</v>
          </cell>
          <cell r="AE1113" t="str">
            <v>0</v>
          </cell>
          <cell r="AF1113" t="str">
            <v>00</v>
          </cell>
        </row>
        <row r="1114">
          <cell r="A1114" t="str">
            <v>02</v>
          </cell>
          <cell r="B1114" t="str">
            <v>23</v>
          </cell>
          <cell r="C1114" t="str">
            <v>579</v>
          </cell>
          <cell r="D1114" t="str">
            <v>А/мКРАЗ-256Б1 г/нТ85</v>
          </cell>
          <cell r="E1114" t="str">
            <v>4СС дв31816 ш0645488</v>
          </cell>
          <cell r="F1114" t="str">
            <v>гКременчуг</v>
          </cell>
          <cell r="G1114" t="str">
            <v>01</v>
          </cell>
          <cell r="H1114">
            <v>121333.33</v>
          </cell>
          <cell r="I1114">
            <v>121333.33</v>
          </cell>
          <cell r="J1114">
            <v>0</v>
          </cell>
          <cell r="L1114" t="str">
            <v>23</v>
          </cell>
          <cell r="M1114" t="str">
            <v>50411</v>
          </cell>
          <cell r="N1114" t="str">
            <v>14 2928262</v>
          </cell>
          <cell r="P1114">
            <v>10</v>
          </cell>
          <cell r="Q1114">
            <v>0</v>
          </cell>
          <cell r="R1114" t="str">
            <v>1</v>
          </cell>
          <cell r="S1114" t="str">
            <v>50</v>
          </cell>
          <cell r="T1114">
            <v>89</v>
          </cell>
          <cell r="U1114">
            <v>8</v>
          </cell>
          <cell r="V1114">
            <v>98</v>
          </cell>
          <cell r="W1114">
            <v>8</v>
          </cell>
          <cell r="X1114">
            <v>98</v>
          </cell>
          <cell r="Y1114">
            <v>0</v>
          </cell>
          <cell r="Z1114">
            <v>0</v>
          </cell>
          <cell r="AD1114" t="str">
            <v>0</v>
          </cell>
          <cell r="AE1114" t="str">
            <v>0</v>
          </cell>
          <cell r="AF1114" t="str">
            <v>00</v>
          </cell>
        </row>
        <row r="1115">
          <cell r="A1115" t="str">
            <v>02</v>
          </cell>
          <cell r="B1115" t="str">
            <v>80</v>
          </cell>
          <cell r="C1115" t="str">
            <v>562</v>
          </cell>
          <cell r="D1115" t="str">
            <v>Сканер 120dp:, цв.</v>
          </cell>
          <cell r="G1115" t="str">
            <v>01</v>
          </cell>
          <cell r="H1115">
            <v>19200</v>
          </cell>
          <cell r="I1115">
            <v>0</v>
          </cell>
          <cell r="J1115">
            <v>0</v>
          </cell>
          <cell r="L1115" t="str">
            <v>26</v>
          </cell>
          <cell r="M1115" t="str">
            <v>48003</v>
          </cell>
          <cell r="P1115">
            <v>11.1</v>
          </cell>
          <cell r="Q1115">
            <v>0</v>
          </cell>
          <cell r="R1115" t="str">
            <v>1</v>
          </cell>
          <cell r="S1115" t="str">
            <v>48</v>
          </cell>
          <cell r="T1115">
            <v>98</v>
          </cell>
          <cell r="U1115">
            <v>10</v>
          </cell>
          <cell r="V1115">
            <v>98</v>
          </cell>
          <cell r="W1115">
            <v>10</v>
          </cell>
          <cell r="X1115">
            <v>98</v>
          </cell>
          <cell r="Y1115">
            <v>0</v>
          </cell>
          <cell r="Z1115">
            <v>0</v>
          </cell>
          <cell r="AD1115" t="str">
            <v>0</v>
          </cell>
          <cell r="AE1115" t="str">
            <v>0</v>
          </cell>
          <cell r="AF1115" t="str">
            <v>00</v>
          </cell>
        </row>
        <row r="1116">
          <cell r="A1116" t="str">
            <v>02</v>
          </cell>
          <cell r="B1116" t="str">
            <v>80</v>
          </cell>
          <cell r="C1116" t="str">
            <v>563</v>
          </cell>
          <cell r="D1116" t="str">
            <v>Компьютер Р-П /Ceb/-</v>
          </cell>
          <cell r="E1116" t="str">
            <v>266</v>
          </cell>
          <cell r="G1116" t="str">
            <v>01</v>
          </cell>
          <cell r="H1116">
            <v>21000</v>
          </cell>
          <cell r="I1116">
            <v>0</v>
          </cell>
          <cell r="J1116">
            <v>24500</v>
          </cell>
          <cell r="L1116" t="str">
            <v>26</v>
          </cell>
          <cell r="M1116" t="str">
            <v>48008</v>
          </cell>
          <cell r="P1116">
            <v>10</v>
          </cell>
          <cell r="Q1116">
            <v>0</v>
          </cell>
          <cell r="R1116" t="str">
            <v>1</v>
          </cell>
          <cell r="S1116" t="str">
            <v>48</v>
          </cell>
          <cell r="T1116">
            <v>98</v>
          </cell>
          <cell r="U1116">
            <v>10</v>
          </cell>
          <cell r="V1116">
            <v>98</v>
          </cell>
          <cell r="W1116">
            <v>10</v>
          </cell>
          <cell r="X1116">
            <v>98</v>
          </cell>
          <cell r="Y1116">
            <v>10</v>
          </cell>
          <cell r="Z1116">
            <v>98</v>
          </cell>
          <cell r="AD1116" t="str">
            <v>0</v>
          </cell>
          <cell r="AE1116" t="str">
            <v>0</v>
          </cell>
          <cell r="AF1116" t="str">
            <v>00</v>
          </cell>
        </row>
        <row r="1117">
          <cell r="A1117" t="str">
            <v>02</v>
          </cell>
          <cell r="B1117" t="str">
            <v>02</v>
          </cell>
          <cell r="C1117" t="str">
            <v>564</v>
          </cell>
          <cell r="D1117" t="str">
            <v>Компрессор 4ВУ-1-5/9</v>
          </cell>
          <cell r="G1117" t="str">
            <v>01</v>
          </cell>
          <cell r="H1117">
            <v>10433.719999999999</v>
          </cell>
          <cell r="I1117">
            <v>10433.719999999999</v>
          </cell>
          <cell r="J1117">
            <v>0</v>
          </cell>
          <cell r="L1117" t="str">
            <v>20</v>
          </cell>
          <cell r="M1117" t="str">
            <v>41401</v>
          </cell>
          <cell r="P1117">
            <v>6.7</v>
          </cell>
          <cell r="Q1117">
            <v>0</v>
          </cell>
          <cell r="R1117" t="str">
            <v>1</v>
          </cell>
          <cell r="S1117" t="str">
            <v>41</v>
          </cell>
          <cell r="T1117">
            <v>76</v>
          </cell>
          <cell r="U1117">
            <v>10</v>
          </cell>
          <cell r="V1117">
            <v>98</v>
          </cell>
          <cell r="W1117">
            <v>10</v>
          </cell>
          <cell r="X1117">
            <v>98</v>
          </cell>
          <cell r="Y1117">
            <v>0</v>
          </cell>
          <cell r="Z1117">
            <v>0</v>
          </cell>
          <cell r="AD1117" t="str">
            <v>0</v>
          </cell>
          <cell r="AE1117" t="str">
            <v>0</v>
          </cell>
          <cell r="AF1117" t="str">
            <v>00</v>
          </cell>
        </row>
        <row r="1118">
          <cell r="A1118" t="str">
            <v>02</v>
          </cell>
          <cell r="B1118" t="str">
            <v>02</v>
          </cell>
          <cell r="C1118" t="str">
            <v>580</v>
          </cell>
          <cell r="D1118" t="str">
            <v>Компрессор 4ВУ-1-5/9</v>
          </cell>
          <cell r="G1118" t="str">
            <v>01</v>
          </cell>
          <cell r="H1118">
            <v>10433.719999999999</v>
          </cell>
          <cell r="I1118">
            <v>10433.719999999999</v>
          </cell>
          <cell r="J1118">
            <v>0</v>
          </cell>
          <cell r="L1118" t="str">
            <v>20</v>
          </cell>
          <cell r="M1118" t="str">
            <v>41401</v>
          </cell>
          <cell r="P1118">
            <v>6.7</v>
          </cell>
          <cell r="Q1118">
            <v>0</v>
          </cell>
          <cell r="R1118" t="str">
            <v>1</v>
          </cell>
          <cell r="S1118" t="str">
            <v>41</v>
          </cell>
          <cell r="T1118">
            <v>76</v>
          </cell>
          <cell r="U1118">
            <v>10</v>
          </cell>
          <cell r="V1118">
            <v>98</v>
          </cell>
          <cell r="W1118">
            <v>10</v>
          </cell>
          <cell r="X1118">
            <v>98</v>
          </cell>
          <cell r="Y1118">
            <v>0</v>
          </cell>
          <cell r="Z1118">
            <v>0</v>
          </cell>
          <cell r="AD1118" t="str">
            <v>0</v>
          </cell>
          <cell r="AE1118" t="str">
            <v>0</v>
          </cell>
          <cell r="AF1118" t="str">
            <v>00</v>
          </cell>
        </row>
        <row r="1119">
          <cell r="A1119" t="str">
            <v>02</v>
          </cell>
          <cell r="B1119" t="str">
            <v>03</v>
          </cell>
          <cell r="C1119" t="str">
            <v>581</v>
          </cell>
          <cell r="D1119" t="str">
            <v>Весы 4031РП-600</v>
          </cell>
          <cell r="G1119" t="str">
            <v>01</v>
          </cell>
          <cell r="H1119">
            <v>9000</v>
          </cell>
          <cell r="I1119">
            <v>0</v>
          </cell>
          <cell r="J1119">
            <v>0</v>
          </cell>
          <cell r="L1119" t="str">
            <v>26</v>
          </cell>
          <cell r="M1119" t="str">
            <v>47039</v>
          </cell>
          <cell r="P1119">
            <v>6.7</v>
          </cell>
          <cell r="Q1119">
            <v>0</v>
          </cell>
          <cell r="R1119" t="str">
            <v>1</v>
          </cell>
          <cell r="S1119" t="str">
            <v>47</v>
          </cell>
          <cell r="T1119">
            <v>97</v>
          </cell>
          <cell r="U1119">
            <v>10</v>
          </cell>
          <cell r="V1119">
            <v>98</v>
          </cell>
          <cell r="W1119">
            <v>10</v>
          </cell>
          <cell r="X1119">
            <v>98</v>
          </cell>
          <cell r="Y1119">
            <v>0</v>
          </cell>
          <cell r="Z1119">
            <v>0</v>
          </cell>
          <cell r="AD1119" t="str">
            <v>0</v>
          </cell>
          <cell r="AE1119" t="str">
            <v>0</v>
          </cell>
          <cell r="AF1119" t="str">
            <v>00</v>
          </cell>
        </row>
        <row r="1120">
          <cell r="A1120" t="str">
            <v>02</v>
          </cell>
          <cell r="B1120" t="str">
            <v>02</v>
          </cell>
          <cell r="C1120" t="str">
            <v>582</v>
          </cell>
          <cell r="D1120" t="str">
            <v>Подкапывающая машина</v>
          </cell>
          <cell r="E1120" t="str">
            <v>МПТ-1220</v>
          </cell>
          <cell r="G1120" t="str">
            <v>01</v>
          </cell>
          <cell r="H1120">
            <v>178195</v>
          </cell>
          <cell r="I1120">
            <v>0</v>
          </cell>
          <cell r="J1120">
            <v>0</v>
          </cell>
          <cell r="L1120" t="str">
            <v>20</v>
          </cell>
          <cell r="M1120" t="str">
            <v>43803</v>
          </cell>
          <cell r="P1120">
            <v>33.299999999999997</v>
          </cell>
          <cell r="Q1120">
            <v>0</v>
          </cell>
          <cell r="R1120" t="str">
            <v>1</v>
          </cell>
          <cell r="S1120" t="str">
            <v>43</v>
          </cell>
          <cell r="T1120">
            <v>98</v>
          </cell>
          <cell r="U1120">
            <v>10</v>
          </cell>
          <cell r="V1120">
            <v>98</v>
          </cell>
          <cell r="W1120">
            <v>10</v>
          </cell>
          <cell r="X1120">
            <v>98</v>
          </cell>
          <cell r="Y1120">
            <v>0</v>
          </cell>
          <cell r="Z1120">
            <v>0</v>
          </cell>
          <cell r="AD1120" t="str">
            <v>0</v>
          </cell>
          <cell r="AE1120" t="str">
            <v>0</v>
          </cell>
          <cell r="AF1120" t="str">
            <v>00</v>
          </cell>
        </row>
        <row r="1121">
          <cell r="A1121" t="str">
            <v>02</v>
          </cell>
          <cell r="B1121" t="str">
            <v>23</v>
          </cell>
          <cell r="C1121" t="str">
            <v>583</v>
          </cell>
          <cell r="D1121" t="str">
            <v>А/м УРАЛ-4320 грузов</v>
          </cell>
          <cell r="E1121" t="str">
            <v>трубовоз г.N У614ВА6</v>
          </cell>
          <cell r="F1121" t="str">
            <v>3 дв08241 ш0209725</v>
          </cell>
          <cell r="G1121" t="str">
            <v>01</v>
          </cell>
          <cell r="H1121">
            <v>155000</v>
          </cell>
          <cell r="I1121">
            <v>81364.95</v>
          </cell>
          <cell r="J1121">
            <v>0</v>
          </cell>
          <cell r="L1121" t="str">
            <v>23</v>
          </cell>
          <cell r="M1121" t="str">
            <v>50402</v>
          </cell>
          <cell r="P1121">
            <v>0.37</v>
          </cell>
          <cell r="Q1121">
            <v>0</v>
          </cell>
          <cell r="R1121" t="str">
            <v>1</v>
          </cell>
          <cell r="S1121" t="str">
            <v>50</v>
          </cell>
          <cell r="T1121">
            <v>93</v>
          </cell>
          <cell r="U1121">
            <v>11</v>
          </cell>
          <cell r="V1121">
            <v>98</v>
          </cell>
          <cell r="W1121">
            <v>11</v>
          </cell>
          <cell r="X1121">
            <v>98</v>
          </cell>
          <cell r="Y1121">
            <v>0</v>
          </cell>
          <cell r="Z1121">
            <v>0</v>
          </cell>
          <cell r="AD1121" t="str">
            <v>0</v>
          </cell>
          <cell r="AE1121" t="str">
            <v>0</v>
          </cell>
          <cell r="AF1121" t="str">
            <v>00</v>
          </cell>
        </row>
        <row r="1122">
          <cell r="A1122" t="str">
            <v>02</v>
          </cell>
          <cell r="B1122" t="str">
            <v>03</v>
          </cell>
          <cell r="C1122" t="str">
            <v>584</v>
          </cell>
          <cell r="D1122" t="str">
            <v>Насос ПР 5/10 с эл.</v>
          </cell>
          <cell r="E1122" t="str">
            <v>двигателем</v>
          </cell>
          <cell r="G1122" t="str">
            <v>01</v>
          </cell>
          <cell r="H1122">
            <v>6065.28</v>
          </cell>
          <cell r="I1122">
            <v>0</v>
          </cell>
          <cell r="J1122">
            <v>0</v>
          </cell>
          <cell r="L1122" t="str">
            <v>26</v>
          </cell>
          <cell r="M1122" t="str">
            <v>40700</v>
          </cell>
          <cell r="P1122">
            <v>3.7</v>
          </cell>
          <cell r="Q1122">
            <v>0</v>
          </cell>
          <cell r="R1122" t="str">
            <v>1</v>
          </cell>
          <cell r="S1122" t="str">
            <v>40</v>
          </cell>
          <cell r="T1122">
            <v>90</v>
          </cell>
          <cell r="U1122">
            <v>11</v>
          </cell>
          <cell r="V1122">
            <v>98</v>
          </cell>
          <cell r="W1122">
            <v>11</v>
          </cell>
          <cell r="X1122">
            <v>98</v>
          </cell>
          <cell r="Y1122">
            <v>0</v>
          </cell>
          <cell r="Z1122">
            <v>0</v>
          </cell>
          <cell r="AD1122" t="str">
            <v>0</v>
          </cell>
          <cell r="AE1122" t="str">
            <v>0</v>
          </cell>
          <cell r="AF1122" t="str">
            <v>00</v>
          </cell>
        </row>
        <row r="1123">
          <cell r="A1123" t="str">
            <v>02</v>
          </cell>
          <cell r="B1123" t="str">
            <v>70</v>
          </cell>
          <cell r="C1123" t="str">
            <v>585</v>
          </cell>
          <cell r="D1123" t="str">
            <v>Блок питания Б-5301</v>
          </cell>
          <cell r="G1123" t="str">
            <v>01</v>
          </cell>
          <cell r="H1123">
            <v>3455.73</v>
          </cell>
          <cell r="I1123">
            <v>0</v>
          </cell>
          <cell r="J1123">
            <v>0</v>
          </cell>
          <cell r="L1123" t="str">
            <v>20</v>
          </cell>
          <cell r="M1123" t="str">
            <v>40712</v>
          </cell>
          <cell r="P1123">
            <v>33.299999999999997</v>
          </cell>
          <cell r="Q1123">
            <v>0</v>
          </cell>
          <cell r="R1123" t="str">
            <v>1</v>
          </cell>
          <cell r="S1123" t="str">
            <v>40</v>
          </cell>
          <cell r="T1123">
            <v>89</v>
          </cell>
          <cell r="U1123">
            <v>11</v>
          </cell>
          <cell r="V1123">
            <v>98</v>
          </cell>
          <cell r="W1123">
            <v>11</v>
          </cell>
          <cell r="X1123">
            <v>98</v>
          </cell>
          <cell r="Y1123">
            <v>0</v>
          </cell>
          <cell r="Z1123">
            <v>0</v>
          </cell>
          <cell r="AD1123" t="str">
            <v>0</v>
          </cell>
          <cell r="AE1123" t="str">
            <v>0</v>
          </cell>
          <cell r="AF1123" t="str">
            <v>00</v>
          </cell>
        </row>
        <row r="1124">
          <cell r="A1124" t="str">
            <v>02</v>
          </cell>
          <cell r="B1124" t="str">
            <v>23</v>
          </cell>
          <cell r="C1124" t="str">
            <v>586</v>
          </cell>
          <cell r="D1124" t="str">
            <v>Газоанализатор ГИАМ-</v>
          </cell>
          <cell r="E1124" t="str">
            <v>27-01</v>
          </cell>
          <cell r="G1124" t="str">
            <v>01</v>
          </cell>
          <cell r="H1124">
            <v>5458.35</v>
          </cell>
          <cell r="I1124">
            <v>0</v>
          </cell>
          <cell r="J1124">
            <v>0</v>
          </cell>
          <cell r="L1124" t="str">
            <v>23</v>
          </cell>
          <cell r="M1124" t="str">
            <v>47026</v>
          </cell>
          <cell r="P1124">
            <v>8.3000000000000007</v>
          </cell>
          <cell r="Q1124">
            <v>0</v>
          </cell>
          <cell r="R1124" t="str">
            <v>1</v>
          </cell>
          <cell r="S1124" t="str">
            <v>47</v>
          </cell>
          <cell r="T1124">
            <v>94</v>
          </cell>
          <cell r="U1124">
            <v>11</v>
          </cell>
          <cell r="V1124">
            <v>98</v>
          </cell>
          <cell r="W1124">
            <v>11</v>
          </cell>
          <cell r="X1124">
            <v>98</v>
          </cell>
          <cell r="Y1124">
            <v>0</v>
          </cell>
          <cell r="Z1124">
            <v>0</v>
          </cell>
          <cell r="AD1124" t="str">
            <v>0</v>
          </cell>
          <cell r="AE1124" t="str">
            <v>0</v>
          </cell>
          <cell r="AF1124" t="str">
            <v>00</v>
          </cell>
        </row>
        <row r="1125">
          <cell r="A1125" t="str">
            <v>02</v>
          </cell>
          <cell r="B1125" t="str">
            <v>03</v>
          </cell>
          <cell r="C1125" t="str">
            <v>587</v>
          </cell>
          <cell r="D1125" t="str">
            <v>Индикатор</v>
          </cell>
          <cell r="G1125" t="str">
            <v>01</v>
          </cell>
          <cell r="H1125">
            <v>12024.21</v>
          </cell>
          <cell r="I1125">
            <v>0</v>
          </cell>
          <cell r="J1125">
            <v>0</v>
          </cell>
          <cell r="L1125" t="str">
            <v>26</v>
          </cell>
          <cell r="M1125" t="str">
            <v>47045</v>
          </cell>
          <cell r="P1125">
            <v>9</v>
          </cell>
          <cell r="Q1125">
            <v>0</v>
          </cell>
          <cell r="R1125" t="str">
            <v>1</v>
          </cell>
          <cell r="S1125" t="str">
            <v>47</v>
          </cell>
          <cell r="T1125">
            <v>97</v>
          </cell>
          <cell r="U1125">
            <v>11</v>
          </cell>
          <cell r="V1125">
            <v>98</v>
          </cell>
          <cell r="W1125">
            <v>11</v>
          </cell>
          <cell r="X1125">
            <v>98</v>
          </cell>
          <cell r="Y1125">
            <v>0</v>
          </cell>
          <cell r="Z1125">
            <v>0</v>
          </cell>
          <cell r="AD1125" t="str">
            <v>0</v>
          </cell>
          <cell r="AE1125" t="str">
            <v>0</v>
          </cell>
          <cell r="AF1125" t="str">
            <v>00</v>
          </cell>
        </row>
        <row r="1126">
          <cell r="A1126" t="str">
            <v>02</v>
          </cell>
          <cell r="B1126" t="str">
            <v>03</v>
          </cell>
          <cell r="C1126" t="str">
            <v>588</v>
          </cell>
          <cell r="D1126" t="str">
            <v>Индикатор</v>
          </cell>
          <cell r="G1126" t="str">
            <v>01</v>
          </cell>
          <cell r="H1126">
            <v>12024.21</v>
          </cell>
          <cell r="I1126">
            <v>0</v>
          </cell>
          <cell r="J1126">
            <v>0</v>
          </cell>
          <cell r="L1126" t="str">
            <v>26</v>
          </cell>
          <cell r="M1126" t="str">
            <v>47045</v>
          </cell>
          <cell r="P1126">
            <v>9</v>
          </cell>
          <cell r="Q1126">
            <v>0</v>
          </cell>
          <cell r="R1126" t="str">
            <v>1</v>
          </cell>
          <cell r="S1126" t="str">
            <v>47</v>
          </cell>
          <cell r="T1126">
            <v>97</v>
          </cell>
          <cell r="U1126">
            <v>11</v>
          </cell>
          <cell r="V1126">
            <v>98</v>
          </cell>
          <cell r="W1126">
            <v>11</v>
          </cell>
          <cell r="X1126">
            <v>98</v>
          </cell>
          <cell r="Y1126">
            <v>0</v>
          </cell>
          <cell r="Z1126">
            <v>0</v>
          </cell>
          <cell r="AD1126" t="str">
            <v>0</v>
          </cell>
          <cell r="AE1126" t="str">
            <v>0</v>
          </cell>
          <cell r="AF1126" t="str">
            <v>00</v>
          </cell>
        </row>
        <row r="1127">
          <cell r="A1127" t="str">
            <v>02</v>
          </cell>
          <cell r="B1127" t="str">
            <v>03</v>
          </cell>
          <cell r="C1127" t="str">
            <v>589</v>
          </cell>
          <cell r="D1127" t="str">
            <v>Индикатор</v>
          </cell>
          <cell r="G1127" t="str">
            <v>01</v>
          </cell>
          <cell r="H1127">
            <v>12024.21</v>
          </cell>
          <cell r="I1127">
            <v>0</v>
          </cell>
          <cell r="J1127">
            <v>0</v>
          </cell>
          <cell r="L1127" t="str">
            <v>26</v>
          </cell>
          <cell r="M1127" t="str">
            <v>47045</v>
          </cell>
          <cell r="P1127">
            <v>9</v>
          </cell>
          <cell r="Q1127">
            <v>0</v>
          </cell>
          <cell r="R1127" t="str">
            <v>1</v>
          </cell>
          <cell r="S1127" t="str">
            <v>47</v>
          </cell>
          <cell r="T1127">
            <v>97</v>
          </cell>
          <cell r="U1127">
            <v>11</v>
          </cell>
          <cell r="V1127">
            <v>98</v>
          </cell>
          <cell r="W1127">
            <v>11</v>
          </cell>
          <cell r="X1127">
            <v>98</v>
          </cell>
          <cell r="Y1127">
            <v>0</v>
          </cell>
          <cell r="Z1127">
            <v>0</v>
          </cell>
          <cell r="AD1127" t="str">
            <v>0</v>
          </cell>
          <cell r="AE1127" t="str">
            <v>0</v>
          </cell>
          <cell r="AF1127" t="str">
            <v>00</v>
          </cell>
        </row>
        <row r="1128">
          <cell r="A1128" t="str">
            <v>02</v>
          </cell>
          <cell r="B1128" t="str">
            <v>03</v>
          </cell>
          <cell r="C1128" t="str">
            <v>590</v>
          </cell>
          <cell r="D1128" t="str">
            <v>Индикатор</v>
          </cell>
          <cell r="G1128" t="str">
            <v>01</v>
          </cell>
          <cell r="H1128">
            <v>12024.21</v>
          </cell>
          <cell r="I1128">
            <v>0</v>
          </cell>
          <cell r="J1128">
            <v>0</v>
          </cell>
          <cell r="L1128" t="str">
            <v>26</v>
          </cell>
          <cell r="M1128" t="str">
            <v>47045</v>
          </cell>
          <cell r="P1128">
            <v>9</v>
          </cell>
          <cell r="Q1128">
            <v>0</v>
          </cell>
          <cell r="R1128" t="str">
            <v>1</v>
          </cell>
          <cell r="S1128" t="str">
            <v>47</v>
          </cell>
          <cell r="T1128">
            <v>97</v>
          </cell>
          <cell r="U1128">
            <v>11</v>
          </cell>
          <cell r="V1128">
            <v>98</v>
          </cell>
          <cell r="W1128">
            <v>11</v>
          </cell>
          <cell r="X1128">
            <v>98</v>
          </cell>
          <cell r="Y1128">
            <v>0</v>
          </cell>
          <cell r="Z1128">
            <v>0</v>
          </cell>
          <cell r="AD1128" t="str">
            <v>0</v>
          </cell>
          <cell r="AE1128" t="str">
            <v>0</v>
          </cell>
          <cell r="AF1128" t="str">
            <v>00</v>
          </cell>
        </row>
        <row r="1129">
          <cell r="A1129" t="str">
            <v>02</v>
          </cell>
          <cell r="B1129" t="str">
            <v>03</v>
          </cell>
          <cell r="C1129" t="str">
            <v>591</v>
          </cell>
          <cell r="D1129" t="str">
            <v>Индикатор</v>
          </cell>
          <cell r="G1129" t="str">
            <v>01</v>
          </cell>
          <cell r="H1129">
            <v>12024.21</v>
          </cell>
          <cell r="I1129">
            <v>0</v>
          </cell>
          <cell r="J1129">
            <v>0</v>
          </cell>
          <cell r="L1129" t="str">
            <v>26</v>
          </cell>
          <cell r="M1129" t="str">
            <v>47045</v>
          </cell>
          <cell r="P1129">
            <v>9</v>
          </cell>
          <cell r="Q1129">
            <v>0</v>
          </cell>
          <cell r="R1129" t="str">
            <v>1</v>
          </cell>
          <cell r="S1129" t="str">
            <v>47</v>
          </cell>
          <cell r="T1129">
            <v>97</v>
          </cell>
          <cell r="U1129">
            <v>11</v>
          </cell>
          <cell r="V1129">
            <v>98</v>
          </cell>
          <cell r="W1129">
            <v>11</v>
          </cell>
          <cell r="X1129">
            <v>98</v>
          </cell>
          <cell r="Y1129">
            <v>0</v>
          </cell>
          <cell r="Z1129">
            <v>0</v>
          </cell>
          <cell r="AD1129" t="str">
            <v>0</v>
          </cell>
          <cell r="AE1129" t="str">
            <v>0</v>
          </cell>
          <cell r="AF1129" t="str">
            <v>00</v>
          </cell>
        </row>
        <row r="1130">
          <cell r="A1130" t="str">
            <v>02</v>
          </cell>
          <cell r="B1130" t="str">
            <v>03</v>
          </cell>
          <cell r="C1130" t="str">
            <v>592</v>
          </cell>
          <cell r="D1130" t="str">
            <v>Индикатор</v>
          </cell>
          <cell r="G1130" t="str">
            <v>01</v>
          </cell>
          <cell r="H1130">
            <v>12024.21</v>
          </cell>
          <cell r="I1130">
            <v>0</v>
          </cell>
          <cell r="J1130">
            <v>0</v>
          </cell>
          <cell r="L1130" t="str">
            <v>26</v>
          </cell>
          <cell r="M1130" t="str">
            <v>47045</v>
          </cell>
          <cell r="P1130">
            <v>9</v>
          </cell>
          <cell r="Q1130">
            <v>0</v>
          </cell>
          <cell r="R1130" t="str">
            <v>1</v>
          </cell>
          <cell r="S1130" t="str">
            <v>47</v>
          </cell>
          <cell r="T1130">
            <v>97</v>
          </cell>
          <cell r="U1130">
            <v>11</v>
          </cell>
          <cell r="V1130">
            <v>98</v>
          </cell>
          <cell r="W1130">
            <v>11</v>
          </cell>
          <cell r="X1130">
            <v>98</v>
          </cell>
          <cell r="Y1130">
            <v>0</v>
          </cell>
          <cell r="Z1130">
            <v>0</v>
          </cell>
          <cell r="AD1130" t="str">
            <v>0</v>
          </cell>
          <cell r="AE1130" t="str">
            <v>0</v>
          </cell>
          <cell r="AF1130" t="str">
            <v>00</v>
          </cell>
        </row>
        <row r="1131">
          <cell r="A1131" t="str">
            <v>20</v>
          </cell>
          <cell r="B1131" t="str">
            <v>17</v>
          </cell>
          <cell r="C1131" t="str">
            <v>593</v>
          </cell>
          <cell r="D1131" t="str">
            <v>Счетчик ультразвуков</v>
          </cell>
          <cell r="E1131" t="str">
            <v>ой УЗС-1 в цехе по</v>
          </cell>
          <cell r="F1131" t="str">
            <v>переработке молока</v>
          </cell>
          <cell r="G1131" t="str">
            <v>01</v>
          </cell>
          <cell r="H1131">
            <v>6750</v>
          </cell>
          <cell r="I1131">
            <v>0</v>
          </cell>
          <cell r="J1131">
            <v>0</v>
          </cell>
          <cell r="L1131" t="str">
            <v>88/2</v>
          </cell>
          <cell r="M1131" t="str">
            <v>47036</v>
          </cell>
          <cell r="P1131">
            <v>14.3</v>
          </cell>
          <cell r="Q1131">
            <v>0</v>
          </cell>
          <cell r="R1131" t="str">
            <v>1</v>
          </cell>
          <cell r="S1131" t="str">
            <v>47</v>
          </cell>
          <cell r="T1131">
            <v>97</v>
          </cell>
          <cell r="U1131">
            <v>11</v>
          </cell>
          <cell r="V1131">
            <v>98</v>
          </cell>
          <cell r="W1131">
            <v>11</v>
          </cell>
          <cell r="X1131">
            <v>98</v>
          </cell>
          <cell r="Y1131">
            <v>0</v>
          </cell>
          <cell r="Z1131">
            <v>0</v>
          </cell>
          <cell r="AD1131" t="str">
            <v>0</v>
          </cell>
          <cell r="AE1131" t="str">
            <v>0</v>
          </cell>
          <cell r="AF1131" t="str">
            <v>20</v>
          </cell>
        </row>
        <row r="1132">
          <cell r="A1132" t="str">
            <v>02</v>
          </cell>
          <cell r="B1132" t="str">
            <v>80</v>
          </cell>
          <cell r="C1132" t="str">
            <v>594</v>
          </cell>
          <cell r="D1132" t="str">
            <v>Компьютер с принтеро</v>
          </cell>
          <cell r="E1132" t="str">
            <v>м Epson FX-1170</v>
          </cell>
          <cell r="G1132" t="str">
            <v>01</v>
          </cell>
          <cell r="H1132">
            <v>12655</v>
          </cell>
          <cell r="I1132">
            <v>0</v>
          </cell>
          <cell r="J1132">
            <v>0</v>
          </cell>
          <cell r="L1132" t="str">
            <v>26</v>
          </cell>
          <cell r="M1132" t="str">
            <v>48008</v>
          </cell>
          <cell r="P1132">
            <v>10</v>
          </cell>
          <cell r="Q1132">
            <v>0</v>
          </cell>
          <cell r="R1132" t="str">
            <v>1</v>
          </cell>
          <cell r="S1132" t="str">
            <v>48</v>
          </cell>
          <cell r="T1132">
            <v>98</v>
          </cell>
          <cell r="U1132">
            <v>12</v>
          </cell>
          <cell r="V1132">
            <v>98</v>
          </cell>
          <cell r="W1132">
            <v>12</v>
          </cell>
          <cell r="X1132">
            <v>98</v>
          </cell>
          <cell r="Y1132">
            <v>0</v>
          </cell>
          <cell r="Z1132">
            <v>0</v>
          </cell>
          <cell r="AD1132" t="str">
            <v>0</v>
          </cell>
          <cell r="AE1132" t="str">
            <v>0</v>
          </cell>
          <cell r="AF1132" t="str">
            <v>00</v>
          </cell>
        </row>
        <row r="1133">
          <cell r="A1133" t="str">
            <v>02</v>
          </cell>
          <cell r="B1133" t="str">
            <v>80</v>
          </cell>
          <cell r="C1133" t="str">
            <v>595</v>
          </cell>
          <cell r="D1133" t="str">
            <v>Компьютер с принтеро</v>
          </cell>
          <cell r="E1133" t="str">
            <v>м NPN5L</v>
          </cell>
          <cell r="G1133" t="str">
            <v>01</v>
          </cell>
          <cell r="H1133">
            <v>14869</v>
          </cell>
          <cell r="I1133">
            <v>0</v>
          </cell>
          <cell r="J1133">
            <v>0</v>
          </cell>
          <cell r="L1133" t="str">
            <v>26</v>
          </cell>
          <cell r="M1133" t="str">
            <v>48008</v>
          </cell>
          <cell r="P1133">
            <v>10</v>
          </cell>
          <cell r="Q1133">
            <v>0</v>
          </cell>
          <cell r="R1133" t="str">
            <v>1</v>
          </cell>
          <cell r="S1133" t="str">
            <v>48</v>
          </cell>
          <cell r="T1133">
            <v>98</v>
          </cell>
          <cell r="U1133">
            <v>12</v>
          </cell>
          <cell r="V1133">
            <v>98</v>
          </cell>
          <cell r="W1133">
            <v>12</v>
          </cell>
          <cell r="X1133">
            <v>98</v>
          </cell>
          <cell r="Y1133">
            <v>0</v>
          </cell>
          <cell r="Z1133">
            <v>0</v>
          </cell>
          <cell r="AD1133" t="str">
            <v>0</v>
          </cell>
          <cell r="AE1133" t="str">
            <v>0</v>
          </cell>
          <cell r="AF1133" t="str">
            <v>00</v>
          </cell>
        </row>
        <row r="1134">
          <cell r="A1134" t="str">
            <v>02</v>
          </cell>
          <cell r="B1134" t="str">
            <v>41</v>
          </cell>
          <cell r="C1134" t="str">
            <v>596</v>
          </cell>
          <cell r="D1134" t="str">
            <v>Дефектоскоп КРОНА-1Р</v>
          </cell>
          <cell r="E1134" t="str">
            <v>Н</v>
          </cell>
          <cell r="F1134" t="str">
            <v>НПО Волга гКишинев</v>
          </cell>
          <cell r="G1134" t="str">
            <v>01</v>
          </cell>
          <cell r="H1134">
            <v>7700</v>
          </cell>
          <cell r="I1134">
            <v>0</v>
          </cell>
          <cell r="J1134">
            <v>0</v>
          </cell>
          <cell r="L1134" t="str">
            <v>20</v>
          </cell>
          <cell r="M1134" t="str">
            <v>47015</v>
          </cell>
          <cell r="P1134">
            <v>14.3</v>
          </cell>
          <cell r="Q1134">
            <v>0</v>
          </cell>
          <cell r="R1134" t="str">
            <v>1</v>
          </cell>
          <cell r="S1134" t="str">
            <v>47</v>
          </cell>
          <cell r="T1134">
            <v>89</v>
          </cell>
          <cell r="U1134">
            <v>12</v>
          </cell>
          <cell r="V1134">
            <v>98</v>
          </cell>
          <cell r="W1134">
            <v>12</v>
          </cell>
          <cell r="X1134">
            <v>98</v>
          </cell>
          <cell r="Y1134">
            <v>0</v>
          </cell>
          <cell r="Z1134">
            <v>0</v>
          </cell>
          <cell r="AD1134" t="str">
            <v>0</v>
          </cell>
          <cell r="AE1134" t="str">
            <v>0</v>
          </cell>
          <cell r="AF1134" t="str">
            <v>00</v>
          </cell>
        </row>
        <row r="1135">
          <cell r="A1135" t="str">
            <v>02</v>
          </cell>
          <cell r="B1135" t="str">
            <v>99</v>
          </cell>
          <cell r="C1135" t="str">
            <v>597</v>
          </cell>
          <cell r="D1135" t="str">
            <v>Экскаватор РС-200-6</v>
          </cell>
          <cell r="E1135" t="str">
            <v>зав.N95515 дв.160928</v>
          </cell>
          <cell r="F1135" t="str">
            <v>Комацу Япония</v>
          </cell>
          <cell r="G1135" t="str">
            <v>02</v>
          </cell>
          <cell r="H1135">
            <v>835588</v>
          </cell>
          <cell r="I1135">
            <v>7729.19</v>
          </cell>
          <cell r="J1135">
            <v>0</v>
          </cell>
          <cell r="L1135" t="str">
            <v>20</v>
          </cell>
          <cell r="M1135" t="str">
            <v>41801</v>
          </cell>
          <cell r="N1135" t="str">
            <v>14 2924331</v>
          </cell>
          <cell r="P1135">
            <v>11.1</v>
          </cell>
          <cell r="Q1135">
            <v>0</v>
          </cell>
          <cell r="R1135" t="str">
            <v>1</v>
          </cell>
          <cell r="S1135" t="str">
            <v>41</v>
          </cell>
          <cell r="T1135">
            <v>97</v>
          </cell>
          <cell r="U1135">
            <v>1</v>
          </cell>
          <cell r="V1135">
            <v>99</v>
          </cell>
          <cell r="W1135">
            <v>1</v>
          </cell>
          <cell r="X1135">
            <v>99</v>
          </cell>
          <cell r="Y1135">
            <v>0</v>
          </cell>
          <cell r="Z1135">
            <v>0</v>
          </cell>
          <cell r="AD1135" t="str">
            <v>0</v>
          </cell>
          <cell r="AE1135" t="str">
            <v>0</v>
          </cell>
          <cell r="AF1135" t="str">
            <v>00</v>
          </cell>
        </row>
        <row r="1136">
          <cell r="A1136" t="str">
            <v>02</v>
          </cell>
          <cell r="B1136" t="str">
            <v>02</v>
          </cell>
          <cell r="C1136" t="str">
            <v>598</v>
          </cell>
          <cell r="D1136" t="str">
            <v>Экскаватор РС-200-6</v>
          </cell>
          <cell r="E1136" t="str">
            <v>зав.N95516 ld.160929</v>
          </cell>
          <cell r="F1136" t="str">
            <v>Комацу Япония</v>
          </cell>
          <cell r="G1136" t="str">
            <v>02</v>
          </cell>
          <cell r="H1136">
            <v>835588</v>
          </cell>
          <cell r="I1136">
            <v>7729.19</v>
          </cell>
          <cell r="J1136">
            <v>0</v>
          </cell>
          <cell r="L1136" t="str">
            <v>20</v>
          </cell>
          <cell r="M1136" t="str">
            <v>41801</v>
          </cell>
          <cell r="N1136" t="str">
            <v>14 2924331</v>
          </cell>
          <cell r="P1136">
            <v>11.1</v>
          </cell>
          <cell r="Q1136">
            <v>0</v>
          </cell>
          <cell r="R1136" t="str">
            <v>1</v>
          </cell>
          <cell r="S1136" t="str">
            <v>41</v>
          </cell>
          <cell r="T1136">
            <v>97</v>
          </cell>
          <cell r="U1136">
            <v>1</v>
          </cell>
          <cell r="V1136">
            <v>99</v>
          </cell>
          <cell r="W1136">
            <v>1</v>
          </cell>
          <cell r="X1136">
            <v>99</v>
          </cell>
          <cell r="Y1136">
            <v>0</v>
          </cell>
          <cell r="Z1136">
            <v>0</v>
          </cell>
          <cell r="AD1136" t="str">
            <v>0</v>
          </cell>
          <cell r="AE1136" t="str">
            <v>0</v>
          </cell>
          <cell r="AF1136" t="str">
            <v>00</v>
          </cell>
        </row>
        <row r="1137">
          <cell r="A1137" t="str">
            <v>02</v>
          </cell>
          <cell r="B1137" t="str">
            <v>02</v>
          </cell>
          <cell r="C1137" t="str">
            <v>599</v>
          </cell>
          <cell r="D1137" t="str">
            <v>Экскаватор РС-200-6</v>
          </cell>
          <cell r="E1137" t="str">
            <v>зав.N95519 дв.160932</v>
          </cell>
          <cell r="F1137" t="str">
            <v>Комацу Япония</v>
          </cell>
          <cell r="G1137" t="str">
            <v>02</v>
          </cell>
          <cell r="H1137">
            <v>835588</v>
          </cell>
          <cell r="I1137">
            <v>7729.19</v>
          </cell>
          <cell r="J1137">
            <v>0</v>
          </cell>
          <cell r="L1137" t="str">
            <v>20</v>
          </cell>
          <cell r="M1137" t="str">
            <v>41801</v>
          </cell>
          <cell r="N1137" t="str">
            <v>14 2924331</v>
          </cell>
          <cell r="P1137">
            <v>11.1</v>
          </cell>
          <cell r="Q1137">
            <v>0</v>
          </cell>
          <cell r="R1137" t="str">
            <v>1</v>
          </cell>
          <cell r="S1137" t="str">
            <v>41</v>
          </cell>
          <cell r="T1137">
            <v>97</v>
          </cell>
          <cell r="U1137">
            <v>1</v>
          </cell>
          <cell r="V1137">
            <v>99</v>
          </cell>
          <cell r="W1137">
            <v>1</v>
          </cell>
          <cell r="X1137">
            <v>99</v>
          </cell>
          <cell r="Y1137">
            <v>0</v>
          </cell>
          <cell r="Z1137">
            <v>0</v>
          </cell>
          <cell r="AD1137" t="str">
            <v>0</v>
          </cell>
          <cell r="AE1137" t="str">
            <v>0</v>
          </cell>
          <cell r="AF1137" t="str">
            <v>00</v>
          </cell>
        </row>
        <row r="1138">
          <cell r="A1138" t="str">
            <v>02</v>
          </cell>
          <cell r="B1138" t="str">
            <v>02</v>
          </cell>
          <cell r="C1138" t="str">
            <v>600</v>
          </cell>
          <cell r="D1138" t="str">
            <v>Экскаватор РС-200-6</v>
          </cell>
          <cell r="E1138" t="str">
            <v>зав.N95522 дв.160935</v>
          </cell>
          <cell r="F1138" t="str">
            <v>Комацу Япония</v>
          </cell>
          <cell r="G1138" t="str">
            <v>02</v>
          </cell>
          <cell r="H1138">
            <v>835588</v>
          </cell>
          <cell r="I1138">
            <v>7729.19</v>
          </cell>
          <cell r="J1138">
            <v>0</v>
          </cell>
          <cell r="L1138" t="str">
            <v>20</v>
          </cell>
          <cell r="M1138" t="str">
            <v>41801</v>
          </cell>
          <cell r="N1138" t="str">
            <v>14 2924331</v>
          </cell>
          <cell r="P1138">
            <v>11.1</v>
          </cell>
          <cell r="Q1138">
            <v>0</v>
          </cell>
          <cell r="R1138" t="str">
            <v>1</v>
          </cell>
          <cell r="S1138" t="str">
            <v>41</v>
          </cell>
          <cell r="T1138">
            <v>97</v>
          </cell>
          <cell r="U1138">
            <v>1</v>
          </cell>
          <cell r="V1138">
            <v>99</v>
          </cell>
          <cell r="W1138">
            <v>1</v>
          </cell>
          <cell r="X1138">
            <v>99</v>
          </cell>
          <cell r="Y1138">
            <v>0</v>
          </cell>
          <cell r="Z1138">
            <v>0</v>
          </cell>
          <cell r="AD1138" t="str">
            <v>0</v>
          </cell>
          <cell r="AE1138" t="str">
            <v>0</v>
          </cell>
          <cell r="AF1138" t="str">
            <v>00</v>
          </cell>
        </row>
        <row r="1139">
          <cell r="A1139" t="str">
            <v>02</v>
          </cell>
          <cell r="B1139" t="str">
            <v>02</v>
          </cell>
          <cell r="C1139" t="str">
            <v>604</v>
          </cell>
          <cell r="D1139" t="str">
            <v>Экскаватор РС-200-6</v>
          </cell>
          <cell r="E1139" t="str">
            <v>зав.N95525 дв.160938</v>
          </cell>
          <cell r="F1139" t="str">
            <v>Комацу Япония</v>
          </cell>
          <cell r="G1139" t="str">
            <v>02</v>
          </cell>
          <cell r="H1139">
            <v>835588</v>
          </cell>
          <cell r="I1139">
            <v>7729.19</v>
          </cell>
          <cell r="J1139">
            <v>0</v>
          </cell>
          <cell r="L1139" t="str">
            <v>20</v>
          </cell>
          <cell r="M1139" t="str">
            <v>41801</v>
          </cell>
          <cell r="N1139" t="str">
            <v>14 2924331</v>
          </cell>
          <cell r="P1139">
            <v>11.1</v>
          </cell>
          <cell r="Q1139">
            <v>0</v>
          </cell>
          <cell r="R1139" t="str">
            <v>1</v>
          </cell>
          <cell r="S1139" t="str">
            <v>41</v>
          </cell>
          <cell r="T1139">
            <v>97</v>
          </cell>
          <cell r="U1139">
            <v>1</v>
          </cell>
          <cell r="V1139">
            <v>99</v>
          </cell>
          <cell r="W1139">
            <v>1</v>
          </cell>
          <cell r="X1139">
            <v>99</v>
          </cell>
          <cell r="Y1139">
            <v>0</v>
          </cell>
          <cell r="Z1139">
            <v>0</v>
          </cell>
          <cell r="AD1139" t="str">
            <v>0</v>
          </cell>
          <cell r="AE1139" t="str">
            <v>0</v>
          </cell>
          <cell r="AF1139" t="str">
            <v>00</v>
          </cell>
        </row>
        <row r="1140">
          <cell r="A1140" t="str">
            <v>02</v>
          </cell>
          <cell r="B1140" t="str">
            <v>02</v>
          </cell>
          <cell r="C1140" t="str">
            <v>602</v>
          </cell>
          <cell r="D1140" t="str">
            <v>Экскаватор РС-200-6</v>
          </cell>
          <cell r="E1140" t="str">
            <v>зав.N95528 дв.160946</v>
          </cell>
          <cell r="F1140" t="str">
            <v>Комацу Япония</v>
          </cell>
          <cell r="G1140" t="str">
            <v>02</v>
          </cell>
          <cell r="H1140">
            <v>835588</v>
          </cell>
          <cell r="I1140">
            <v>7729.19</v>
          </cell>
          <cell r="J1140">
            <v>0</v>
          </cell>
          <cell r="L1140" t="str">
            <v>20</v>
          </cell>
          <cell r="M1140" t="str">
            <v>41801</v>
          </cell>
          <cell r="N1140" t="str">
            <v>14 2924331</v>
          </cell>
          <cell r="P1140">
            <v>11.1</v>
          </cell>
          <cell r="Q1140">
            <v>0</v>
          </cell>
          <cell r="R1140" t="str">
            <v>1</v>
          </cell>
          <cell r="S1140" t="str">
            <v>41</v>
          </cell>
          <cell r="T1140">
            <v>97</v>
          </cell>
          <cell r="U1140">
            <v>1</v>
          </cell>
          <cell r="V1140">
            <v>99</v>
          </cell>
          <cell r="W1140">
            <v>1</v>
          </cell>
          <cell r="X1140">
            <v>99</v>
          </cell>
          <cell r="Y1140">
            <v>0</v>
          </cell>
          <cell r="Z1140">
            <v>0</v>
          </cell>
          <cell r="AD1140" t="str">
            <v>0</v>
          </cell>
          <cell r="AE1140" t="str">
            <v>0</v>
          </cell>
          <cell r="AF1140" t="str">
            <v>00</v>
          </cell>
        </row>
        <row r="1141">
          <cell r="A1141" t="str">
            <v>02</v>
          </cell>
          <cell r="B1141" t="str">
            <v>02</v>
          </cell>
          <cell r="C1141" t="str">
            <v>603</v>
          </cell>
          <cell r="D1141" t="str">
            <v>Экскаватор РС-200-6</v>
          </cell>
          <cell r="E1141" t="str">
            <v>зав.N95530 дв.160948</v>
          </cell>
          <cell r="F1141" t="str">
            <v>Комацу Япония</v>
          </cell>
          <cell r="G1141" t="str">
            <v>02</v>
          </cell>
          <cell r="H1141">
            <v>835588</v>
          </cell>
          <cell r="I1141">
            <v>7729.19</v>
          </cell>
          <cell r="J1141">
            <v>0</v>
          </cell>
          <cell r="L1141" t="str">
            <v>20</v>
          </cell>
          <cell r="M1141" t="str">
            <v>41801</v>
          </cell>
          <cell r="N1141" t="str">
            <v>14 2924331</v>
          </cell>
          <cell r="P1141">
            <v>11.1</v>
          </cell>
          <cell r="Q1141">
            <v>0</v>
          </cell>
          <cell r="R1141" t="str">
            <v>1</v>
          </cell>
          <cell r="S1141" t="str">
            <v>41</v>
          </cell>
          <cell r="T1141">
            <v>97</v>
          </cell>
          <cell r="U1141">
            <v>1</v>
          </cell>
          <cell r="V1141">
            <v>99</v>
          </cell>
          <cell r="W1141">
            <v>1</v>
          </cell>
          <cell r="X1141">
            <v>99</v>
          </cell>
          <cell r="Y1141">
            <v>0</v>
          </cell>
          <cell r="Z1141">
            <v>0</v>
          </cell>
          <cell r="AD1141" t="str">
            <v>0</v>
          </cell>
          <cell r="AE1141" t="str">
            <v>0</v>
          </cell>
          <cell r="AF1141" t="str">
            <v>00</v>
          </cell>
        </row>
        <row r="1142">
          <cell r="A1142" t="str">
            <v>02</v>
          </cell>
          <cell r="B1142" t="str">
            <v>02</v>
          </cell>
          <cell r="C1142" t="str">
            <v>605</v>
          </cell>
          <cell r="D1142" t="str">
            <v>Экскаватор РС-200-6</v>
          </cell>
          <cell r="E1142" t="str">
            <v>зав.N95554 ld.160954</v>
          </cell>
          <cell r="F1142" t="str">
            <v>Комацу Япония</v>
          </cell>
          <cell r="G1142" t="str">
            <v>02</v>
          </cell>
          <cell r="H1142">
            <v>835588</v>
          </cell>
          <cell r="I1142">
            <v>7729.19</v>
          </cell>
          <cell r="J1142">
            <v>0</v>
          </cell>
          <cell r="L1142" t="str">
            <v>20</v>
          </cell>
          <cell r="M1142" t="str">
            <v>41801</v>
          </cell>
          <cell r="N1142" t="str">
            <v>14 2924331</v>
          </cell>
          <cell r="P1142">
            <v>11.1</v>
          </cell>
          <cell r="Q1142">
            <v>0</v>
          </cell>
          <cell r="R1142" t="str">
            <v>1</v>
          </cell>
          <cell r="S1142" t="str">
            <v>41</v>
          </cell>
          <cell r="T1142">
            <v>97</v>
          </cell>
          <cell r="U1142">
            <v>1</v>
          </cell>
          <cell r="V1142">
            <v>99</v>
          </cell>
          <cell r="W1142">
            <v>1</v>
          </cell>
          <cell r="X1142">
            <v>99</v>
          </cell>
          <cell r="Y1142">
            <v>0</v>
          </cell>
          <cell r="Z1142">
            <v>0</v>
          </cell>
          <cell r="AD1142" t="str">
            <v>0</v>
          </cell>
          <cell r="AE1142" t="str">
            <v>0</v>
          </cell>
          <cell r="AF1142" t="str">
            <v>00</v>
          </cell>
        </row>
        <row r="1143">
          <cell r="A1143" t="str">
            <v>02</v>
          </cell>
          <cell r="B1143" t="str">
            <v>02</v>
          </cell>
          <cell r="C1143" t="str">
            <v>606</v>
          </cell>
          <cell r="D1143" t="str">
            <v>Бульдозер Д-85А-21</v>
          </cell>
          <cell r="E1143" t="str">
            <v>зав.N36933 дв.67835</v>
          </cell>
          <cell r="F1143" t="str">
            <v>Комацу Япония</v>
          </cell>
          <cell r="G1143" t="str">
            <v>02</v>
          </cell>
          <cell r="H1143">
            <v>2222408</v>
          </cell>
          <cell r="I1143">
            <v>18520.07</v>
          </cell>
          <cell r="J1143">
            <v>0</v>
          </cell>
          <cell r="L1143" t="str">
            <v>20</v>
          </cell>
          <cell r="M1143" t="str">
            <v>41816</v>
          </cell>
          <cell r="N1143" t="str">
            <v>14 2924340</v>
          </cell>
          <cell r="P1143">
            <v>10</v>
          </cell>
          <cell r="Q1143">
            <v>0</v>
          </cell>
          <cell r="R1143" t="str">
            <v>1</v>
          </cell>
          <cell r="S1143" t="str">
            <v>41</v>
          </cell>
          <cell r="T1143">
            <v>97</v>
          </cell>
          <cell r="U1143">
            <v>1</v>
          </cell>
          <cell r="V1143">
            <v>99</v>
          </cell>
          <cell r="W1143">
            <v>1</v>
          </cell>
          <cell r="X1143">
            <v>99</v>
          </cell>
          <cell r="Y1143">
            <v>0</v>
          </cell>
          <cell r="Z1143">
            <v>0</v>
          </cell>
          <cell r="AD1143" t="str">
            <v>0</v>
          </cell>
          <cell r="AE1143" t="str">
            <v>0</v>
          </cell>
          <cell r="AF1143" t="str">
            <v>00</v>
          </cell>
        </row>
        <row r="1144">
          <cell r="A1144" t="str">
            <v>02</v>
          </cell>
          <cell r="B1144" t="str">
            <v>02</v>
          </cell>
          <cell r="C1144" t="str">
            <v>607</v>
          </cell>
          <cell r="D1144" t="str">
            <v>Бульдозер Д-85А-21</v>
          </cell>
          <cell r="E1144" t="str">
            <v>зав.N36936 дв.67838</v>
          </cell>
          <cell r="F1144" t="str">
            <v>Комацу Япония</v>
          </cell>
          <cell r="G1144" t="str">
            <v>02</v>
          </cell>
          <cell r="H1144">
            <v>2222408</v>
          </cell>
          <cell r="I1144">
            <v>18520.07</v>
          </cell>
          <cell r="J1144">
            <v>0</v>
          </cell>
          <cell r="L1144" t="str">
            <v>20</v>
          </cell>
          <cell r="M1144" t="str">
            <v>41816</v>
          </cell>
          <cell r="N1144" t="str">
            <v>14 2924340</v>
          </cell>
          <cell r="P1144">
            <v>10</v>
          </cell>
          <cell r="Q1144">
            <v>0</v>
          </cell>
          <cell r="R1144" t="str">
            <v>1</v>
          </cell>
          <cell r="S1144" t="str">
            <v>41</v>
          </cell>
          <cell r="T1144">
            <v>97</v>
          </cell>
          <cell r="U1144">
            <v>1</v>
          </cell>
          <cell r="V1144">
            <v>99</v>
          </cell>
          <cell r="W1144">
            <v>1</v>
          </cell>
          <cell r="X1144">
            <v>99</v>
          </cell>
          <cell r="Y1144">
            <v>0</v>
          </cell>
          <cell r="Z1144">
            <v>0</v>
          </cell>
          <cell r="AD1144" t="str">
            <v>0</v>
          </cell>
          <cell r="AE1144" t="str">
            <v>0</v>
          </cell>
          <cell r="AF1144" t="str">
            <v>00</v>
          </cell>
        </row>
        <row r="1145">
          <cell r="A1145" t="str">
            <v>02</v>
          </cell>
          <cell r="B1145" t="str">
            <v>99</v>
          </cell>
          <cell r="C1145" t="str">
            <v>608</v>
          </cell>
          <cell r="D1145" t="str">
            <v>Трубоукладчик Д-155С</v>
          </cell>
          <cell r="E1145" t="str">
            <v>-1 зав.N31418 дв.573</v>
          </cell>
          <cell r="F1145" t="str">
            <v>37 Комацу Япония</v>
          </cell>
          <cell r="G1145" t="str">
            <v>02</v>
          </cell>
          <cell r="H1145">
            <v>3394213</v>
          </cell>
          <cell r="I1145">
            <v>28285.11</v>
          </cell>
          <cell r="J1145">
            <v>0</v>
          </cell>
          <cell r="L1145" t="str">
            <v>20</v>
          </cell>
          <cell r="M1145" t="str">
            <v>41723</v>
          </cell>
          <cell r="N1145" t="str">
            <v>14 2915246</v>
          </cell>
          <cell r="P1145">
            <v>10</v>
          </cell>
          <cell r="Q1145">
            <v>0</v>
          </cell>
          <cell r="R1145" t="str">
            <v>1</v>
          </cell>
          <cell r="S1145" t="str">
            <v>41</v>
          </cell>
          <cell r="T1145">
            <v>97</v>
          </cell>
          <cell r="U1145">
            <v>1</v>
          </cell>
          <cell r="V1145">
            <v>99</v>
          </cell>
          <cell r="W1145">
            <v>1</v>
          </cell>
          <cell r="X1145">
            <v>99</v>
          </cell>
          <cell r="Y1145">
            <v>0</v>
          </cell>
          <cell r="Z1145">
            <v>0</v>
          </cell>
          <cell r="AD1145" t="str">
            <v>0</v>
          </cell>
          <cell r="AE1145" t="str">
            <v>0</v>
          </cell>
          <cell r="AF1145" t="str">
            <v>00</v>
          </cell>
        </row>
        <row r="1146">
          <cell r="A1146" t="str">
            <v>02</v>
          </cell>
          <cell r="B1146" t="str">
            <v>99</v>
          </cell>
          <cell r="C1146" t="str">
            <v>609</v>
          </cell>
          <cell r="D1146" t="str">
            <v>Трубоукладчик Д-155С</v>
          </cell>
          <cell r="E1146" t="str">
            <v>-1 зав.N31419 дв.573</v>
          </cell>
          <cell r="F1146" t="str">
            <v>38 Комацу Япония</v>
          </cell>
          <cell r="G1146" t="str">
            <v>02</v>
          </cell>
          <cell r="H1146">
            <v>3394213</v>
          </cell>
          <cell r="I1146">
            <v>28285.11</v>
          </cell>
          <cell r="J1146">
            <v>0</v>
          </cell>
          <cell r="L1146" t="str">
            <v>20</v>
          </cell>
          <cell r="M1146" t="str">
            <v>41723</v>
          </cell>
          <cell r="N1146" t="str">
            <v>14 2915246</v>
          </cell>
          <cell r="P1146">
            <v>10</v>
          </cell>
          <cell r="Q1146">
            <v>0</v>
          </cell>
          <cell r="R1146" t="str">
            <v>1</v>
          </cell>
          <cell r="S1146" t="str">
            <v>41</v>
          </cell>
          <cell r="T1146">
            <v>97</v>
          </cell>
          <cell r="U1146">
            <v>1</v>
          </cell>
          <cell r="V1146">
            <v>99</v>
          </cell>
          <cell r="W1146">
            <v>1</v>
          </cell>
          <cell r="X1146">
            <v>99</v>
          </cell>
          <cell r="Y1146">
            <v>0</v>
          </cell>
          <cell r="Z1146">
            <v>0</v>
          </cell>
          <cell r="AD1146" t="str">
            <v>0</v>
          </cell>
          <cell r="AE1146" t="str">
            <v>0</v>
          </cell>
          <cell r="AF1146" t="str">
            <v>00</v>
          </cell>
        </row>
        <row r="1147">
          <cell r="A1147" t="str">
            <v>02</v>
          </cell>
          <cell r="B1147" t="str">
            <v>02</v>
          </cell>
          <cell r="C1147" t="str">
            <v>610</v>
          </cell>
          <cell r="D1147" t="str">
            <v>Трубоукладчик Д-155С</v>
          </cell>
          <cell r="E1147" t="str">
            <v>-1 зав.N31423 дв.573</v>
          </cell>
          <cell r="F1147" t="str">
            <v>42 Комацу Япония</v>
          </cell>
          <cell r="G1147" t="str">
            <v>02</v>
          </cell>
          <cell r="H1147">
            <v>3394213</v>
          </cell>
          <cell r="I1147">
            <v>28285.11</v>
          </cell>
          <cell r="J1147">
            <v>0</v>
          </cell>
          <cell r="L1147" t="str">
            <v>20</v>
          </cell>
          <cell r="M1147" t="str">
            <v>41723</v>
          </cell>
          <cell r="N1147" t="str">
            <v>14 2915246</v>
          </cell>
          <cell r="P1147">
            <v>10</v>
          </cell>
          <cell r="Q1147">
            <v>0</v>
          </cell>
          <cell r="R1147" t="str">
            <v>1</v>
          </cell>
          <cell r="S1147" t="str">
            <v>41</v>
          </cell>
          <cell r="T1147">
            <v>97</v>
          </cell>
          <cell r="U1147">
            <v>1</v>
          </cell>
          <cell r="V1147">
            <v>99</v>
          </cell>
          <cell r="W1147">
            <v>1</v>
          </cell>
          <cell r="X1147">
            <v>99</v>
          </cell>
          <cell r="Y1147">
            <v>0</v>
          </cell>
          <cell r="Z1147">
            <v>0</v>
          </cell>
          <cell r="AD1147" t="str">
            <v>0</v>
          </cell>
          <cell r="AE1147" t="str">
            <v>0</v>
          </cell>
          <cell r="AF1147" t="str">
            <v>00</v>
          </cell>
        </row>
        <row r="1148">
          <cell r="A1148" t="str">
            <v>02</v>
          </cell>
          <cell r="B1148" t="str">
            <v>02</v>
          </cell>
          <cell r="C1148" t="str">
            <v>611</v>
          </cell>
          <cell r="D1148" t="str">
            <v>Трубоукладчик Д-155С</v>
          </cell>
          <cell r="E1148" t="str">
            <v>-1 зав.N31429 дв.573</v>
          </cell>
          <cell r="F1148" t="str">
            <v>76 Комацу Япония</v>
          </cell>
          <cell r="G1148" t="str">
            <v>02</v>
          </cell>
          <cell r="H1148">
            <v>3394213</v>
          </cell>
          <cell r="I1148">
            <v>28285.11</v>
          </cell>
          <cell r="J1148">
            <v>0</v>
          </cell>
          <cell r="L1148" t="str">
            <v>20</v>
          </cell>
          <cell r="M1148" t="str">
            <v>41723</v>
          </cell>
          <cell r="N1148" t="str">
            <v>14 2915246</v>
          </cell>
          <cell r="P1148">
            <v>10</v>
          </cell>
          <cell r="Q1148">
            <v>0</v>
          </cell>
          <cell r="R1148" t="str">
            <v>1</v>
          </cell>
          <cell r="S1148" t="str">
            <v>41</v>
          </cell>
          <cell r="T1148">
            <v>97</v>
          </cell>
          <cell r="U1148">
            <v>1</v>
          </cell>
          <cell r="V1148">
            <v>99</v>
          </cell>
          <cell r="W1148">
            <v>1</v>
          </cell>
          <cell r="X1148">
            <v>99</v>
          </cell>
          <cell r="Y1148">
            <v>0</v>
          </cell>
          <cell r="Z1148">
            <v>0</v>
          </cell>
          <cell r="AD1148" t="str">
            <v>0</v>
          </cell>
          <cell r="AE1148" t="str">
            <v>0</v>
          </cell>
          <cell r="AF1148" t="str">
            <v>00</v>
          </cell>
        </row>
        <row r="1149">
          <cell r="A1149" t="str">
            <v>02</v>
          </cell>
          <cell r="B1149" t="str">
            <v>02</v>
          </cell>
          <cell r="C1149" t="str">
            <v>612</v>
          </cell>
          <cell r="D1149" t="str">
            <v>Трубоукладчик Д-155С</v>
          </cell>
          <cell r="E1149" t="str">
            <v>-1 зав.N31430 дв.573</v>
          </cell>
          <cell r="F1149" t="str">
            <v>77 Комацу Япония</v>
          </cell>
          <cell r="G1149" t="str">
            <v>02</v>
          </cell>
          <cell r="H1149">
            <v>3394213</v>
          </cell>
          <cell r="I1149">
            <v>28285.11</v>
          </cell>
          <cell r="J1149">
            <v>0</v>
          </cell>
          <cell r="L1149" t="str">
            <v>20</v>
          </cell>
          <cell r="M1149" t="str">
            <v>41723</v>
          </cell>
          <cell r="N1149" t="str">
            <v>14 2925246</v>
          </cell>
          <cell r="P1149">
            <v>10</v>
          </cell>
          <cell r="Q1149">
            <v>0</v>
          </cell>
          <cell r="R1149" t="str">
            <v>1</v>
          </cell>
          <cell r="S1149" t="str">
            <v>41</v>
          </cell>
          <cell r="T1149">
            <v>97</v>
          </cell>
          <cell r="U1149">
            <v>1</v>
          </cell>
          <cell r="V1149">
            <v>99</v>
          </cell>
          <cell r="W1149">
            <v>1</v>
          </cell>
          <cell r="X1149">
            <v>99</v>
          </cell>
          <cell r="Y1149">
            <v>0</v>
          </cell>
          <cell r="Z1149">
            <v>0</v>
          </cell>
          <cell r="AD1149" t="str">
            <v>0</v>
          </cell>
          <cell r="AE1149" t="str">
            <v>0</v>
          </cell>
          <cell r="AF1149" t="str">
            <v>00</v>
          </cell>
        </row>
        <row r="1150">
          <cell r="A1150" t="str">
            <v>02</v>
          </cell>
          <cell r="B1150" t="str">
            <v>02</v>
          </cell>
          <cell r="C1150" t="str">
            <v>613</v>
          </cell>
          <cell r="D1150" t="str">
            <v>Трубоукладчик Д-155С</v>
          </cell>
          <cell r="E1150" t="str">
            <v>-1 зав.N31431 дв.573</v>
          </cell>
          <cell r="F1150" t="str">
            <v>78 Комацу Япония</v>
          </cell>
          <cell r="G1150" t="str">
            <v>02</v>
          </cell>
          <cell r="H1150">
            <v>3394213</v>
          </cell>
          <cell r="I1150">
            <v>28285.11</v>
          </cell>
          <cell r="J1150">
            <v>0</v>
          </cell>
          <cell r="L1150" t="str">
            <v>20</v>
          </cell>
          <cell r="M1150" t="str">
            <v>41723</v>
          </cell>
          <cell r="N1150" t="str">
            <v>14 2915246</v>
          </cell>
          <cell r="P1150">
            <v>10</v>
          </cell>
          <cell r="Q1150">
            <v>0</v>
          </cell>
          <cell r="R1150" t="str">
            <v>1</v>
          </cell>
          <cell r="S1150" t="str">
            <v>41</v>
          </cell>
          <cell r="T1150">
            <v>97</v>
          </cell>
          <cell r="U1150">
            <v>1</v>
          </cell>
          <cell r="V1150">
            <v>99</v>
          </cell>
          <cell r="W1150">
            <v>1</v>
          </cell>
          <cell r="X1150">
            <v>99</v>
          </cell>
          <cell r="Y1150">
            <v>0</v>
          </cell>
          <cell r="Z1150">
            <v>0</v>
          </cell>
          <cell r="AD1150" t="str">
            <v>0</v>
          </cell>
          <cell r="AE1150" t="str">
            <v>0</v>
          </cell>
          <cell r="AF1150" t="str">
            <v>00</v>
          </cell>
        </row>
        <row r="1151">
          <cell r="A1151" t="str">
            <v>02</v>
          </cell>
          <cell r="B1151" t="str">
            <v>02</v>
          </cell>
          <cell r="C1151" t="str">
            <v>614</v>
          </cell>
          <cell r="D1151" t="str">
            <v>Трубоукладчик Д-155С</v>
          </cell>
          <cell r="E1151" t="str">
            <v>-1 зав.N31434 дв.573</v>
          </cell>
          <cell r="F1151" t="str">
            <v>81 Комацу Япония</v>
          </cell>
          <cell r="G1151" t="str">
            <v>02</v>
          </cell>
          <cell r="H1151">
            <v>3394213</v>
          </cell>
          <cell r="I1151">
            <v>28285.11</v>
          </cell>
          <cell r="J1151">
            <v>0</v>
          </cell>
          <cell r="L1151" t="str">
            <v>20</v>
          </cell>
          <cell r="M1151" t="str">
            <v>41723</v>
          </cell>
          <cell r="N1151" t="str">
            <v>14 2915246</v>
          </cell>
          <cell r="P1151">
            <v>10</v>
          </cell>
          <cell r="Q1151">
            <v>0</v>
          </cell>
          <cell r="R1151" t="str">
            <v>1</v>
          </cell>
          <cell r="S1151" t="str">
            <v>41</v>
          </cell>
          <cell r="T1151">
            <v>97</v>
          </cell>
          <cell r="U1151">
            <v>1</v>
          </cell>
          <cell r="V1151">
            <v>99</v>
          </cell>
          <cell r="W1151">
            <v>1</v>
          </cell>
          <cell r="X1151">
            <v>99</v>
          </cell>
          <cell r="Y1151">
            <v>0</v>
          </cell>
          <cell r="Z1151">
            <v>0</v>
          </cell>
          <cell r="AD1151" t="str">
            <v>0</v>
          </cell>
          <cell r="AE1151" t="str">
            <v>0</v>
          </cell>
          <cell r="AF1151" t="str">
            <v>00</v>
          </cell>
        </row>
        <row r="1152">
          <cell r="A1152" t="str">
            <v>02</v>
          </cell>
          <cell r="B1152" t="str">
            <v>02</v>
          </cell>
          <cell r="C1152" t="str">
            <v>615</v>
          </cell>
          <cell r="D1152" t="str">
            <v>Трубоукладчик Д-155С</v>
          </cell>
          <cell r="E1152" t="str">
            <v>-1 зав.N31436 дв.573</v>
          </cell>
          <cell r="F1152" t="str">
            <v>83 Комацу Япония</v>
          </cell>
          <cell r="G1152" t="str">
            <v>02</v>
          </cell>
          <cell r="H1152">
            <v>3394213</v>
          </cell>
          <cell r="I1152">
            <v>28285.11</v>
          </cell>
          <cell r="J1152">
            <v>0</v>
          </cell>
          <cell r="L1152" t="str">
            <v>20</v>
          </cell>
          <cell r="M1152" t="str">
            <v>41723</v>
          </cell>
          <cell r="N1152" t="str">
            <v>14 2915246</v>
          </cell>
          <cell r="P1152">
            <v>10</v>
          </cell>
          <cell r="Q1152">
            <v>0</v>
          </cell>
          <cell r="R1152" t="str">
            <v>1</v>
          </cell>
          <cell r="S1152" t="str">
            <v>41</v>
          </cell>
          <cell r="T1152">
            <v>97</v>
          </cell>
          <cell r="U1152">
            <v>1</v>
          </cell>
          <cell r="V1152">
            <v>99</v>
          </cell>
          <cell r="W1152">
            <v>1</v>
          </cell>
          <cell r="X1152">
            <v>99</v>
          </cell>
          <cell r="Y1152">
            <v>0</v>
          </cell>
          <cell r="Z1152">
            <v>0</v>
          </cell>
          <cell r="AD1152" t="str">
            <v>0</v>
          </cell>
          <cell r="AE1152" t="str">
            <v>0</v>
          </cell>
          <cell r="AF1152" t="str">
            <v>00</v>
          </cell>
        </row>
        <row r="1153">
          <cell r="A1153" t="str">
            <v>02</v>
          </cell>
          <cell r="B1153" t="str">
            <v>02</v>
          </cell>
          <cell r="C1153" t="str">
            <v>616</v>
          </cell>
          <cell r="D1153" t="str">
            <v>Трубоукладчик Д-155С</v>
          </cell>
          <cell r="E1153" t="str">
            <v>-1 зав.N31441 дв.573</v>
          </cell>
          <cell r="F1153" t="str">
            <v>88 Комацу Япония</v>
          </cell>
          <cell r="G1153" t="str">
            <v>02</v>
          </cell>
          <cell r="H1153">
            <v>3394213</v>
          </cell>
          <cell r="I1153">
            <v>28285.11</v>
          </cell>
          <cell r="J1153">
            <v>0</v>
          </cell>
          <cell r="L1153" t="str">
            <v>20</v>
          </cell>
          <cell r="M1153" t="str">
            <v>41723</v>
          </cell>
          <cell r="N1153" t="str">
            <v>14 2915246</v>
          </cell>
          <cell r="P1153">
            <v>10</v>
          </cell>
          <cell r="Q1153">
            <v>0</v>
          </cell>
          <cell r="R1153" t="str">
            <v>1</v>
          </cell>
          <cell r="S1153" t="str">
            <v>41</v>
          </cell>
          <cell r="T1153">
            <v>97</v>
          </cell>
          <cell r="U1153">
            <v>1</v>
          </cell>
          <cell r="V1153">
            <v>99</v>
          </cell>
          <cell r="W1153">
            <v>1</v>
          </cell>
          <cell r="X1153">
            <v>99</v>
          </cell>
          <cell r="Y1153">
            <v>0</v>
          </cell>
          <cell r="Z1153">
            <v>0</v>
          </cell>
          <cell r="AD1153" t="str">
            <v>0</v>
          </cell>
          <cell r="AE1153" t="str">
            <v>0</v>
          </cell>
          <cell r="AF1153" t="str">
            <v>00</v>
          </cell>
        </row>
        <row r="1154">
          <cell r="A1154" t="str">
            <v>02</v>
          </cell>
          <cell r="B1154" t="str">
            <v>02</v>
          </cell>
          <cell r="C1154" t="str">
            <v>617</v>
          </cell>
          <cell r="D1154" t="str">
            <v>Трубоукладчик Д-155С</v>
          </cell>
          <cell r="E1154" t="str">
            <v>-1 зав.N31442 дв.573</v>
          </cell>
          <cell r="F1154" t="str">
            <v>89 Комацу Япония</v>
          </cell>
          <cell r="G1154" t="str">
            <v>02</v>
          </cell>
          <cell r="H1154">
            <v>3394213</v>
          </cell>
          <cell r="I1154">
            <v>28285.11</v>
          </cell>
          <cell r="J1154">
            <v>0</v>
          </cell>
          <cell r="L1154" t="str">
            <v>20</v>
          </cell>
          <cell r="M1154" t="str">
            <v>41723</v>
          </cell>
          <cell r="N1154" t="str">
            <v>14 2915246</v>
          </cell>
          <cell r="P1154">
            <v>10</v>
          </cell>
          <cell r="Q1154">
            <v>0</v>
          </cell>
          <cell r="R1154" t="str">
            <v>1</v>
          </cell>
          <cell r="S1154" t="str">
            <v>41</v>
          </cell>
          <cell r="T1154">
            <v>97</v>
          </cell>
          <cell r="U1154">
            <v>1</v>
          </cell>
          <cell r="V1154">
            <v>99</v>
          </cell>
          <cell r="W1154">
            <v>1</v>
          </cell>
          <cell r="X1154">
            <v>99</v>
          </cell>
          <cell r="Y1154">
            <v>0</v>
          </cell>
          <cell r="Z1154">
            <v>0</v>
          </cell>
          <cell r="AD1154" t="str">
            <v>0</v>
          </cell>
          <cell r="AE1154" t="str">
            <v>0</v>
          </cell>
          <cell r="AF1154" t="str">
            <v>00</v>
          </cell>
        </row>
        <row r="1155">
          <cell r="A1155" t="str">
            <v>02</v>
          </cell>
          <cell r="B1155" t="str">
            <v>02</v>
          </cell>
          <cell r="C1155" t="str">
            <v>618</v>
          </cell>
          <cell r="D1155" t="str">
            <v>Трубоукладчик Д-155С</v>
          </cell>
          <cell r="E1155" t="str">
            <v>-1 зав.N31443 дв.573</v>
          </cell>
          <cell r="F1155" t="str">
            <v>90 Комацу Япония</v>
          </cell>
          <cell r="G1155" t="str">
            <v>02</v>
          </cell>
          <cell r="H1155">
            <v>3394213</v>
          </cell>
          <cell r="I1155">
            <v>28285.11</v>
          </cell>
          <cell r="J1155">
            <v>0</v>
          </cell>
          <cell r="L1155" t="str">
            <v>20</v>
          </cell>
          <cell r="M1155" t="str">
            <v>41723</v>
          </cell>
          <cell r="N1155" t="str">
            <v>14 2915246</v>
          </cell>
          <cell r="P1155">
            <v>10</v>
          </cell>
          <cell r="Q1155">
            <v>0</v>
          </cell>
          <cell r="R1155" t="str">
            <v>1</v>
          </cell>
          <cell r="S1155" t="str">
            <v>41</v>
          </cell>
          <cell r="T1155">
            <v>97</v>
          </cell>
          <cell r="U1155">
            <v>1</v>
          </cell>
          <cell r="V1155">
            <v>99</v>
          </cell>
          <cell r="W1155">
            <v>1</v>
          </cell>
          <cell r="X1155">
            <v>99</v>
          </cell>
          <cell r="Y1155">
            <v>0</v>
          </cell>
          <cell r="Z1155">
            <v>0</v>
          </cell>
          <cell r="AD1155" t="str">
            <v>0</v>
          </cell>
          <cell r="AE1155" t="str">
            <v>0</v>
          </cell>
          <cell r="AF1155" t="str">
            <v>00</v>
          </cell>
        </row>
        <row r="1156">
          <cell r="A1156" t="str">
            <v>02</v>
          </cell>
          <cell r="B1156" t="str">
            <v>02</v>
          </cell>
          <cell r="C1156" t="str">
            <v>619</v>
          </cell>
          <cell r="D1156" t="str">
            <v>Трубоукладчик Д-155С</v>
          </cell>
          <cell r="E1156" t="str">
            <v>-1 зав.N31444 дв.573</v>
          </cell>
          <cell r="F1156" t="str">
            <v>91 Комацу Япония</v>
          </cell>
          <cell r="G1156" t="str">
            <v>02</v>
          </cell>
          <cell r="H1156">
            <v>3394213</v>
          </cell>
          <cell r="I1156">
            <v>28285.11</v>
          </cell>
          <cell r="J1156">
            <v>0</v>
          </cell>
          <cell r="L1156" t="str">
            <v>20</v>
          </cell>
          <cell r="M1156" t="str">
            <v>41723</v>
          </cell>
          <cell r="N1156" t="str">
            <v>14 2915246</v>
          </cell>
          <cell r="P1156">
            <v>10</v>
          </cell>
          <cell r="Q1156">
            <v>0</v>
          </cell>
          <cell r="R1156" t="str">
            <v>1</v>
          </cell>
          <cell r="S1156" t="str">
            <v>41</v>
          </cell>
          <cell r="T1156">
            <v>97</v>
          </cell>
          <cell r="U1156">
            <v>1</v>
          </cell>
          <cell r="V1156">
            <v>99</v>
          </cell>
          <cell r="W1156">
            <v>1</v>
          </cell>
          <cell r="X1156">
            <v>99</v>
          </cell>
          <cell r="Y1156">
            <v>0</v>
          </cell>
          <cell r="Z1156">
            <v>0</v>
          </cell>
          <cell r="AD1156" t="str">
            <v>0</v>
          </cell>
          <cell r="AE1156" t="str">
            <v>0</v>
          </cell>
          <cell r="AF1156" t="str">
            <v>00</v>
          </cell>
        </row>
        <row r="1157">
          <cell r="A1157" t="str">
            <v>02</v>
          </cell>
          <cell r="B1157" t="str">
            <v>02</v>
          </cell>
          <cell r="C1157" t="str">
            <v>620</v>
          </cell>
          <cell r="D1157" t="str">
            <v>ТРубоукладчик Д-155С</v>
          </cell>
          <cell r="E1157" t="str">
            <v>-1 зав.N31448 дв.573</v>
          </cell>
          <cell r="F1157" t="str">
            <v>95 Комацу Япония</v>
          </cell>
          <cell r="G1157" t="str">
            <v>02</v>
          </cell>
          <cell r="H1157">
            <v>3394213</v>
          </cell>
          <cell r="I1157">
            <v>28285.11</v>
          </cell>
          <cell r="J1157">
            <v>0</v>
          </cell>
          <cell r="L1157" t="str">
            <v>20</v>
          </cell>
          <cell r="M1157" t="str">
            <v>41723</v>
          </cell>
          <cell r="N1157" t="str">
            <v>14 2915246</v>
          </cell>
          <cell r="P1157">
            <v>10</v>
          </cell>
          <cell r="Q1157">
            <v>0</v>
          </cell>
          <cell r="R1157" t="str">
            <v>1</v>
          </cell>
          <cell r="S1157" t="str">
            <v>41</v>
          </cell>
          <cell r="T1157">
            <v>97</v>
          </cell>
          <cell r="U1157">
            <v>1</v>
          </cell>
          <cell r="V1157">
            <v>99</v>
          </cell>
          <cell r="W1157">
            <v>1</v>
          </cell>
          <cell r="X1157">
            <v>99</v>
          </cell>
          <cell r="Y1157">
            <v>0</v>
          </cell>
          <cell r="Z1157">
            <v>0</v>
          </cell>
          <cell r="AD1157" t="str">
            <v>0</v>
          </cell>
          <cell r="AE1157" t="str">
            <v>0</v>
          </cell>
          <cell r="AF1157" t="str">
            <v>00</v>
          </cell>
        </row>
        <row r="1158">
          <cell r="A1158" t="str">
            <v>02</v>
          </cell>
          <cell r="B1158" t="str">
            <v>02</v>
          </cell>
          <cell r="C1158" t="str">
            <v>621</v>
          </cell>
          <cell r="D1158" t="str">
            <v>Экскаватор РС200-6</v>
          </cell>
          <cell r="E1158" t="str">
            <v>зав.N89967 дв.148023</v>
          </cell>
          <cell r="F1158" t="str">
            <v>Комацу Япония</v>
          </cell>
          <cell r="G1158" t="str">
            <v>02</v>
          </cell>
          <cell r="H1158">
            <v>361879.84</v>
          </cell>
          <cell r="I1158">
            <v>3347.39</v>
          </cell>
          <cell r="J1158">
            <v>0</v>
          </cell>
          <cell r="L1158" t="str">
            <v>20</v>
          </cell>
          <cell r="M1158" t="str">
            <v>41801</v>
          </cell>
          <cell r="N1158" t="str">
            <v>14 2924331</v>
          </cell>
          <cell r="P1158">
            <v>11.1</v>
          </cell>
          <cell r="Q1158">
            <v>0</v>
          </cell>
          <cell r="R1158" t="str">
            <v>1</v>
          </cell>
          <cell r="S1158" t="str">
            <v>41</v>
          </cell>
          <cell r="T1158">
            <v>97</v>
          </cell>
          <cell r="U1158">
            <v>1</v>
          </cell>
          <cell r="V1158">
            <v>99</v>
          </cell>
          <cell r="W1158">
            <v>1</v>
          </cell>
          <cell r="X1158">
            <v>99</v>
          </cell>
          <cell r="Y1158">
            <v>0</v>
          </cell>
          <cell r="Z1158">
            <v>0</v>
          </cell>
          <cell r="AD1158" t="str">
            <v>0</v>
          </cell>
          <cell r="AE1158" t="str">
            <v>0</v>
          </cell>
          <cell r="AF1158" t="str">
            <v>00</v>
          </cell>
        </row>
        <row r="1159">
          <cell r="A1159" t="str">
            <v>02</v>
          </cell>
          <cell r="B1159" t="str">
            <v>71</v>
          </cell>
          <cell r="C1159" t="str">
            <v>622</v>
          </cell>
          <cell r="D1159" t="str">
            <v>Экскаватор РС-200-6</v>
          </cell>
          <cell r="E1159" t="str">
            <v>зав.N89891 дв.147256</v>
          </cell>
          <cell r="F1159" t="str">
            <v>Комацу Япония</v>
          </cell>
          <cell r="G1159" t="str">
            <v>02</v>
          </cell>
          <cell r="H1159">
            <v>361879.84</v>
          </cell>
          <cell r="I1159">
            <v>3347.39</v>
          </cell>
          <cell r="J1159">
            <v>0</v>
          </cell>
          <cell r="L1159" t="str">
            <v>23</v>
          </cell>
          <cell r="M1159" t="str">
            <v>41801</v>
          </cell>
          <cell r="N1159" t="str">
            <v>14 2924331</v>
          </cell>
          <cell r="P1159">
            <v>11.1</v>
          </cell>
          <cell r="Q1159">
            <v>0</v>
          </cell>
          <cell r="R1159" t="str">
            <v>1</v>
          </cell>
          <cell r="S1159" t="str">
            <v>41</v>
          </cell>
          <cell r="T1159">
            <v>97</v>
          </cell>
          <cell r="U1159">
            <v>1</v>
          </cell>
          <cell r="V1159">
            <v>99</v>
          </cell>
          <cell r="W1159">
            <v>1</v>
          </cell>
          <cell r="X1159">
            <v>99</v>
          </cell>
          <cell r="Y1159">
            <v>0</v>
          </cell>
          <cell r="Z1159">
            <v>0</v>
          </cell>
          <cell r="AD1159" t="str">
            <v>0</v>
          </cell>
          <cell r="AE1159" t="str">
            <v>0</v>
          </cell>
          <cell r="AF1159" t="str">
            <v>00</v>
          </cell>
        </row>
        <row r="1160">
          <cell r="A1160" t="str">
            <v>02</v>
          </cell>
          <cell r="B1160" t="str">
            <v>99</v>
          </cell>
          <cell r="C1160" t="str">
            <v>623</v>
          </cell>
          <cell r="D1160" t="str">
            <v>Трубоукладчик Д85С-2</v>
          </cell>
          <cell r="E1160" t="str">
            <v>1 зав.N36685 дв.6476</v>
          </cell>
          <cell r="F1160" t="str">
            <v>6 Комацу Япония</v>
          </cell>
          <cell r="G1160" t="str">
            <v>02</v>
          </cell>
          <cell r="H1160">
            <v>1265733.0900000001</v>
          </cell>
          <cell r="I1160">
            <v>10547.78</v>
          </cell>
          <cell r="J1160">
            <v>0</v>
          </cell>
          <cell r="L1160" t="str">
            <v>20</v>
          </cell>
          <cell r="M1160" t="str">
            <v>41723</v>
          </cell>
          <cell r="N1160" t="str">
            <v>14 2915246</v>
          </cell>
          <cell r="P1160">
            <v>10</v>
          </cell>
          <cell r="Q1160">
            <v>0</v>
          </cell>
          <cell r="R1160" t="str">
            <v>1</v>
          </cell>
          <cell r="S1160" t="str">
            <v>41</v>
          </cell>
          <cell r="T1160">
            <v>97</v>
          </cell>
          <cell r="U1160">
            <v>1</v>
          </cell>
          <cell r="V1160">
            <v>99</v>
          </cell>
          <cell r="W1160">
            <v>1</v>
          </cell>
          <cell r="X1160">
            <v>99</v>
          </cell>
          <cell r="Y1160">
            <v>0</v>
          </cell>
          <cell r="Z1160">
            <v>0</v>
          </cell>
          <cell r="AD1160" t="str">
            <v>0</v>
          </cell>
          <cell r="AE1160" t="str">
            <v>0</v>
          </cell>
          <cell r="AF1160" t="str">
            <v>00</v>
          </cell>
        </row>
        <row r="1161">
          <cell r="A1161" t="str">
            <v>02</v>
          </cell>
          <cell r="B1161" t="str">
            <v>02</v>
          </cell>
          <cell r="C1161" t="str">
            <v>624</v>
          </cell>
          <cell r="D1161" t="str">
            <v>Трубоукладчик Д85С-2</v>
          </cell>
          <cell r="E1161" t="str">
            <v>1 зав.N36683 дв.6476</v>
          </cell>
          <cell r="F1161" t="str">
            <v>4 Комацу Япония</v>
          </cell>
          <cell r="G1161" t="str">
            <v>02</v>
          </cell>
          <cell r="H1161">
            <v>1265733.0900000001</v>
          </cell>
          <cell r="I1161">
            <v>10547.78</v>
          </cell>
          <cell r="J1161">
            <v>0</v>
          </cell>
          <cell r="L1161" t="str">
            <v>20</v>
          </cell>
          <cell r="M1161" t="str">
            <v>41723</v>
          </cell>
          <cell r="N1161" t="str">
            <v>14 2915246</v>
          </cell>
          <cell r="P1161">
            <v>10</v>
          </cell>
          <cell r="Q1161">
            <v>0</v>
          </cell>
          <cell r="R1161" t="str">
            <v>1</v>
          </cell>
          <cell r="S1161" t="str">
            <v>41</v>
          </cell>
          <cell r="T1161">
            <v>97</v>
          </cell>
          <cell r="U1161">
            <v>1</v>
          </cell>
          <cell r="V1161">
            <v>99</v>
          </cell>
          <cell r="W1161">
            <v>1</v>
          </cell>
          <cell r="X1161">
            <v>99</v>
          </cell>
          <cell r="Y1161">
            <v>0</v>
          </cell>
          <cell r="Z1161">
            <v>0</v>
          </cell>
          <cell r="AD1161" t="str">
            <v>0</v>
          </cell>
          <cell r="AE1161" t="str">
            <v>0</v>
          </cell>
          <cell r="AF1161" t="str">
            <v>00</v>
          </cell>
        </row>
        <row r="1162">
          <cell r="A1162" t="str">
            <v>02</v>
          </cell>
          <cell r="B1162" t="str">
            <v>02</v>
          </cell>
          <cell r="C1162" t="str">
            <v>625</v>
          </cell>
          <cell r="D1162" t="str">
            <v>Трубоукладчик Д85С-2</v>
          </cell>
          <cell r="E1162" t="str">
            <v>1 зав.N36721 дв 6502</v>
          </cell>
          <cell r="F1162" t="str">
            <v>3 Комацу Япония</v>
          </cell>
          <cell r="G1162" t="str">
            <v>02</v>
          </cell>
          <cell r="H1162">
            <v>1265733.0900000001</v>
          </cell>
          <cell r="I1162">
            <v>10547.78</v>
          </cell>
          <cell r="J1162">
            <v>0</v>
          </cell>
          <cell r="L1162" t="str">
            <v>20</v>
          </cell>
          <cell r="M1162" t="str">
            <v>41723</v>
          </cell>
          <cell r="N1162" t="str">
            <v>14 2915246</v>
          </cell>
          <cell r="P1162">
            <v>10</v>
          </cell>
          <cell r="Q1162">
            <v>0</v>
          </cell>
          <cell r="R1162" t="str">
            <v>1</v>
          </cell>
          <cell r="S1162" t="str">
            <v>41</v>
          </cell>
          <cell r="T1162">
            <v>97</v>
          </cell>
          <cell r="U1162">
            <v>1</v>
          </cell>
          <cell r="V1162">
            <v>99</v>
          </cell>
          <cell r="W1162">
            <v>1</v>
          </cell>
          <cell r="X1162">
            <v>99</v>
          </cell>
          <cell r="Y1162">
            <v>0</v>
          </cell>
          <cell r="Z1162">
            <v>0</v>
          </cell>
          <cell r="AD1162" t="str">
            <v>0</v>
          </cell>
          <cell r="AE1162" t="str">
            <v>0</v>
          </cell>
          <cell r="AF1162" t="str">
            <v>00</v>
          </cell>
        </row>
        <row r="1163">
          <cell r="A1163" t="str">
            <v>02</v>
          </cell>
          <cell r="B1163" t="str">
            <v>02</v>
          </cell>
          <cell r="C1163" t="str">
            <v>626</v>
          </cell>
          <cell r="D1163" t="str">
            <v>Трубоукладчик Д85С-2</v>
          </cell>
          <cell r="E1163" t="str">
            <v>1 зав.N36689 дв.6477</v>
          </cell>
          <cell r="F1163" t="str">
            <v>0 Комацу Япония</v>
          </cell>
          <cell r="G1163" t="str">
            <v>02</v>
          </cell>
          <cell r="H1163">
            <v>1265733.0900000001</v>
          </cell>
          <cell r="I1163">
            <v>10547.78</v>
          </cell>
          <cell r="J1163">
            <v>0</v>
          </cell>
          <cell r="L1163" t="str">
            <v>20</v>
          </cell>
          <cell r="M1163" t="str">
            <v>41723</v>
          </cell>
          <cell r="N1163" t="str">
            <v>14 2915246</v>
          </cell>
          <cell r="P1163">
            <v>10</v>
          </cell>
          <cell r="Q1163">
            <v>0</v>
          </cell>
          <cell r="R1163" t="str">
            <v>1</v>
          </cell>
          <cell r="S1163" t="str">
            <v>41</v>
          </cell>
          <cell r="T1163">
            <v>97</v>
          </cell>
          <cell r="U1163">
            <v>1</v>
          </cell>
          <cell r="V1163">
            <v>99</v>
          </cell>
          <cell r="W1163">
            <v>1</v>
          </cell>
          <cell r="X1163">
            <v>99</v>
          </cell>
          <cell r="Y1163">
            <v>0</v>
          </cell>
          <cell r="Z1163">
            <v>0</v>
          </cell>
          <cell r="AD1163" t="str">
            <v>0</v>
          </cell>
          <cell r="AE1163" t="str">
            <v>0</v>
          </cell>
          <cell r="AF1163" t="str">
            <v>00</v>
          </cell>
        </row>
        <row r="1164">
          <cell r="A1164" t="str">
            <v>02</v>
          </cell>
          <cell r="B1164" t="str">
            <v>02</v>
          </cell>
          <cell r="C1164" t="str">
            <v>627</v>
          </cell>
          <cell r="D1164" t="str">
            <v>Трубоукладчик Д-85С-</v>
          </cell>
          <cell r="E1164" t="str">
            <v>21 зав.N36693 дв.647</v>
          </cell>
          <cell r="F1164" t="str">
            <v>74 Комацу Япония</v>
          </cell>
          <cell r="G1164" t="str">
            <v>02</v>
          </cell>
          <cell r="H1164">
            <v>1265733.0900000001</v>
          </cell>
          <cell r="I1164">
            <v>10547.78</v>
          </cell>
          <cell r="J1164">
            <v>0</v>
          </cell>
          <cell r="L1164" t="str">
            <v>20</v>
          </cell>
          <cell r="M1164" t="str">
            <v>41723</v>
          </cell>
          <cell r="N1164" t="str">
            <v>14 2915246</v>
          </cell>
          <cell r="P1164">
            <v>10</v>
          </cell>
          <cell r="Q1164">
            <v>0</v>
          </cell>
          <cell r="R1164" t="str">
            <v>1</v>
          </cell>
          <cell r="S1164" t="str">
            <v>41</v>
          </cell>
          <cell r="T1164">
            <v>97</v>
          </cell>
          <cell r="U1164">
            <v>1</v>
          </cell>
          <cell r="V1164">
            <v>99</v>
          </cell>
          <cell r="W1164">
            <v>1</v>
          </cell>
          <cell r="X1164">
            <v>99</v>
          </cell>
          <cell r="Y1164">
            <v>0</v>
          </cell>
          <cell r="Z1164">
            <v>0</v>
          </cell>
          <cell r="AD1164" t="str">
            <v>0</v>
          </cell>
          <cell r="AE1164" t="str">
            <v>0</v>
          </cell>
          <cell r="AF1164" t="str">
            <v>00</v>
          </cell>
        </row>
        <row r="1165">
          <cell r="A1165" t="str">
            <v>02</v>
          </cell>
          <cell r="B1165" t="str">
            <v>71</v>
          </cell>
          <cell r="C1165" t="str">
            <v>628</v>
          </cell>
          <cell r="D1165" t="str">
            <v>Трубоукладчик Д-85С-</v>
          </cell>
          <cell r="E1165" t="str">
            <v>21 зав.N36746 дв.650</v>
          </cell>
          <cell r="F1165" t="str">
            <v>42 Комацу Япония</v>
          </cell>
          <cell r="G1165" t="str">
            <v>02</v>
          </cell>
          <cell r="H1165">
            <v>1265733.0900000001</v>
          </cell>
          <cell r="I1165">
            <v>10547.78</v>
          </cell>
          <cell r="J1165">
            <v>0</v>
          </cell>
          <cell r="L1165" t="str">
            <v>23</v>
          </cell>
          <cell r="M1165" t="str">
            <v>41723</v>
          </cell>
          <cell r="N1165" t="str">
            <v>14 2915246</v>
          </cell>
          <cell r="P1165">
            <v>10</v>
          </cell>
          <cell r="Q1165">
            <v>0</v>
          </cell>
          <cell r="R1165" t="str">
            <v>1</v>
          </cell>
          <cell r="S1165" t="str">
            <v>41</v>
          </cell>
          <cell r="T1165">
            <v>97</v>
          </cell>
          <cell r="U1165">
            <v>1</v>
          </cell>
          <cell r="V1165">
            <v>99</v>
          </cell>
          <cell r="W1165">
            <v>1</v>
          </cell>
          <cell r="X1165">
            <v>99</v>
          </cell>
          <cell r="Y1165">
            <v>0</v>
          </cell>
          <cell r="Z1165">
            <v>0</v>
          </cell>
          <cell r="AD1165" t="str">
            <v>0</v>
          </cell>
          <cell r="AE1165" t="str">
            <v>0</v>
          </cell>
          <cell r="AF1165" t="str">
            <v>00</v>
          </cell>
        </row>
        <row r="1166">
          <cell r="A1166" t="str">
            <v>02</v>
          </cell>
          <cell r="B1166" t="str">
            <v>80</v>
          </cell>
          <cell r="C1166" t="str">
            <v>629</v>
          </cell>
          <cell r="D1166" t="str">
            <v>Контрольно-кассовая</v>
          </cell>
          <cell r="E1166" t="str">
            <v>машина ККМ АМС-100Ф</v>
          </cell>
          <cell r="F1166" t="str">
            <v>/Калужский з-д/</v>
          </cell>
          <cell r="G1166" t="str">
            <v>07</v>
          </cell>
          <cell r="H1166">
            <v>3500</v>
          </cell>
          <cell r="I1166">
            <v>0</v>
          </cell>
          <cell r="J1166">
            <v>0</v>
          </cell>
          <cell r="L1166" t="str">
            <v>26</v>
          </cell>
          <cell r="M1166" t="str">
            <v>47013</v>
          </cell>
          <cell r="N1166" t="str">
            <v>14 2945119</v>
          </cell>
          <cell r="P1166">
            <v>11</v>
          </cell>
          <cell r="Q1166">
            <v>0</v>
          </cell>
          <cell r="R1166" t="str">
            <v>1</v>
          </cell>
          <cell r="S1166" t="str">
            <v>47</v>
          </cell>
          <cell r="T1166">
            <v>99</v>
          </cell>
          <cell r="U1166">
            <v>2</v>
          </cell>
          <cell r="V1166">
            <v>99</v>
          </cell>
          <cell r="W1166">
            <v>2</v>
          </cell>
          <cell r="X1166">
            <v>99</v>
          </cell>
          <cell r="Y1166">
            <v>0</v>
          </cell>
          <cell r="Z1166">
            <v>0</v>
          </cell>
          <cell r="AD1166" t="str">
            <v>0</v>
          </cell>
          <cell r="AE1166" t="str">
            <v>0</v>
          </cell>
          <cell r="AF1166" t="str">
            <v>00</v>
          </cell>
        </row>
        <row r="1167">
          <cell r="A1167" t="str">
            <v>02</v>
          </cell>
          <cell r="B1167" t="str">
            <v>03</v>
          </cell>
          <cell r="C1167" t="str">
            <v>630</v>
          </cell>
          <cell r="D1167" t="str">
            <v>Контрольно-кассовая</v>
          </cell>
          <cell r="E1167" t="str">
            <v>машина ККМ АМС-100Ф</v>
          </cell>
          <cell r="F1167" t="str">
            <v>/Калужский з-д/</v>
          </cell>
          <cell r="G1167" t="str">
            <v>07</v>
          </cell>
          <cell r="H1167">
            <v>3500</v>
          </cell>
          <cell r="I1167">
            <v>0</v>
          </cell>
          <cell r="J1167">
            <v>0</v>
          </cell>
          <cell r="L1167" t="str">
            <v>26</v>
          </cell>
          <cell r="M1167" t="str">
            <v>47013</v>
          </cell>
          <cell r="N1167" t="str">
            <v>14 2945119</v>
          </cell>
          <cell r="P1167">
            <v>11</v>
          </cell>
          <cell r="Q1167">
            <v>0</v>
          </cell>
          <cell r="R1167" t="str">
            <v>1</v>
          </cell>
          <cell r="S1167" t="str">
            <v>47</v>
          </cell>
          <cell r="T1167">
            <v>99</v>
          </cell>
          <cell r="U1167">
            <v>2</v>
          </cell>
          <cell r="V1167">
            <v>99</v>
          </cell>
          <cell r="W1167">
            <v>2</v>
          </cell>
          <cell r="X1167">
            <v>99</v>
          </cell>
          <cell r="Y1167">
            <v>0</v>
          </cell>
          <cell r="Z1167">
            <v>0</v>
          </cell>
          <cell r="AD1167" t="str">
            <v>0</v>
          </cell>
          <cell r="AE1167" t="str">
            <v>0</v>
          </cell>
          <cell r="AF1167" t="str">
            <v>00</v>
          </cell>
        </row>
        <row r="1168">
          <cell r="A1168" t="str">
            <v>02</v>
          </cell>
          <cell r="B1168" t="str">
            <v>80</v>
          </cell>
          <cell r="C1168" t="str">
            <v>631</v>
          </cell>
          <cell r="D1168" t="str">
            <v>Факс Panasonic КХ-F6</v>
          </cell>
          <cell r="E1168" t="str">
            <v>80 RS</v>
          </cell>
          <cell r="F1168" t="str">
            <v>Япония</v>
          </cell>
          <cell r="G1168" t="str">
            <v>07</v>
          </cell>
          <cell r="H1168">
            <v>5755</v>
          </cell>
          <cell r="I1168">
            <v>0</v>
          </cell>
          <cell r="J1168">
            <v>0</v>
          </cell>
          <cell r="L1168" t="str">
            <v>26</v>
          </cell>
          <cell r="M1168" t="str">
            <v>45613</v>
          </cell>
          <cell r="N1168" t="str">
            <v>14 3222146</v>
          </cell>
          <cell r="P1168">
            <v>7.4</v>
          </cell>
          <cell r="Q1168">
            <v>0</v>
          </cell>
          <cell r="R1168" t="str">
            <v>1</v>
          </cell>
          <cell r="S1168" t="str">
            <v>45</v>
          </cell>
          <cell r="T1168">
            <v>98</v>
          </cell>
          <cell r="U1168">
            <v>2</v>
          </cell>
          <cell r="V1168">
            <v>99</v>
          </cell>
          <cell r="W1168">
            <v>2</v>
          </cell>
          <cell r="X1168">
            <v>99</v>
          </cell>
          <cell r="Y1168">
            <v>0</v>
          </cell>
          <cell r="Z1168">
            <v>0</v>
          </cell>
          <cell r="AD1168" t="str">
            <v>0</v>
          </cell>
          <cell r="AE1168" t="str">
            <v>0</v>
          </cell>
          <cell r="AF1168" t="str">
            <v>00</v>
          </cell>
        </row>
        <row r="1169">
          <cell r="A1169" t="str">
            <v>02</v>
          </cell>
          <cell r="B1169" t="str">
            <v>99</v>
          </cell>
          <cell r="C1169" t="str">
            <v>632</v>
          </cell>
          <cell r="D1169" t="str">
            <v>Полотенце мягкое ПМ-</v>
          </cell>
          <cell r="E1169" t="str">
            <v>1428</v>
          </cell>
          <cell r="G1169" t="str">
            <v>02</v>
          </cell>
          <cell r="H1169">
            <v>22500</v>
          </cell>
          <cell r="I1169">
            <v>0</v>
          </cell>
          <cell r="J1169">
            <v>22930.880000000001</v>
          </cell>
          <cell r="L1169" t="str">
            <v>20</v>
          </cell>
          <cell r="M1169" t="str">
            <v>43815</v>
          </cell>
          <cell r="P1169">
            <v>50</v>
          </cell>
          <cell r="Q1169">
            <v>0</v>
          </cell>
          <cell r="R1169" t="str">
            <v>1</v>
          </cell>
          <cell r="S1169" t="str">
            <v>43</v>
          </cell>
          <cell r="T1169">
            <v>99</v>
          </cell>
          <cell r="U1169">
            <v>3</v>
          </cell>
          <cell r="V1169">
            <v>99</v>
          </cell>
          <cell r="W1169">
            <v>3</v>
          </cell>
          <cell r="X1169">
            <v>99</v>
          </cell>
          <cell r="Y1169">
            <v>4</v>
          </cell>
          <cell r="Z1169">
            <v>99</v>
          </cell>
          <cell r="AD1169" t="str">
            <v>0</v>
          </cell>
          <cell r="AE1169" t="str">
            <v>0</v>
          </cell>
          <cell r="AF1169" t="str">
            <v>00</v>
          </cell>
        </row>
        <row r="1170">
          <cell r="A1170" t="str">
            <v>02</v>
          </cell>
          <cell r="B1170" t="str">
            <v>99</v>
          </cell>
          <cell r="C1170" t="str">
            <v>633</v>
          </cell>
          <cell r="D1170" t="str">
            <v>Полотенце мягкое ПМ-</v>
          </cell>
          <cell r="E1170" t="str">
            <v>1428</v>
          </cell>
          <cell r="G1170" t="str">
            <v>02</v>
          </cell>
          <cell r="H1170">
            <v>22500</v>
          </cell>
          <cell r="I1170">
            <v>0</v>
          </cell>
          <cell r="J1170">
            <v>22930.880000000001</v>
          </cell>
          <cell r="L1170" t="str">
            <v>20</v>
          </cell>
          <cell r="M1170" t="str">
            <v>43815</v>
          </cell>
          <cell r="P1170">
            <v>50</v>
          </cell>
          <cell r="Q1170">
            <v>0</v>
          </cell>
          <cell r="R1170" t="str">
            <v>1</v>
          </cell>
          <cell r="S1170" t="str">
            <v>43</v>
          </cell>
          <cell r="T1170">
            <v>99</v>
          </cell>
          <cell r="U1170">
            <v>3</v>
          </cell>
          <cell r="V1170">
            <v>99</v>
          </cell>
          <cell r="W1170">
            <v>3</v>
          </cell>
          <cell r="X1170">
            <v>99</v>
          </cell>
          <cell r="Y1170">
            <v>4</v>
          </cell>
          <cell r="Z1170">
            <v>99</v>
          </cell>
          <cell r="AD1170" t="str">
            <v>0</v>
          </cell>
          <cell r="AE1170" t="str">
            <v>0</v>
          </cell>
          <cell r="AF1170" t="str">
            <v>00</v>
          </cell>
        </row>
        <row r="1171">
          <cell r="A1171" t="str">
            <v>02</v>
          </cell>
          <cell r="B1171" t="str">
            <v>99</v>
          </cell>
          <cell r="C1171" t="str">
            <v>634</v>
          </cell>
          <cell r="D1171" t="str">
            <v>Полотенце мягкое ПМ=</v>
          </cell>
          <cell r="E1171" t="str">
            <v>1428</v>
          </cell>
          <cell r="G1171" t="str">
            <v>02</v>
          </cell>
          <cell r="H1171">
            <v>22500</v>
          </cell>
          <cell r="I1171">
            <v>0</v>
          </cell>
          <cell r="J1171">
            <v>22930.880000000001</v>
          </cell>
          <cell r="L1171" t="str">
            <v>20</v>
          </cell>
          <cell r="M1171" t="str">
            <v>43815</v>
          </cell>
          <cell r="P1171">
            <v>50</v>
          </cell>
          <cell r="Q1171">
            <v>0</v>
          </cell>
          <cell r="R1171" t="str">
            <v>1</v>
          </cell>
          <cell r="S1171" t="str">
            <v>43</v>
          </cell>
          <cell r="T1171">
            <v>99</v>
          </cell>
          <cell r="U1171">
            <v>3</v>
          </cell>
          <cell r="V1171">
            <v>99</v>
          </cell>
          <cell r="W1171">
            <v>3</v>
          </cell>
          <cell r="X1171">
            <v>99</v>
          </cell>
          <cell r="Y1171">
            <v>4</v>
          </cell>
          <cell r="Z1171">
            <v>99</v>
          </cell>
          <cell r="AD1171" t="str">
            <v>0</v>
          </cell>
          <cell r="AE1171" t="str">
            <v>0</v>
          </cell>
          <cell r="AF1171" t="str">
            <v>00</v>
          </cell>
        </row>
        <row r="1172">
          <cell r="A1172" t="str">
            <v>02</v>
          </cell>
          <cell r="B1172" t="str">
            <v>05</v>
          </cell>
          <cell r="C1172" t="str">
            <v>635</v>
          </cell>
          <cell r="D1172" t="str">
            <v>Плот спасательный</v>
          </cell>
          <cell r="E1172" t="str">
            <v>ПСН-6МК</v>
          </cell>
          <cell r="G1172" t="str">
            <v>07</v>
          </cell>
          <cell r="H1172">
            <v>14300</v>
          </cell>
          <cell r="I1172">
            <v>0</v>
          </cell>
          <cell r="J1172">
            <v>0</v>
          </cell>
          <cell r="L1172" t="str">
            <v>20</v>
          </cell>
          <cell r="M1172" t="str">
            <v>50134</v>
          </cell>
          <cell r="P1172">
            <v>5</v>
          </cell>
          <cell r="Q1172">
            <v>0</v>
          </cell>
          <cell r="R1172" t="str">
            <v>1</v>
          </cell>
          <cell r="S1172" t="str">
            <v>50</v>
          </cell>
          <cell r="T1172">
            <v>99</v>
          </cell>
          <cell r="U1172">
            <v>3</v>
          </cell>
          <cell r="V1172">
            <v>99</v>
          </cell>
          <cell r="W1172">
            <v>3</v>
          </cell>
          <cell r="X1172">
            <v>99</v>
          </cell>
          <cell r="Y1172">
            <v>0</v>
          </cell>
          <cell r="Z1172">
            <v>0</v>
          </cell>
          <cell r="AD1172" t="str">
            <v>0</v>
          </cell>
          <cell r="AE1172" t="str">
            <v>0</v>
          </cell>
          <cell r="AF1172" t="str">
            <v>00</v>
          </cell>
        </row>
        <row r="1173">
          <cell r="A1173" t="str">
            <v>02</v>
          </cell>
          <cell r="B1173" t="str">
            <v>05</v>
          </cell>
          <cell r="C1173" t="str">
            <v>636</v>
          </cell>
          <cell r="D1173" t="str">
            <v>Плот спасательный ПС</v>
          </cell>
          <cell r="E1173" t="str">
            <v>Н-6МК</v>
          </cell>
          <cell r="G1173" t="str">
            <v>07</v>
          </cell>
          <cell r="H1173">
            <v>14300</v>
          </cell>
          <cell r="I1173">
            <v>0</v>
          </cell>
          <cell r="J1173">
            <v>0</v>
          </cell>
          <cell r="L1173" t="str">
            <v>20</v>
          </cell>
          <cell r="M1173" t="str">
            <v>50134</v>
          </cell>
          <cell r="P1173">
            <v>5</v>
          </cell>
          <cell r="Q1173">
            <v>0</v>
          </cell>
          <cell r="R1173" t="str">
            <v>1</v>
          </cell>
          <cell r="S1173" t="str">
            <v>50</v>
          </cell>
          <cell r="T1173">
            <v>99</v>
          </cell>
          <cell r="U1173">
            <v>3</v>
          </cell>
          <cell r="V1173">
            <v>99</v>
          </cell>
          <cell r="W1173">
            <v>3</v>
          </cell>
          <cell r="X1173">
            <v>99</v>
          </cell>
          <cell r="Y1173">
            <v>0</v>
          </cell>
          <cell r="Z1173">
            <v>0</v>
          </cell>
          <cell r="AD1173" t="str">
            <v>0</v>
          </cell>
          <cell r="AE1173" t="str">
            <v>0</v>
          </cell>
          <cell r="AF1173" t="str">
            <v>00</v>
          </cell>
        </row>
        <row r="1174">
          <cell r="A1174" t="str">
            <v>02</v>
          </cell>
          <cell r="B1174" t="str">
            <v>80</v>
          </cell>
          <cell r="C1174" t="str">
            <v>637</v>
          </cell>
          <cell r="D1174" t="str">
            <v>Компьютер Cet300 A/4</v>
          </cell>
          <cell r="E1174" t="str">
            <v>40Exl28/64 с принтер</v>
          </cell>
          <cell r="F1174" t="str">
            <v>ом НР и мониторомNEC</v>
          </cell>
          <cell r="G1174" t="str">
            <v>07</v>
          </cell>
          <cell r="H1174">
            <v>25235</v>
          </cell>
          <cell r="I1174">
            <v>0</v>
          </cell>
          <cell r="J1174">
            <v>0</v>
          </cell>
          <cell r="L1174" t="str">
            <v>26</v>
          </cell>
          <cell r="M1174" t="str">
            <v>48008</v>
          </cell>
          <cell r="P1174">
            <v>10</v>
          </cell>
          <cell r="Q1174">
            <v>0</v>
          </cell>
          <cell r="R1174" t="str">
            <v>1</v>
          </cell>
          <cell r="S1174" t="str">
            <v>48</v>
          </cell>
          <cell r="T1174">
            <v>99</v>
          </cell>
          <cell r="U1174">
            <v>3</v>
          </cell>
          <cell r="V1174">
            <v>99</v>
          </cell>
          <cell r="W1174">
            <v>3</v>
          </cell>
          <cell r="X1174">
            <v>99</v>
          </cell>
          <cell r="Y1174">
            <v>0</v>
          </cell>
          <cell r="Z1174">
            <v>0</v>
          </cell>
          <cell r="AD1174" t="str">
            <v>0</v>
          </cell>
          <cell r="AE1174" t="str">
            <v>0</v>
          </cell>
          <cell r="AF1174" t="str">
            <v>00</v>
          </cell>
        </row>
        <row r="1175">
          <cell r="A1175" t="str">
            <v>02</v>
          </cell>
          <cell r="B1175" t="str">
            <v>23</v>
          </cell>
          <cell r="C1175" t="str">
            <v>638</v>
          </cell>
          <cell r="D1175" t="str">
            <v>А/машина ВАЗ-2121 ле</v>
          </cell>
          <cell r="E1175" t="str">
            <v>гков.куз1034932 дв.3</v>
          </cell>
          <cell r="F1175" t="str">
            <v>025944 гN-У784ЕУ</v>
          </cell>
          <cell r="G1175" t="str">
            <v>02</v>
          </cell>
          <cell r="H1175">
            <v>35375</v>
          </cell>
          <cell r="I1175">
            <v>20248.689999999999</v>
          </cell>
          <cell r="J1175">
            <v>0</v>
          </cell>
          <cell r="L1175" t="str">
            <v>23</v>
          </cell>
          <cell r="M1175" t="str">
            <v>50416</v>
          </cell>
          <cell r="P1175">
            <v>14.3</v>
          </cell>
          <cell r="Q1175">
            <v>0</v>
          </cell>
          <cell r="R1175" t="str">
            <v>1</v>
          </cell>
          <cell r="S1175" t="str">
            <v>50</v>
          </cell>
          <cell r="T1175">
            <v>93</v>
          </cell>
          <cell r="U1175">
            <v>4</v>
          </cell>
          <cell r="V1175">
            <v>99</v>
          </cell>
          <cell r="W1175">
            <v>4</v>
          </cell>
          <cell r="X1175">
            <v>99</v>
          </cell>
          <cell r="Y1175">
            <v>0</v>
          </cell>
          <cell r="Z1175">
            <v>0</v>
          </cell>
          <cell r="AD1175" t="str">
            <v>0</v>
          </cell>
          <cell r="AE1175" t="str">
            <v>0</v>
          </cell>
          <cell r="AF1175" t="str">
            <v>00</v>
          </cell>
        </row>
        <row r="1176">
          <cell r="A1176" t="str">
            <v>02</v>
          </cell>
          <cell r="B1176" t="str">
            <v>03</v>
          </cell>
          <cell r="C1176" t="str">
            <v>639</v>
          </cell>
          <cell r="D1176" t="str">
            <v>А/заправочная станци</v>
          </cell>
          <cell r="E1176" t="str">
            <v>я</v>
          </cell>
          <cell r="G1176" t="str">
            <v>02</v>
          </cell>
          <cell r="H1176">
            <v>623500</v>
          </cell>
          <cell r="I1176">
            <v>141704.82999999999</v>
          </cell>
          <cell r="J1176">
            <v>0</v>
          </cell>
          <cell r="L1176" t="str">
            <v>26</v>
          </cell>
          <cell r="M1176" t="str">
            <v>20334</v>
          </cell>
          <cell r="P1176">
            <v>5</v>
          </cell>
          <cell r="Q1176">
            <v>0</v>
          </cell>
          <cell r="R1176" t="str">
            <v>1</v>
          </cell>
          <cell r="S1176" t="str">
            <v>20</v>
          </cell>
          <cell r="T1176">
            <v>0</v>
          </cell>
          <cell r="U1176">
            <v>4</v>
          </cell>
          <cell r="V1176">
            <v>99</v>
          </cell>
          <cell r="W1176">
            <v>4</v>
          </cell>
          <cell r="X1176">
            <v>99</v>
          </cell>
          <cell r="Y1176">
            <v>0</v>
          </cell>
          <cell r="Z1176">
            <v>0</v>
          </cell>
          <cell r="AD1176" t="str">
            <v>0</v>
          </cell>
          <cell r="AE1176" t="str">
            <v>0</v>
          </cell>
          <cell r="AF1176" t="str">
            <v>00</v>
          </cell>
        </row>
        <row r="1177">
          <cell r="A1177" t="str">
            <v>02</v>
          </cell>
          <cell r="B1177" t="str">
            <v>02</v>
          </cell>
          <cell r="C1177" t="str">
            <v>640</v>
          </cell>
          <cell r="D1177" t="str">
            <v>Очистная машина ОМ-1</v>
          </cell>
          <cell r="E1177" t="str">
            <v>2203</v>
          </cell>
          <cell r="G1177" t="str">
            <v>02</v>
          </cell>
          <cell r="H1177">
            <v>265000</v>
          </cell>
          <cell r="I1177">
            <v>0</v>
          </cell>
          <cell r="J1177">
            <v>316650</v>
          </cell>
          <cell r="L1177" t="str">
            <v>20</v>
          </cell>
          <cell r="M1177" t="str">
            <v>43803</v>
          </cell>
          <cell r="P1177">
            <v>33.299999999999997</v>
          </cell>
          <cell r="Q1177">
            <v>0</v>
          </cell>
          <cell r="R1177" t="str">
            <v>1</v>
          </cell>
          <cell r="S1177" t="str">
            <v>43</v>
          </cell>
          <cell r="T1177">
            <v>99</v>
          </cell>
          <cell r="U1177">
            <v>5</v>
          </cell>
          <cell r="V1177">
            <v>99</v>
          </cell>
          <cell r="W1177">
            <v>5</v>
          </cell>
          <cell r="X1177">
            <v>99</v>
          </cell>
          <cell r="Y1177">
            <v>5</v>
          </cell>
          <cell r="Z1177">
            <v>99</v>
          </cell>
          <cell r="AD1177" t="str">
            <v>0</v>
          </cell>
          <cell r="AE1177" t="str">
            <v>0</v>
          </cell>
          <cell r="AF1177" t="str">
            <v>00</v>
          </cell>
        </row>
        <row r="1178">
          <cell r="A1178" t="str">
            <v>02</v>
          </cell>
          <cell r="B1178" t="str">
            <v>02</v>
          </cell>
          <cell r="C1178" t="str">
            <v>641</v>
          </cell>
          <cell r="D1178" t="str">
            <v>Стрела-упор</v>
          </cell>
          <cell r="G1178" t="str">
            <v>02</v>
          </cell>
          <cell r="H1178">
            <v>68103.509999999995</v>
          </cell>
          <cell r="I1178">
            <v>0</v>
          </cell>
          <cell r="J1178">
            <v>0</v>
          </cell>
          <cell r="L1178" t="str">
            <v>20</v>
          </cell>
          <cell r="M1178" t="str">
            <v>41723</v>
          </cell>
          <cell r="P1178">
            <v>10</v>
          </cell>
          <cell r="Q1178">
            <v>0</v>
          </cell>
          <cell r="R1178" t="str">
            <v>1</v>
          </cell>
          <cell r="S1178" t="str">
            <v>41</v>
          </cell>
          <cell r="T1178">
            <v>99</v>
          </cell>
          <cell r="U1178">
            <v>5</v>
          </cell>
          <cell r="V1178">
            <v>99</v>
          </cell>
          <cell r="W1178">
            <v>5</v>
          </cell>
          <cell r="X1178">
            <v>99</v>
          </cell>
          <cell r="Y1178">
            <v>0</v>
          </cell>
          <cell r="Z1178">
            <v>0</v>
          </cell>
          <cell r="AD1178" t="str">
            <v>0</v>
          </cell>
          <cell r="AE1178" t="str">
            <v>0</v>
          </cell>
          <cell r="AF1178" t="str">
            <v>00</v>
          </cell>
        </row>
        <row r="1179">
          <cell r="A1179" t="str">
            <v>02</v>
          </cell>
          <cell r="B1179" t="str">
            <v>02</v>
          </cell>
          <cell r="C1179" t="str">
            <v>642</v>
          </cell>
          <cell r="D1179" t="str">
            <v>Стрела-упор</v>
          </cell>
          <cell r="G1179" t="str">
            <v>02</v>
          </cell>
          <cell r="H1179">
            <v>68103.509999999995</v>
          </cell>
          <cell r="I1179">
            <v>0</v>
          </cell>
          <cell r="J1179">
            <v>0</v>
          </cell>
          <cell r="L1179" t="str">
            <v>20</v>
          </cell>
          <cell r="M1179" t="str">
            <v>41723</v>
          </cell>
          <cell r="P1179">
            <v>10</v>
          </cell>
          <cell r="Q1179">
            <v>0</v>
          </cell>
          <cell r="R1179" t="str">
            <v>1</v>
          </cell>
          <cell r="S1179" t="str">
            <v>41</v>
          </cell>
          <cell r="T1179">
            <v>99</v>
          </cell>
          <cell r="U1179">
            <v>5</v>
          </cell>
          <cell r="V1179">
            <v>99</v>
          </cell>
          <cell r="W1179">
            <v>5</v>
          </cell>
          <cell r="X1179">
            <v>99</v>
          </cell>
          <cell r="Y1179">
            <v>0</v>
          </cell>
          <cell r="Z1179">
            <v>0</v>
          </cell>
          <cell r="AD1179" t="str">
            <v>0</v>
          </cell>
          <cell r="AE1179" t="str">
            <v>0</v>
          </cell>
          <cell r="AF1179" t="str">
            <v>00</v>
          </cell>
        </row>
        <row r="1180">
          <cell r="A1180" t="str">
            <v>02</v>
          </cell>
          <cell r="B1180" t="str">
            <v>02</v>
          </cell>
          <cell r="C1180" t="str">
            <v>643</v>
          </cell>
          <cell r="D1180" t="str">
            <v>Стрела-упор</v>
          </cell>
          <cell r="G1180" t="str">
            <v>02</v>
          </cell>
          <cell r="H1180">
            <v>68103.509999999995</v>
          </cell>
          <cell r="I1180">
            <v>0</v>
          </cell>
          <cell r="J1180">
            <v>0</v>
          </cell>
          <cell r="L1180" t="str">
            <v>20</v>
          </cell>
          <cell r="M1180" t="str">
            <v>41723</v>
          </cell>
          <cell r="P1180">
            <v>10</v>
          </cell>
          <cell r="Q1180">
            <v>0</v>
          </cell>
          <cell r="R1180" t="str">
            <v>1</v>
          </cell>
          <cell r="S1180" t="str">
            <v>41</v>
          </cell>
          <cell r="T1180">
            <v>99</v>
          </cell>
          <cell r="U1180">
            <v>5</v>
          </cell>
          <cell r="V1180">
            <v>99</v>
          </cell>
          <cell r="W1180">
            <v>5</v>
          </cell>
          <cell r="X1180">
            <v>99</v>
          </cell>
          <cell r="Y1180">
            <v>0</v>
          </cell>
          <cell r="Z1180">
            <v>0</v>
          </cell>
          <cell r="AD1180" t="str">
            <v>0</v>
          </cell>
          <cell r="AE1180" t="str">
            <v>0</v>
          </cell>
          <cell r="AF1180" t="str">
            <v>00</v>
          </cell>
        </row>
        <row r="1181">
          <cell r="A1181" t="str">
            <v>02</v>
          </cell>
          <cell r="B1181" t="str">
            <v>02</v>
          </cell>
          <cell r="C1181" t="str">
            <v>644</v>
          </cell>
          <cell r="D1181" t="str">
            <v>Стрела-упор</v>
          </cell>
          <cell r="G1181" t="str">
            <v>02</v>
          </cell>
          <cell r="H1181">
            <v>68103.509999999995</v>
          </cell>
          <cell r="I1181">
            <v>0</v>
          </cell>
          <cell r="J1181">
            <v>0</v>
          </cell>
          <cell r="L1181" t="str">
            <v>20</v>
          </cell>
          <cell r="M1181" t="str">
            <v>41723</v>
          </cell>
          <cell r="P1181">
            <v>10</v>
          </cell>
          <cell r="Q1181">
            <v>0</v>
          </cell>
          <cell r="R1181" t="str">
            <v>1</v>
          </cell>
          <cell r="S1181" t="str">
            <v>41</v>
          </cell>
          <cell r="T1181">
            <v>99</v>
          </cell>
          <cell r="U1181">
            <v>5</v>
          </cell>
          <cell r="V1181">
            <v>99</v>
          </cell>
          <cell r="W1181">
            <v>5</v>
          </cell>
          <cell r="X1181">
            <v>99</v>
          </cell>
          <cell r="Y1181">
            <v>0</v>
          </cell>
          <cell r="Z1181">
            <v>0</v>
          </cell>
          <cell r="AD1181" t="str">
            <v>0</v>
          </cell>
          <cell r="AE1181" t="str">
            <v>0</v>
          </cell>
          <cell r="AF1181" t="str">
            <v>00</v>
          </cell>
        </row>
        <row r="1182">
          <cell r="A1182" t="str">
            <v>02</v>
          </cell>
          <cell r="B1182" t="str">
            <v>02</v>
          </cell>
          <cell r="C1182" t="str">
            <v>645</v>
          </cell>
          <cell r="D1182" t="str">
            <v>Индикатор</v>
          </cell>
          <cell r="G1182" t="str">
            <v>02</v>
          </cell>
          <cell r="H1182">
            <v>21356.23</v>
          </cell>
          <cell r="I1182">
            <v>0</v>
          </cell>
          <cell r="J1182">
            <v>0</v>
          </cell>
          <cell r="L1182" t="str">
            <v>20</v>
          </cell>
          <cell r="M1182" t="str">
            <v>47045</v>
          </cell>
          <cell r="P1182">
            <v>9</v>
          </cell>
          <cell r="Q1182">
            <v>0</v>
          </cell>
          <cell r="R1182" t="str">
            <v>1</v>
          </cell>
          <cell r="S1182" t="str">
            <v>47</v>
          </cell>
          <cell r="T1182">
            <v>99</v>
          </cell>
          <cell r="U1182">
            <v>5</v>
          </cell>
          <cell r="V1182">
            <v>99</v>
          </cell>
          <cell r="W1182">
            <v>5</v>
          </cell>
          <cell r="X1182">
            <v>99</v>
          </cell>
          <cell r="Y1182">
            <v>0</v>
          </cell>
          <cell r="Z1182">
            <v>0</v>
          </cell>
          <cell r="AD1182" t="str">
            <v>0</v>
          </cell>
          <cell r="AE1182" t="str">
            <v>0</v>
          </cell>
          <cell r="AF1182" t="str">
            <v>00</v>
          </cell>
        </row>
        <row r="1183">
          <cell r="A1183" t="str">
            <v>02</v>
          </cell>
          <cell r="B1183" t="str">
            <v>02</v>
          </cell>
          <cell r="C1183" t="str">
            <v>646</v>
          </cell>
          <cell r="D1183" t="str">
            <v>Индикатор</v>
          </cell>
          <cell r="G1183" t="str">
            <v>02</v>
          </cell>
          <cell r="H1183">
            <v>21356.23</v>
          </cell>
          <cell r="I1183">
            <v>0</v>
          </cell>
          <cell r="J1183">
            <v>0</v>
          </cell>
          <cell r="L1183" t="str">
            <v>20</v>
          </cell>
          <cell r="M1183" t="str">
            <v>47045</v>
          </cell>
          <cell r="P1183">
            <v>9</v>
          </cell>
          <cell r="Q1183">
            <v>0</v>
          </cell>
          <cell r="R1183" t="str">
            <v>1</v>
          </cell>
          <cell r="S1183" t="str">
            <v>47</v>
          </cell>
          <cell r="T1183">
            <v>99</v>
          </cell>
          <cell r="U1183">
            <v>5</v>
          </cell>
          <cell r="V1183">
            <v>99</v>
          </cell>
          <cell r="W1183">
            <v>5</v>
          </cell>
          <cell r="X1183">
            <v>99</v>
          </cell>
          <cell r="Y1183">
            <v>0</v>
          </cell>
          <cell r="Z1183">
            <v>0</v>
          </cell>
          <cell r="AD1183" t="str">
            <v>0</v>
          </cell>
          <cell r="AE1183" t="str">
            <v>0</v>
          </cell>
          <cell r="AF1183" t="str">
            <v>00</v>
          </cell>
        </row>
        <row r="1184">
          <cell r="A1184" t="str">
            <v>02</v>
          </cell>
          <cell r="B1184" t="str">
            <v>02</v>
          </cell>
          <cell r="C1184" t="str">
            <v>647</v>
          </cell>
          <cell r="D1184" t="str">
            <v>Индикатор</v>
          </cell>
          <cell r="G1184" t="str">
            <v>02</v>
          </cell>
          <cell r="H1184">
            <v>21356.23</v>
          </cell>
          <cell r="I1184">
            <v>0</v>
          </cell>
          <cell r="J1184">
            <v>0</v>
          </cell>
          <cell r="L1184" t="str">
            <v>20</v>
          </cell>
          <cell r="M1184" t="str">
            <v>47045</v>
          </cell>
          <cell r="P1184">
            <v>9</v>
          </cell>
          <cell r="Q1184">
            <v>0</v>
          </cell>
          <cell r="R1184" t="str">
            <v>1</v>
          </cell>
          <cell r="S1184" t="str">
            <v>47</v>
          </cell>
          <cell r="T1184">
            <v>99</v>
          </cell>
          <cell r="U1184">
            <v>5</v>
          </cell>
          <cell r="V1184">
            <v>99</v>
          </cell>
          <cell r="W1184">
            <v>5</v>
          </cell>
          <cell r="X1184">
            <v>99</v>
          </cell>
          <cell r="Y1184">
            <v>0</v>
          </cell>
          <cell r="Z1184">
            <v>0</v>
          </cell>
          <cell r="AD1184" t="str">
            <v>0</v>
          </cell>
          <cell r="AE1184" t="str">
            <v>0</v>
          </cell>
          <cell r="AF1184" t="str">
            <v>00</v>
          </cell>
        </row>
        <row r="1185">
          <cell r="A1185" t="str">
            <v>02</v>
          </cell>
          <cell r="B1185" t="str">
            <v>02</v>
          </cell>
          <cell r="C1185" t="str">
            <v>648</v>
          </cell>
          <cell r="D1185" t="str">
            <v>Индикатор</v>
          </cell>
          <cell r="G1185" t="str">
            <v>02</v>
          </cell>
          <cell r="H1185">
            <v>21356.23</v>
          </cell>
          <cell r="I1185">
            <v>0</v>
          </cell>
          <cell r="J1185">
            <v>0</v>
          </cell>
          <cell r="L1185" t="str">
            <v>20</v>
          </cell>
          <cell r="M1185" t="str">
            <v>47045</v>
          </cell>
          <cell r="P1185">
            <v>9</v>
          </cell>
          <cell r="Q1185">
            <v>0</v>
          </cell>
          <cell r="R1185" t="str">
            <v>1</v>
          </cell>
          <cell r="S1185" t="str">
            <v>47</v>
          </cell>
          <cell r="T1185">
            <v>99</v>
          </cell>
          <cell r="U1185">
            <v>5</v>
          </cell>
          <cell r="V1185">
            <v>99</v>
          </cell>
          <cell r="W1185">
            <v>5</v>
          </cell>
          <cell r="X1185">
            <v>99</v>
          </cell>
          <cell r="Y1185">
            <v>0</v>
          </cell>
          <cell r="Z1185">
            <v>0</v>
          </cell>
          <cell r="AD1185" t="str">
            <v>0</v>
          </cell>
          <cell r="AE1185" t="str">
            <v>0</v>
          </cell>
          <cell r="AF1185" t="str">
            <v>00</v>
          </cell>
        </row>
        <row r="1186">
          <cell r="A1186" t="str">
            <v>02</v>
          </cell>
          <cell r="B1186" t="str">
            <v>80</v>
          </cell>
          <cell r="C1186" t="str">
            <v>649</v>
          </cell>
          <cell r="D1186" t="str">
            <v>Копировальный аппара</v>
          </cell>
          <cell r="E1186" t="str">
            <v>т</v>
          </cell>
          <cell r="G1186" t="str">
            <v>07</v>
          </cell>
          <cell r="H1186">
            <v>35500</v>
          </cell>
          <cell r="I1186">
            <v>0</v>
          </cell>
          <cell r="J1186">
            <v>0</v>
          </cell>
          <cell r="L1186" t="str">
            <v>26</v>
          </cell>
          <cell r="M1186" t="str">
            <v>44804</v>
          </cell>
          <cell r="P1186">
            <v>12.5</v>
          </cell>
          <cell r="Q1186">
            <v>0</v>
          </cell>
          <cell r="R1186" t="str">
            <v>1</v>
          </cell>
          <cell r="S1186" t="str">
            <v>44</v>
          </cell>
          <cell r="T1186">
            <v>99</v>
          </cell>
          <cell r="U1186">
            <v>5</v>
          </cell>
          <cell r="V1186">
            <v>99</v>
          </cell>
          <cell r="W1186">
            <v>5</v>
          </cell>
          <cell r="X1186">
            <v>99</v>
          </cell>
          <cell r="Y1186">
            <v>0</v>
          </cell>
          <cell r="Z1186">
            <v>0</v>
          </cell>
          <cell r="AD1186" t="str">
            <v>0</v>
          </cell>
          <cell r="AE1186" t="str">
            <v>0</v>
          </cell>
          <cell r="AF1186" t="str">
            <v>00</v>
          </cell>
        </row>
        <row r="1187">
          <cell r="A1187" t="str">
            <v>02</v>
          </cell>
          <cell r="B1187" t="str">
            <v>80</v>
          </cell>
          <cell r="C1187" t="str">
            <v>650</v>
          </cell>
          <cell r="D1187" t="str">
            <v>Копировальный аппара</v>
          </cell>
          <cell r="E1187" t="str">
            <v>т</v>
          </cell>
          <cell r="G1187" t="str">
            <v>07</v>
          </cell>
          <cell r="H1187">
            <v>35500</v>
          </cell>
          <cell r="I1187">
            <v>0</v>
          </cell>
          <cell r="J1187">
            <v>0</v>
          </cell>
          <cell r="L1187" t="str">
            <v>26</v>
          </cell>
          <cell r="M1187" t="str">
            <v>44804</v>
          </cell>
          <cell r="P1187">
            <v>12.5</v>
          </cell>
          <cell r="Q1187">
            <v>0</v>
          </cell>
          <cell r="R1187" t="str">
            <v>1</v>
          </cell>
          <cell r="S1187" t="str">
            <v>44</v>
          </cell>
          <cell r="T1187">
            <v>99</v>
          </cell>
          <cell r="U1187">
            <v>5</v>
          </cell>
          <cell r="V1187">
            <v>99</v>
          </cell>
          <cell r="W1187">
            <v>5</v>
          </cell>
          <cell r="X1187">
            <v>99</v>
          </cell>
          <cell r="Y1187">
            <v>0</v>
          </cell>
          <cell r="Z1187">
            <v>0</v>
          </cell>
          <cell r="AD1187" t="str">
            <v>0</v>
          </cell>
          <cell r="AE1187" t="str">
            <v>0</v>
          </cell>
          <cell r="AF1187" t="str">
            <v>00</v>
          </cell>
        </row>
        <row r="1188">
          <cell r="A1188" t="str">
            <v>02</v>
          </cell>
          <cell r="B1188" t="str">
            <v>02</v>
          </cell>
          <cell r="C1188" t="str">
            <v>651</v>
          </cell>
          <cell r="D1188" t="str">
            <v>Станок заточный ИЗ-9</v>
          </cell>
          <cell r="E1188" t="str">
            <v>701</v>
          </cell>
          <cell r="G1188" t="str">
            <v>07</v>
          </cell>
          <cell r="H1188">
            <v>7400</v>
          </cell>
          <cell r="I1188">
            <v>0</v>
          </cell>
          <cell r="J1188">
            <v>0</v>
          </cell>
          <cell r="L1188" t="str">
            <v>20</v>
          </cell>
          <cell r="M1188" t="str">
            <v>41000</v>
          </cell>
          <cell r="P1188">
            <v>3.5</v>
          </cell>
          <cell r="Q1188">
            <v>0</v>
          </cell>
          <cell r="R1188" t="str">
            <v>1</v>
          </cell>
          <cell r="S1188" t="str">
            <v>41</v>
          </cell>
          <cell r="T1188">
            <v>99</v>
          </cell>
          <cell r="U1188">
            <v>5</v>
          </cell>
          <cell r="V1188">
            <v>99</v>
          </cell>
          <cell r="W1188">
            <v>5</v>
          </cell>
          <cell r="X1188">
            <v>99</v>
          </cell>
          <cell r="Y1188">
            <v>0</v>
          </cell>
          <cell r="Z1188">
            <v>0</v>
          </cell>
          <cell r="AD1188" t="str">
            <v>0</v>
          </cell>
          <cell r="AE1188" t="str">
            <v>0</v>
          </cell>
          <cell r="AF1188" t="str">
            <v>00</v>
          </cell>
        </row>
        <row r="1189">
          <cell r="A1189" t="str">
            <v>02</v>
          </cell>
          <cell r="B1189" t="str">
            <v>02</v>
          </cell>
          <cell r="C1189" t="str">
            <v>652</v>
          </cell>
          <cell r="D1189" t="str">
            <v>Станок заточный ИЗ-9</v>
          </cell>
          <cell r="E1189" t="str">
            <v>701</v>
          </cell>
          <cell r="G1189" t="str">
            <v>07</v>
          </cell>
          <cell r="H1189">
            <v>7400</v>
          </cell>
          <cell r="I1189">
            <v>0</v>
          </cell>
          <cell r="J1189">
            <v>0</v>
          </cell>
          <cell r="L1189" t="str">
            <v>20</v>
          </cell>
          <cell r="M1189" t="str">
            <v>41000</v>
          </cell>
          <cell r="P1189">
            <v>3.5</v>
          </cell>
          <cell r="Q1189">
            <v>0</v>
          </cell>
          <cell r="R1189" t="str">
            <v>1</v>
          </cell>
          <cell r="S1189" t="str">
            <v>41</v>
          </cell>
          <cell r="T1189">
            <v>99</v>
          </cell>
          <cell r="U1189">
            <v>5</v>
          </cell>
          <cell r="V1189">
            <v>99</v>
          </cell>
          <cell r="W1189">
            <v>5</v>
          </cell>
          <cell r="X1189">
            <v>99</v>
          </cell>
          <cell r="Y1189">
            <v>0</v>
          </cell>
          <cell r="Z1189">
            <v>0</v>
          </cell>
          <cell r="AD1189" t="str">
            <v>0</v>
          </cell>
          <cell r="AE1189" t="str">
            <v>0</v>
          </cell>
          <cell r="AF1189" t="str">
            <v>00</v>
          </cell>
        </row>
        <row r="1190">
          <cell r="A1190" t="str">
            <v>02</v>
          </cell>
          <cell r="B1190" t="str">
            <v>05</v>
          </cell>
          <cell r="C1190" t="str">
            <v>653</v>
          </cell>
          <cell r="D1190" t="str">
            <v>Станок заточный ИЗ-9</v>
          </cell>
          <cell r="E1190" t="str">
            <v>701</v>
          </cell>
          <cell r="G1190" t="str">
            <v>07</v>
          </cell>
          <cell r="H1190">
            <v>7400</v>
          </cell>
          <cell r="I1190">
            <v>0</v>
          </cell>
          <cell r="J1190">
            <v>0</v>
          </cell>
          <cell r="L1190" t="str">
            <v>20</v>
          </cell>
          <cell r="M1190" t="str">
            <v>41000</v>
          </cell>
          <cell r="P1190">
            <v>3.5</v>
          </cell>
          <cell r="Q1190">
            <v>0</v>
          </cell>
          <cell r="R1190" t="str">
            <v>1</v>
          </cell>
          <cell r="S1190" t="str">
            <v>41</v>
          </cell>
          <cell r="T1190">
            <v>99</v>
          </cell>
          <cell r="U1190">
            <v>5</v>
          </cell>
          <cell r="V1190">
            <v>99</v>
          </cell>
          <cell r="W1190">
            <v>5</v>
          </cell>
          <cell r="X1190">
            <v>99</v>
          </cell>
          <cell r="Y1190">
            <v>0</v>
          </cell>
          <cell r="Z1190">
            <v>0</v>
          </cell>
          <cell r="AB1190" t="str">
            <v>14</v>
          </cell>
          <cell r="AC1190">
            <v>7</v>
          </cell>
          <cell r="AD1190" t="str">
            <v>0</v>
          </cell>
          <cell r="AE1190" t="str">
            <v>0</v>
          </cell>
          <cell r="AF1190" t="str">
            <v>00</v>
          </cell>
        </row>
        <row r="1191">
          <cell r="A1191" t="str">
            <v>02</v>
          </cell>
          <cell r="B1191" t="str">
            <v>02</v>
          </cell>
          <cell r="C1191" t="str">
            <v>654</v>
          </cell>
          <cell r="D1191" t="str">
            <v>Подвеска троллейная</v>
          </cell>
          <cell r="G1191" t="str">
            <v>02</v>
          </cell>
          <cell r="H1191">
            <v>89884</v>
          </cell>
          <cell r="I1191">
            <v>0</v>
          </cell>
          <cell r="J1191">
            <v>0</v>
          </cell>
          <cell r="L1191" t="str">
            <v>20</v>
          </cell>
          <cell r="M1191" t="str">
            <v>43814</v>
          </cell>
          <cell r="P1191">
            <v>33.299999999999997</v>
          </cell>
          <cell r="Q1191">
            <v>0</v>
          </cell>
          <cell r="R1191" t="str">
            <v>1</v>
          </cell>
          <cell r="S1191" t="str">
            <v>43</v>
          </cell>
          <cell r="T1191">
            <v>99</v>
          </cell>
          <cell r="U1191">
            <v>6</v>
          </cell>
          <cell r="V1191">
            <v>99</v>
          </cell>
          <cell r="W1191">
            <v>6</v>
          </cell>
          <cell r="X1191">
            <v>99</v>
          </cell>
          <cell r="Y1191">
            <v>0</v>
          </cell>
          <cell r="Z1191">
            <v>0</v>
          </cell>
          <cell r="AB1191" t="str">
            <v>14</v>
          </cell>
          <cell r="AC1191">
            <v>8</v>
          </cell>
          <cell r="AD1191" t="str">
            <v>0</v>
          </cell>
          <cell r="AE1191" t="str">
            <v>0</v>
          </cell>
          <cell r="AF1191" t="str">
            <v>00</v>
          </cell>
        </row>
        <row r="1192">
          <cell r="A1192" t="str">
            <v>02</v>
          </cell>
          <cell r="B1192" t="str">
            <v>02</v>
          </cell>
          <cell r="C1192" t="str">
            <v>655</v>
          </cell>
          <cell r="D1192" t="str">
            <v>Подвеска троллейная</v>
          </cell>
          <cell r="G1192" t="str">
            <v>02</v>
          </cell>
          <cell r="H1192">
            <v>89884</v>
          </cell>
          <cell r="I1192">
            <v>0</v>
          </cell>
          <cell r="J1192">
            <v>0</v>
          </cell>
          <cell r="L1192" t="str">
            <v>20</v>
          </cell>
          <cell r="M1192" t="str">
            <v>43814</v>
          </cell>
          <cell r="P1192">
            <v>33.299999999999997</v>
          </cell>
          <cell r="Q1192">
            <v>0</v>
          </cell>
          <cell r="R1192" t="str">
            <v>1</v>
          </cell>
          <cell r="S1192" t="str">
            <v>43</v>
          </cell>
          <cell r="T1192">
            <v>99</v>
          </cell>
          <cell r="U1192">
            <v>6</v>
          </cell>
          <cell r="V1192">
            <v>99</v>
          </cell>
          <cell r="W1192">
            <v>6</v>
          </cell>
          <cell r="X1192">
            <v>99</v>
          </cell>
          <cell r="Y1192">
            <v>0</v>
          </cell>
          <cell r="Z1192">
            <v>0</v>
          </cell>
          <cell r="AB1192" t="str">
            <v>14</v>
          </cell>
          <cell r="AC1192">
            <v>8</v>
          </cell>
          <cell r="AD1192" t="str">
            <v>0</v>
          </cell>
          <cell r="AE1192" t="str">
            <v>0</v>
          </cell>
          <cell r="AF1192" t="str">
            <v>00</v>
          </cell>
        </row>
        <row r="1193">
          <cell r="A1193" t="str">
            <v>02</v>
          </cell>
          <cell r="B1193" t="str">
            <v>02</v>
          </cell>
          <cell r="C1193" t="str">
            <v>656</v>
          </cell>
          <cell r="D1193" t="str">
            <v>Подвеска троллейная</v>
          </cell>
          <cell r="G1193" t="str">
            <v>02</v>
          </cell>
          <cell r="H1193">
            <v>89884</v>
          </cell>
          <cell r="I1193">
            <v>0</v>
          </cell>
          <cell r="J1193">
            <v>0</v>
          </cell>
          <cell r="L1193" t="str">
            <v>20</v>
          </cell>
          <cell r="M1193" t="str">
            <v>43814</v>
          </cell>
          <cell r="P1193">
            <v>33.299999999999997</v>
          </cell>
          <cell r="Q1193">
            <v>0</v>
          </cell>
          <cell r="R1193" t="str">
            <v>1</v>
          </cell>
          <cell r="S1193" t="str">
            <v>43</v>
          </cell>
          <cell r="T1193">
            <v>99</v>
          </cell>
          <cell r="U1193">
            <v>6</v>
          </cell>
          <cell r="V1193">
            <v>99</v>
          </cell>
          <cell r="W1193">
            <v>6</v>
          </cell>
          <cell r="X1193">
            <v>99</v>
          </cell>
          <cell r="Y1193">
            <v>0</v>
          </cell>
          <cell r="Z1193">
            <v>0</v>
          </cell>
          <cell r="AB1193" t="str">
            <v>14</v>
          </cell>
          <cell r="AC1193">
            <v>8</v>
          </cell>
          <cell r="AD1193" t="str">
            <v>0</v>
          </cell>
          <cell r="AE1193" t="str">
            <v>0</v>
          </cell>
          <cell r="AF1193" t="str">
            <v>00</v>
          </cell>
        </row>
        <row r="1194">
          <cell r="A1194" t="str">
            <v>02</v>
          </cell>
          <cell r="B1194" t="str">
            <v>02</v>
          </cell>
          <cell r="C1194" t="str">
            <v>657</v>
          </cell>
          <cell r="D1194" t="str">
            <v>Машина подкопочная</v>
          </cell>
          <cell r="E1194" t="str">
            <v>МПТ-1220</v>
          </cell>
          <cell r="G1194" t="str">
            <v>02</v>
          </cell>
          <cell r="H1194">
            <v>228000</v>
          </cell>
          <cell r="I1194">
            <v>0</v>
          </cell>
          <cell r="J1194">
            <v>0</v>
          </cell>
          <cell r="L1194" t="str">
            <v>20</v>
          </cell>
          <cell r="M1194" t="str">
            <v>43803</v>
          </cell>
          <cell r="P1194">
            <v>33.299999999999997</v>
          </cell>
          <cell r="Q1194">
            <v>0</v>
          </cell>
          <cell r="R1194" t="str">
            <v>1</v>
          </cell>
          <cell r="S1194" t="str">
            <v>43</v>
          </cell>
          <cell r="T1194">
            <v>99</v>
          </cell>
          <cell r="U1194">
            <v>6</v>
          </cell>
          <cell r="V1194">
            <v>99</v>
          </cell>
          <cell r="W1194">
            <v>6</v>
          </cell>
          <cell r="X1194">
            <v>99</v>
          </cell>
          <cell r="Y1194">
            <v>0</v>
          </cell>
          <cell r="Z1194">
            <v>0</v>
          </cell>
          <cell r="AD1194" t="str">
            <v>0</v>
          </cell>
          <cell r="AE1194" t="str">
            <v>0</v>
          </cell>
          <cell r="AF1194" t="str">
            <v>00</v>
          </cell>
        </row>
        <row r="1195">
          <cell r="A1195" t="str">
            <v>02</v>
          </cell>
          <cell r="B1195" t="str">
            <v>41</v>
          </cell>
          <cell r="C1195" t="str">
            <v>658</v>
          </cell>
          <cell r="D1195" t="str">
            <v>Дефектоскоп КРОНА- Р</v>
          </cell>
          <cell r="E1195" t="str">
            <v>М</v>
          </cell>
          <cell r="G1195" t="str">
            <v>02</v>
          </cell>
          <cell r="H1195">
            <v>19200</v>
          </cell>
          <cell r="I1195">
            <v>0</v>
          </cell>
          <cell r="J1195">
            <v>0</v>
          </cell>
          <cell r="L1195" t="str">
            <v>20</v>
          </cell>
          <cell r="M1195" t="str">
            <v>47015</v>
          </cell>
          <cell r="P1195">
            <v>14.3</v>
          </cell>
          <cell r="Q1195">
            <v>0</v>
          </cell>
          <cell r="R1195" t="str">
            <v>1</v>
          </cell>
          <cell r="S1195" t="str">
            <v>47</v>
          </cell>
          <cell r="T1195">
            <v>99</v>
          </cell>
          <cell r="U1195">
            <v>6</v>
          </cell>
          <cell r="V1195">
            <v>99</v>
          </cell>
          <cell r="W1195">
            <v>6</v>
          </cell>
          <cell r="X1195">
            <v>99</v>
          </cell>
          <cell r="Y1195">
            <v>0</v>
          </cell>
          <cell r="Z1195">
            <v>0</v>
          </cell>
          <cell r="AD1195" t="str">
            <v>0</v>
          </cell>
          <cell r="AE1195" t="str">
            <v>0</v>
          </cell>
          <cell r="AF1195" t="str">
            <v>00</v>
          </cell>
        </row>
        <row r="1196">
          <cell r="A1196" t="str">
            <v>02</v>
          </cell>
          <cell r="B1196" t="str">
            <v>02</v>
          </cell>
          <cell r="C1196" t="str">
            <v>659</v>
          </cell>
          <cell r="D1196" t="str">
            <v>Машина изоляционная</v>
          </cell>
          <cell r="E1196" t="str">
            <v>асмольно-битумная</v>
          </cell>
          <cell r="F1196" t="str">
            <v>МИАБ-1220</v>
          </cell>
          <cell r="G1196" t="str">
            <v>02</v>
          </cell>
          <cell r="H1196">
            <v>413333.33</v>
          </cell>
          <cell r="I1196">
            <v>0</v>
          </cell>
          <cell r="J1196">
            <v>0</v>
          </cell>
          <cell r="L1196" t="str">
            <v>20</v>
          </cell>
          <cell r="M1196" t="str">
            <v>43803</v>
          </cell>
          <cell r="P1196">
            <v>33.299999999999997</v>
          </cell>
          <cell r="Q1196">
            <v>0</v>
          </cell>
          <cell r="R1196" t="str">
            <v>1</v>
          </cell>
          <cell r="S1196" t="str">
            <v>43</v>
          </cell>
          <cell r="T1196">
            <v>99</v>
          </cell>
          <cell r="U1196">
            <v>6</v>
          </cell>
          <cell r="V1196">
            <v>99</v>
          </cell>
          <cell r="W1196">
            <v>6</v>
          </cell>
          <cell r="X1196">
            <v>99</v>
          </cell>
          <cell r="Y1196">
            <v>0</v>
          </cell>
          <cell r="Z1196">
            <v>0</v>
          </cell>
          <cell r="AD1196" t="str">
            <v>0</v>
          </cell>
          <cell r="AE1196" t="str">
            <v>0</v>
          </cell>
          <cell r="AF1196" t="str">
            <v>00</v>
          </cell>
        </row>
        <row r="1197">
          <cell r="A1197" t="str">
            <v>02</v>
          </cell>
          <cell r="B1197" t="str">
            <v>02</v>
          </cell>
          <cell r="C1197" t="str">
            <v>660</v>
          </cell>
          <cell r="D1197" t="str">
            <v>Котел эл.асмоло-плав</v>
          </cell>
          <cell r="E1197" t="str">
            <v>ильный КАПЭ-2400</v>
          </cell>
          <cell r="G1197" t="str">
            <v>02</v>
          </cell>
          <cell r="H1197">
            <v>475000</v>
          </cell>
          <cell r="I1197">
            <v>0</v>
          </cell>
          <cell r="J1197">
            <v>0</v>
          </cell>
          <cell r="L1197" t="str">
            <v>20</v>
          </cell>
          <cell r="M1197" t="str">
            <v>40005</v>
          </cell>
          <cell r="P1197">
            <v>14.3</v>
          </cell>
          <cell r="Q1197">
            <v>0</v>
          </cell>
          <cell r="R1197" t="str">
            <v>1</v>
          </cell>
          <cell r="S1197" t="str">
            <v>40</v>
          </cell>
          <cell r="T1197">
            <v>99</v>
          </cell>
          <cell r="U1197">
            <v>6</v>
          </cell>
          <cell r="V1197">
            <v>99</v>
          </cell>
          <cell r="W1197">
            <v>6</v>
          </cell>
          <cell r="X1197">
            <v>99</v>
          </cell>
          <cell r="Y1197">
            <v>0</v>
          </cell>
          <cell r="Z1197">
            <v>0</v>
          </cell>
          <cell r="AD1197" t="str">
            <v>0</v>
          </cell>
          <cell r="AE1197" t="str">
            <v>0</v>
          </cell>
          <cell r="AF1197" t="str">
            <v>00</v>
          </cell>
        </row>
        <row r="1198">
          <cell r="A1198" t="str">
            <v>02</v>
          </cell>
          <cell r="B1198" t="str">
            <v>02</v>
          </cell>
          <cell r="C1198" t="str">
            <v>661</v>
          </cell>
          <cell r="D1198" t="str">
            <v>Машина грунтовочная</v>
          </cell>
          <cell r="E1198" t="str">
            <v>МГ-1220</v>
          </cell>
          <cell r="G1198" t="str">
            <v>02</v>
          </cell>
          <cell r="H1198">
            <v>279166.67</v>
          </cell>
          <cell r="I1198">
            <v>0</v>
          </cell>
          <cell r="J1198">
            <v>0</v>
          </cell>
          <cell r="L1198" t="str">
            <v>20</v>
          </cell>
          <cell r="M1198" t="str">
            <v>43803</v>
          </cell>
          <cell r="P1198">
            <v>33.299999999999997</v>
          </cell>
          <cell r="Q1198">
            <v>0</v>
          </cell>
          <cell r="R1198" t="str">
            <v>1</v>
          </cell>
          <cell r="S1198" t="str">
            <v>43</v>
          </cell>
          <cell r="T1198">
            <v>99</v>
          </cell>
          <cell r="U1198">
            <v>6</v>
          </cell>
          <cell r="V1198">
            <v>99</v>
          </cell>
          <cell r="W1198">
            <v>6</v>
          </cell>
          <cell r="X1198">
            <v>99</v>
          </cell>
          <cell r="Y1198">
            <v>0</v>
          </cell>
          <cell r="Z1198">
            <v>0</v>
          </cell>
          <cell r="AD1198" t="str">
            <v>0</v>
          </cell>
          <cell r="AE1198" t="str">
            <v>0</v>
          </cell>
          <cell r="AF1198" t="str">
            <v>00</v>
          </cell>
        </row>
        <row r="1199">
          <cell r="A1199" t="str">
            <v>02</v>
          </cell>
          <cell r="B1199" t="str">
            <v>71</v>
          </cell>
          <cell r="C1199" t="str">
            <v>662</v>
          </cell>
          <cell r="D1199" t="str">
            <v>Мотопомпа 27/100</v>
          </cell>
          <cell r="G1199" t="str">
            <v>02</v>
          </cell>
          <cell r="H1199">
            <v>80000</v>
          </cell>
          <cell r="I1199">
            <v>0</v>
          </cell>
          <cell r="J1199">
            <v>0</v>
          </cell>
          <cell r="L1199" t="str">
            <v>23</v>
          </cell>
          <cell r="M1199" t="str">
            <v>41502</v>
          </cell>
          <cell r="P1199">
            <v>12.5</v>
          </cell>
          <cell r="Q1199">
            <v>0</v>
          </cell>
          <cell r="R1199" t="str">
            <v>1</v>
          </cell>
          <cell r="S1199" t="str">
            <v>41</v>
          </cell>
          <cell r="T1199">
            <v>99</v>
          </cell>
          <cell r="U1199">
            <v>6</v>
          </cell>
          <cell r="V1199">
            <v>99</v>
          </cell>
          <cell r="W1199">
            <v>6</v>
          </cell>
          <cell r="X1199">
            <v>99</v>
          </cell>
          <cell r="Y1199">
            <v>0</v>
          </cell>
          <cell r="Z1199">
            <v>0</v>
          </cell>
          <cell r="AB1199" t="str">
            <v>14</v>
          </cell>
          <cell r="AC1199">
            <v>8</v>
          </cell>
          <cell r="AD1199" t="str">
            <v>0</v>
          </cell>
          <cell r="AE1199" t="str">
            <v>0</v>
          </cell>
          <cell r="AF1199" t="str">
            <v>00</v>
          </cell>
        </row>
        <row r="1200">
          <cell r="A1200" t="str">
            <v>02</v>
          </cell>
          <cell r="B1200" t="str">
            <v>02</v>
          </cell>
          <cell r="C1200" t="str">
            <v>663</v>
          </cell>
          <cell r="D1200" t="str">
            <v>Мотопомпа 27/100</v>
          </cell>
          <cell r="G1200" t="str">
            <v>02</v>
          </cell>
          <cell r="H1200">
            <v>80000</v>
          </cell>
          <cell r="I1200">
            <v>0</v>
          </cell>
          <cell r="J1200">
            <v>0</v>
          </cell>
          <cell r="L1200" t="str">
            <v>20</v>
          </cell>
          <cell r="M1200" t="str">
            <v>41502</v>
          </cell>
          <cell r="P1200">
            <v>12.5</v>
          </cell>
          <cell r="Q1200">
            <v>0</v>
          </cell>
          <cell r="R1200" t="str">
            <v>1</v>
          </cell>
          <cell r="S1200" t="str">
            <v>41</v>
          </cell>
          <cell r="T1200">
            <v>99</v>
          </cell>
          <cell r="U1200">
            <v>6</v>
          </cell>
          <cell r="V1200">
            <v>99</v>
          </cell>
          <cell r="W1200">
            <v>6</v>
          </cell>
          <cell r="X1200">
            <v>99</v>
          </cell>
          <cell r="Y1200">
            <v>0</v>
          </cell>
          <cell r="Z1200">
            <v>0</v>
          </cell>
          <cell r="AB1200" t="str">
            <v>14</v>
          </cell>
          <cell r="AC1200">
            <v>8</v>
          </cell>
          <cell r="AD1200" t="str">
            <v>0</v>
          </cell>
          <cell r="AE1200" t="str">
            <v>0</v>
          </cell>
          <cell r="AF1200" t="str">
            <v>00</v>
          </cell>
        </row>
        <row r="1201">
          <cell r="A1201" t="str">
            <v>02</v>
          </cell>
          <cell r="B1201" t="str">
            <v>02</v>
          </cell>
          <cell r="C1201" t="str">
            <v>664</v>
          </cell>
          <cell r="D1201" t="str">
            <v>Мотопомпа 27/100</v>
          </cell>
          <cell r="G1201" t="str">
            <v>02</v>
          </cell>
          <cell r="H1201">
            <v>80000</v>
          </cell>
          <cell r="I1201">
            <v>0</v>
          </cell>
          <cell r="J1201">
            <v>0</v>
          </cell>
          <cell r="L1201" t="str">
            <v>20</v>
          </cell>
          <cell r="M1201" t="str">
            <v>41502</v>
          </cell>
          <cell r="P1201">
            <v>12.5</v>
          </cell>
          <cell r="Q1201">
            <v>0</v>
          </cell>
          <cell r="R1201" t="str">
            <v>1</v>
          </cell>
          <cell r="S1201" t="str">
            <v>41</v>
          </cell>
          <cell r="T1201">
            <v>99</v>
          </cell>
          <cell r="U1201">
            <v>6</v>
          </cell>
          <cell r="V1201">
            <v>99</v>
          </cell>
          <cell r="W1201">
            <v>6</v>
          </cell>
          <cell r="X1201">
            <v>99</v>
          </cell>
          <cell r="Y1201">
            <v>0</v>
          </cell>
          <cell r="Z1201">
            <v>0</v>
          </cell>
          <cell r="AB1201" t="str">
            <v>14</v>
          </cell>
          <cell r="AC1201">
            <v>8</v>
          </cell>
          <cell r="AD1201" t="str">
            <v>0</v>
          </cell>
          <cell r="AE1201" t="str">
            <v>0</v>
          </cell>
          <cell r="AF1201" t="str">
            <v>00</v>
          </cell>
        </row>
        <row r="1202">
          <cell r="A1202" t="str">
            <v>02</v>
          </cell>
          <cell r="B1202" t="str">
            <v>02</v>
          </cell>
          <cell r="C1202" t="str">
            <v>665</v>
          </cell>
          <cell r="D1202" t="str">
            <v>Мотопомпа 27/100</v>
          </cell>
          <cell r="G1202" t="str">
            <v>02</v>
          </cell>
          <cell r="H1202">
            <v>80000</v>
          </cell>
          <cell r="I1202">
            <v>0</v>
          </cell>
          <cell r="J1202">
            <v>0</v>
          </cell>
          <cell r="L1202" t="str">
            <v>20</v>
          </cell>
          <cell r="M1202" t="str">
            <v>41502</v>
          </cell>
          <cell r="P1202">
            <v>12.5</v>
          </cell>
          <cell r="Q1202">
            <v>0</v>
          </cell>
          <cell r="R1202" t="str">
            <v>1</v>
          </cell>
          <cell r="S1202" t="str">
            <v>41</v>
          </cell>
          <cell r="T1202">
            <v>99</v>
          </cell>
          <cell r="U1202">
            <v>6</v>
          </cell>
          <cell r="V1202">
            <v>99</v>
          </cell>
          <cell r="W1202">
            <v>6</v>
          </cell>
          <cell r="X1202">
            <v>99</v>
          </cell>
          <cell r="Y1202">
            <v>0</v>
          </cell>
          <cell r="Z1202">
            <v>0</v>
          </cell>
          <cell r="AB1202" t="str">
            <v>14</v>
          </cell>
          <cell r="AC1202">
            <v>8</v>
          </cell>
          <cell r="AD1202" t="str">
            <v>0</v>
          </cell>
          <cell r="AE1202" t="str">
            <v>0</v>
          </cell>
          <cell r="AF1202" t="str">
            <v>00</v>
          </cell>
        </row>
        <row r="1203">
          <cell r="A1203" t="str">
            <v>02</v>
          </cell>
          <cell r="B1203" t="str">
            <v>02</v>
          </cell>
          <cell r="C1203" t="str">
            <v>666</v>
          </cell>
          <cell r="D1203" t="str">
            <v>Машина подкопочная М</v>
          </cell>
          <cell r="E1203" t="str">
            <v>ПТ-820 зав.N8</v>
          </cell>
          <cell r="F1203" t="str">
            <v>г.Верхние Луки ЦБПО</v>
          </cell>
          <cell r="G1203" t="str">
            <v>02</v>
          </cell>
          <cell r="H1203">
            <v>190000</v>
          </cell>
          <cell r="I1203">
            <v>0</v>
          </cell>
          <cell r="J1203">
            <v>0</v>
          </cell>
          <cell r="L1203" t="str">
            <v>20</v>
          </cell>
          <cell r="M1203" t="str">
            <v>43803</v>
          </cell>
          <cell r="P1203">
            <v>33.299999999999997</v>
          </cell>
          <cell r="Q1203">
            <v>0</v>
          </cell>
          <cell r="R1203" t="str">
            <v>1</v>
          </cell>
          <cell r="S1203" t="str">
            <v>43</v>
          </cell>
          <cell r="T1203">
            <v>99</v>
          </cell>
          <cell r="U1203">
            <v>7</v>
          </cell>
          <cell r="V1203">
            <v>99</v>
          </cell>
          <cell r="W1203">
            <v>7</v>
          </cell>
          <cell r="X1203">
            <v>99</v>
          </cell>
          <cell r="Y1203">
            <v>0</v>
          </cell>
          <cell r="Z1203">
            <v>0</v>
          </cell>
          <cell r="AD1203" t="str">
            <v>0</v>
          </cell>
          <cell r="AE1203" t="str">
            <v>0</v>
          </cell>
          <cell r="AF1203" t="str">
            <v>00</v>
          </cell>
        </row>
        <row r="1204">
          <cell r="A1204" t="str">
            <v>02</v>
          </cell>
          <cell r="B1204" t="str">
            <v>03</v>
          </cell>
          <cell r="C1204" t="str">
            <v>667</v>
          </cell>
          <cell r="D1204" t="str">
            <v>Эл.станция дизельная</v>
          </cell>
          <cell r="E1204" t="str">
            <v>на прицепе АД100-Т40</v>
          </cell>
          <cell r="F1204" t="str">
            <v>0</v>
          </cell>
          <cell r="G1204" t="str">
            <v>02</v>
          </cell>
          <cell r="H1204">
            <v>168500</v>
          </cell>
          <cell r="I1204">
            <v>0</v>
          </cell>
          <cell r="J1204">
            <v>185350</v>
          </cell>
          <cell r="L1204" t="str">
            <v>26</v>
          </cell>
          <cell r="M1204" t="str">
            <v>40307</v>
          </cell>
          <cell r="P1204">
            <v>14.3</v>
          </cell>
          <cell r="Q1204">
            <v>0</v>
          </cell>
          <cell r="R1204" t="str">
            <v>1</v>
          </cell>
          <cell r="S1204" t="str">
            <v>40</v>
          </cell>
          <cell r="T1204">
            <v>99</v>
          </cell>
          <cell r="U1204">
            <v>7</v>
          </cell>
          <cell r="V1204">
            <v>99</v>
          </cell>
          <cell r="W1204">
            <v>7</v>
          </cell>
          <cell r="X1204">
            <v>99</v>
          </cell>
          <cell r="Y1204">
            <v>7</v>
          </cell>
          <cell r="Z1204">
            <v>99</v>
          </cell>
          <cell r="AD1204" t="str">
            <v>0</v>
          </cell>
          <cell r="AE1204" t="str">
            <v>0</v>
          </cell>
          <cell r="AF1204" t="str">
            <v>00</v>
          </cell>
        </row>
        <row r="1205">
          <cell r="A1205" t="str">
            <v>02</v>
          </cell>
          <cell r="B1205" t="str">
            <v>02</v>
          </cell>
          <cell r="C1205" t="str">
            <v>668</v>
          </cell>
          <cell r="D1205" t="str">
            <v>Радиотелефон MCS2000</v>
          </cell>
          <cell r="E1205" t="str">
            <v>зав.N623 изг.США "Мо</v>
          </cell>
          <cell r="F1205" t="str">
            <v>торолла ИНК"</v>
          </cell>
          <cell r="G1205" t="str">
            <v>02</v>
          </cell>
          <cell r="H1205">
            <v>15931.68</v>
          </cell>
          <cell r="I1205">
            <v>0</v>
          </cell>
          <cell r="J1205">
            <v>0</v>
          </cell>
          <cell r="L1205" t="str">
            <v>20</v>
          </cell>
          <cell r="M1205" t="str">
            <v>45620</v>
          </cell>
          <cell r="P1205">
            <v>12.5</v>
          </cell>
          <cell r="Q1205">
            <v>0</v>
          </cell>
          <cell r="R1205" t="str">
            <v>1</v>
          </cell>
          <cell r="S1205" t="str">
            <v>45</v>
          </cell>
          <cell r="T1205">
            <v>99</v>
          </cell>
          <cell r="U1205">
            <v>7</v>
          </cell>
          <cell r="V1205">
            <v>99</v>
          </cell>
          <cell r="W1205">
            <v>7</v>
          </cell>
          <cell r="X1205">
            <v>99</v>
          </cell>
          <cell r="Y1205">
            <v>0</v>
          </cell>
          <cell r="Z1205">
            <v>0</v>
          </cell>
          <cell r="AD1205" t="str">
            <v>0</v>
          </cell>
          <cell r="AE1205" t="str">
            <v>0</v>
          </cell>
          <cell r="AF1205" t="str">
            <v>00</v>
          </cell>
        </row>
        <row r="1206">
          <cell r="A1206" t="str">
            <v>02</v>
          </cell>
          <cell r="B1206" t="str">
            <v>51</v>
          </cell>
          <cell r="C1206" t="str">
            <v>669</v>
          </cell>
          <cell r="D1206" t="str">
            <v>Радиотелефон MCS2000</v>
          </cell>
          <cell r="E1206" t="str">
            <v>изг.США "Моторолла И</v>
          </cell>
          <cell r="F1206" t="str">
            <v>НК" зав.N</v>
          </cell>
          <cell r="G1206" t="str">
            <v>02</v>
          </cell>
          <cell r="H1206">
            <v>15931.68</v>
          </cell>
          <cell r="I1206">
            <v>0</v>
          </cell>
          <cell r="J1206">
            <v>0</v>
          </cell>
          <cell r="L1206" t="str">
            <v>20</v>
          </cell>
          <cell r="M1206" t="str">
            <v>45620</v>
          </cell>
          <cell r="P1206">
            <v>12.5</v>
          </cell>
          <cell r="Q1206">
            <v>0</v>
          </cell>
          <cell r="R1206" t="str">
            <v>1</v>
          </cell>
          <cell r="S1206" t="str">
            <v>45</v>
          </cell>
          <cell r="T1206">
            <v>99</v>
          </cell>
          <cell r="U1206">
            <v>7</v>
          </cell>
          <cell r="V1206">
            <v>99</v>
          </cell>
          <cell r="W1206">
            <v>7</v>
          </cell>
          <cell r="X1206">
            <v>99</v>
          </cell>
          <cell r="Y1206">
            <v>0</v>
          </cell>
          <cell r="Z1206">
            <v>0</v>
          </cell>
          <cell r="AD1206" t="str">
            <v>0</v>
          </cell>
          <cell r="AE1206" t="str">
            <v>0</v>
          </cell>
          <cell r="AF1206" t="str">
            <v>00</v>
          </cell>
        </row>
        <row r="1207">
          <cell r="A1207" t="str">
            <v>02</v>
          </cell>
          <cell r="B1207" t="str">
            <v>02</v>
          </cell>
          <cell r="C1207" t="str">
            <v>670</v>
          </cell>
          <cell r="D1207" t="str">
            <v>Подвеска троллейная</v>
          </cell>
          <cell r="E1207" t="str">
            <v>роликоканатная 820</v>
          </cell>
          <cell r="F1207" t="str">
            <v>зав.N9</v>
          </cell>
          <cell r="G1207" t="str">
            <v>02</v>
          </cell>
          <cell r="H1207">
            <v>78696.44</v>
          </cell>
          <cell r="I1207">
            <v>0</v>
          </cell>
          <cell r="J1207">
            <v>0</v>
          </cell>
          <cell r="L1207" t="str">
            <v>20</v>
          </cell>
          <cell r="M1207" t="str">
            <v>43814</v>
          </cell>
          <cell r="P1207">
            <v>33.299999999999997</v>
          </cell>
          <cell r="Q1207">
            <v>0</v>
          </cell>
          <cell r="R1207" t="str">
            <v>1</v>
          </cell>
          <cell r="S1207" t="str">
            <v>43</v>
          </cell>
          <cell r="T1207">
            <v>99</v>
          </cell>
          <cell r="U1207">
            <v>7</v>
          </cell>
          <cell r="V1207">
            <v>99</v>
          </cell>
          <cell r="W1207">
            <v>7</v>
          </cell>
          <cell r="X1207">
            <v>99</v>
          </cell>
          <cell r="Y1207">
            <v>0</v>
          </cell>
          <cell r="Z1207">
            <v>0</v>
          </cell>
          <cell r="AD1207" t="str">
            <v>0</v>
          </cell>
          <cell r="AE1207" t="str">
            <v>0</v>
          </cell>
          <cell r="AF1207" t="str">
            <v>00</v>
          </cell>
        </row>
        <row r="1208">
          <cell r="A1208" t="str">
            <v>02</v>
          </cell>
          <cell r="B1208" t="str">
            <v>02</v>
          </cell>
          <cell r="C1208" t="str">
            <v>671</v>
          </cell>
          <cell r="D1208" t="str">
            <v>Подвеска троллейная</v>
          </cell>
          <cell r="E1208" t="str">
            <v>роликоканатная 820</v>
          </cell>
          <cell r="F1208" t="str">
            <v>зав.N10</v>
          </cell>
          <cell r="G1208" t="str">
            <v>02</v>
          </cell>
          <cell r="H1208">
            <v>78696.44</v>
          </cell>
          <cell r="I1208">
            <v>0</v>
          </cell>
          <cell r="J1208">
            <v>0</v>
          </cell>
          <cell r="L1208" t="str">
            <v>20</v>
          </cell>
          <cell r="M1208" t="str">
            <v>43814</v>
          </cell>
          <cell r="P1208">
            <v>33.299999999999997</v>
          </cell>
          <cell r="Q1208">
            <v>0</v>
          </cell>
          <cell r="R1208" t="str">
            <v>1</v>
          </cell>
          <cell r="S1208" t="str">
            <v>43</v>
          </cell>
          <cell r="T1208">
            <v>99</v>
          </cell>
          <cell r="U1208">
            <v>7</v>
          </cell>
          <cell r="V1208">
            <v>99</v>
          </cell>
          <cell r="W1208">
            <v>7</v>
          </cell>
          <cell r="X1208">
            <v>99</v>
          </cell>
          <cell r="Y1208">
            <v>0</v>
          </cell>
          <cell r="Z1208">
            <v>0</v>
          </cell>
          <cell r="AD1208" t="str">
            <v>0</v>
          </cell>
          <cell r="AE1208" t="str">
            <v>0</v>
          </cell>
          <cell r="AF1208" t="str">
            <v>00</v>
          </cell>
        </row>
        <row r="1209">
          <cell r="A1209" t="str">
            <v>02</v>
          </cell>
          <cell r="B1209" t="str">
            <v>02</v>
          </cell>
          <cell r="C1209" t="str">
            <v>672</v>
          </cell>
          <cell r="D1209" t="str">
            <v>Подвеска троллейная</v>
          </cell>
          <cell r="E1209" t="str">
            <v>роликоканатная 820</v>
          </cell>
          <cell r="F1209" t="str">
            <v>зав.N11</v>
          </cell>
          <cell r="G1209" t="str">
            <v>02</v>
          </cell>
          <cell r="H1209">
            <v>78696.44</v>
          </cell>
          <cell r="I1209">
            <v>0</v>
          </cell>
          <cell r="J1209">
            <v>0</v>
          </cell>
          <cell r="L1209" t="str">
            <v>20</v>
          </cell>
          <cell r="M1209" t="str">
            <v>43814</v>
          </cell>
          <cell r="P1209">
            <v>33.299999999999997</v>
          </cell>
          <cell r="Q1209">
            <v>0</v>
          </cell>
          <cell r="R1209" t="str">
            <v>1</v>
          </cell>
          <cell r="S1209" t="str">
            <v>43</v>
          </cell>
          <cell r="T1209">
            <v>99</v>
          </cell>
          <cell r="U1209">
            <v>7</v>
          </cell>
          <cell r="V1209">
            <v>99</v>
          </cell>
          <cell r="W1209">
            <v>7</v>
          </cell>
          <cell r="X1209">
            <v>99</v>
          </cell>
          <cell r="Y1209">
            <v>0</v>
          </cell>
          <cell r="Z1209">
            <v>0</v>
          </cell>
          <cell r="AD1209" t="str">
            <v>0</v>
          </cell>
          <cell r="AE1209" t="str">
            <v>0</v>
          </cell>
          <cell r="AF1209" t="str">
            <v>00</v>
          </cell>
        </row>
        <row r="1210">
          <cell r="A1210" t="str">
            <v>02</v>
          </cell>
          <cell r="B1210" t="str">
            <v>02</v>
          </cell>
          <cell r="C1210" t="str">
            <v>673</v>
          </cell>
          <cell r="D1210" t="str">
            <v>Эл.двигатель ВА-160</v>
          </cell>
          <cell r="E1210" t="str">
            <v>М8 1081 11/750 изг.З</v>
          </cell>
          <cell r="F1210" t="str">
            <v>АО "Электромаш"</v>
          </cell>
          <cell r="G1210" t="str">
            <v>07</v>
          </cell>
          <cell r="H1210">
            <v>7238.33</v>
          </cell>
          <cell r="I1210">
            <v>0</v>
          </cell>
          <cell r="J1210">
            <v>0</v>
          </cell>
          <cell r="L1210" t="str">
            <v>20</v>
          </cell>
          <cell r="M1210" t="str">
            <v>40200</v>
          </cell>
          <cell r="P1210">
            <v>6.6</v>
          </cell>
          <cell r="Q1210">
            <v>0</v>
          </cell>
          <cell r="R1210" t="str">
            <v>1</v>
          </cell>
          <cell r="S1210" t="str">
            <v>40</v>
          </cell>
          <cell r="T1210">
            <v>99</v>
          </cell>
          <cell r="U1210">
            <v>7</v>
          </cell>
          <cell r="V1210">
            <v>99</v>
          </cell>
          <cell r="W1210">
            <v>7</v>
          </cell>
          <cell r="X1210">
            <v>99</v>
          </cell>
          <cell r="Y1210">
            <v>0</v>
          </cell>
          <cell r="Z1210">
            <v>0</v>
          </cell>
          <cell r="AD1210" t="str">
            <v>0</v>
          </cell>
          <cell r="AE1210" t="str">
            <v>0</v>
          </cell>
          <cell r="AF1210" t="str">
            <v>00</v>
          </cell>
        </row>
        <row r="1211">
          <cell r="A1211" t="str">
            <v>02</v>
          </cell>
          <cell r="B1211" t="str">
            <v>02</v>
          </cell>
          <cell r="C1211" t="str">
            <v>674</v>
          </cell>
          <cell r="D1211" t="str">
            <v>Эл.двигатель ВА-160</v>
          </cell>
          <cell r="E1211" t="str">
            <v>М8 1081 11/750 изг.З</v>
          </cell>
          <cell r="F1211" t="str">
            <v>АО "Электромаш"</v>
          </cell>
          <cell r="G1211" t="str">
            <v>07</v>
          </cell>
          <cell r="H1211">
            <v>7238.34</v>
          </cell>
          <cell r="I1211">
            <v>0</v>
          </cell>
          <cell r="J1211">
            <v>0</v>
          </cell>
          <cell r="L1211" t="str">
            <v>20</v>
          </cell>
          <cell r="M1211" t="str">
            <v>40200</v>
          </cell>
          <cell r="P1211">
            <v>6.6</v>
          </cell>
          <cell r="Q1211">
            <v>0</v>
          </cell>
          <cell r="R1211" t="str">
            <v>1</v>
          </cell>
          <cell r="S1211" t="str">
            <v>40</v>
          </cell>
          <cell r="T1211">
            <v>99</v>
          </cell>
          <cell r="U1211">
            <v>7</v>
          </cell>
          <cell r="V1211">
            <v>99</v>
          </cell>
          <cell r="W1211">
            <v>7</v>
          </cell>
          <cell r="X1211">
            <v>99</v>
          </cell>
          <cell r="Y1211">
            <v>0</v>
          </cell>
          <cell r="Z1211">
            <v>0</v>
          </cell>
          <cell r="AD1211" t="str">
            <v>0</v>
          </cell>
          <cell r="AE1211" t="str">
            <v>0</v>
          </cell>
          <cell r="AF1211" t="str">
            <v>00</v>
          </cell>
        </row>
      </sheetData>
      <sheetData sheetId="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аспорт"/>
      <sheetName val="Инструкция"/>
      <sheetName val="Титульный"/>
      <sheetName val="Оценка"/>
      <sheetName val="Проверка"/>
      <sheetName val="REESTR"/>
      <sheetName val="et_union"/>
      <sheetName val="TEHSHEET"/>
      <sheetName val="Заголовок"/>
      <sheetName val="Заголовок2"/>
      <sheetName val="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A2" t="str">
            <v>Московская область</v>
          </cell>
        </row>
        <row r="3">
          <cell r="A3" t="str">
            <v>Волоколамский муниципальный район</v>
          </cell>
        </row>
        <row r="4">
          <cell r="A4" t="str">
            <v>Воскресенский муниципальный район</v>
          </cell>
        </row>
        <row r="5">
          <cell r="A5" t="str">
            <v>Город Балашиха</v>
          </cell>
        </row>
        <row r="6">
          <cell r="A6" t="str">
            <v>Город Бронницы</v>
          </cell>
        </row>
        <row r="7">
          <cell r="A7" t="str">
            <v>Город Дзержинский</v>
          </cell>
        </row>
        <row r="8">
          <cell r="A8" t="str">
            <v>Город Долгопрудный</v>
          </cell>
        </row>
        <row r="9">
          <cell r="A9" t="str">
            <v>Город Домодедово</v>
          </cell>
        </row>
        <row r="10">
          <cell r="A10" t="str">
            <v>Город Дубна</v>
          </cell>
        </row>
        <row r="11">
          <cell r="A11" t="str">
            <v>Город Железнодорожный</v>
          </cell>
        </row>
        <row r="12">
          <cell r="A12" t="str">
            <v>Город Жуковский</v>
          </cell>
        </row>
        <row r="13">
          <cell r="A13" t="str">
            <v>Город Звенигород</v>
          </cell>
        </row>
        <row r="14">
          <cell r="A14" t="str">
            <v>Город Ивантеевка</v>
          </cell>
        </row>
        <row r="15">
          <cell r="A15" t="str">
            <v>Город Климовск</v>
          </cell>
        </row>
        <row r="16">
          <cell r="A16" t="str">
            <v>Город Коломна</v>
          </cell>
        </row>
        <row r="17">
          <cell r="A17" t="str">
            <v>Город Королев</v>
          </cell>
        </row>
        <row r="18">
          <cell r="A18" t="str">
            <v>Город Котельники</v>
          </cell>
        </row>
        <row r="19">
          <cell r="A19" t="str">
            <v>Город Красноармейск</v>
          </cell>
        </row>
        <row r="20">
          <cell r="A20" t="str">
            <v>Город Краснознаменск (ЗАТО)</v>
          </cell>
        </row>
        <row r="21">
          <cell r="A21" t="str">
            <v>Город Лобня</v>
          </cell>
        </row>
        <row r="22">
          <cell r="A22" t="str">
            <v>Город Лосино-Петровский</v>
          </cell>
        </row>
        <row r="23">
          <cell r="A23" t="str">
            <v>Город Лыткарино</v>
          </cell>
        </row>
        <row r="24">
          <cell r="A24" t="str">
            <v>Город Орехово-Зуево</v>
          </cell>
        </row>
        <row r="25">
          <cell r="A25" t="str">
            <v>Город Подольск</v>
          </cell>
        </row>
        <row r="26">
          <cell r="A26" t="str">
            <v>Город Протвино</v>
          </cell>
        </row>
        <row r="27">
          <cell r="A27" t="str">
            <v>Город Пущино</v>
          </cell>
        </row>
        <row r="28">
          <cell r="A28" t="str">
            <v>Город Реутов</v>
          </cell>
        </row>
        <row r="29">
          <cell r="A29" t="str">
            <v>Город Рошаль</v>
          </cell>
        </row>
        <row r="30">
          <cell r="A30" t="str">
            <v>Город Серпухов</v>
          </cell>
        </row>
        <row r="31">
          <cell r="A31" t="str">
            <v>Город Троицк</v>
          </cell>
        </row>
        <row r="32">
          <cell r="A32" t="str">
            <v>Город Фрязино</v>
          </cell>
        </row>
        <row r="33">
          <cell r="A33" t="str">
            <v>Город Химки</v>
          </cell>
        </row>
        <row r="34">
          <cell r="A34" t="str">
            <v>Город Черноголовка</v>
          </cell>
        </row>
        <row r="35">
          <cell r="A35" t="str">
            <v>Город Щербинка</v>
          </cell>
        </row>
        <row r="36">
          <cell r="A36" t="str">
            <v>Город Электрогорск</v>
          </cell>
        </row>
        <row r="37">
          <cell r="A37" t="str">
            <v>Город Электросталь</v>
          </cell>
        </row>
        <row r="38">
          <cell r="A38" t="str">
            <v>Город Юбилейный</v>
          </cell>
        </row>
        <row r="39">
          <cell r="A39" t="str">
            <v>Дмитровский муниципальный район</v>
          </cell>
        </row>
        <row r="40">
          <cell r="A40" t="str">
            <v>Егорьевский муниципальный район</v>
          </cell>
        </row>
        <row r="41">
          <cell r="A41" t="str">
            <v>Зарайский муниципальный район</v>
          </cell>
        </row>
        <row r="42">
          <cell r="A42" t="str">
            <v>Истринский муниципальный район</v>
          </cell>
        </row>
        <row r="43">
          <cell r="A43" t="str">
            <v>Каширский муниципальный район</v>
          </cell>
        </row>
        <row r="44">
          <cell r="A44" t="str">
            <v>Клинский муниципальный район</v>
          </cell>
        </row>
        <row r="45">
          <cell r="A45" t="str">
            <v>Коломенский муниципальный район</v>
          </cell>
        </row>
        <row r="46">
          <cell r="A46" t="str">
            <v>Красногорский муниципальный район</v>
          </cell>
        </row>
        <row r="47">
          <cell r="A47" t="str">
            <v>Ленинский муниципальный район</v>
          </cell>
        </row>
        <row r="48">
          <cell r="A48" t="str">
            <v>Лотошинский муниципальный район</v>
          </cell>
        </row>
        <row r="49">
          <cell r="A49" t="str">
            <v>Луховицкий муниципальный район</v>
          </cell>
        </row>
        <row r="50">
          <cell r="A50" t="str">
            <v>Люберецкий муниципальный район</v>
          </cell>
        </row>
        <row r="51">
          <cell r="A51" t="str">
            <v>Можайский муниципальный район</v>
          </cell>
        </row>
        <row r="52">
          <cell r="A52" t="str">
            <v>Мытищинский муниципальный район</v>
          </cell>
        </row>
        <row r="53">
          <cell r="A53" t="str">
            <v>Наро-Фоминский муниципальный район</v>
          </cell>
        </row>
        <row r="54">
          <cell r="A54" t="str">
            <v>Ногинский муниципальный район</v>
          </cell>
        </row>
        <row r="55">
          <cell r="A55" t="str">
            <v>Одинцовский муниципальный район</v>
          </cell>
        </row>
        <row r="56">
          <cell r="A56" t="str">
            <v>Озерский муниципальный район</v>
          </cell>
        </row>
        <row r="57">
          <cell r="A57" t="str">
            <v>Орехово-Зуевский муниципальный район</v>
          </cell>
        </row>
        <row r="58">
          <cell r="A58" t="str">
            <v>Павлово-Посадский муниципальный район</v>
          </cell>
        </row>
        <row r="59">
          <cell r="A59" t="str">
            <v>Подольский муниципальный район</v>
          </cell>
        </row>
        <row r="60">
          <cell r="A60" t="str">
            <v>Поселок Восход (ЗАТО)</v>
          </cell>
        </row>
        <row r="61">
          <cell r="A61" t="str">
            <v>Поселок Молодежный (ЗАТО)</v>
          </cell>
        </row>
        <row r="62">
          <cell r="A62" t="str">
            <v>Пушкинский муниципальный район</v>
          </cell>
        </row>
        <row r="63">
          <cell r="A63" t="str">
            <v>Раменский муниципальный район</v>
          </cell>
        </row>
        <row r="64">
          <cell r="A64" t="str">
            <v>Рузский муниципальный район</v>
          </cell>
        </row>
        <row r="65">
          <cell r="A65" t="str">
            <v>Сергиево-Посадский муниципальный район</v>
          </cell>
        </row>
        <row r="66">
          <cell r="A66" t="str">
            <v>Серебряно-Прудский муниципальный район</v>
          </cell>
        </row>
        <row r="67">
          <cell r="A67" t="str">
            <v>Серпуховский муниципальный район</v>
          </cell>
        </row>
        <row r="68">
          <cell r="A68" t="str">
            <v>Солнечногорский муниципальный район</v>
          </cell>
        </row>
        <row r="69">
          <cell r="A69" t="str">
            <v>Ступинский муниципальный район</v>
          </cell>
        </row>
        <row r="70">
          <cell r="A70" t="str">
            <v>Талдомский муниципальный район</v>
          </cell>
        </row>
        <row r="71">
          <cell r="A71" t="str">
            <v>Чеховский муниципальный район</v>
          </cell>
        </row>
        <row r="72">
          <cell r="A72" t="str">
            <v>Шатурский муниципальный район</v>
          </cell>
        </row>
        <row r="73">
          <cell r="A73" t="str">
            <v>Шаховской муниципальный район</v>
          </cell>
        </row>
        <row r="74">
          <cell r="A74" t="str">
            <v>Щелковский муниципальный район</v>
          </cell>
        </row>
      </sheetData>
      <sheetData sheetId="8"/>
      <sheetData sheetId="9"/>
      <sheetData sheetId="10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просник"/>
      <sheetName val="Программа_Проверки"/>
      <sheetName val="Распределение"/>
      <sheetName val="ОтчетНЗ"/>
      <sheetName val="Переменные"/>
      <sheetName val="Содержание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ОБ03"/>
      <sheetName val="МОБ04"/>
      <sheetName val="МОБ04_старый"/>
      <sheetName val="2005сц"/>
      <sheetName val="Темпы промышл"/>
      <sheetName val="Temp"/>
      <sheetName val="Deflator"/>
      <sheetName val="окраска"/>
      <sheetName val="Matrix"/>
      <sheetName val="Лист2"/>
      <sheetName val="Matrix (2)"/>
      <sheetName val="В_2оп_цены"/>
      <sheetName val="Лист4"/>
      <sheetName val="2005 - 2008 текущие цены"/>
      <sheetName val="Печать_V2"/>
      <sheetName val="Печ 2оп"/>
      <sheetName val="СводБВ"/>
      <sheetName val="Отр"/>
      <sheetName val="ОГУ"/>
      <sheetName val="ИОК"/>
      <sheetName val="Исходные данные"/>
      <sheetName val="Расчет"/>
      <sheetName val="рабочий"/>
      <sheetName val="Текущие цены"/>
      <sheetName val="Оглавление"/>
      <sheetName val="Печать Выпусков"/>
      <sheetName val="Печать ИОК"/>
      <sheetName val="Печать фондов"/>
      <sheetName val="Огл. Графиков"/>
      <sheetName val="Баланс О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7">
          <cell r="C7">
            <v>1</v>
          </cell>
          <cell r="D7">
            <v>0.96823653094377704</v>
          </cell>
          <cell r="E7">
            <v>0.96823653094377704</v>
          </cell>
          <cell r="F7">
            <v>1.1229601901335196</v>
          </cell>
          <cell r="G7">
            <v>1.0161446914977652</v>
          </cell>
          <cell r="H7">
            <v>0.99805999075066543</v>
          </cell>
          <cell r="I7">
            <v>1.0396119004194233</v>
          </cell>
          <cell r="J7">
            <v>0.98049752943558566</v>
          </cell>
          <cell r="K7">
            <v>0.99259132902537861</v>
          </cell>
          <cell r="L7">
            <v>1.1044472842847237</v>
          </cell>
          <cell r="M7">
            <v>1.0348386163581633</v>
          </cell>
          <cell r="N7">
            <v>1.0395740996174592</v>
          </cell>
          <cell r="O7">
            <v>1.0540458226402531</v>
          </cell>
          <cell r="P7">
            <v>0.96817585107915716</v>
          </cell>
          <cell r="Q7">
            <v>1.0294219108120777</v>
          </cell>
          <cell r="R7">
            <v>1.0399571051610308</v>
          </cell>
          <cell r="S7">
            <v>1.1119741325716432</v>
          </cell>
          <cell r="T7">
            <v>1.0990743618652594</v>
          </cell>
          <cell r="U7">
            <v>1.1000778357313643</v>
          </cell>
          <cell r="V7">
            <v>1.0230732575483696</v>
          </cell>
          <cell r="W7">
            <v>1.0561540342743616</v>
          </cell>
          <cell r="X7">
            <v>1.0313101518559431</v>
          </cell>
          <cell r="Y7">
            <v>1.0344522207555042</v>
          </cell>
          <cell r="Z7">
            <v>1.0230732575483696</v>
          </cell>
        </row>
        <row r="8">
          <cell r="C8">
            <v>1.0328054850659909</v>
          </cell>
          <cell r="D8">
            <v>1</v>
          </cell>
          <cell r="E8">
            <v>1</v>
          </cell>
          <cell r="F8">
            <v>1.1597994438806472</v>
          </cell>
          <cell r="G8">
            <v>1.0494798109995811</v>
          </cell>
          <cell r="H8">
            <v>1.0308018328721995</v>
          </cell>
          <cell r="I8">
            <v>1.0737168730930593</v>
          </cell>
          <cell r="J8">
            <v>1.0126632264947257</v>
          </cell>
          <cell r="K8">
            <v>1.0251537690463528</v>
          </cell>
          <cell r="L8">
            <v>1.1406792131755006</v>
          </cell>
          <cell r="M8">
            <v>1.0687869991328118</v>
          </cell>
          <cell r="N8">
            <v>1.0736778322174507</v>
          </cell>
          <cell r="O8">
            <v>1.0886243071337482</v>
          </cell>
          <cell r="P8">
            <v>0.99993732950298753</v>
          </cell>
          <cell r="Q8">
            <v>1.0631925959338271</v>
          </cell>
          <cell r="R8">
            <v>1.0740734024436622</v>
          </cell>
          <cell r="S8">
            <v>1.1484529833714905</v>
          </cell>
          <cell r="T8">
            <v>1.1351300294298439</v>
          </cell>
          <cell r="U8">
            <v>1.1361664227428774</v>
          </cell>
          <cell r="V8">
            <v>1.0566356720202874</v>
          </cell>
          <cell r="W8">
            <v>1.0908016796731355</v>
          </cell>
          <cell r="X8">
            <v>1.0651427816410579</v>
          </cell>
          <cell r="Y8">
            <v>1.0683879276349801</v>
          </cell>
          <cell r="Z8">
            <v>1.0566356720202874</v>
          </cell>
        </row>
        <row r="9">
          <cell r="C9">
            <v>1.0328054850659909</v>
          </cell>
          <cell r="D9">
            <v>1</v>
          </cell>
          <cell r="E9">
            <v>1</v>
          </cell>
          <cell r="F9">
            <v>1.1597994438806472</v>
          </cell>
          <cell r="G9">
            <v>1.0494798109995811</v>
          </cell>
          <cell r="H9">
            <v>1.0308018328721995</v>
          </cell>
          <cell r="I9">
            <v>1.0737168730930593</v>
          </cell>
          <cell r="J9">
            <v>1.0126632264947257</v>
          </cell>
          <cell r="K9">
            <v>1.0251537690463528</v>
          </cell>
          <cell r="L9">
            <v>1.1406792131755006</v>
          </cell>
          <cell r="M9">
            <v>1.0687869991328118</v>
          </cell>
          <cell r="N9">
            <v>1.0736778322174507</v>
          </cell>
          <cell r="O9">
            <v>1.0886243071337482</v>
          </cell>
          <cell r="P9">
            <v>0.99993732950298753</v>
          </cell>
          <cell r="Q9">
            <v>1.0631925959338271</v>
          </cell>
          <cell r="R9">
            <v>1.0740734024436622</v>
          </cell>
          <cell r="S9">
            <v>1.1484529833714905</v>
          </cell>
          <cell r="T9">
            <v>1.1351300294298439</v>
          </cell>
          <cell r="U9">
            <v>1.1361664227428774</v>
          </cell>
          <cell r="V9">
            <v>1.0566356720202874</v>
          </cell>
          <cell r="W9">
            <v>1.0908016796731355</v>
          </cell>
          <cell r="X9">
            <v>1.0651427816410579</v>
          </cell>
          <cell r="Y9">
            <v>1.0683879276349801</v>
          </cell>
          <cell r="Z9">
            <v>1.0566356720202874</v>
          </cell>
        </row>
        <row r="10">
          <cell r="C10">
            <v>0.89050351809987172</v>
          </cell>
          <cell r="D10">
            <v>0.86221803715824874</v>
          </cell>
          <cell r="E10">
            <v>0.86221803715824874</v>
          </cell>
          <cell r="F10">
            <v>1</v>
          </cell>
          <cell r="G10">
            <v>0.90488042267726876</v>
          </cell>
          <cell r="H10">
            <v>0.88877593303819302</v>
          </cell>
          <cell r="I10">
            <v>0.92577805478199005</v>
          </cell>
          <cell r="J10">
            <v>0.87313649945062155</v>
          </cell>
          <cell r="K10">
            <v>0.88390607053252701</v>
          </cell>
          <cell r="L10">
            <v>0.98351419221139569</v>
          </cell>
          <cell r="M10">
            <v>0.92152742853254788</v>
          </cell>
          <cell r="N10">
            <v>0.92574439303485401</v>
          </cell>
          <cell r="O10">
            <v>0.93863151329961891</v>
          </cell>
          <cell r="P10">
            <v>0.86216400152532702</v>
          </cell>
          <cell r="Q10">
            <v>0.91670383318724757</v>
          </cell>
          <cell r="R10">
            <v>0.92608546081885623</v>
          </cell>
          <cell r="S10">
            <v>0.9902168770911014</v>
          </cell>
          <cell r="T10">
            <v>0.97872958589438508</v>
          </cell>
          <cell r="U10">
            <v>0.97962318290247274</v>
          </cell>
          <cell r="V10">
            <v>0.91105033512071931</v>
          </cell>
          <cell r="W10">
            <v>0.94050888317669157</v>
          </cell>
          <cell r="X10">
            <v>0.91838531847983018</v>
          </cell>
          <cell r="Y10">
            <v>0.92118334188900164</v>
          </cell>
          <cell r="Z10">
            <v>0.91105033512071931</v>
          </cell>
        </row>
        <row r="11">
          <cell r="C11">
            <v>0.98411181829433314</v>
          </cell>
          <cell r="D11">
            <v>0.95285301300607783</v>
          </cell>
          <cell r="E11">
            <v>0.95285301300607783</v>
          </cell>
          <cell r="F11">
            <v>1.105118394584448</v>
          </cell>
          <cell r="G11">
            <v>1</v>
          </cell>
          <cell r="H11">
            <v>0.98220263226446269</v>
          </cell>
          <cell r="I11">
            <v>1.023094357642186</v>
          </cell>
          <cell r="J11">
            <v>0.96491920652595564</v>
          </cell>
          <cell r="K11">
            <v>0.97682085763035409</v>
          </cell>
          <cell r="L11">
            <v>1.0868996251476779</v>
          </cell>
          <cell r="M11">
            <v>1.018396912385424</v>
          </cell>
          <cell r="N11">
            <v>1.0230571574262322</v>
          </cell>
          <cell r="O11">
            <v>1.0372989510840458</v>
          </cell>
          <cell r="P11">
            <v>0.95279329723417294</v>
          </cell>
          <cell r="Q11">
            <v>1.0130662684413005</v>
          </cell>
          <cell r="R11">
            <v>1.0234340777081332</v>
          </cell>
          <cell r="S11">
            <v>1.0943068855013436</v>
          </cell>
          <cell r="T11">
            <v>1.0816120686959045</v>
          </cell>
          <cell r="U11">
            <v>1.0825995991868878</v>
          </cell>
          <cell r="V11">
            <v>1.0068184837342327</v>
          </cell>
          <cell r="W11">
            <v>1.0393736670686375</v>
          </cell>
          <cell r="X11">
            <v>1.0149245087683569</v>
          </cell>
          <cell r="Y11">
            <v>1.0180166559063102</v>
          </cell>
          <cell r="Z11">
            <v>1.0068184837342327</v>
          </cell>
        </row>
        <row r="12">
          <cell r="C12">
            <v>1.001943780200903</v>
          </cell>
          <cell r="D12">
            <v>0.97011856994241652</v>
          </cell>
          <cell r="E12">
            <v>0.97011856994241652</v>
          </cell>
          <cell r="F12">
            <v>1.1251429779175033</v>
          </cell>
          <cell r="G12">
            <v>1.0181198534303513</v>
          </cell>
          <cell r="H12">
            <v>1</v>
          </cell>
          <cell r="I12">
            <v>1.0416326774480817</v>
          </cell>
          <cell r="J12">
            <v>0.98240340112033686</v>
          </cell>
          <cell r="K12">
            <v>0.99452070839832607</v>
          </cell>
          <cell r="L12">
            <v>1.1065940870488575</v>
          </cell>
          <cell r="M12">
            <v>1.0368501151717702</v>
          </cell>
          <cell r="N12">
            <v>1.0415948031696671</v>
          </cell>
          <cell r="O12">
            <v>1.0560946560411459</v>
          </cell>
          <cell r="P12">
            <v>0.9700577721294773</v>
          </cell>
          <cell r="Q12">
            <v>1.03142288074069</v>
          </cell>
          <cell r="R12">
            <v>1.0419785531918313</v>
          </cell>
          <cell r="S12">
            <v>1.1141355658744523</v>
          </cell>
          <cell r="T12">
            <v>1.1012107208491733</v>
          </cell>
          <cell r="U12">
            <v>1.1022161452479111</v>
          </cell>
          <cell r="V12">
            <v>1.0250618870904655</v>
          </cell>
          <cell r="W12">
            <v>1.0582069655752879</v>
          </cell>
          <cell r="X12">
            <v>1.0333147921101109</v>
          </cell>
          <cell r="Y12">
            <v>1.036462968500989</v>
          </cell>
          <cell r="Z12">
            <v>1.0250618870904655</v>
          </cell>
        </row>
        <row r="13">
          <cell r="C13">
            <v>0.96189741536871376</v>
          </cell>
          <cell r="D13">
            <v>0.9313442165803888</v>
          </cell>
          <cell r="E13">
            <v>0.9313442165803888</v>
          </cell>
          <cell r="F13">
            <v>1.0801725044513919</v>
          </cell>
          <cell r="G13">
            <v>0.97742695239233945</v>
          </cell>
          <cell r="H13">
            <v>0.96003132548598746</v>
          </cell>
          <cell r="I13">
            <v>1</v>
          </cell>
          <cell r="J13">
            <v>0.94313803933949925</v>
          </cell>
          <cell r="K13">
            <v>0.95477103390690832</v>
          </cell>
          <cell r="L13">
            <v>1.0623649881644708</v>
          </cell>
          <cell r="M13">
            <v>0.99540859039865326</v>
          </cell>
          <cell r="N13">
            <v>0.99996363950629186</v>
          </cell>
          <cell r="O13">
            <v>1.0138839524778493</v>
          </cell>
          <cell r="P13">
            <v>0.93128584877544607</v>
          </cell>
          <cell r="Q13">
            <v>0.99019827533406013</v>
          </cell>
          <cell r="R13">
            <v>1.0003320515487253</v>
          </cell>
          <cell r="S13">
            <v>1.0696050440775311</v>
          </cell>
          <cell r="T13">
            <v>1.0571967879762116</v>
          </cell>
          <cell r="U13">
            <v>1.0581620268944079</v>
          </cell>
          <cell r="V13">
            <v>0.98409152216862716</v>
          </cell>
          <cell r="W13">
            <v>1.0159118357997485</v>
          </cell>
          <cell r="X13">
            <v>0.99201456951374734</v>
          </cell>
          <cell r="Y13">
            <v>0.99503691746714573</v>
          </cell>
          <cell r="Z13">
            <v>0.98409152216862716</v>
          </cell>
        </row>
        <row r="14">
          <cell r="C14">
            <v>1.0198903821569452</v>
          </cell>
          <cell r="D14">
            <v>0.98749512556256358</v>
          </cell>
          <cell r="E14">
            <v>0.98749512556256358</v>
          </cell>
          <cell r="F14">
            <v>1.1452962974623109</v>
          </cell>
          <cell r="G14">
            <v>1.0363561977384068</v>
          </cell>
          <cell r="H14">
            <v>1.0179117853822532</v>
          </cell>
          <cell r="I14">
            <v>1.0602901784136736</v>
          </cell>
          <cell r="J14">
            <v>1</v>
          </cell>
          <cell r="K14">
            <v>1.0123343498853634</v>
          </cell>
          <cell r="L14">
            <v>1.126415162841347</v>
          </cell>
          <cell r="M14">
            <v>1.0554219519082915</v>
          </cell>
          <cell r="N14">
            <v>1.0602516257393126</v>
          </cell>
          <cell r="O14">
            <v>1.0750111968634994</v>
          </cell>
          <cell r="P14">
            <v>0.9874332387522472</v>
          </cell>
          <cell r="Q14">
            <v>1.0498975060188624</v>
          </cell>
          <cell r="R14">
            <v>1.060642249409514</v>
          </cell>
          <cell r="S14">
            <v>1.1340917230171306</v>
          </cell>
          <cell r="T14">
            <v>1.1209353709416601</v>
          </cell>
          <cell r="U14">
            <v>1.1219588042864463</v>
          </cell>
          <cell r="V14">
            <v>1.0434225756155573</v>
          </cell>
          <cell r="W14">
            <v>1.077161341632678</v>
          </cell>
          <cell r="X14">
            <v>1.0518233048986947</v>
          </cell>
          <cell r="Y14">
            <v>1.0550278707494318</v>
          </cell>
          <cell r="Z14">
            <v>1.0434225756155573</v>
          </cell>
        </row>
        <row r="15">
          <cell r="C15">
            <v>1.0074639690655931</v>
          </cell>
          <cell r="D15">
            <v>0.9754634184589186</v>
          </cell>
          <cell r="E15">
            <v>0.9754634184589186</v>
          </cell>
          <cell r="F15">
            <v>1.1313419302545686</v>
          </cell>
          <cell r="G15">
            <v>1.0237291640412713</v>
          </cell>
          <cell r="H15">
            <v>1.0055094796472346</v>
          </cell>
          <cell r="I15">
            <v>1.0473715314843763</v>
          </cell>
          <cell r="J15">
            <v>0.98781593266418333</v>
          </cell>
          <cell r="K15">
            <v>1</v>
          </cell>
          <cell r="L15">
            <v>1.1126908446492032</v>
          </cell>
          <cell r="M15">
            <v>1.0425626197785418</v>
          </cell>
          <cell r="N15">
            <v>1.0473334485383958</v>
          </cell>
          <cell r="O15">
            <v>1.0619131880541577</v>
          </cell>
          <cell r="P15">
            <v>0.97540228568166631</v>
          </cell>
          <cell r="Q15">
            <v>1.0371054841098228</v>
          </cell>
          <cell r="R15">
            <v>1.0477193128234965</v>
          </cell>
          <cell r="S15">
            <v>1.1202738730988977</v>
          </cell>
          <cell r="T15">
            <v>1.1072778189030084</v>
          </cell>
          <cell r="U15">
            <v>1.1082887826670078</v>
          </cell>
          <cell r="V15">
            <v>1.0307094446945462</v>
          </cell>
          <cell r="W15">
            <v>1.0640371353146869</v>
          </cell>
          <cell r="X15">
            <v>1.039007818926428</v>
          </cell>
          <cell r="Y15">
            <v>1.0421733401310576</v>
          </cell>
          <cell r="Z15">
            <v>1.0307094446945462</v>
          </cell>
        </row>
        <row r="16">
          <cell r="C16">
            <v>0.90543026745512145</v>
          </cell>
          <cell r="D16">
            <v>0.87667066117224302</v>
          </cell>
          <cell r="E16">
            <v>0.87667066117224302</v>
          </cell>
          <cell r="F16">
            <v>1.0167621452940465</v>
          </cell>
          <cell r="G16">
            <v>0.92004815979592347</v>
          </cell>
          <cell r="H16">
            <v>0.90367372436163107</v>
          </cell>
          <cell r="I16">
            <v>0.94129608104628559</v>
          </cell>
          <cell r="J16">
            <v>0.8877721403159482</v>
          </cell>
          <cell r="K16">
            <v>0.89872223251308303</v>
          </cell>
          <cell r="L16">
            <v>1</v>
          </cell>
          <cell r="M16">
            <v>0.93697420518205954</v>
          </cell>
          <cell r="N16">
            <v>0.9412618550560532</v>
          </cell>
          <cell r="O16">
            <v>0.95436499110311801</v>
          </cell>
          <cell r="P16">
            <v>0.87661571978619113</v>
          </cell>
          <cell r="Q16">
            <v>0.9320697560307416</v>
          </cell>
          <cell r="R16">
            <v>0.94160863986780607</v>
          </cell>
          <cell r="S16">
            <v>1.0068150362575194</v>
          </cell>
          <cell r="T16">
            <v>0.99513519341672885</v>
          </cell>
          <cell r="U16">
            <v>0.99604376902770042</v>
          </cell>
          <cell r="V16">
            <v>0.92632149320820267</v>
          </cell>
          <cell r="W16">
            <v>0.95627382972684083</v>
          </cell>
          <cell r="X16">
            <v>0.9337794266241084</v>
          </cell>
          <cell r="Y16">
            <v>0.93662435090820051</v>
          </cell>
          <cell r="Z16">
            <v>0.92632149320820267</v>
          </cell>
        </row>
        <row r="17">
          <cell r="C17">
            <v>0.96633425173021814</v>
          </cell>
          <cell r="D17">
            <v>0.935640123627417</v>
          </cell>
          <cell r="E17">
            <v>0.935640123627417</v>
          </cell>
          <cell r="F17">
            <v>1.0851548950554981</v>
          </cell>
          <cell r="G17">
            <v>0.9819354201081264</v>
          </cell>
          <cell r="H17">
            <v>0.96445955434391273</v>
          </cell>
          <cell r="I17">
            <v>1.0046125878816334</v>
          </cell>
          <cell r="J17">
            <v>0.9474883464304642</v>
          </cell>
          <cell r="K17">
            <v>0.95917499920764204</v>
          </cell>
          <cell r="L17">
            <v>1.06726524003475</v>
          </cell>
          <cell r="M17">
            <v>1</v>
          </cell>
          <cell r="N17">
            <v>1.0045760596719528</v>
          </cell>
          <cell r="O17">
            <v>1.0185605813104313</v>
          </cell>
          <cell r="P17">
            <v>0.9355814865958445</v>
          </cell>
          <cell r="Q17">
            <v>0.99476565189928046</v>
          </cell>
          <cell r="R17">
            <v>1.0049461710473084</v>
          </cell>
          <cell r="S17">
            <v>1.0745386913419772</v>
          </cell>
          <cell r="T17">
            <v>1.0620732010689327</v>
          </cell>
          <cell r="U17">
            <v>1.0630428922364659</v>
          </cell>
          <cell r="V17">
            <v>0.98863073079820052</v>
          </cell>
          <cell r="W17">
            <v>1.0205978184223665</v>
          </cell>
          <cell r="X17">
            <v>0.99659032389549029</v>
          </cell>
          <cell r="Y17">
            <v>0.99962661269443265</v>
          </cell>
          <cell r="Z17">
            <v>0.98863073079820052</v>
          </cell>
        </row>
        <row r="18">
          <cell r="C18">
            <v>0.96193239170539002</v>
          </cell>
          <cell r="D18">
            <v>0.93137808194727734</v>
          </cell>
          <cell r="E18">
            <v>0.93137808194727734</v>
          </cell>
          <cell r="F18">
            <v>1.080211781485076</v>
          </cell>
          <cell r="G18">
            <v>0.97746249341118108</v>
          </cell>
          <cell r="H18">
            <v>0.96006623396824708</v>
          </cell>
          <cell r="I18">
            <v>1.0000363618158417</v>
          </cell>
          <cell r="J18">
            <v>0.943172333551199</v>
          </cell>
          <cell r="K18">
            <v>0.95480575111541421</v>
          </cell>
          <cell r="L18">
            <v>1.0624036176845273</v>
          </cell>
          <cell r="M18">
            <v>0.99544478526250457</v>
          </cell>
          <cell r="N18">
            <v>1</v>
          </cell>
          <cell r="O18">
            <v>1.0139208191394142</v>
          </cell>
          <cell r="P18">
            <v>0.93131971201997521</v>
          </cell>
          <cell r="Q18">
            <v>0.99023428074139463</v>
          </cell>
          <cell r="R18">
            <v>1.0003684254385643</v>
          </cell>
          <cell r="S18">
            <v>1.0696439368591673</v>
          </cell>
          <cell r="T18">
            <v>1.0572352295711245</v>
          </cell>
          <cell r="U18">
            <v>1.0582005035871604</v>
          </cell>
          <cell r="V18">
            <v>0.98412730552332772</v>
          </cell>
          <cell r="W18">
            <v>1.0159487761988333</v>
          </cell>
          <cell r="X18">
            <v>0.99205064096483631</v>
          </cell>
          <cell r="Y18">
            <v>0.99507309881629435</v>
          </cell>
          <cell r="Z18">
            <v>0.98412730552332772</v>
          </cell>
        </row>
        <row r="19">
          <cell r="C19">
            <v>0.94872535758941179</v>
          </cell>
          <cell r="D19">
            <v>0.91859054905076643</v>
          </cell>
          <cell r="E19">
            <v>0.91859054905076643</v>
          </cell>
          <cell r="F19">
            <v>1.0653808079430973</v>
          </cell>
          <cell r="G19">
            <v>0.96404223580379989</v>
          </cell>
          <cell r="H19">
            <v>0.94688482162061016</v>
          </cell>
          <cell r="I19">
            <v>0.98630617197962545</v>
          </cell>
          <cell r="J19">
            <v>0.93022286922931086</v>
          </cell>
          <cell r="K19">
            <v>0.94169656356975184</v>
          </cell>
          <cell r="L19">
            <v>1.0478171447216793</v>
          </cell>
          <cell r="M19">
            <v>0.98177763635173065</v>
          </cell>
          <cell r="N19">
            <v>0.98627030940026483</v>
          </cell>
          <cell r="O19">
            <v>1</v>
          </cell>
          <cell r="P19">
            <v>0.91853298052450649</v>
          </cell>
          <cell r="Q19">
            <v>0.97663867044556396</v>
          </cell>
          <cell r="R19">
            <v>0.98663367647154854</v>
          </cell>
          <cell r="S19">
            <v>1.0549580565542083</v>
          </cell>
          <cell r="T19">
            <v>1.0427197169779729</v>
          </cell>
          <cell r="U19">
            <v>1.0436717380804248</v>
          </cell>
          <cell r="V19">
            <v>0.97061554210774137</v>
          </cell>
          <cell r="W19">
            <v>1.0020001138364436</v>
          </cell>
          <cell r="X19">
            <v>0.97843009260512015</v>
          </cell>
          <cell r="Y19">
            <v>0.98141105304542697</v>
          </cell>
          <cell r="Z19">
            <v>0.97061554210774137</v>
          </cell>
        </row>
        <row r="20">
          <cell r="C20">
            <v>1.0328702155557492</v>
          </cell>
          <cell r="D20">
            <v>1.0000626744248498</v>
          </cell>
          <cell r="E20">
            <v>1.0000626744248498</v>
          </cell>
          <cell r="F20">
            <v>1.1598721336437334</v>
          </cell>
          <cell r="G20">
            <v>1.0495455865431271</v>
          </cell>
          <cell r="H20">
            <v>1.0308664377842089</v>
          </cell>
          <cell r="I20">
            <v>1.0737841676805318</v>
          </cell>
          <cell r="J20">
            <v>1.0127266945800129</v>
          </cell>
          <cell r="K20">
            <v>1.0252180199692102</v>
          </cell>
          <cell r="L20">
            <v>1.1407507045891245</v>
          </cell>
          <cell r="M20">
            <v>1.0688539847432694</v>
          </cell>
          <cell r="N20">
            <v>1.0737451243580589</v>
          </cell>
          <cell r="O20">
            <v>1.0886925360360753</v>
          </cell>
          <cell r="P20">
            <v>1</v>
          </cell>
          <cell r="Q20">
            <v>1.0632592309182818</v>
          </cell>
          <cell r="R20">
            <v>1.0741407193764068</v>
          </cell>
          <cell r="S20">
            <v>1.1485249620016902</v>
          </cell>
          <cell r="T20">
            <v>1.1352011730515681</v>
          </cell>
          <cell r="U20">
            <v>1.1362376313199563</v>
          </cell>
          <cell r="V20">
            <v>1.056701896053307</v>
          </cell>
          <cell r="W20">
            <v>1.090870045041034</v>
          </cell>
          <cell r="X20">
            <v>1.0652095388522802</v>
          </cell>
          <cell r="Y20">
            <v>1.0684548882338611</v>
          </cell>
          <cell r="Z20">
            <v>1.056701896053307</v>
          </cell>
        </row>
        <row r="21">
          <cell r="C21">
            <v>0.97141899691170586</v>
          </cell>
          <cell r="D21">
            <v>0.94056335966267368</v>
          </cell>
          <cell r="E21">
            <v>0.94056335966267368</v>
          </cell>
          <cell r="F21">
            <v>1.0908648614712819</v>
          </cell>
          <cell r="G21">
            <v>0.98710225693191389</v>
          </cell>
          <cell r="H21">
            <v>0.96953443507271786</v>
          </cell>
          <cell r="I21">
            <v>1.0098987494829084</v>
          </cell>
          <cell r="J21">
            <v>0.95247392651872242</v>
          </cell>
          <cell r="K21">
            <v>0.96422207318509023</v>
          </cell>
          <cell r="L21">
            <v>1.072881073041724</v>
          </cell>
          <cell r="M21">
            <v>1.0052618906681445</v>
          </cell>
          <cell r="N21">
            <v>1.009862029065782</v>
          </cell>
          <cell r="O21">
            <v>1.0239201357281686</v>
          </cell>
          <cell r="P21">
            <v>0.94050441408945196</v>
          </cell>
          <cell r="Q21">
            <v>1</v>
          </cell>
          <cell r="R21">
            <v>1.01023408792673</v>
          </cell>
          <cell r="S21">
            <v>1.0801927964545097</v>
          </cell>
          <cell r="T21">
            <v>1.0676617141345237</v>
          </cell>
          <cell r="U21">
            <v>1.0686365077109623</v>
          </cell>
          <cell r="V21">
            <v>0.99383279761482846</v>
          </cell>
          <cell r="W21">
            <v>1.0259680925590517</v>
          </cell>
          <cell r="X21">
            <v>1.0018342732207592</v>
          </cell>
          <cell r="Y21">
            <v>1.0048865386393984</v>
          </cell>
          <cell r="Z21">
            <v>0.99383279761482846</v>
          </cell>
        </row>
        <row r="22">
          <cell r="C22">
            <v>0.9615781218641285</v>
          </cell>
          <cell r="D22">
            <v>0.9310350649451562</v>
          </cell>
          <cell r="E22">
            <v>0.9310350649451562</v>
          </cell>
          <cell r="F22">
            <v>1.0798139505567743</v>
          </cell>
          <cell r="G22">
            <v>0.97710250399262533</v>
          </cell>
          <cell r="H22">
            <v>0.95971265141375428</v>
          </cell>
          <cell r="I22">
            <v>0.99966805867290642</v>
          </cell>
          <cell r="J22">
            <v>0.94282497284708855</v>
          </cell>
          <cell r="K22">
            <v>0.95445410594284275</v>
          </cell>
          <cell r="L22">
            <v>1.062012345320442</v>
          </cell>
          <cell r="M22">
            <v>0.99507817315015601</v>
          </cell>
          <cell r="N22">
            <v>0.99963171024874886</v>
          </cell>
          <cell r="O22">
            <v>1.013547402493145</v>
          </cell>
          <cell r="P22">
            <v>0.9309767165149001</v>
          </cell>
          <cell r="Q22">
            <v>0.98986958760445998</v>
          </cell>
          <cell r="R22">
            <v>1</v>
          </cell>
          <cell r="S22">
            <v>1.0692499979597341</v>
          </cell>
          <cell r="T22">
            <v>1.0568458606714117</v>
          </cell>
          <cell r="U22">
            <v>1.0578107791869207</v>
          </cell>
          <cell r="V22">
            <v>0.98376486152277709</v>
          </cell>
          <cell r="W22">
            <v>1.0155746126767631</v>
          </cell>
          <cell r="X22">
            <v>0.99168527888104685</v>
          </cell>
          <cell r="Y22">
            <v>0.99470662359225459</v>
          </cell>
          <cell r="Z22">
            <v>0.98376486152277709</v>
          </cell>
        </row>
        <row r="23">
          <cell r="C23">
            <v>0.89930149515917013</v>
          </cell>
          <cell r="D23">
            <v>0.87073655994546684</v>
          </cell>
          <cell r="E23">
            <v>0.87073655994546684</v>
          </cell>
          <cell r="F23">
            <v>1.0098797779913002</v>
          </cell>
          <cell r="G23">
            <v>0.91382044036199406</v>
          </cell>
          <cell r="H23">
            <v>0.89755684194062102</v>
          </cell>
          <cell r="I23">
            <v>0.93492453643245377</v>
          </cell>
          <cell r="J23">
            <v>0.88176289422129472</v>
          </cell>
          <cell r="K23">
            <v>0.8926388662745508</v>
          </cell>
          <cell r="L23">
            <v>0.99323109408173715</v>
          </cell>
          <cell r="M23">
            <v>0.93063191493934316</v>
          </cell>
          <cell r="N23">
            <v>0.93489054211472922</v>
          </cell>
          <cell r="O23">
            <v>0.94790498426665726</v>
          </cell>
          <cell r="P23">
            <v>0.87068199045248817</v>
          </cell>
          <cell r="Q23">
            <v>0.92576066354291142</v>
          </cell>
          <cell r="R23">
            <v>0.9352349795727174</v>
          </cell>
          <cell r="S23">
            <v>1</v>
          </cell>
          <cell r="T23">
            <v>0.98839921691653876</v>
          </cell>
          <cell r="U23">
            <v>0.98930164246468</v>
          </cell>
          <cell r="V23">
            <v>0.92005131017061159</v>
          </cell>
          <cell r="W23">
            <v>0.94980090214132296</v>
          </cell>
          <cell r="X23">
            <v>0.92745876153688045</v>
          </cell>
          <cell r="Y23">
            <v>0.93028442879614892</v>
          </cell>
          <cell r="Z23">
            <v>0.92005131017061159</v>
          </cell>
        </row>
        <row r="24">
          <cell r="C24">
            <v>0.90985654355805501</v>
          </cell>
          <cell r="D24">
            <v>0.8809563433911467</v>
          </cell>
          <cell r="E24">
            <v>0.8809563433911467</v>
          </cell>
          <cell r="F24">
            <v>1.0217326771481803</v>
          </cell>
          <cell r="G24">
            <v>0.92454589676102283</v>
          </cell>
          <cell r="H24">
            <v>0.90809141344798483</v>
          </cell>
          <cell r="I24">
            <v>0.94589769035743743</v>
          </cell>
          <cell r="J24">
            <v>0.89211209309947426</v>
          </cell>
          <cell r="K24">
            <v>0.90311571579272709</v>
          </cell>
          <cell r="L24">
            <v>1.0048885886213794</v>
          </cell>
          <cell r="M24">
            <v>0.94155468662003861</v>
          </cell>
          <cell r="N24">
            <v>0.94586329705041861</v>
          </cell>
          <cell r="O24">
            <v>0.95903048893926746</v>
          </cell>
          <cell r="P24">
            <v>0.88090113341926013</v>
          </cell>
          <cell r="Q24">
            <v>0.93662626163440532</v>
          </cell>
          <cell r="R24">
            <v>0.94621177715045623</v>
          </cell>
          <cell r="S24">
            <v>1.0117369407876016</v>
          </cell>
          <cell r="T24">
            <v>1</v>
          </cell>
          <cell r="U24">
            <v>1.0009130172633649</v>
          </cell>
          <cell r="V24">
            <v>0.93084989791963935</v>
          </cell>
          <cell r="W24">
            <v>0.96094865908976634</v>
          </cell>
          <cell r="X24">
            <v>0.93834429010398113</v>
          </cell>
          <cell r="Y24">
            <v>0.94120312205255718</v>
          </cell>
          <cell r="Z24">
            <v>0.93084989791963935</v>
          </cell>
        </row>
        <row r="25">
          <cell r="C25">
            <v>0.90902658659163904</v>
          </cell>
          <cell r="D25">
            <v>0.88015274873715155</v>
          </cell>
          <cell r="E25">
            <v>0.88015274873715155</v>
          </cell>
          <cell r="F25">
            <v>1.0208006685153712</v>
          </cell>
          <cell r="G25">
            <v>0.92370254039542765</v>
          </cell>
          <cell r="H25">
            <v>0.90726306660576028</v>
          </cell>
          <cell r="I25">
            <v>0.94503485721831537</v>
          </cell>
          <cell r="J25">
            <v>0.89129832234436557</v>
          </cell>
          <cell r="K25">
            <v>0.90229190770439849</v>
          </cell>
          <cell r="L25">
            <v>1.0039719449037481</v>
          </cell>
          <cell r="M25">
            <v>0.94069581510127587</v>
          </cell>
          <cell r="N25">
            <v>0.94500049528433561</v>
          </cell>
          <cell r="O25">
            <v>0.95815567626584563</v>
          </cell>
          <cell r="P25">
            <v>0.88009758912694136</v>
          </cell>
          <cell r="Q25">
            <v>0.93577188574814563</v>
          </cell>
          <cell r="R25">
            <v>0.94534865750625408</v>
          </cell>
          <cell r="S25">
            <v>1.0108140501097995</v>
          </cell>
          <cell r="T25">
            <v>0.99908781557676074</v>
          </cell>
          <cell r="U25">
            <v>1</v>
          </cell>
          <cell r="V25">
            <v>0.93000079114238332</v>
          </cell>
          <cell r="W25">
            <v>0.96007209669141202</v>
          </cell>
          <cell r="X25">
            <v>0.93748834705891282</v>
          </cell>
          <cell r="Y25">
            <v>0.94034457122551673</v>
          </cell>
          <cell r="Z25">
            <v>0.93000079114238332</v>
          </cell>
        </row>
        <row r="26">
          <cell r="C26">
            <v>0.97744711106645388</v>
          </cell>
          <cell r="D26">
            <v>0.94640000000000002</v>
          </cell>
          <cell r="E26">
            <v>0.94640000000000002</v>
          </cell>
          <cell r="F26">
            <v>1.0976341936886445</v>
          </cell>
          <cell r="G26">
            <v>0.9932276931300037</v>
          </cell>
          <cell r="H26">
            <v>0.9755508546302496</v>
          </cell>
          <cell r="I26">
            <v>1.0161656486952713</v>
          </cell>
          <cell r="J26">
            <v>0.95838447755460854</v>
          </cell>
          <cell r="K26">
            <v>0.97020552702546825</v>
          </cell>
          <cell r="L26">
            <v>1.0795388073492937</v>
          </cell>
          <cell r="M26">
            <v>1.0115000159792931</v>
          </cell>
          <cell r="N26">
            <v>1.0161287004105954</v>
          </cell>
          <cell r="O26">
            <v>1.0302740442713794</v>
          </cell>
          <cell r="P26">
            <v>0.94634068864162746</v>
          </cell>
          <cell r="Q26">
            <v>1.006205472791774</v>
          </cell>
          <cell r="R26">
            <v>1.0165030680726819</v>
          </cell>
          <cell r="S26">
            <v>1.0868959034627785</v>
          </cell>
          <cell r="T26">
            <v>1.0742870598524041</v>
          </cell>
          <cell r="U26">
            <v>1.0752679024838592</v>
          </cell>
          <cell r="V26">
            <v>1</v>
          </cell>
          <cell r="W26">
            <v>1.0323347096426554</v>
          </cell>
          <cell r="X26">
            <v>1.0080511285450973</v>
          </cell>
          <cell r="Y26">
            <v>1.0111223347137452</v>
          </cell>
          <cell r="Z26">
            <v>1</v>
          </cell>
        </row>
        <row r="27">
          <cell r="C27">
            <v>0.94683158663220679</v>
          </cell>
          <cell r="D27">
            <v>0.9167569308287602</v>
          </cell>
          <cell r="E27">
            <v>0.9167569308287602</v>
          </cell>
          <cell r="F27">
            <v>1.0632541785489249</v>
          </cell>
          <cell r="G27">
            <v>0.96211789049872332</v>
          </cell>
          <cell r="H27">
            <v>0.94499472459657818</v>
          </cell>
          <cell r="I27">
            <v>0.98433738515584634</v>
          </cell>
          <cell r="J27">
            <v>0.92836603148445451</v>
          </cell>
          <cell r="K27">
            <v>0.93981682293847002</v>
          </cell>
          <cell r="L27">
            <v>1.0457255745309371</v>
          </cell>
          <cell r="M27">
            <v>0.97981788903467726</v>
          </cell>
          <cell r="N27">
            <v>0.9843015941625467</v>
          </cell>
          <cell r="O27">
            <v>0.99800387863352058</v>
          </cell>
          <cell r="P27">
            <v>0.91669947721626555</v>
          </cell>
          <cell r="Q27">
            <v>0.97468918112815761</v>
          </cell>
          <cell r="R27">
            <v>0.98466423590905561</v>
          </cell>
          <cell r="S27">
            <v>1.0528522322367808</v>
          </cell>
          <cell r="T27">
            <v>1.0406383218716639</v>
          </cell>
          <cell r="U27">
            <v>1.0415884426244519</v>
          </cell>
          <cell r="V27">
            <v>0.96867807568550313</v>
          </cell>
          <cell r="W27">
            <v>1</v>
          </cell>
          <cell r="X27">
            <v>0.97647702739166464</v>
          </cell>
          <cell r="Y27">
            <v>0.97945203747314391</v>
          </cell>
          <cell r="Z27">
            <v>0.96867807568550313</v>
          </cell>
        </row>
        <row r="28">
          <cell r="C28">
            <v>0.9696404114711783</v>
          </cell>
          <cell r="D28">
            <v>0.93884126826575032</v>
          </cell>
          <cell r="E28">
            <v>0.93884126826575032</v>
          </cell>
          <cell r="F28">
            <v>1.0888675808268184</v>
          </cell>
          <cell r="G28">
            <v>0.98529495677814671</v>
          </cell>
          <cell r="H28">
            <v>0.9677593001043957</v>
          </cell>
          <cell r="I28">
            <v>1.0080497108930233</v>
          </cell>
          <cell r="J28">
            <v>0.95073002788839511</v>
          </cell>
          <cell r="K28">
            <v>0.96245666469889191</v>
          </cell>
          <cell r="L28">
            <v>1.070916719182065</v>
          </cell>
          <cell r="M28">
            <v>1.0034213417717943</v>
          </cell>
          <cell r="N28">
            <v>1.008013057707853</v>
          </cell>
          <cell r="O28">
            <v>1.0220454251743718</v>
          </cell>
          <cell r="P28">
            <v>0.93878243061685229</v>
          </cell>
          <cell r="Q28">
            <v>0.99816908517726965</v>
          </cell>
          <cell r="R28">
            <v>1.0083844353607174</v>
          </cell>
          <cell r="S28">
            <v>1.0782150554520746</v>
          </cell>
          <cell r="T28">
            <v>1.065706916476453</v>
          </cell>
          <cell r="U28">
            <v>1.0666799252888834</v>
          </cell>
          <cell r="V28">
            <v>0.99201317441435988</v>
          </cell>
          <cell r="W28">
            <v>1.0240896323707371</v>
          </cell>
          <cell r="X28">
            <v>1</v>
          </cell>
          <cell r="Y28">
            <v>1.0030466769806414</v>
          </cell>
          <cell r="Z28">
            <v>0.99201317441435988</v>
          </cell>
        </row>
        <row r="29">
          <cell r="C29">
            <v>0.96669520344753834</v>
          </cell>
          <cell r="D29">
            <v>0.93598961026603322</v>
          </cell>
          <cell r="E29">
            <v>0.93598961026603322</v>
          </cell>
          <cell r="F29">
            <v>1.085560229464609</v>
          </cell>
          <cell r="G29">
            <v>0.98230219927956819</v>
          </cell>
          <cell r="H29">
            <v>0.96481980581156268</v>
          </cell>
          <cell r="I29">
            <v>1.0049878375824364</v>
          </cell>
          <cell r="J29">
            <v>0.94784225869754213</v>
          </cell>
          <cell r="K29">
            <v>0.95953327675245081</v>
          </cell>
          <cell r="L29">
            <v>1.0676638921787023</v>
          </cell>
          <cell r="M29">
            <v>1.0003735267757237</v>
          </cell>
          <cell r="N29">
            <v>1.0049512957284912</v>
          </cell>
          <cell r="O29">
            <v>1.0189410409602475</v>
          </cell>
          <cell r="P29">
            <v>0.93593095133195936</v>
          </cell>
          <cell r="Q29">
            <v>0.995137223505835</v>
          </cell>
          <cell r="R29">
            <v>1.0053215453503557</v>
          </cell>
          <cell r="S29">
            <v>1.0749400603147445</v>
          </cell>
          <cell r="T29">
            <v>1.0624699138473104</v>
          </cell>
          <cell r="U29">
            <v>1.0634399672204589</v>
          </cell>
          <cell r="V29">
            <v>0.98900001084745692</v>
          </cell>
          <cell r="W29">
            <v>1.0209790390347924</v>
          </cell>
          <cell r="X29">
            <v>0.99696257706589242</v>
          </cell>
          <cell r="Y29">
            <v>1</v>
          </cell>
          <cell r="Z29">
            <v>0.98900001084745692</v>
          </cell>
        </row>
        <row r="30">
          <cell r="C30">
            <v>0.97744711106645388</v>
          </cell>
          <cell r="D30">
            <v>0.94640000000000002</v>
          </cell>
          <cell r="E30">
            <v>0.94640000000000002</v>
          </cell>
          <cell r="F30">
            <v>1.0976341936886445</v>
          </cell>
          <cell r="G30">
            <v>0.9932276931300037</v>
          </cell>
          <cell r="H30">
            <v>0.9755508546302496</v>
          </cell>
          <cell r="I30">
            <v>1.0161656486952713</v>
          </cell>
          <cell r="J30">
            <v>0.95838447755460854</v>
          </cell>
          <cell r="K30">
            <v>0.97020552702546825</v>
          </cell>
          <cell r="L30">
            <v>1.0795388073492937</v>
          </cell>
          <cell r="M30">
            <v>1.0115000159792931</v>
          </cell>
          <cell r="N30">
            <v>1.0161287004105954</v>
          </cell>
          <cell r="O30">
            <v>1.0302740442713794</v>
          </cell>
          <cell r="P30">
            <v>0.94634068864162746</v>
          </cell>
          <cell r="Q30">
            <v>1.006205472791774</v>
          </cell>
          <cell r="R30">
            <v>1.0165030680726819</v>
          </cell>
          <cell r="S30">
            <v>1.0868959034627785</v>
          </cell>
          <cell r="T30">
            <v>1.0742870598524041</v>
          </cell>
          <cell r="U30">
            <v>1.0752679024838592</v>
          </cell>
          <cell r="V30">
            <v>1</v>
          </cell>
          <cell r="W30">
            <v>1.0323347096426554</v>
          </cell>
          <cell r="X30">
            <v>1.0080511285450973</v>
          </cell>
          <cell r="Y30">
            <v>1.0111223347137452</v>
          </cell>
          <cell r="Z30">
            <v>1</v>
          </cell>
        </row>
        <row r="35">
          <cell r="C35">
            <v>1</v>
          </cell>
          <cell r="D35">
            <v>1.0564883797632827</v>
          </cell>
          <cell r="E35">
            <v>1.0319598161524466</v>
          </cell>
          <cell r="F35">
            <v>0.98631379372443007</v>
          </cell>
          <cell r="G35">
            <v>1.0319598161524466</v>
          </cell>
          <cell r="H35">
            <v>0.99329849279588001</v>
          </cell>
          <cell r="I35">
            <v>0.99618373310284902</v>
          </cell>
          <cell r="J35">
            <v>0.99593490107989358</v>
          </cell>
          <cell r="K35">
            <v>0.99953652538857651</v>
          </cell>
          <cell r="L35">
            <v>0.99953652538857651</v>
          </cell>
          <cell r="M35">
            <v>1.016987679079665</v>
          </cell>
          <cell r="N35">
            <v>0.99108442069876046</v>
          </cell>
          <cell r="O35">
            <v>1.0072822285418261</v>
          </cell>
          <cell r="P35">
            <v>1.0080951997231959</v>
          </cell>
          <cell r="Q35">
            <v>1.0221479140528664</v>
          </cell>
          <cell r="R35">
            <v>0.99127258324581358</v>
          </cell>
          <cell r="S35">
            <v>1.0433678429060247</v>
          </cell>
          <cell r="T35">
            <v>1.0193878386773862</v>
          </cell>
          <cell r="U35">
            <v>1.032011785131977</v>
          </cell>
          <cell r="V35">
            <v>0.99538462572361075</v>
          </cell>
          <cell r="W35">
            <v>0.96783410234161693</v>
          </cell>
          <cell r="X35">
            <v>0.98735739841575454</v>
          </cell>
          <cell r="Y35">
            <v>0.96697895601099526</v>
          </cell>
          <cell r="Z35">
            <v>0.98303921657991655</v>
          </cell>
        </row>
        <row r="36">
          <cell r="C36">
            <v>0.94653194408447772</v>
          </cell>
          <cell r="D36">
            <v>1</v>
          </cell>
          <cell r="E36">
            <v>0.97678293099983549</v>
          </cell>
          <cell r="F36">
            <v>0.93357751265132127</v>
          </cell>
          <cell r="G36">
            <v>0.97678293099983549</v>
          </cell>
          <cell r="H36">
            <v>0.94018875344226593</v>
          </cell>
          <cell r="I36">
            <v>0.94291972555917214</v>
          </cell>
          <cell r="J36">
            <v>0.94268419810073367</v>
          </cell>
          <cell r="K36">
            <v>0.94609325055949323</v>
          </cell>
          <cell r="L36">
            <v>0.94609325055949323</v>
          </cell>
          <cell r="M36">
            <v>0.96261132498923629</v>
          </cell>
          <cell r="N36">
            <v>0.93809306347583621</v>
          </cell>
          <cell r="O36">
            <v>0.95342480602343982</v>
          </cell>
          <cell r="P36">
            <v>0.9541943092162265</v>
          </cell>
          <cell r="Q36">
            <v>0.96749565223035339</v>
          </cell>
          <cell r="R36">
            <v>0.93827116533730215</v>
          </cell>
          <cell r="S36">
            <v>0.98758099274106748</v>
          </cell>
          <cell r="T36">
            <v>0.96488315271938041</v>
          </cell>
          <cell r="U36">
            <v>0.97683212129906261</v>
          </cell>
          <cell r="V36">
            <v>0.94216334489796949</v>
          </cell>
          <cell r="W36">
            <v>0.91608589444066602</v>
          </cell>
          <cell r="X36">
            <v>0.93456531782865637</v>
          </cell>
          <cell r="Y36">
            <v>0.91527647112186605</v>
          </cell>
          <cell r="Z36">
            <v>0.93047802078067032</v>
          </cell>
        </row>
        <row r="37">
          <cell r="C37">
            <v>0.96902997999320817</v>
          </cell>
          <cell r="D37">
            <v>1.0237689135050707</v>
          </cell>
          <cell r="E37">
            <v>1</v>
          </cell>
          <cell r="F37">
            <v>0.95576763579980961</v>
          </cell>
          <cell r="G37">
            <v>1</v>
          </cell>
          <cell r="H37">
            <v>0.96253601860127547</v>
          </cell>
          <cell r="I37">
            <v>0.96533190295821314</v>
          </cell>
          <cell r="J37">
            <v>0.96509077726798698</v>
          </cell>
          <cell r="K37">
            <v>0.9685808591997731</v>
          </cell>
          <cell r="L37">
            <v>0.9685808591997731</v>
          </cell>
          <cell r="M37">
            <v>0.98549155031190694</v>
          </cell>
          <cell r="N37">
            <v>0.96039051636130013</v>
          </cell>
          <cell r="O37">
            <v>0.97608667777139979</v>
          </cell>
          <cell r="P37">
            <v>0.97687447121901771</v>
          </cell>
          <cell r="Q37">
            <v>0.99049197270474865</v>
          </cell>
          <cell r="R37">
            <v>0.96057285151050642</v>
          </cell>
          <cell r="S37">
            <v>1.0110547199367819</v>
          </cell>
          <cell r="T37">
            <v>0.9878173769188674</v>
          </cell>
          <cell r="U37">
            <v>1.0000503594991947</v>
          </cell>
          <cell r="V37">
            <v>0.96455754395049742</v>
          </cell>
          <cell r="W37">
            <v>0.93786026082884155</v>
          </cell>
          <cell r="X37">
            <v>0.95677892003296472</v>
          </cell>
          <cell r="Y37">
            <v>0.93703159839718797</v>
          </cell>
          <cell r="Z37">
            <v>0.95259447237497552</v>
          </cell>
        </row>
        <row r="38">
          <cell r="C38">
            <v>1.0138761176845041</v>
          </cell>
          <cell r="D38">
            <v>1.0711483368531891</v>
          </cell>
          <cell r="E38">
            <v>1.0462794120070571</v>
          </cell>
          <cell r="F38">
            <v>1</v>
          </cell>
          <cell r="G38">
            <v>1.0462794120070571</v>
          </cell>
          <cell r="H38">
            <v>1.0070816195777563</v>
          </cell>
          <cell r="I38">
            <v>1.0100068958187729</v>
          </cell>
          <cell r="J38">
            <v>1.0097546109733833</v>
          </cell>
          <cell r="K38">
            <v>1.0134062118448288</v>
          </cell>
          <cell r="L38">
            <v>1.0134062118448288</v>
          </cell>
          <cell r="M38">
            <v>1.0310995197982653</v>
          </cell>
          <cell r="N38">
            <v>1.0048368247556552</v>
          </cell>
          <cell r="O38">
            <v>1.0212593952865821</v>
          </cell>
          <cell r="P38">
            <v>1.0220836473517387</v>
          </cell>
          <cell r="Q38">
            <v>1.0363313587992347</v>
          </cell>
          <cell r="R38">
            <v>1.005027598268355</v>
          </cell>
          <cell r="S38">
            <v>1.057845737882416</v>
          </cell>
          <cell r="T38">
            <v>1.0335329842930261</v>
          </cell>
          <cell r="U38">
            <v>1.0463321021142638</v>
          </cell>
          <cell r="V38">
            <v>1.0091966999314976</v>
          </cell>
          <cell r="W38">
            <v>0.98126388224478556</v>
          </cell>
          <cell r="X38">
            <v>1.0010580858728375</v>
          </cell>
          <cell r="Y38">
            <v>0.98039686980304286</v>
          </cell>
          <cell r="Z38">
            <v>0.99667998443766226</v>
          </cell>
        </row>
        <row r="39">
          <cell r="C39">
            <v>0.96902997999320817</v>
          </cell>
          <cell r="D39">
            <v>1.0237689135050707</v>
          </cell>
          <cell r="E39">
            <v>1</v>
          </cell>
          <cell r="F39">
            <v>0.95576763579980961</v>
          </cell>
          <cell r="G39">
            <v>1</v>
          </cell>
          <cell r="H39">
            <v>0.96253601860127547</v>
          </cell>
          <cell r="I39">
            <v>0.96533190295821314</v>
          </cell>
          <cell r="J39">
            <v>0.96509077726798698</v>
          </cell>
          <cell r="K39">
            <v>0.9685808591997731</v>
          </cell>
          <cell r="L39">
            <v>0.9685808591997731</v>
          </cell>
          <cell r="M39">
            <v>0.98549155031190694</v>
          </cell>
          <cell r="N39">
            <v>0.96039051636130013</v>
          </cell>
          <cell r="O39">
            <v>0.97608667777139979</v>
          </cell>
          <cell r="P39">
            <v>0.97687447121901771</v>
          </cell>
          <cell r="Q39">
            <v>0.99049197270474865</v>
          </cell>
          <cell r="R39">
            <v>0.96057285151050642</v>
          </cell>
          <cell r="S39">
            <v>1.0110547199367819</v>
          </cell>
          <cell r="T39">
            <v>0.9878173769188674</v>
          </cell>
          <cell r="U39">
            <v>1.0000503594991947</v>
          </cell>
          <cell r="V39">
            <v>0.96455754395049742</v>
          </cell>
          <cell r="W39">
            <v>0.93786026082884155</v>
          </cell>
          <cell r="X39">
            <v>0.95677892003296472</v>
          </cell>
          <cell r="Y39">
            <v>0.93703159839718797</v>
          </cell>
          <cell r="Z39">
            <v>0.95259447237497552</v>
          </cell>
        </row>
        <row r="40">
          <cell r="C40">
            <v>1.0067467203994813</v>
          </cell>
          <cell r="D40">
            <v>1.0636162114668466</v>
          </cell>
          <cell r="E40">
            <v>1.0389221604955272</v>
          </cell>
          <cell r="F40">
            <v>0.99296817711684038</v>
          </cell>
          <cell r="G40">
            <v>1.0389221604955272</v>
          </cell>
          <cell r="H40">
            <v>1</v>
          </cell>
          <cell r="I40">
            <v>1.0029047062166054</v>
          </cell>
          <cell r="J40">
            <v>1.0026541953935646</v>
          </cell>
          <cell r="K40">
            <v>1.0062801188544421</v>
          </cell>
          <cell r="L40">
            <v>1.0062801188544421</v>
          </cell>
          <cell r="M40">
            <v>1.023849010600133</v>
          </cell>
          <cell r="N40">
            <v>0.99777099017749693</v>
          </cell>
          <cell r="O40">
            <v>1.0140780801011642</v>
          </cell>
          <cell r="P40">
            <v>1.0148965361717874</v>
          </cell>
          <cell r="Q40">
            <v>1.0290440602358941</v>
          </cell>
          <cell r="R40">
            <v>0.99796042220464454</v>
          </cell>
          <cell r="S40">
            <v>1.0504071540159214</v>
          </cell>
          <cell r="T40">
            <v>1.0262653634035741</v>
          </cell>
          <cell r="U40">
            <v>1.0389744800952321</v>
          </cell>
          <cell r="V40">
            <v>1.0021002074833103</v>
          </cell>
          <cell r="W40">
            <v>0.9743638084231987</v>
          </cell>
          <cell r="X40">
            <v>0.99401882271722486</v>
          </cell>
          <cell r="Y40">
            <v>0.97350289265938372</v>
          </cell>
          <cell r="Z40">
            <v>0.98967150731590636</v>
          </cell>
        </row>
        <row r="41">
          <cell r="C41">
            <v>1.0038308865828036</v>
          </cell>
          <cell r="D41">
            <v>1.0605356669222059</v>
          </cell>
          <cell r="E41">
            <v>1.0359131371661374</v>
          </cell>
          <cell r="F41">
            <v>0.99009225000324319</v>
          </cell>
          <cell r="G41">
            <v>1.0359131371661374</v>
          </cell>
          <cell r="H41">
            <v>0.99710370666465098</v>
          </cell>
          <cell r="I41">
            <v>1</v>
          </cell>
          <cell r="J41">
            <v>0.99975021472978642</v>
          </cell>
          <cell r="K41">
            <v>1.0033656364527099</v>
          </cell>
          <cell r="L41">
            <v>1.0033656364527099</v>
          </cell>
          <cell r="M41">
            <v>1.020883643534328</v>
          </cell>
          <cell r="N41">
            <v>0.99488115270844113</v>
          </cell>
          <cell r="O41">
            <v>1.0111410125162437</v>
          </cell>
          <cell r="P41">
            <v>1.0119570980980044</v>
          </cell>
          <cell r="Q41">
            <v>1.0260636467824524</v>
          </cell>
          <cell r="R41">
            <v>0.9950700360848711</v>
          </cell>
          <cell r="S41">
            <v>1.0473648667763422</v>
          </cell>
          <cell r="T41">
            <v>1.0232929978712488</v>
          </cell>
          <cell r="U41">
            <v>1.0359653052329345</v>
          </cell>
          <cell r="V41">
            <v>0.99919783133102447</v>
          </cell>
          <cell r="W41">
            <v>0.9715417650186573</v>
          </cell>
          <cell r="X41">
            <v>0.99113985262577742</v>
          </cell>
          <cell r="Y41">
            <v>0.97068334271943135</v>
          </cell>
          <cell r="Z41">
            <v>0.98680512832508238</v>
          </cell>
        </row>
        <row r="42">
          <cell r="C42">
            <v>1.0040816913994064</v>
          </cell>
          <cell r="D42">
            <v>1.0608006392965352</v>
          </cell>
          <cell r="E42">
            <v>1.0361719576585688</v>
          </cell>
          <cell r="F42">
            <v>0.99033962225339089</v>
          </cell>
          <cell r="G42">
            <v>1.0361719576585688</v>
          </cell>
          <cell r="H42">
            <v>0.99735283071096825</v>
          </cell>
          <cell r="I42">
            <v>1.0002498476784834</v>
          </cell>
          <cell r="J42">
            <v>1</v>
          </cell>
          <cell r="K42">
            <v>1.0036163250276475</v>
          </cell>
          <cell r="L42">
            <v>1.0036163250276475</v>
          </cell>
          <cell r="M42">
            <v>1.0211387089426667</v>
          </cell>
          <cell r="N42">
            <v>0.99512972145481227</v>
          </cell>
          <cell r="O42">
            <v>1.0113936437508402</v>
          </cell>
          <cell r="P42">
            <v>1.012209933229689</v>
          </cell>
          <cell r="Q42">
            <v>1.0263200064025773</v>
          </cell>
          <cell r="R42">
            <v>0.99531865202331538</v>
          </cell>
          <cell r="S42">
            <v>1.0476265484568315</v>
          </cell>
          <cell r="T42">
            <v>1.0235486652511754</v>
          </cell>
          <cell r="U42">
            <v>1.0362241387594362</v>
          </cell>
          <cell r="V42">
            <v>0.99944747858952809</v>
          </cell>
          <cell r="W42">
            <v>0.97178450247319681</v>
          </cell>
          <cell r="X42">
            <v>0.99138748661700837</v>
          </cell>
          <cell r="Y42">
            <v>0.97092586569915229</v>
          </cell>
          <cell r="Z42">
            <v>0.98705167929550996</v>
          </cell>
        </row>
        <row r="43">
          <cell r="C43">
            <v>1.0004636895197434</v>
          </cell>
          <cell r="D43">
            <v>1.0569782623527098</v>
          </cell>
          <cell r="E43">
            <v>1.0324383251039928</v>
          </cell>
          <cell r="F43">
            <v>0.98677113709375852</v>
          </cell>
          <cell r="G43">
            <v>1.0324383251039928</v>
          </cell>
          <cell r="H43">
            <v>0.99375907489696647</v>
          </cell>
          <cell r="I43">
            <v>0.99664565305962771</v>
          </cell>
          <cell r="J43">
            <v>0.99639670565587102</v>
          </cell>
          <cell r="K43">
            <v>1</v>
          </cell>
          <cell r="L43">
            <v>1</v>
          </cell>
          <cell r="M43">
            <v>1.0174592456081626</v>
          </cell>
          <cell r="N43">
            <v>0.99154397615781953</v>
          </cell>
          <cell r="O43">
            <v>1.0077492947546247</v>
          </cell>
          <cell r="P43">
            <v>1.0085626429022112</v>
          </cell>
          <cell r="Q43">
            <v>1.0226218733282404</v>
          </cell>
          <cell r="R43">
            <v>0.99173222595387367</v>
          </cell>
          <cell r="S43">
            <v>1.0438516416400176</v>
          </cell>
          <cell r="T43">
            <v>1.0198605181347349</v>
          </cell>
          <cell r="U43">
            <v>1.0324903181809946</v>
          </cell>
          <cell r="V43">
            <v>0.9958461751426726</v>
          </cell>
          <cell r="W43">
            <v>0.96828287687172299</v>
          </cell>
          <cell r="X43">
            <v>0.98781522569364111</v>
          </cell>
          <cell r="Y43">
            <v>0.96742733401871006</v>
          </cell>
          <cell r="Z43">
            <v>0.98349504156214151</v>
          </cell>
        </row>
        <row r="44">
          <cell r="C44">
            <v>1.0004636895197434</v>
          </cell>
          <cell r="D44">
            <v>1.0569782623527098</v>
          </cell>
          <cell r="E44">
            <v>1.0324383251039928</v>
          </cell>
          <cell r="F44">
            <v>0.98677113709375852</v>
          </cell>
          <cell r="G44">
            <v>1.0324383251039928</v>
          </cell>
          <cell r="H44">
            <v>0.99375907489696647</v>
          </cell>
          <cell r="I44">
            <v>0.99664565305962771</v>
          </cell>
          <cell r="J44">
            <v>0.99639670565587102</v>
          </cell>
          <cell r="K44">
            <v>1</v>
          </cell>
          <cell r="L44">
            <v>1</v>
          </cell>
          <cell r="M44">
            <v>1.0174592456081626</v>
          </cell>
          <cell r="N44">
            <v>0.99154397615781953</v>
          </cell>
          <cell r="O44">
            <v>1.0077492947546247</v>
          </cell>
          <cell r="P44">
            <v>1.0085626429022112</v>
          </cell>
          <cell r="Q44">
            <v>1.0226218733282404</v>
          </cell>
          <cell r="R44">
            <v>0.99173222595387367</v>
          </cell>
          <cell r="S44">
            <v>1.0438516416400176</v>
          </cell>
          <cell r="T44">
            <v>1.0198605181347349</v>
          </cell>
          <cell r="U44">
            <v>1.0324903181809946</v>
          </cell>
          <cell r="V44">
            <v>0.9958461751426726</v>
          </cell>
          <cell r="W44">
            <v>0.96828287687172299</v>
          </cell>
          <cell r="X44">
            <v>0.98781522569364111</v>
          </cell>
          <cell r="Y44">
            <v>0.96742733401871006</v>
          </cell>
          <cell r="Z44">
            <v>0.98349504156214151</v>
          </cell>
        </row>
        <row r="45">
          <cell r="C45">
            <v>0.983296081723391</v>
          </cell>
          <cell r="D45">
            <v>1.0388408842075298</v>
          </cell>
          <cell r="E45">
            <v>1.0147220437186917</v>
          </cell>
          <cell r="F45">
            <v>0.96983848871896494</v>
          </cell>
          <cell r="G45">
            <v>1.0147220437186917</v>
          </cell>
          <cell r="H45">
            <v>0.97670651594793878</v>
          </cell>
          <cell r="I45">
            <v>0.9795435614366117</v>
          </cell>
          <cell r="J45">
            <v>0.97929888588343228</v>
          </cell>
          <cell r="K45">
            <v>0.98284034895399996</v>
          </cell>
          <cell r="L45">
            <v>0.98284034895399996</v>
          </cell>
          <cell r="M45">
            <v>1</v>
          </cell>
          <cell r="N45">
            <v>0.97452942753018801</v>
          </cell>
          <cell r="O45">
            <v>0.99045666851478276</v>
          </cell>
          <cell r="P45">
            <v>0.99125605989197774</v>
          </cell>
          <cell r="Q45">
            <v>1.0050740388299211</v>
          </cell>
          <cell r="R45">
            <v>0.97471444702543242</v>
          </cell>
          <cell r="S45">
            <v>1.0259395117256807</v>
          </cell>
          <cell r="T45">
            <v>1.0023600675279503</v>
          </cell>
          <cell r="U45">
            <v>1.0147731446126351</v>
          </cell>
          <cell r="V45">
            <v>0.97875780228173048</v>
          </cell>
          <cell r="W45">
            <v>0.95166748059078721</v>
          </cell>
          <cell r="X45">
            <v>0.97086466112281244</v>
          </cell>
          <cell r="Y45">
            <v>0.95082661855458683</v>
          </cell>
          <cell r="Z45">
            <v>0.96661860984346382</v>
          </cell>
        </row>
        <row r="46">
          <cell r="C46">
            <v>1.0089957819082189</v>
          </cell>
          <cell r="D46">
            <v>1.0659923188162008</v>
          </cell>
          <cell r="E46">
            <v>1.0412431015965995</v>
          </cell>
          <cell r="F46">
            <v>0.995186457505843</v>
          </cell>
          <cell r="G46">
            <v>1.0412431015965995</v>
          </cell>
          <cell r="H46">
            <v>1.0022339894068344</v>
          </cell>
          <cell r="I46">
            <v>1.0051451847063575</v>
          </cell>
          <cell r="J46">
            <v>1.0048941142447918</v>
          </cell>
          <cell r="K46">
            <v>1.0085281379802711</v>
          </cell>
          <cell r="L46">
            <v>1.0085281379802711</v>
          </cell>
          <cell r="M46">
            <v>1.0261362784440113</v>
          </cell>
          <cell r="N46">
            <v>1</v>
          </cell>
          <cell r="O46">
            <v>1.016343519789813</v>
          </cell>
          <cell r="P46">
            <v>1.0171638042826281</v>
          </cell>
          <cell r="Q46">
            <v>1.031342933765627</v>
          </cell>
          <cell r="R46">
            <v>1.0001898552162896</v>
          </cell>
          <cell r="S46">
            <v>1.0527537524708561</v>
          </cell>
          <cell r="T46">
            <v>1.0285580293540186</v>
          </cell>
          <cell r="U46">
            <v>1.041295538077736</v>
          </cell>
          <cell r="V46">
            <v>1.0043388887314144</v>
          </cell>
          <cell r="W46">
            <v>0.9765405268496189</v>
          </cell>
          <cell r="X46">
            <v>0.99623945023736904</v>
          </cell>
          <cell r="Y46">
            <v>0.97567768780910735</v>
          </cell>
          <cell r="Z46">
            <v>0.9918824229794958</v>
          </cell>
        </row>
        <row r="47">
          <cell r="C47">
            <v>0.99277041891986118</v>
          </cell>
          <cell r="D47">
            <v>1.0488504113615595</v>
          </cell>
          <cell r="E47">
            <v>1.0244991789901272</v>
          </cell>
          <cell r="F47">
            <v>0.97918315818224</v>
          </cell>
          <cell r="G47">
            <v>1.0244991789901272</v>
          </cell>
          <cell r="H47">
            <v>0.98611736080543255</v>
          </cell>
          <cell r="I47">
            <v>0.98898174203366651</v>
          </cell>
          <cell r="J47">
            <v>0.98873470896199644</v>
          </cell>
          <cell r="K47">
            <v>0.99231029503571955</v>
          </cell>
          <cell r="L47">
            <v>0.99231029503571955</v>
          </cell>
          <cell r="M47">
            <v>1.0096352841962564</v>
          </cell>
          <cell r="N47">
            <v>0.98391929552205637</v>
          </cell>
          <cell r="O47">
            <v>1</v>
          </cell>
          <cell r="P47">
            <v>1.0008070937402984</v>
          </cell>
          <cell r="Q47">
            <v>1.0147582128323265</v>
          </cell>
          <cell r="R47">
            <v>0.98410609773271929</v>
          </cell>
          <cell r="S47">
            <v>1.035824730489326</v>
          </cell>
          <cell r="T47">
            <v>1.0120180916455608</v>
          </cell>
          <cell r="U47">
            <v>1.0245507722557066</v>
          </cell>
          <cell r="V47">
            <v>0.98818841186601825</v>
          </cell>
          <cell r="W47">
            <v>0.96083706722661477</v>
          </cell>
          <cell r="X47">
            <v>0.98021921804883294</v>
          </cell>
          <cell r="Y47">
            <v>0.95998810324572581</v>
          </cell>
          <cell r="Z47">
            <v>0.97593225485869584</v>
          </cell>
        </row>
        <row r="48">
          <cell r="C48">
            <v>0.99196980629863263</v>
          </cell>
          <cell r="D48">
            <v>1.0480045734305399</v>
          </cell>
          <cell r="E48">
            <v>1.0236729789367149</v>
          </cell>
          <cell r="F48">
            <v>0.97839350291049232</v>
          </cell>
          <cell r="G48">
            <v>1.0236729789367149</v>
          </cell>
          <cell r="H48">
            <v>0.98532211349545284</v>
          </cell>
          <cell r="I48">
            <v>0.98818418476388181</v>
          </cell>
          <cell r="J48">
            <v>0.9879373509102698</v>
          </cell>
          <cell r="K48">
            <v>0.99151005347811449</v>
          </cell>
          <cell r="L48">
            <v>0.99151005347811449</v>
          </cell>
          <cell r="M48">
            <v>1.0088210710247512</v>
          </cell>
          <cell r="N48">
            <v>0.98312582082614197</v>
          </cell>
          <cell r="O48">
            <v>0.99919355713469016</v>
          </cell>
          <cell r="P48">
            <v>1</v>
          </cell>
          <cell r="Q48">
            <v>1.0139398683115735</v>
          </cell>
          <cell r="R48">
            <v>0.98331247239149489</v>
          </cell>
          <cell r="S48">
            <v>1.0349893970257114</v>
          </cell>
          <cell r="T48">
            <v>1.0112019568759887</v>
          </cell>
          <cell r="U48">
            <v>1.0237245305952734</v>
          </cell>
          <cell r="V48">
            <v>0.98739149437168705</v>
          </cell>
          <cell r="W48">
            <v>0.96006220702902467</v>
          </cell>
          <cell r="X48">
            <v>0.97942872725399788</v>
          </cell>
          <cell r="Y48">
            <v>0.95921392768908098</v>
          </cell>
          <cell r="Z48">
            <v>0.97514522125473935</v>
          </cell>
        </row>
        <row r="49">
          <cell r="C49">
            <v>0.97833198723162385</v>
          </cell>
          <cell r="D49">
            <v>1.033596376060931</v>
          </cell>
          <cell r="E49">
            <v>1.0095992976796042</v>
          </cell>
          <cell r="F49">
            <v>0.96494233384838357</v>
          </cell>
          <cell r="G49">
            <v>1.0095992976796042</v>
          </cell>
          <cell r="H49">
            <v>0.97177568837117012</v>
          </cell>
          <cell r="I49">
            <v>0.97459841125432789</v>
          </cell>
          <cell r="J49">
            <v>0.97435497092682299</v>
          </cell>
          <cell r="K49">
            <v>0.97787855519399858</v>
          </cell>
          <cell r="L49">
            <v>0.97787855519399858</v>
          </cell>
          <cell r="M49">
            <v>0.99495157706408566</v>
          </cell>
          <cell r="N49">
            <v>0.96960959081652109</v>
          </cell>
          <cell r="O49">
            <v>0.98545642435242342</v>
          </cell>
          <cell r="P49">
            <v>0.98625178006385505</v>
          </cell>
          <cell r="Q49">
            <v>1</v>
          </cell>
          <cell r="R49">
            <v>0.96979367625510204</v>
          </cell>
          <cell r="S49">
            <v>1.0207601351638238</v>
          </cell>
          <cell r="T49">
            <v>0.99729972997299743</v>
          </cell>
          <cell r="U49">
            <v>1.0096501405946228</v>
          </cell>
          <cell r="V49">
            <v>0.9738166189439863</v>
          </cell>
          <cell r="W49">
            <v>0.94686306065440884</v>
          </cell>
          <cell r="X49">
            <v>0.96596332569993137</v>
          </cell>
          <cell r="Y49">
            <v>0.94602644364539801</v>
          </cell>
          <cell r="Z49">
            <v>0.96173871028324842</v>
          </cell>
        </row>
        <row r="50">
          <cell r="C50">
            <v>1.008804255158162</v>
          </cell>
          <cell r="D50">
            <v>1.0657899730303517</v>
          </cell>
          <cell r="E50">
            <v>1.0410454536868226</v>
          </cell>
          <cell r="F50">
            <v>0.99499755203039464</v>
          </cell>
          <cell r="G50">
            <v>1.0410454536868226</v>
          </cell>
          <cell r="H50">
            <v>1.0020437461746725</v>
          </cell>
          <cell r="I50">
            <v>1.0049543888734966</v>
          </cell>
          <cell r="J50">
            <v>1.0047033660699196</v>
          </cell>
          <cell r="K50">
            <v>1.0083366999980001</v>
          </cell>
          <cell r="L50">
            <v>1.0083366999980001</v>
          </cell>
          <cell r="M50">
            <v>1.0259414980989894</v>
          </cell>
          <cell r="N50">
            <v>0.99981018082187145</v>
          </cell>
          <cell r="O50">
            <v>1.0161505982981902</v>
          </cell>
          <cell r="P50">
            <v>1.016970727085277</v>
          </cell>
          <cell r="Q50">
            <v>1.031147165097571</v>
          </cell>
          <cell r="R50">
            <v>1</v>
          </cell>
          <cell r="S50">
            <v>1.0525539196187903</v>
          </cell>
          <cell r="T50">
            <v>1.0283627893142293</v>
          </cell>
          <cell r="U50">
            <v>1.0410978802145092</v>
          </cell>
          <cell r="V50">
            <v>1.004148245948993</v>
          </cell>
          <cell r="W50">
            <v>0.97635516072940309</v>
          </cell>
          <cell r="X50">
            <v>0.99605034488370581</v>
          </cell>
          <cell r="Y50">
            <v>0.97549248547228906</v>
          </cell>
          <cell r="Z50">
            <v>0.99169414467316575</v>
          </cell>
        </row>
        <row r="51">
          <cell r="C51">
            <v>0.9584347522296307</v>
          </cell>
          <cell r="D51">
            <v>1.0125751784919059</v>
          </cell>
          <cell r="E51">
            <v>0.98906615070500536</v>
          </cell>
          <cell r="F51">
            <v>0.94531741650894119</v>
          </cell>
          <cell r="G51">
            <v>0.98906615070500536</v>
          </cell>
          <cell r="H51">
            <v>0.95201179483288489</v>
          </cell>
          <cell r="I51">
            <v>0.95477710941161764</v>
          </cell>
          <cell r="J51">
            <v>0.95453862015334956</v>
          </cell>
          <cell r="K51">
            <v>0.95799054205526624</v>
          </cell>
          <cell r="L51">
            <v>0.95799054205526624</v>
          </cell>
          <cell r="M51">
            <v>0.97471633421930592</v>
          </cell>
          <cell r="N51">
            <v>0.94988975119106356</v>
          </cell>
          <cell r="O51">
            <v>0.96541429313779525</v>
          </cell>
          <cell r="P51">
            <v>0.96619347297058134</v>
          </cell>
          <cell r="Q51">
            <v>0.97966208274729294</v>
          </cell>
          <cell r="R51">
            <v>0.95007009271522724</v>
          </cell>
          <cell r="S51">
            <v>1</v>
          </cell>
          <cell r="T51">
            <v>0.97701673058865945</v>
          </cell>
          <cell r="U51">
            <v>0.98911595958102527</v>
          </cell>
          <cell r="V51">
            <v>0.95401121712859249</v>
          </cell>
          <cell r="W51">
            <v>0.92760583807717456</v>
          </cell>
          <cell r="X51">
            <v>0.94631764351269643</v>
          </cell>
          <cell r="Y51">
            <v>0.92678623611566513</v>
          </cell>
          <cell r="Z51">
            <v>0.94217894797478252</v>
          </cell>
        </row>
        <row r="52">
          <cell r="C52">
            <v>0.98098090055445308</v>
          </cell>
          <cell r="D52">
            <v>1.0363949222055002</v>
          </cell>
          <cell r="E52">
            <v>1.0123328697852347</v>
          </cell>
          <cell r="F52">
            <v>0.96755499359707042</v>
          </cell>
          <cell r="G52">
            <v>1.0123328697852347</v>
          </cell>
          <cell r="H52">
            <v>0.97440684998228333</v>
          </cell>
          <cell r="I52">
            <v>0.97723721561692978</v>
          </cell>
          <cell r="J52">
            <v>0.97699311615496409</v>
          </cell>
          <cell r="K52">
            <v>0.98052624081275475</v>
          </cell>
          <cell r="L52">
            <v>0.98052624081275475</v>
          </cell>
          <cell r="M52">
            <v>0.99764548927635288</v>
          </cell>
          <cell r="N52">
            <v>0.97223488754255849</v>
          </cell>
          <cell r="O52">
            <v>0.9881246276674569</v>
          </cell>
          <cell r="P52">
            <v>0.98892213686908192</v>
          </cell>
          <cell r="Q52">
            <v>1.0027075812274366</v>
          </cell>
          <cell r="R52">
            <v>0.97241947140741725</v>
          </cell>
          <cell r="S52">
            <v>1.0235239261435092</v>
          </cell>
          <cell r="T52">
            <v>1</v>
          </cell>
          <cell r="U52">
            <v>1.0123838503615756</v>
          </cell>
          <cell r="V52">
            <v>0.97645330654040485</v>
          </cell>
          <cell r="W52">
            <v>0.94942676930239001</v>
          </cell>
          <cell r="X52">
            <v>0.96857874986698889</v>
          </cell>
          <cell r="Y52">
            <v>0.94858788708487096</v>
          </cell>
          <cell r="Z52">
            <v>0.9643426959609106</v>
          </cell>
        </row>
        <row r="53">
          <cell r="C53">
            <v>0.96898118258612398</v>
          </cell>
          <cell r="D53">
            <v>1.0237173596115237</v>
          </cell>
          <cell r="E53">
            <v>0.99994964303675671</v>
          </cell>
          <cell r="F53">
            <v>0.95571950624410451</v>
          </cell>
          <cell r="G53">
            <v>0.99994964303675671</v>
          </cell>
          <cell r="H53">
            <v>0.96248754821036631</v>
          </cell>
          <cell r="I53">
            <v>0.96528329177505823</v>
          </cell>
          <cell r="J53">
            <v>0.96504217822718963</v>
          </cell>
          <cell r="K53">
            <v>0.96853208440904814</v>
          </cell>
          <cell r="L53">
            <v>0.96853208440904814</v>
          </cell>
          <cell r="M53">
            <v>0.9854419239501313</v>
          </cell>
          <cell r="N53">
            <v>0.96034215401136847</v>
          </cell>
          <cell r="O53">
            <v>0.97603752501044494</v>
          </cell>
          <cell r="P53">
            <v>0.97682527878717718</v>
          </cell>
          <cell r="Q53">
            <v>0.99044209453688636</v>
          </cell>
          <cell r="R53">
            <v>0.96052447997873036</v>
          </cell>
          <cell r="S53">
            <v>1.0110038062914131</v>
          </cell>
          <cell r="T53">
            <v>0.98776763343552676</v>
          </cell>
          <cell r="U53">
            <v>1</v>
          </cell>
          <cell r="V53">
            <v>0.96450897176171069</v>
          </cell>
          <cell r="W53">
            <v>0.93781303303415964</v>
          </cell>
          <cell r="X53">
            <v>0.95673073955205656</v>
          </cell>
          <cell r="Y53">
            <v>0.93698441233142971</v>
          </cell>
          <cell r="Z53">
            <v>0.95254650261014429</v>
          </cell>
        </row>
        <row r="54">
          <cell r="C54">
            <v>1.0046367747271905</v>
          </cell>
          <cell r="D54">
            <v>1.0613870783821395</v>
          </cell>
          <cell r="E54">
            <v>1.0367447813474584</v>
          </cell>
          <cell r="F54">
            <v>0.99088710859625095</v>
          </cell>
          <cell r="G54">
            <v>1.0367447813474584</v>
          </cell>
          <cell r="H54">
            <v>0.99790419414383247</v>
          </cell>
          <cell r="I54">
            <v>1.0008028126601387</v>
          </cell>
          <cell r="J54">
            <v>1.0005528268591479</v>
          </cell>
          <cell r="K54">
            <v>1.0041711510884022</v>
          </cell>
          <cell r="L54">
            <v>1.0041711510884022</v>
          </cell>
          <cell r="M54">
            <v>1.0217032218478859</v>
          </cell>
          <cell r="N54">
            <v>0.99567985589316876</v>
          </cell>
          <cell r="O54">
            <v>1.011952769322277</v>
          </cell>
          <cell r="P54">
            <v>1.0127695100678746</v>
          </cell>
          <cell r="Q54">
            <v>1.0268873836681973</v>
          </cell>
          <cell r="R54">
            <v>0.9958688909075647</v>
          </cell>
          <cell r="S54">
            <v>1.0482057045511746</v>
          </cell>
          <cell r="T54">
            <v>1.0241145104449711</v>
          </cell>
          <cell r="U54">
            <v>1.0367969912954398</v>
          </cell>
          <cell r="V54">
            <v>1</v>
          </cell>
          <cell r="W54">
            <v>0.97232173104746766</v>
          </cell>
          <cell r="X54">
            <v>0.99193555224743335</v>
          </cell>
          <cell r="Y54">
            <v>0.97146261959595215</v>
          </cell>
          <cell r="Z54">
            <v>0.9875973479751915</v>
          </cell>
        </row>
        <row r="55">
          <cell r="C55">
            <v>1.0332349289827252</v>
          </cell>
          <cell r="D55">
            <v>1.0916006960357898</v>
          </cell>
          <cell r="E55">
            <v>1.0662569273552991</v>
          </cell>
          <cell r="F55">
            <v>1.0190938626135437</v>
          </cell>
          <cell r="G55">
            <v>1.0662569273552991</v>
          </cell>
          <cell r="H55">
            <v>1.0263106976625991</v>
          </cell>
          <cell r="I55">
            <v>1.0292918287262682</v>
          </cell>
          <cell r="J55">
            <v>1.0290347267887012</v>
          </cell>
          <cell r="K55">
            <v>1.0327560508255056</v>
          </cell>
          <cell r="L55">
            <v>1.0327560508255056</v>
          </cell>
          <cell r="M55">
            <v>1.0507871923701841</v>
          </cell>
          <cell r="N55">
            <v>1.0240230410365689</v>
          </cell>
          <cell r="O55">
            <v>1.0407591818729747</v>
          </cell>
          <cell r="P55">
            <v>1.0415991720938225</v>
          </cell>
          <cell r="Q55">
            <v>1.0561189273862541</v>
          </cell>
          <cell r="R55">
            <v>1.0242174571525107</v>
          </cell>
          <cell r="S55">
            <v>1.0780440990678655</v>
          </cell>
          <cell r="T55">
            <v>1.0532671211016829</v>
          </cell>
          <cell r="U55">
            <v>1.0663106235201738</v>
          </cell>
          <cell r="V55">
            <v>1.0284661630700314</v>
          </cell>
          <cell r="W55">
            <v>1</v>
          </cell>
          <cell r="X55">
            <v>1.0201721514326703</v>
          </cell>
          <cell r="Y55">
            <v>0.9991164329418103</v>
          </cell>
          <cell r="Z55">
            <v>1.0157104551301839</v>
          </cell>
        </row>
        <row r="56">
          <cell r="C56">
            <v>1.012804483568494</v>
          </cell>
          <cell r="D56">
            <v>1.0700161678622664</v>
          </cell>
          <cell r="E56">
            <v>1.0451735286617165</v>
          </cell>
          <cell r="F56">
            <v>0.99894303248955341</v>
          </cell>
          <cell r="G56">
            <v>1.0451735286617165</v>
          </cell>
          <cell r="H56">
            <v>1.0060171670254947</v>
          </cell>
          <cell r="I56">
            <v>1.0089393513445652</v>
          </cell>
          <cell r="J56">
            <v>1.0086873331560606</v>
          </cell>
          <cell r="K56">
            <v>1.012335074404024</v>
          </cell>
          <cell r="L56">
            <v>1.012335074404024</v>
          </cell>
          <cell r="M56">
            <v>1.0300096811058013</v>
          </cell>
          <cell r="N56">
            <v>1.0037747448785881</v>
          </cell>
          <cell r="O56">
            <v>1.0201799572860257</v>
          </cell>
          <cell r="P56">
            <v>1.0210033381435293</v>
          </cell>
          <cell r="Q56">
            <v>1.0352359902229269</v>
          </cell>
          <cell r="R56">
            <v>1.0039653167498832</v>
          </cell>
          <cell r="S56">
            <v>1.0567276293064098</v>
          </cell>
          <cell r="T56">
            <v>1.0324405735076534</v>
          </cell>
          <cell r="U56">
            <v>1.0452261630771915</v>
          </cell>
          <cell r="V56">
            <v>1.0081300118080201</v>
          </cell>
          <cell r="W56">
            <v>0.98022671820207818</v>
          </cell>
          <cell r="X56">
            <v>1</v>
          </cell>
          <cell r="Y56">
            <v>0.97936062216431752</v>
          </cell>
          <cell r="Z56">
            <v>0.99562652607579927</v>
          </cell>
        </row>
        <row r="57">
          <cell r="C57">
            <v>1.0341486686796411</v>
          </cell>
          <cell r="D57">
            <v>1.09256605140771</v>
          </cell>
          <cell r="E57">
            <v>1.0671998700049399</v>
          </cell>
          <cell r="F57">
            <v>1.0199950966804856</v>
          </cell>
          <cell r="G57">
            <v>1.0671998700049399</v>
          </cell>
          <cell r="H57">
            <v>1.0272183139263535</v>
          </cell>
          <cell r="I57">
            <v>1.0302020813486261</v>
          </cell>
          <cell r="J57">
            <v>1.029944752043362</v>
          </cell>
          <cell r="K57">
            <v>1.0336693670272707</v>
          </cell>
          <cell r="L57">
            <v>1.0336693670272707</v>
          </cell>
          <cell r="M57">
            <v>1.0517164543838338</v>
          </cell>
          <cell r="N57">
            <v>1.0249286342147566</v>
          </cell>
          <cell r="O57">
            <v>1.0416795756311914</v>
          </cell>
          <cell r="P57">
            <v>1.0425203086960799</v>
          </cell>
          <cell r="Q57">
            <v>1.0570529045114441</v>
          </cell>
          <cell r="R57">
            <v>1.0251232222622868</v>
          </cell>
          <cell r="S57">
            <v>1.0789974656844143</v>
          </cell>
          <cell r="T57">
            <v>1.0541985762364359</v>
          </cell>
          <cell r="U57">
            <v>1.0672536136559339</v>
          </cell>
          <cell r="V57">
            <v>1.0293756855162548</v>
          </cell>
          <cell r="W57">
            <v>1.0008843484393386</v>
          </cell>
          <cell r="X57">
            <v>1.0210743390826467</v>
          </cell>
          <cell r="Y57">
            <v>1</v>
          </cell>
          <cell r="Z57">
            <v>1.016608697085998</v>
          </cell>
        </row>
        <row r="58">
          <cell r="C58">
            <v>1.0172534148526562</v>
          </cell>
          <cell r="D58">
            <v>1.0747164120663493</v>
          </cell>
          <cell r="E58">
            <v>1.0497646469717956</v>
          </cell>
          <cell r="F58">
            <v>1.0033310747824549</v>
          </cell>
          <cell r="G58">
            <v>1.0497646469717956</v>
          </cell>
          <cell r="H58">
            <v>1.0104362837646055</v>
          </cell>
          <cell r="I58">
            <v>1.0133713043195403</v>
          </cell>
          <cell r="J58">
            <v>1.0131181790944641</v>
          </cell>
          <cell r="K58">
            <v>1.0167819437214882</v>
          </cell>
          <cell r="L58">
            <v>1.0167819437214882</v>
          </cell>
          <cell r="M58">
            <v>1.0345341894068665</v>
          </cell>
          <cell r="N58">
            <v>1.0081840113630807</v>
          </cell>
          <cell r="O58">
            <v>1.0246612867045664</v>
          </cell>
          <cell r="P58">
            <v>1.0254882844149915</v>
          </cell>
          <cell r="Q58">
            <v>1.0397834560547978</v>
          </cell>
          <cell r="R58">
            <v>1.0083754203566178</v>
          </cell>
          <cell r="S58">
            <v>1.0613695011436033</v>
          </cell>
          <cell r="T58">
            <v>1.0369757599538398</v>
          </cell>
          <cell r="U58">
            <v>1.0498175125936895</v>
          </cell>
          <cell r="V58">
            <v>1.0125584096091762</v>
          </cell>
          <cell r="W58">
            <v>0.98453254561786496</v>
          </cell>
          <cell r="X58">
            <v>1.004392685218461</v>
          </cell>
          <cell r="Y58">
            <v>0.9836626450928414</v>
          </cell>
          <cell r="Z58">
            <v>1</v>
          </cell>
        </row>
        <row r="63">
          <cell r="C63">
            <v>1</v>
          </cell>
          <cell r="D63">
            <v>1.0792509498423717</v>
          </cell>
          <cell r="E63">
            <v>1.0174372799898954</v>
          </cell>
          <cell r="F63">
            <v>0.93699078116724888</v>
          </cell>
          <cell r="G63">
            <v>1.0229835508893881</v>
          </cell>
          <cell r="H63">
            <v>0.98315933773468078</v>
          </cell>
          <cell r="I63">
            <v>0.98661871971019877</v>
          </cell>
          <cell r="J63">
            <v>1.0101688243065943</v>
          </cell>
          <cell r="K63">
            <v>0.98551973017748262</v>
          </cell>
          <cell r="L63">
            <v>1.0100653155570216</v>
          </cell>
          <cell r="M63">
            <v>1.0236901931316178</v>
          </cell>
          <cell r="N63">
            <v>0.9874065623635585</v>
          </cell>
          <cell r="O63">
            <v>0.9719492328457584</v>
          </cell>
          <cell r="P63">
            <v>0.95902146773850305</v>
          </cell>
          <cell r="Q63">
            <v>0.99426608151729179</v>
          </cell>
          <cell r="R63">
            <v>0.95832315329886331</v>
          </cell>
          <cell r="S63">
            <v>0.98924406123995412</v>
          </cell>
          <cell r="T63">
            <v>0.99298198209810207</v>
          </cell>
          <cell r="U63">
            <v>1.0001422625181986</v>
          </cell>
          <cell r="V63">
            <v>0.96146997056581174</v>
          </cell>
          <cell r="W63">
            <v>0.99919428769627272</v>
          </cell>
          <cell r="X63">
            <v>0.99919428769627272</v>
          </cell>
          <cell r="Y63">
            <v>0.97753832545700881</v>
          </cell>
          <cell r="Z63">
            <v>0.96820563436021467</v>
          </cell>
        </row>
        <row r="64">
          <cell r="C64">
            <v>0.92656856141387078</v>
          </cell>
          <cell r="D64">
            <v>1</v>
          </cell>
          <cell r="E64">
            <v>0.94272539684907908</v>
          </cell>
          <cell r="F64">
            <v>0.86818620016419679</v>
          </cell>
          <cell r="G64">
            <v>0.9478643970976337</v>
          </cell>
          <cell r="H64">
            <v>0.91096453320543713</v>
          </cell>
          <cell r="I64">
            <v>0.91416988778587394</v>
          </cell>
          <cell r="J64">
            <v>0.93599067432290217</v>
          </cell>
          <cell r="K64">
            <v>0.91315159863553619</v>
          </cell>
          <cell r="L64">
            <v>0.93589476636971691</v>
          </cell>
          <cell r="M64">
            <v>0.94851914958345074</v>
          </cell>
          <cell r="N64">
            <v>0.91489987801981787</v>
          </cell>
          <cell r="O64">
            <v>0.90057760244520979</v>
          </cell>
          <cell r="P64">
            <v>0.88859914172748367</v>
          </cell>
          <cell r="Q64">
            <v>0.92125569281408348</v>
          </cell>
          <cell r="R64">
            <v>0.88795210552173209</v>
          </cell>
          <cell r="S64">
            <v>0.91660244671031943</v>
          </cell>
          <cell r="T64">
            <v>0.92006588666253242</v>
          </cell>
          <cell r="U64">
            <v>0.92670037739070121</v>
          </cell>
          <cell r="V64">
            <v>0.89086784746980097</v>
          </cell>
          <cell r="W64">
            <v>0.92582201372369288</v>
          </cell>
          <cell r="X64">
            <v>0.92582201372369288</v>
          </cell>
          <cell r="Y64">
            <v>0.90575627994562491</v>
          </cell>
          <cell r="Z64">
            <v>0.89710890178194835</v>
          </cell>
        </row>
        <row r="65">
          <cell r="C65">
            <v>0.98286156765351806</v>
          </cell>
          <cell r="D65">
            <v>1.0607542804536219</v>
          </cell>
          <cell r="E65">
            <v>1</v>
          </cell>
          <cell r="F65">
            <v>0.92093222805493669</v>
          </cell>
          <cell r="G65">
            <v>1.0054512165109066</v>
          </cell>
          <cell r="H65">
            <v>0.96630952793910296</v>
          </cell>
          <cell r="I65">
            <v>0.96970962153067297</v>
          </cell>
          <cell r="J65">
            <v>0.99285611425269049</v>
          </cell>
          <cell r="K65">
            <v>0.96862946695571273</v>
          </cell>
          <cell r="L65">
            <v>0.99275437948081968</v>
          </cell>
          <cell r="M65">
            <v>1.0061457480128746</v>
          </cell>
          <cell r="N65">
            <v>0.97048396179601837</v>
          </cell>
          <cell r="O65">
            <v>0.9552915466744164</v>
          </cell>
          <cell r="P65">
            <v>0.94258534319484288</v>
          </cell>
          <cell r="Q65">
            <v>0.97722591954480598</v>
          </cell>
          <cell r="R65">
            <v>0.94189899676998345</v>
          </cell>
          <cell r="S65">
            <v>0.97228996882223417</v>
          </cell>
          <cell r="T65">
            <v>0.97596382757663824</v>
          </cell>
          <cell r="U65">
            <v>0.98300139201517311</v>
          </cell>
          <cell r="V65">
            <v>0.94499188252209565</v>
          </cell>
          <cell r="W65">
            <v>0.98206966399559903</v>
          </cell>
          <cell r="X65">
            <v>0.98206966399559903</v>
          </cell>
          <cell r="Y65">
            <v>0.96078485100007072</v>
          </cell>
          <cell r="Z65">
            <v>0.95161210759824955</v>
          </cell>
        </row>
        <row r="66">
          <cell r="C66">
            <v>1.0672463594084223</v>
          </cell>
          <cell r="D66">
            <v>1.1518266471073528</v>
          </cell>
          <cell r="E66">
            <v>1.0858562329956234</v>
          </cell>
          <cell r="F66">
            <v>1</v>
          </cell>
          <cell r="G66">
            <v>1.0917754704214</v>
          </cell>
          <cell r="H66">
            <v>1.0492732239157334</v>
          </cell>
          <cell r="I66">
            <v>1.0529652367349083</v>
          </cell>
          <cell r="J66">
            <v>1.0780990001290989</v>
          </cell>
          <cell r="K66">
            <v>1.0517923441570889</v>
          </cell>
          <cell r="L66">
            <v>1.0779885307929504</v>
          </cell>
          <cell r="M66">
            <v>1.0925296317818238</v>
          </cell>
          <cell r="N66">
            <v>1.053806058938493</v>
          </cell>
          <cell r="O66">
            <v>1.0373092802844446</v>
          </cell>
          <cell r="P66">
            <v>1.0235121700384391</v>
          </cell>
          <cell r="Q66">
            <v>1.0611268557826072</v>
          </cell>
          <cell r="R66">
            <v>1.0227668964950112</v>
          </cell>
          <cell r="S66">
            <v>1.0557671229247434</v>
          </cell>
          <cell r="T66">
            <v>1.0597564053523585</v>
          </cell>
          <cell r="U66">
            <v>1.0673981885630499</v>
          </cell>
          <cell r="V66">
            <v>1.0261253257668854</v>
          </cell>
          <cell r="W66">
            <v>1.0663864658855389</v>
          </cell>
          <cell r="X66">
            <v>1.0663864658855389</v>
          </cell>
          <cell r="Y66">
            <v>1.0432742190261981</v>
          </cell>
          <cell r="Z66">
            <v>1.0333139384296612</v>
          </cell>
        </row>
        <row r="67">
          <cell r="C67">
            <v>0.97753282458021329</v>
          </cell>
          <cell r="D67">
            <v>1.0550032294302918</v>
          </cell>
          <cell r="E67">
            <v>0.9945783381417318</v>
          </cell>
          <cell r="F67">
            <v>0.91593924492004131</v>
          </cell>
          <cell r="G67">
            <v>1</v>
          </cell>
          <cell r="H67">
            <v>0.96107052442819441</v>
          </cell>
          <cell r="I67">
            <v>0.96445218386202436</v>
          </cell>
          <cell r="J67">
            <v>0.98747318412729823</v>
          </cell>
          <cell r="K67">
            <v>0.96337788551992432</v>
          </cell>
          <cell r="L67">
            <v>0.98737200092695976</v>
          </cell>
          <cell r="M67">
            <v>1.0006907659870146</v>
          </cell>
          <cell r="N67">
            <v>0.96522232591628787</v>
          </cell>
          <cell r="O67">
            <v>0.95011227893228567</v>
          </cell>
          <cell r="P67">
            <v>0.9374749641914808</v>
          </cell>
          <cell r="Q67">
            <v>0.97192773104989882</v>
          </cell>
          <cell r="R67">
            <v>0.93679233890485458</v>
          </cell>
          <cell r="S67">
            <v>0.96701854138309384</v>
          </cell>
          <cell r="T67">
            <v>0.97067248171761655</v>
          </cell>
          <cell r="U67">
            <v>0.97767189086145989</v>
          </cell>
          <cell r="V67">
            <v>0.93986845607625247</v>
          </cell>
          <cell r="W67">
            <v>0.9767452143561518</v>
          </cell>
          <cell r="X67">
            <v>0.9767452143561518</v>
          </cell>
          <cell r="Y67">
            <v>0.95557580041940171</v>
          </cell>
          <cell r="Z67">
            <v>0.94645278853061787</v>
          </cell>
        </row>
        <row r="68">
          <cell r="C68">
            <v>1.0171291281270056</v>
          </cell>
          <cell r="D68">
            <v>1.0977375776434142</v>
          </cell>
          <cell r="E68">
            <v>1.0348650935200343</v>
          </cell>
          <cell r="F68">
            <v>0.95304061631168568</v>
          </cell>
          <cell r="G68">
            <v>1.0405063672043915</v>
          </cell>
          <cell r="H68">
            <v>1</v>
          </cell>
          <cell r="I68">
            <v>1.0035186381726169</v>
          </cell>
          <cell r="J68">
            <v>1.0274721355280483</v>
          </cell>
          <cell r="K68">
            <v>1.0024008239073847</v>
          </cell>
          <cell r="L68">
            <v>1.0273668537638421</v>
          </cell>
          <cell r="M68">
            <v>1.0412251136121284</v>
          </cell>
          <cell r="N68">
            <v>1.00431997588373</v>
          </cell>
          <cell r="O68">
            <v>0.9885978757881182</v>
          </cell>
          <cell r="P68">
            <v>0.97544866933594476</v>
          </cell>
          <cell r="Q68">
            <v>1.0112969926199371</v>
          </cell>
          <cell r="R68">
            <v>0.97473839337879542</v>
          </cell>
          <cell r="S68">
            <v>1.0061889495138125</v>
          </cell>
          <cell r="T68">
            <v>1.0099908976972682</v>
          </cell>
          <cell r="U68">
            <v>1.0172738274781061</v>
          </cell>
          <cell r="V68">
            <v>0.97793911288190183</v>
          </cell>
          <cell r="W68">
            <v>1.0163096146739943</v>
          </cell>
          <cell r="X68">
            <v>1.0163096146739943</v>
          </cell>
          <cell r="Y68">
            <v>0.99428270468282032</v>
          </cell>
          <cell r="Z68">
            <v>0.98479015272445947</v>
          </cell>
        </row>
        <row r="69">
          <cell r="C69">
            <v>1.0135627674829966</v>
          </cell>
          <cell r="D69">
            <v>1.093888579530887</v>
          </cell>
          <cell r="E69">
            <v>1.0312365452469308</v>
          </cell>
          <cell r="F69">
            <v>0.94969896926593167</v>
          </cell>
          <cell r="G69">
            <v>1.0368580389290312</v>
          </cell>
          <cell r="H69">
            <v>0.99649369923111319</v>
          </cell>
          <cell r="I69">
            <v>1</v>
          </cell>
          <cell r="J69">
            <v>1.0238695091892367</v>
          </cell>
          <cell r="K69">
            <v>0.99888610512778542</v>
          </cell>
          <cell r="L69">
            <v>1.023764596574561</v>
          </cell>
          <cell r="M69">
            <v>1.0375742651956859</v>
          </cell>
          <cell r="N69">
            <v>1.0007985279800804</v>
          </cell>
          <cell r="O69">
            <v>0.98513155429612242</v>
          </cell>
          <cell r="P69">
            <v>0.97202845291664253</v>
          </cell>
          <cell r="Q69">
            <v>1.0077510811971411</v>
          </cell>
          <cell r="R69">
            <v>0.97132066740062784</v>
          </cell>
          <cell r="S69">
            <v>1.0026609484264868</v>
          </cell>
          <cell r="T69">
            <v>1.0064495658361037</v>
          </cell>
          <cell r="U69">
            <v>1.0137069594746511</v>
          </cell>
          <cell r="V69">
            <v>0.97451016421847947</v>
          </cell>
          <cell r="W69">
            <v>1.0127461274906358</v>
          </cell>
          <cell r="X69">
            <v>1.0127461274906358</v>
          </cell>
          <cell r="Y69">
            <v>0.99079645047090015</v>
          </cell>
          <cell r="Z69">
            <v>0.98133718225476951</v>
          </cell>
        </row>
        <row r="70">
          <cell r="C70">
            <v>0.98993353975898601</v>
          </cell>
          <cell r="D70">
            <v>1.0683867130657068</v>
          </cell>
          <cell r="E70">
            <v>1.0071952880631516</v>
          </cell>
          <cell r="F70">
            <v>0.92755860072243212</v>
          </cell>
          <cell r="G70">
            <v>1.0126857276471488</v>
          </cell>
          <cell r="H70">
            <v>0.97326240335079295</v>
          </cell>
          <cell r="I70">
            <v>0.97668696159519586</v>
          </cell>
          <cell r="J70">
            <v>1</v>
          </cell>
          <cell r="K70">
            <v>0.97559903499691614</v>
          </cell>
          <cell r="L70">
            <v>0.99989753321713948</v>
          </cell>
          <cell r="M70">
            <v>1.0133852565033425</v>
          </cell>
          <cell r="N70">
            <v>0.97746687346180938</v>
          </cell>
          <cell r="O70">
            <v>0.9621651445370325</v>
          </cell>
          <cell r="P70">
            <v>0.94936751626323446</v>
          </cell>
          <cell r="Q70">
            <v>0.98425734153870914</v>
          </cell>
          <cell r="R70">
            <v>0.94867623137813706</v>
          </cell>
          <cell r="S70">
            <v>0.97928587522882293</v>
          </cell>
          <cell r="T70">
            <v>0.98298616845526821</v>
          </cell>
          <cell r="U70">
            <v>0.99007437019720135</v>
          </cell>
          <cell r="V70">
            <v>0.95179137133418212</v>
          </cell>
          <cell r="W70">
            <v>0.98913593812612999</v>
          </cell>
          <cell r="X70">
            <v>0.98913593812612999</v>
          </cell>
          <cell r="Y70">
            <v>0.96769797476972841</v>
          </cell>
          <cell r="Z70">
            <v>0.95845923083680185</v>
          </cell>
        </row>
        <row r="71">
          <cell r="C71">
            <v>1.0146930288446987</v>
          </cell>
          <cell r="D71">
            <v>1.095108415179074</v>
          </cell>
          <cell r="E71">
            <v>1.0323865152924587</v>
          </cell>
          <cell r="F71">
            <v>0.95075801374215596</v>
          </cell>
          <cell r="G71">
            <v>1.0380142777102581</v>
          </cell>
          <cell r="H71">
            <v>0.99760492624295116</v>
          </cell>
          <cell r="I71">
            <v>1.0011151370176203</v>
          </cell>
          <cell r="J71">
            <v>1.0250112639801463</v>
          </cell>
          <cell r="K71">
            <v>1</v>
          </cell>
          <cell r="L71">
            <v>1.0249062343735305</v>
          </cell>
          <cell r="M71">
            <v>1.0387313026673359</v>
          </cell>
          <cell r="N71">
            <v>1.0019145554658109</v>
          </cell>
          <cell r="O71">
            <v>0.98623011095954383</v>
          </cell>
          <cell r="P71">
            <v>0.97311239782667003</v>
          </cell>
          <cell r="Q71">
            <v>1.0088748617323309</v>
          </cell>
          <cell r="R71">
            <v>0.97240382303282602</v>
          </cell>
          <cell r="S71">
            <v>1.0037790527661996</v>
          </cell>
          <cell r="T71">
            <v>1.0075718950033354</v>
          </cell>
          <cell r="U71">
            <v>1.0148373816301806</v>
          </cell>
          <cell r="V71">
            <v>0.97559687657664673</v>
          </cell>
          <cell r="W71">
            <v>1.0138754781868522</v>
          </cell>
          <cell r="X71">
            <v>1.0138754781868522</v>
          </cell>
          <cell r="Y71">
            <v>0.99190132426974709</v>
          </cell>
          <cell r="Z71">
            <v>0.9824315076734691</v>
          </cell>
        </row>
        <row r="72">
          <cell r="C72">
            <v>0.99003498545886526</v>
          </cell>
          <cell r="D72">
            <v>1.068496198433659</v>
          </cell>
          <cell r="E72">
            <v>1.0072985027001036</v>
          </cell>
          <cell r="F72">
            <v>0.92765365440800807</v>
          </cell>
          <cell r="G72">
            <v>1.0127895049294338</v>
          </cell>
          <cell r="H72">
            <v>0.97336214063790227</v>
          </cell>
          <cell r="I72">
            <v>0.97678704982173092</v>
          </cell>
          <cell r="J72">
            <v>1.000102477283378</v>
          </cell>
          <cell r="K72">
            <v>0.97569901173568885</v>
          </cell>
          <cell r="L72">
            <v>1</v>
          </cell>
          <cell r="M72">
            <v>1.0134891054714443</v>
          </cell>
          <cell r="N72">
            <v>0.9775670416115938</v>
          </cell>
          <cell r="O72">
            <v>0.96226374460720576</v>
          </cell>
          <cell r="P72">
            <v>0.94946480486722851</v>
          </cell>
          <cell r="Q72">
            <v>0.98435820555721498</v>
          </cell>
          <cell r="R72">
            <v>0.94877344914113404</v>
          </cell>
          <cell r="S72">
            <v>0.97938622978496681</v>
          </cell>
          <cell r="T72">
            <v>0.98308690220740969</v>
          </cell>
          <cell r="U72">
            <v>0.99017583032900136</v>
          </cell>
          <cell r="V72">
            <v>0.95188890832825912</v>
          </cell>
          <cell r="W72">
            <v>0.98923730208996064</v>
          </cell>
          <cell r="X72">
            <v>0.98923730208996064</v>
          </cell>
          <cell r="Y72">
            <v>0.96779714182931331</v>
          </cell>
          <cell r="Z72">
            <v>0.95855745113500657</v>
          </cell>
        </row>
        <row r="73">
          <cell r="C73">
            <v>0.97685804426909073</v>
          </cell>
          <cell r="D73">
            <v>1.0542749721385778</v>
          </cell>
          <cell r="E73">
            <v>0.99389179149739248</v>
          </cell>
          <cell r="F73">
            <v>0.91530698198920624</v>
          </cell>
          <cell r="G73">
            <v>0.99930971084125753</v>
          </cell>
          <cell r="H73">
            <v>0.96040710786439465</v>
          </cell>
          <cell r="I73">
            <v>0.96378643297537891</v>
          </cell>
          <cell r="J73">
            <v>0.98679154209374631</v>
          </cell>
          <cell r="K73">
            <v>0.96271287620977763</v>
          </cell>
          <cell r="L73">
            <v>0.98669042873907409</v>
          </cell>
          <cell r="M73">
            <v>1</v>
          </cell>
          <cell r="N73">
            <v>0.96455604340893175</v>
          </cell>
          <cell r="O73">
            <v>0.94945642672655062</v>
          </cell>
          <cell r="P73">
            <v>0.93682783538710701</v>
          </cell>
          <cell r="Q73">
            <v>0.97125681987407397</v>
          </cell>
          <cell r="R73">
            <v>0.93614568130931564</v>
          </cell>
          <cell r="S73">
            <v>0.96635101896767417</v>
          </cell>
          <cell r="T73">
            <v>0.97000243702679723</v>
          </cell>
          <cell r="U73">
            <v>0.97699701455439103</v>
          </cell>
          <cell r="V73">
            <v>0.93921967507037907</v>
          </cell>
          <cell r="W73">
            <v>0.97607097772382823</v>
          </cell>
          <cell r="X73">
            <v>0.97607097772382823</v>
          </cell>
          <cell r="Y73">
            <v>0.95491617680401553</v>
          </cell>
          <cell r="Z73">
            <v>0.94579946243143365</v>
          </cell>
        </row>
        <row r="74">
          <cell r="C74">
            <v>1.0127540550331127</v>
          </cell>
          <cell r="D74">
            <v>1.0930157758512005</v>
          </cell>
          <cell r="E74">
            <v>1.030413731051627</v>
          </cell>
          <cell r="F74">
            <v>0.94894121315577529</v>
          </cell>
          <cell r="G74">
            <v>1.0360307393954005</v>
          </cell>
          <cell r="H74">
            <v>0.99569860603446758</v>
          </cell>
          <cell r="I74">
            <v>0.99920210915808194</v>
          </cell>
          <cell r="J74">
            <v>1.0230525730845352</v>
          </cell>
          <cell r="K74">
            <v>0.99808910305238474</v>
          </cell>
          <cell r="L74">
            <v>1.0229477441786743</v>
          </cell>
          <cell r="M74">
            <v>1.0367463941916764</v>
          </cell>
          <cell r="N74">
            <v>1</v>
          </cell>
          <cell r="O74">
            <v>0.98434552685086496</v>
          </cell>
          <cell r="P74">
            <v>0.97125288031597645</v>
          </cell>
          <cell r="Q74">
            <v>1.0069470058385206</v>
          </cell>
          <cell r="R74">
            <v>0.97054565953554317</v>
          </cell>
          <cell r="S74">
            <v>1.0018609344381884</v>
          </cell>
          <cell r="T74">
            <v>1.0056465289446705</v>
          </cell>
          <cell r="U74">
            <v>1.0128981319752977</v>
          </cell>
          <cell r="V74">
            <v>0.97373261148309342</v>
          </cell>
          <cell r="W74">
            <v>1.011938066630323</v>
          </cell>
          <cell r="X74">
            <v>1.011938066630323</v>
          </cell>
          <cell r="Y74">
            <v>0.99000590305686442</v>
          </cell>
          <cell r="Z74">
            <v>0.98055418230421476</v>
          </cell>
        </row>
        <row r="75">
          <cell r="C75">
            <v>1.0288603213072272</v>
          </cell>
          <cell r="D75">
            <v>1.1103984790259527</v>
          </cell>
          <cell r="E75">
            <v>1.0468008468003551</v>
          </cell>
          <cell r="F75">
            <v>0.96403263617364543</v>
          </cell>
          <cell r="G75">
            <v>1.052507184860064</v>
          </cell>
          <cell r="H75">
            <v>1.0115336321179043</v>
          </cell>
          <cell r="I75">
            <v>1.0150928529687602</v>
          </cell>
          <cell r="J75">
            <v>1.0393226211506263</v>
          </cell>
          <cell r="K75">
            <v>1.0139621462450166</v>
          </cell>
          <cell r="L75">
            <v>1.0392161251052829</v>
          </cell>
          <cell r="M75">
            <v>1.0532342210244539</v>
          </cell>
          <cell r="N75">
            <v>1.0159034330142354</v>
          </cell>
          <cell r="O75">
            <v>1</v>
          </cell>
          <cell r="P75">
            <v>0.98669913543796484</v>
          </cell>
          <cell r="Q75">
            <v>1.0229609200947585</v>
          </cell>
          <cell r="R75">
            <v>0.98598066741922363</v>
          </cell>
          <cell r="S75">
            <v>1.0177939626986054</v>
          </cell>
          <cell r="T75">
            <v>1.0216397611537407</v>
          </cell>
          <cell r="U75">
            <v>1.029006689567411</v>
          </cell>
          <cell r="V75">
            <v>0.98921830284359136</v>
          </cell>
          <cell r="W75">
            <v>1.0280313558875331</v>
          </cell>
          <cell r="X75">
            <v>1.0280313558875331</v>
          </cell>
          <cell r="Y75">
            <v>1.0057503956198268</v>
          </cell>
          <cell r="Z75">
            <v>0.99614836005931817</v>
          </cell>
        </row>
        <row r="76">
          <cell r="C76">
            <v>1.0427295255007478</v>
          </cell>
          <cell r="D76">
            <v>1.1253668308253677</v>
          </cell>
          <cell r="E76">
            <v>1.0609118921906351</v>
          </cell>
          <cell r="F76">
            <v>0.97702795264510045</v>
          </cell>
          <cell r="G76">
            <v>1.0666951526139619</v>
          </cell>
          <cell r="H76">
            <v>1.0251692697277131</v>
          </cell>
          <cell r="I76">
            <v>1.0287764694535708</v>
          </cell>
          <cell r="J76">
            <v>1.0533328588448632</v>
          </cell>
          <cell r="K76">
            <v>1.0276305206195915</v>
          </cell>
          <cell r="L76">
            <v>1.0532249272155361</v>
          </cell>
          <cell r="M76">
            <v>1.0674319893439008</v>
          </cell>
          <cell r="N76">
            <v>1.0295979762496779</v>
          </cell>
          <cell r="O76">
            <v>1.0134801623760736</v>
          </cell>
          <cell r="P76">
            <v>1</v>
          </cell>
          <cell r="Q76">
            <v>1.0367505994020134</v>
          </cell>
          <cell r="R76">
            <v>0.99927184691570414</v>
          </cell>
          <cell r="S76">
            <v>1.0315139905811701</v>
          </cell>
          <cell r="T76">
            <v>1.0354116310239461</v>
          </cell>
          <cell r="U76">
            <v>1.0428778668288456</v>
          </cell>
          <cell r="V76">
            <v>1.0025531261913068</v>
          </cell>
          <cell r="W76">
            <v>1.0418893854925921</v>
          </cell>
          <cell r="X76">
            <v>1.0418893854925921</v>
          </cell>
          <cell r="Y76">
            <v>1.0193080742625824</v>
          </cell>
          <cell r="Z76">
            <v>1.0095766017035772</v>
          </cell>
        </row>
        <row r="77">
          <cell r="C77">
            <v>1.005766985909806</v>
          </cell>
          <cell r="D77">
            <v>1.0854749748632573</v>
          </cell>
          <cell r="E77">
            <v>1.0233048264477085</v>
          </cell>
          <cell r="F77">
            <v>0.94239439379985845</v>
          </cell>
          <cell r="G77">
            <v>1.0288830826133306</v>
          </cell>
          <cell r="H77">
            <v>0.98882920378249084</v>
          </cell>
          <cell r="I77">
            <v>0.99230853596511825</v>
          </cell>
          <cell r="J77">
            <v>1.0159944536828955</v>
          </cell>
          <cell r="K77">
            <v>0.99120320857525201</v>
          </cell>
          <cell r="L77">
            <v>1.0158903479998227</v>
          </cell>
          <cell r="M77">
            <v>1.0295938000514144</v>
          </cell>
          <cell r="N77">
            <v>0.99310092209595913</v>
          </cell>
          <cell r="O77">
            <v>0.97755445037662669</v>
          </cell>
          <cell r="P77">
            <v>0.96455213103015247</v>
          </cell>
          <cell r="Q77">
            <v>1</v>
          </cell>
          <cell r="R77">
            <v>0.96384978942097865</v>
          </cell>
          <cell r="S77">
            <v>0.99494901780248413</v>
          </cell>
          <cell r="T77">
            <v>0.998708495197553</v>
          </cell>
          <cell r="U77">
            <v>1.0059100688539426</v>
          </cell>
          <cell r="V77">
            <v>0.96701475433876638</v>
          </cell>
          <cell r="W77">
            <v>1.0049566270745758</v>
          </cell>
          <cell r="X77">
            <v>1.0049566270745758</v>
          </cell>
          <cell r="Y77">
            <v>0.98317577520621469</v>
          </cell>
          <cell r="Z77">
            <v>0.97378926261136478</v>
          </cell>
        </row>
        <row r="78">
          <cell r="C78">
            <v>1.0434893454860934</v>
          </cell>
          <cell r="D78">
            <v>1.1261868672662612</v>
          </cell>
          <cell r="E78">
            <v>1.0616849613698072</v>
          </cell>
          <cell r="F78">
            <v>0.97773989696671593</v>
          </cell>
          <cell r="G78">
            <v>1.0674724359606074</v>
          </cell>
          <cell r="H78">
            <v>1.0259162938413031</v>
          </cell>
          <cell r="I78">
            <v>1.0295261220747227</v>
          </cell>
          <cell r="J78">
            <v>1.0541004053061445</v>
          </cell>
          <cell r="K78">
            <v>1.0283793382065327</v>
          </cell>
          <cell r="L78">
            <v>1.0539923950288008</v>
          </cell>
          <cell r="M78">
            <v>1.0682098096114445</v>
          </cell>
          <cell r="N78">
            <v>1.0303482274894231</v>
          </cell>
          <cell r="O78">
            <v>1.0142186688279311</v>
          </cell>
          <cell r="P78">
            <v>1.0007286836775633</v>
          </cell>
          <cell r="Q78">
            <v>1.0375060626415016</v>
          </cell>
          <cell r="R78">
            <v>1</v>
          </cell>
          <cell r="S78">
            <v>1.0322656379892847</v>
          </cell>
          <cell r="T78">
            <v>1.0361661185790323</v>
          </cell>
          <cell r="U78">
            <v>1.0436377949080957</v>
          </cell>
          <cell r="V78">
            <v>1.0032836702902523</v>
          </cell>
          <cell r="W78">
            <v>1.042648593281627</v>
          </cell>
          <cell r="X78">
            <v>1.042648593281627</v>
          </cell>
          <cell r="Y78">
            <v>1.0200508274187059</v>
          </cell>
          <cell r="Z78">
            <v>1.0103122636944883</v>
          </cell>
        </row>
        <row r="79">
          <cell r="C79">
            <v>1.0108728868653141</v>
          </cell>
          <cell r="D79">
            <v>1.0909855233192907</v>
          </cell>
          <cell r="E79">
            <v>1.0284997604277784</v>
          </cell>
          <cell r="F79">
            <v>0.94717857592472265</v>
          </cell>
          <cell r="G79">
            <v>1.0341063353032858</v>
          </cell>
          <cell r="H79">
            <v>0.99384911798444708</v>
          </cell>
          <cell r="I79">
            <v>0.99734611342880886</v>
          </cell>
          <cell r="J79">
            <v>1.0211522756481473</v>
          </cell>
          <cell r="K79">
            <v>0.99623517470723733</v>
          </cell>
          <cell r="L79">
            <v>1.0210476414596508</v>
          </cell>
          <cell r="M79">
            <v>1.0348206607866695</v>
          </cell>
          <cell r="N79">
            <v>0.99814252220620614</v>
          </cell>
          <cell r="O79">
            <v>0.98251712689331927</v>
          </cell>
          <cell r="P79">
            <v>0.96944879965863129</v>
          </cell>
          <cell r="Q79">
            <v>1.0050766241356486</v>
          </cell>
          <cell r="R79">
            <v>0.96874289252509294</v>
          </cell>
          <cell r="S79">
            <v>1</v>
          </cell>
          <cell r="T79">
            <v>1.0037785628487501</v>
          </cell>
          <cell r="U79">
            <v>1.0110166961877782</v>
          </cell>
          <cell r="V79">
            <v>0.97192392478017076</v>
          </cell>
          <cell r="W79">
            <v>1.0100584141428626</v>
          </cell>
          <cell r="X79">
            <v>1.0100584141428626</v>
          </cell>
          <cell r="Y79">
            <v>0.98816698907621148</v>
          </cell>
          <cell r="Z79">
            <v>0.97873282468497302</v>
          </cell>
        </row>
        <row r="80">
          <cell r="C80">
            <v>1.0070676185755851</v>
          </cell>
          <cell r="D80">
            <v>1.0868786839031956</v>
          </cell>
          <cell r="E80">
            <v>1.0246281386094449</v>
          </cell>
          <cell r="F80">
            <v>0.94361307461737853</v>
          </cell>
          <cell r="G80">
            <v>1.0302136084361722</v>
          </cell>
          <cell r="H80">
            <v>0.99010793293281441</v>
          </cell>
          <cell r="I80">
            <v>0.99359176450064268</v>
          </cell>
          <cell r="J80">
            <v>1.0173083122537405</v>
          </cell>
          <cell r="K80">
            <v>0.99248500772909076</v>
          </cell>
          <cell r="L80">
            <v>1.0172040719438067</v>
          </cell>
          <cell r="M80">
            <v>1.0309252449562394</v>
          </cell>
          <cell r="N80">
            <v>0.99438517532537385</v>
          </cell>
          <cell r="O80">
            <v>0.97881859929834492</v>
          </cell>
          <cell r="P80">
            <v>0.96579946567827668</v>
          </cell>
          <cell r="Q80">
            <v>1.0012931749440976</v>
          </cell>
          <cell r="R80">
            <v>0.96509621581853167</v>
          </cell>
          <cell r="S80">
            <v>0.9962356609429609</v>
          </cell>
          <cell r="T80">
            <v>1</v>
          </cell>
          <cell r="U80">
            <v>1.0072108865510001</v>
          </cell>
          <cell r="V80">
            <v>0.96826527358965009</v>
          </cell>
          <cell r="W80">
            <v>1.0062562118046137</v>
          </cell>
          <cell r="X80">
            <v>1.0062562118046137</v>
          </cell>
          <cell r="Y80">
            <v>0.98444719348435528</v>
          </cell>
          <cell r="Z80">
            <v>0.97504854248660522</v>
          </cell>
        </row>
        <row r="81">
          <cell r="C81">
            <v>0.9998577577175467</v>
          </cell>
          <cell r="D81">
            <v>1.0790974347239262</v>
          </cell>
          <cell r="E81">
            <v>1.0172925573889366</v>
          </cell>
          <cell r="F81">
            <v>0.93685750145989788</v>
          </cell>
          <cell r="G81">
            <v>1.0228380393741974</v>
          </cell>
          <cell r="H81">
            <v>0.98301949090646612</v>
          </cell>
          <cell r="I81">
            <v>0.986478380811596</v>
          </cell>
          <cell r="J81">
            <v>1.0100251355873617</v>
          </cell>
          <cell r="K81">
            <v>0.98537954760165947</v>
          </cell>
          <cell r="L81">
            <v>1.0099216415611099</v>
          </cell>
          <cell r="M81">
            <v>1.0235445811020218</v>
          </cell>
          <cell r="N81">
            <v>0.98726611140041853</v>
          </cell>
          <cell r="O81">
            <v>0.97181098056844972</v>
          </cell>
          <cell r="P81">
            <v>0.95888505433601023</v>
          </cell>
          <cell r="Q81">
            <v>0.99412465484049084</v>
          </cell>
          <cell r="R81">
            <v>0.95818683922621017</v>
          </cell>
          <cell r="S81">
            <v>0.98910334890677998</v>
          </cell>
          <cell r="T81">
            <v>0.99284073807453344</v>
          </cell>
          <cell r="U81">
            <v>1</v>
          </cell>
          <cell r="V81">
            <v>0.96133320888268814</v>
          </cell>
          <cell r="W81">
            <v>0.99905216002017649</v>
          </cell>
          <cell r="X81">
            <v>0.99905216002017649</v>
          </cell>
          <cell r="Y81">
            <v>0.9773992781744103</v>
          </cell>
          <cell r="Z81">
            <v>0.96806791458089914</v>
          </cell>
        </row>
        <row r="82">
          <cell r="C82">
            <v>1.040074085113146</v>
          </cell>
          <cell r="D82">
            <v>1.1225009442647984</v>
          </cell>
          <cell r="E82">
            <v>1.0582101481454982</v>
          </cell>
          <cell r="F82">
            <v>0.97453982948197826</v>
          </cell>
          <cell r="G82">
            <v>1.0639786807770777</v>
          </cell>
          <cell r="H82">
            <v>1.0225585487148445</v>
          </cell>
          <cell r="I82">
            <v>1.0261565622580884</v>
          </cell>
          <cell r="J82">
            <v>1.0506504157505032</v>
          </cell>
          <cell r="K82">
            <v>1.0250135317252997</v>
          </cell>
          <cell r="L82">
            <v>1.0505427589824903</v>
          </cell>
          <cell r="M82">
            <v>1.064713641060667</v>
          </cell>
          <cell r="N82">
            <v>1.0269759769849947</v>
          </cell>
          <cell r="O82">
            <v>1.0108992091284763</v>
          </cell>
          <cell r="P82">
            <v>0.99745337566198988</v>
          </cell>
          <cell r="Q82">
            <v>1.0341103850931299</v>
          </cell>
          <cell r="R82">
            <v>0.99672707691006035</v>
          </cell>
          <cell r="S82">
            <v>1.0288871119477581</v>
          </cell>
          <cell r="T82">
            <v>1.0327748265645218</v>
          </cell>
          <cell r="U82">
            <v>1.0402220486716072</v>
          </cell>
          <cell r="V82">
            <v>1</v>
          </cell>
          <cell r="W82">
            <v>1.0392360846259825</v>
          </cell>
          <cell r="X82">
            <v>1.0392360846259825</v>
          </cell>
          <cell r="Y82">
            <v>1.0167122795127352</v>
          </cell>
          <cell r="Z82">
            <v>1.0070055893585934</v>
          </cell>
        </row>
        <row r="83">
          <cell r="C83">
            <v>1.0008063619995116</v>
          </cell>
          <cell r="D83">
            <v>1.0801212167962613</v>
          </cell>
          <cell r="E83">
            <v>1.0182577027493656</v>
          </cell>
          <cell r="F83">
            <v>0.93774633492707471</v>
          </cell>
          <cell r="G83">
            <v>1.0238084459509507</v>
          </cell>
          <cell r="H83">
            <v>0.98395212006409494</v>
          </cell>
          <cell r="I83">
            <v>0.9874142915537798</v>
          </cell>
          <cell r="J83">
            <v>1.0109833860596062</v>
          </cell>
          <cell r="K83">
            <v>0.98631441583766655</v>
          </cell>
          <cell r="L83">
            <v>1.0108797938445113</v>
          </cell>
          <cell r="M83">
            <v>1.0245156580026318</v>
          </cell>
          <cell r="N83">
            <v>0.98820276949351671</v>
          </cell>
          <cell r="O83">
            <v>0.97273297577257956</v>
          </cell>
          <cell r="P83">
            <v>0.95979478620680314</v>
          </cell>
          <cell r="Q83">
            <v>0.99506781990283055</v>
          </cell>
          <cell r="R83">
            <v>0.95909590867293548</v>
          </cell>
          <cell r="S83">
            <v>0.99004175005918038</v>
          </cell>
          <cell r="T83">
            <v>0.9937826850346656</v>
          </cell>
          <cell r="U83">
            <v>1.0009487392327987</v>
          </cell>
          <cell r="V83">
            <v>0.9622452634137475</v>
          </cell>
          <cell r="W83">
            <v>1</v>
          </cell>
          <cell r="X83">
            <v>1</v>
          </cell>
          <cell r="Y83">
            <v>0.97832657521572342</v>
          </cell>
          <cell r="Z83">
            <v>0.96898635859147575</v>
          </cell>
        </row>
        <row r="84">
          <cell r="C84">
            <v>1.0008063619995116</v>
          </cell>
          <cell r="D84">
            <v>1.0801212167962613</v>
          </cell>
          <cell r="E84">
            <v>1.0182577027493656</v>
          </cell>
          <cell r="F84">
            <v>0.93774633492707471</v>
          </cell>
          <cell r="G84">
            <v>1.0238084459509507</v>
          </cell>
          <cell r="H84">
            <v>0.98395212006409494</v>
          </cell>
          <cell r="I84">
            <v>0.9874142915537798</v>
          </cell>
          <cell r="J84">
            <v>1.0109833860596062</v>
          </cell>
          <cell r="K84">
            <v>0.98631441583766655</v>
          </cell>
          <cell r="L84">
            <v>1.0108797938445113</v>
          </cell>
          <cell r="M84">
            <v>1.0245156580026318</v>
          </cell>
          <cell r="N84">
            <v>0.98820276949351671</v>
          </cell>
          <cell r="O84">
            <v>0.97273297577257956</v>
          </cell>
          <cell r="P84">
            <v>0.95979478620680314</v>
          </cell>
          <cell r="Q84">
            <v>0.99506781990283055</v>
          </cell>
          <cell r="R84">
            <v>0.95909590867293548</v>
          </cell>
          <cell r="S84">
            <v>0.99004175005918038</v>
          </cell>
          <cell r="T84">
            <v>0.9937826850346656</v>
          </cell>
          <cell r="U84">
            <v>1.0009487392327987</v>
          </cell>
          <cell r="V84">
            <v>0.9622452634137475</v>
          </cell>
          <cell r="W84">
            <v>1</v>
          </cell>
          <cell r="X84">
            <v>1</v>
          </cell>
          <cell r="Y84">
            <v>0.97832657521572342</v>
          </cell>
          <cell r="Z84">
            <v>0.96898635859147575</v>
          </cell>
        </row>
        <row r="85">
          <cell r="C85">
            <v>1.0229777942798204</v>
          </cell>
          <cell r="D85">
            <v>1.1040497561441505</v>
          </cell>
          <cell r="E85">
            <v>1.0408157445021231</v>
          </cell>
          <cell r="F85">
            <v>0.95852076257899799</v>
          </cell>
          <cell r="G85">
            <v>1.0464894564733647</v>
          </cell>
          <cell r="H85">
            <v>1.0057501707414327</v>
          </cell>
          <cell r="I85">
            <v>1.0092890416843194</v>
          </cell>
          <cell r="J85">
            <v>1.0333802757393991</v>
          </cell>
          <cell r="K85">
            <v>1.0081647997962049</v>
          </cell>
          <cell r="L85">
            <v>1.0332743885870725</v>
          </cell>
          <cell r="M85">
            <v>1.0472123357956657</v>
          </cell>
          <cell r="N85">
            <v>1.010094987224093</v>
          </cell>
          <cell r="O85">
            <v>0.99428248236851746</v>
          </cell>
          <cell r="P85">
            <v>0.98105766573412967</v>
          </cell>
          <cell r="Q85">
            <v>1.0171121229977991</v>
          </cell>
          <cell r="R85">
            <v>0.98034330556895322</v>
          </cell>
          <cell r="S85">
            <v>1.0119747077716597</v>
          </cell>
          <cell r="T85">
            <v>1.0157985178063205</v>
          </cell>
          <cell r="U85">
            <v>1.0231233256768959</v>
          </cell>
          <cell r="V85">
            <v>0.98356242975569785</v>
          </cell>
          <cell r="W85">
            <v>1.0221535684845293</v>
          </cell>
          <cell r="X85">
            <v>1.0221535684845293</v>
          </cell>
          <cell r="Y85">
            <v>1</v>
          </cell>
          <cell r="Z85">
            <v>0.99045286424710666</v>
          </cell>
        </row>
        <row r="86">
          <cell r="C86">
            <v>1.0328384431069695</v>
          </cell>
          <cell r="D86">
            <v>1.1146918707569133</v>
          </cell>
          <cell r="E86">
            <v>1.0508483362237535</v>
          </cell>
          <cell r="F86">
            <v>0.96776009962636456</v>
          </cell>
          <cell r="G86">
            <v>1.0565767380246351</v>
          </cell>
          <cell r="H86">
            <v>1.0154447597119669</v>
          </cell>
          <cell r="I86">
            <v>1.0190177424056732</v>
          </cell>
          <cell r="J86">
            <v>1.0433411957720207</v>
          </cell>
          <cell r="K86">
            <v>1.0178826637677119</v>
          </cell>
          <cell r="L86">
            <v>1.0432342879562642</v>
          </cell>
          <cell r="M86">
            <v>1.0573065852979333</v>
          </cell>
          <cell r="N86">
            <v>1.0198314565851827</v>
          </cell>
          <cell r="O86">
            <v>1.0038665324314267</v>
          </cell>
          <cell r="P86">
            <v>0.99051423964519636</v>
          </cell>
          <cell r="Q86">
            <v>1.0269162316683869</v>
          </cell>
          <cell r="R86">
            <v>0.9897929936465597</v>
          </cell>
          <cell r="S86">
            <v>1.02172929606389</v>
          </cell>
          <cell r="T86">
            <v>1.0255899644234765</v>
          </cell>
          <cell r="U86">
            <v>1.0329853773047784</v>
          </cell>
          <cell r="V86">
            <v>0.99304314749329692</v>
          </cell>
          <cell r="W86">
            <v>1.0320062724655958</v>
          </cell>
          <cell r="X86">
            <v>1.0320062724655958</v>
          </cell>
          <cell r="Y86">
            <v>1.0096391621424112</v>
          </cell>
          <cell r="Z86">
            <v>1</v>
          </cell>
        </row>
        <row r="91">
          <cell r="C91">
            <v>1</v>
          </cell>
          <cell r="D91">
            <v>0.98702230151224779</v>
          </cell>
          <cell r="E91">
            <v>0.98670750796334195</v>
          </cell>
          <cell r="F91">
            <v>0.96024630088811846</v>
          </cell>
          <cell r="G91">
            <v>0.86771314963836499</v>
          </cell>
          <cell r="H91">
            <v>0.99266448481581149</v>
          </cell>
          <cell r="I91">
            <v>0.95343343896851485</v>
          </cell>
          <cell r="J91">
            <v>0.96307685166683177</v>
          </cell>
          <cell r="K91">
            <v>0.93153298053893485</v>
          </cell>
          <cell r="L91">
            <v>0.95956227643948633</v>
          </cell>
          <cell r="M91">
            <v>0.98081870742267951</v>
          </cell>
          <cell r="N91">
            <v>0.99338673787453036</v>
          </cell>
          <cell r="O91">
            <v>0.89327783680911899</v>
          </cell>
          <cell r="P91">
            <v>0.92228788277871632</v>
          </cell>
          <cell r="Q91">
            <v>0.97910886060263069</v>
          </cell>
          <cell r="R91">
            <v>0.92646763201850457</v>
          </cell>
          <cell r="S91">
            <v>0.96297994540299081</v>
          </cell>
          <cell r="T91">
            <v>0.97951888636437956</v>
          </cell>
          <cell r="U91">
            <v>0.92849441751651718</v>
          </cell>
          <cell r="V91">
            <v>0.93143087433083926</v>
          </cell>
          <cell r="W91">
            <v>0.94972176451609258</v>
          </cell>
          <cell r="X91">
            <v>0.89430286325363817</v>
          </cell>
          <cell r="Y91">
            <v>0.90765562739272698</v>
          </cell>
          <cell r="Z91">
            <v>0.97034604332509344</v>
          </cell>
        </row>
        <row r="92">
          <cell r="C92">
            <v>1.0131483335967877</v>
          </cell>
          <cell r="D92">
            <v>1</v>
          </cell>
          <cell r="E92">
            <v>0.999681067440499</v>
          </cell>
          <cell r="F92">
            <v>0.9728719395872768</v>
          </cell>
          <cell r="G92">
            <v>0.87912213159612962</v>
          </cell>
          <cell r="H92">
            <v>1.0057163686118531</v>
          </cell>
          <cell r="I92">
            <v>0.96596949988640546</v>
          </cell>
          <cell r="J92">
            <v>0.97573970739189131</v>
          </cell>
          <cell r="K92">
            <v>0.94378108692347062</v>
          </cell>
          <cell r="L92">
            <v>0.97217892135700568</v>
          </cell>
          <cell r="M92">
            <v>0.99371483898584312</v>
          </cell>
          <cell r="N92">
            <v>1.0064481180947293</v>
          </cell>
          <cell r="O92">
            <v>0.90502295180210213</v>
          </cell>
          <cell r="P92">
            <v>0.93441443153376591</v>
          </cell>
          <cell r="Q92">
            <v>0.99198251052940478</v>
          </cell>
          <cell r="R92">
            <v>0.93864913751090984</v>
          </cell>
          <cell r="S92">
            <v>0.97564152697216577</v>
          </cell>
          <cell r="T92">
            <v>0.99239792744665234</v>
          </cell>
          <cell r="U92">
            <v>0.94070257186077944</v>
          </cell>
          <cell r="V92">
            <v>0.94367763818888872</v>
          </cell>
          <cell r="W92">
            <v>0.96220902310008005</v>
          </cell>
          <cell r="X92">
            <v>0.90606145563625939</v>
          </cell>
          <cell r="Y92">
            <v>0.91958978637268818</v>
          </cell>
          <cell r="Z92">
            <v>0.98310447680705482</v>
          </cell>
        </row>
        <row r="93">
          <cell r="C93">
            <v>1.0134715626762536</v>
          </cell>
          <cell r="D93">
            <v>1.00031903430993</v>
          </cell>
          <cell r="E93">
            <v>1</v>
          </cell>
          <cell r="F93">
            <v>0.97318231911517339</v>
          </cell>
          <cell r="G93">
            <v>0.87940260171872764</v>
          </cell>
          <cell r="H93">
            <v>1.0060372266394986</v>
          </cell>
          <cell r="I93">
            <v>0.96627767729921521</v>
          </cell>
          <cell r="J93">
            <v>0.97605100183611049</v>
          </cell>
          <cell r="K93">
            <v>0.94408218547126233</v>
          </cell>
          <cell r="L93">
            <v>0.97248907978830934</v>
          </cell>
          <cell r="M93">
            <v>0.9940318681137662</v>
          </cell>
          <cell r="N93">
            <v>1.006769209575566</v>
          </cell>
          <cell r="O93">
            <v>0.90531168517500116</v>
          </cell>
          <cell r="P93">
            <v>0.93471254179711893</v>
          </cell>
          <cell r="Q93">
            <v>0.99229898698511421</v>
          </cell>
          <cell r="R93">
            <v>0.93894859879076209</v>
          </cell>
          <cell r="S93">
            <v>0.97595279009346236</v>
          </cell>
          <cell r="T93">
            <v>0.99271453643461138</v>
          </cell>
          <cell r="U93">
            <v>0.94100268825664246</v>
          </cell>
          <cell r="V93">
            <v>0.94397870373298476</v>
          </cell>
          <cell r="W93">
            <v>0.96251600079177324</v>
          </cell>
          <cell r="X93">
            <v>0.90635052032751251</v>
          </cell>
          <cell r="Y93">
            <v>0.91988316706560236</v>
          </cell>
          <cell r="Z93">
            <v>0.98341812086540203</v>
          </cell>
        </row>
        <row r="94">
          <cell r="C94">
            <v>1.0413994816487331</v>
          </cell>
          <cell r="D94">
            <v>1.0278845131705945</v>
          </cell>
          <cell r="E94">
            <v>1.0275566873319375</v>
          </cell>
          <cell r="F94">
            <v>1</v>
          </cell>
          <cell r="G94">
            <v>0.9036360242531829</v>
          </cell>
          <cell r="H94">
            <v>1.0337602799382928</v>
          </cell>
          <cell r="I94">
            <v>0.99290508912838049</v>
          </cell>
          <cell r="J94">
            <v>1.0029477341137325</v>
          </cell>
          <cell r="K94">
            <v>0.97009796307194618</v>
          </cell>
          <cell r="L94">
            <v>0.99928765729375946</v>
          </cell>
          <cell r="M94">
            <v>1.021424093501359</v>
          </cell>
          <cell r="N94">
            <v>1.034512433899262</v>
          </cell>
          <cell r="O94">
            <v>0.93025907622131809</v>
          </cell>
          <cell r="P94">
            <v>0.96047012305666268</v>
          </cell>
          <cell r="Q94">
            <v>1.0196434599092612</v>
          </cell>
          <cell r="R94">
            <v>0.96482291174839996</v>
          </cell>
          <cell r="S94">
            <v>1.0028468159807999</v>
          </cell>
          <cell r="T94">
            <v>1.0200704605250093</v>
          </cell>
          <cell r="U94">
            <v>0.96693360511544346</v>
          </cell>
          <cell r="V94">
            <v>0.96999162971976227</v>
          </cell>
          <cell r="W94">
            <v>0.98903975327757898</v>
          </cell>
          <cell r="X94">
            <v>0.93132653822931666</v>
          </cell>
          <cell r="Y94">
            <v>0.94523209988234158</v>
          </cell>
          <cell r="Z94">
            <v>1.0105178665386514</v>
          </cell>
        </row>
        <row r="95">
          <cell r="C95">
            <v>1.1524545875751311</v>
          </cell>
          <cell r="D95">
            <v>1.1374983794167544</v>
          </cell>
          <cell r="E95">
            <v>1.1371355941471786</v>
          </cell>
          <cell r="F95">
            <v>1.1066402546605618</v>
          </cell>
          <cell r="G95">
            <v>1</v>
          </cell>
          <cell r="H95">
            <v>1.144000739448886</v>
          </cell>
          <cell r="I95">
            <v>1.0987887406867989</v>
          </cell>
          <cell r="J95">
            <v>1.1099023358908544</v>
          </cell>
          <cell r="K95">
            <v>1.0735494568996309</v>
          </cell>
          <cell r="L95">
            <v>1.1058519475467221</v>
          </cell>
          <cell r="M95">
            <v>1.1303490189487775</v>
          </cell>
          <cell r="N95">
            <v>1.1448331032997967</v>
          </cell>
          <cell r="O95">
            <v>1.0294621410098586</v>
          </cell>
          <cell r="P95">
            <v>1.0628949015732865</v>
          </cell>
          <cell r="Q95">
            <v>1.1283784981369613</v>
          </cell>
          <cell r="R95">
            <v>1.067711872759594</v>
          </cell>
          <cell r="S95">
            <v>1.1097906558225261</v>
          </cell>
          <cell r="T95">
            <v>1.1288510342071127</v>
          </cell>
          <cell r="U95">
            <v>1.0700476510048096</v>
          </cell>
          <cell r="V95">
            <v>1.0734317841316912</v>
          </cell>
          <cell r="W95">
            <v>1.0945112044365193</v>
          </cell>
          <cell r="X95">
            <v>1.0306434374382305</v>
          </cell>
          <cell r="Y95">
            <v>1.0460318917271321</v>
          </cell>
          <cell r="Z95">
            <v>1.1182797491653809</v>
          </cell>
        </row>
        <row r="96">
          <cell r="C96">
            <v>1.007389722606576</v>
          </cell>
          <cell r="D96">
            <v>0.99431612252692747</v>
          </cell>
          <cell r="E96">
            <v>0.99399900274101682</v>
          </cell>
          <cell r="F96">
            <v>0.96734225468567236</v>
          </cell>
          <cell r="G96">
            <v>0.87412530911627084</v>
          </cell>
          <cell r="H96">
            <v>1</v>
          </cell>
          <cell r="I96">
            <v>0.96047904760632596</v>
          </cell>
          <cell r="J96">
            <v>0.97019372244946422</v>
          </cell>
          <cell r="K96">
            <v>0.93841675086399445</v>
          </cell>
          <cell r="L96">
            <v>0.96665317548610874</v>
          </cell>
          <cell r="M96">
            <v>0.98806668559787358</v>
          </cell>
          <cell r="N96">
            <v>1.0007275903084745</v>
          </cell>
          <cell r="O96">
            <v>0.89987891223374061</v>
          </cell>
          <cell r="P96">
            <v>0.92910333439585724</v>
          </cell>
          <cell r="Q96">
            <v>0.98634420348412477</v>
          </cell>
          <cell r="R96">
            <v>0.93331397082309264</v>
          </cell>
          <cell r="S96">
            <v>0.97009610007521463</v>
          </cell>
          <cell r="T96">
            <v>0.98675725922251456</v>
          </cell>
          <cell r="U96">
            <v>0.93535573370371861</v>
          </cell>
          <cell r="V96">
            <v>0.93831389011934474</v>
          </cell>
          <cell r="W96">
            <v>0.95673994490929437</v>
          </cell>
          <cell r="X96">
            <v>0.90091151333934916</v>
          </cell>
          <cell r="Y96">
            <v>0.91436295070145701</v>
          </cell>
          <cell r="Z96">
            <v>0.97751663141765444</v>
          </cell>
        </row>
        <row r="97">
          <cell r="C97">
            <v>1.0488409144553015</v>
          </cell>
          <cell r="D97">
            <v>1.0352293733058822</v>
          </cell>
          <cell r="E97">
            <v>1.0348992049521832</v>
          </cell>
          <cell r="F97">
            <v>1.0071456083258148</v>
          </cell>
          <cell r="G97">
            <v>0.91009305335159263</v>
          </cell>
          <cell r="H97">
            <v>1.0411471260015164</v>
          </cell>
          <cell r="I97">
            <v>1</v>
          </cell>
          <cell r="J97">
            <v>1.0101144057929725</v>
          </cell>
          <cell r="K97">
            <v>0.97702990315372895</v>
          </cell>
          <cell r="L97">
            <v>1.0064281754976017</v>
          </cell>
          <cell r="M97">
            <v>1.02872279000807</v>
          </cell>
          <cell r="N97">
            <v>1.0419046545600912</v>
          </cell>
          <cell r="O97">
            <v>0.93690634322152988</v>
          </cell>
          <cell r="P97">
            <v>0.96733326636467265</v>
          </cell>
          <cell r="Q97">
            <v>1.0269294327057514</v>
          </cell>
          <cell r="R97">
            <v>0.9717171583795261</v>
          </cell>
          <cell r="S97">
            <v>1.0100127665385892</v>
          </cell>
          <cell r="T97">
            <v>1.0273594845006544</v>
          </cell>
          <cell r="U97">
            <v>0.97384293393466637</v>
          </cell>
          <cell r="V97">
            <v>0.97692280998505843</v>
          </cell>
          <cell r="W97">
            <v>0.99610704397316097</v>
          </cell>
          <cell r="X97">
            <v>0.93798143289494029</v>
          </cell>
          <cell r="Y97">
            <v>0.95198635824508815</v>
          </cell>
          <cell r="Z97">
            <v>1.0177386314191745</v>
          </cell>
        </row>
        <row r="98">
          <cell r="C98">
            <v>1.0383387351375584</v>
          </cell>
          <cell r="D98">
            <v>1.0248634881047891</v>
          </cell>
          <cell r="E98">
            <v>1.0245366257693886</v>
          </cell>
          <cell r="F98">
            <v>0.99706092948468816</v>
          </cell>
          <cell r="G98">
            <v>0.90098017425772681</v>
          </cell>
          <cell r="H98">
            <v>1.0307219855796257</v>
          </cell>
          <cell r="I98">
            <v>0.98998687105642014</v>
          </cell>
          <cell r="J98">
            <v>1</v>
          </cell>
          <cell r="K98">
            <v>0.96724677675171733</v>
          </cell>
          <cell r="L98">
            <v>0.9963506804038923</v>
          </cell>
          <cell r="M98">
            <v>1.0184220560645201</v>
          </cell>
          <cell r="N98">
            <v>1.0314719289070651</v>
          </cell>
          <cell r="O98">
            <v>0.92752497919879484</v>
          </cell>
          <cell r="P98">
            <v>0.95764723363714899</v>
          </cell>
          <cell r="Q98">
            <v>1.0166466558801115</v>
          </cell>
          <cell r="R98">
            <v>0.96198722917598289</v>
          </cell>
          <cell r="S98">
            <v>0.99989937847257648</v>
          </cell>
          <cell r="T98">
            <v>1.0170724015109396</v>
          </cell>
          <cell r="U98">
            <v>0.96409171906638447</v>
          </cell>
          <cell r="V98">
            <v>0.96714075592075366</v>
          </cell>
          <cell r="W98">
            <v>0.98613289570024953</v>
          </cell>
          <cell r="X98">
            <v>0.92858930386067939</v>
          </cell>
          <cell r="Y98">
            <v>0.94245399608745106</v>
          </cell>
          <cell r="Z98">
            <v>1.0075478832719118</v>
          </cell>
        </row>
        <row r="99">
          <cell r="C99">
            <v>1.0734992972781854</v>
          </cell>
          <cell r="D99">
            <v>1.0595677470712952</v>
          </cell>
          <cell r="E99">
            <v>1.0592298164177569</v>
          </cell>
          <cell r="F99">
            <v>1.0308237292173721</v>
          </cell>
          <cell r="G99">
            <v>0.9314894563758257</v>
          </cell>
          <cell r="H99">
            <v>1.0656246268827856</v>
          </cell>
          <cell r="I99">
            <v>1.0235101267342244</v>
          </cell>
          <cell r="J99">
            <v>1.033862323489231</v>
          </cell>
          <cell r="K99">
            <v>1</v>
          </cell>
          <cell r="L99">
            <v>1.0300894294524443</v>
          </cell>
          <cell r="M99">
            <v>1.0529081931755446</v>
          </cell>
          <cell r="N99">
            <v>1.0663999650337772</v>
          </cell>
          <cell r="O99">
            <v>0.95893313008876668</v>
          </cell>
          <cell r="P99">
            <v>0.99007539405113731</v>
          </cell>
          <cell r="Q99">
            <v>1.0510726738157687</v>
          </cell>
          <cell r="R99">
            <v>0.99456235192284903</v>
          </cell>
          <cell r="S99">
            <v>1.0337582946830959</v>
          </cell>
          <cell r="T99">
            <v>1.0515128361828721</v>
          </cell>
          <cell r="U99">
            <v>0.99673810473069924</v>
          </cell>
          <cell r="V99">
            <v>0.99989038905736172</v>
          </cell>
          <cell r="W99">
            <v>1.0195256468178235</v>
          </cell>
          <cell r="X99">
            <v>0.9600334952566496</v>
          </cell>
          <cell r="Y99">
            <v>0.97436767817668291</v>
          </cell>
          <cell r="Z99">
            <v>1.0416657956261555</v>
          </cell>
        </row>
        <row r="100">
          <cell r="C100">
            <v>1.0421418437900252</v>
          </cell>
          <cell r="D100">
            <v>1.028617241159848</v>
          </cell>
          <cell r="E100">
            <v>1.0282891816303781</v>
          </cell>
          <cell r="F100">
            <v>1.0007128505000948</v>
          </cell>
          <cell r="G100">
            <v>0.90428018164497559</v>
          </cell>
          <cell r="H100">
            <v>1.0344971964708252</v>
          </cell>
          <cell r="I100">
            <v>0.99361288201771247</v>
          </cell>
          <cell r="J100">
            <v>1.0036626859075646</v>
          </cell>
          <cell r="K100">
            <v>0.97078949789006308</v>
          </cell>
          <cell r="L100">
            <v>1</v>
          </cell>
          <cell r="M100">
            <v>1.0221522161772205</v>
          </cell>
          <cell r="N100">
            <v>1.0352498866051214</v>
          </cell>
          <cell r="O100">
            <v>0.93092221186902036</v>
          </cell>
          <cell r="P100">
            <v>0.96115479466420994</v>
          </cell>
          <cell r="Q100">
            <v>1.0203703132595761</v>
          </cell>
          <cell r="R100">
            <v>0.96551068624354286</v>
          </cell>
          <cell r="S100">
            <v>1.0035616958350906</v>
          </cell>
          <cell r="T100">
            <v>1.0207976182629266</v>
          </cell>
          <cell r="U100">
            <v>0.96762288421940856</v>
          </cell>
          <cell r="V100">
            <v>0.97068308873809594</v>
          </cell>
          <cell r="W100">
            <v>0.98974479076031674</v>
          </cell>
          <cell r="X100">
            <v>0.93199043481784516</v>
          </cell>
          <cell r="Y100">
            <v>0.94590590905744854</v>
          </cell>
          <cell r="Z100">
            <v>1.0112382147051684</v>
          </cell>
        </row>
        <row r="101">
          <cell r="C101">
            <v>1.0195564097953673</v>
          </cell>
          <cell r="D101">
            <v>1.0063249141177879</v>
          </cell>
          <cell r="E101">
            <v>1.0060039643372387</v>
          </cell>
          <cell r="F101">
            <v>0.97902527105277215</v>
          </cell>
          <cell r="G101">
            <v>0.88468250357752176</v>
          </cell>
          <cell r="H101">
            <v>1.0120774382701767</v>
          </cell>
          <cell r="I101">
            <v>0.97207917401358956</v>
          </cell>
          <cell r="J101">
            <v>0.98191117724246058</v>
          </cell>
          <cell r="K101">
            <v>0.94975042124425413</v>
          </cell>
          <cell r="L101">
            <v>0.97832786954171247</v>
          </cell>
          <cell r="M101">
            <v>1</v>
          </cell>
          <cell r="N101">
            <v>1.0128138160056879</v>
          </cell>
          <cell r="O101">
            <v>0.9107471442468773</v>
          </cell>
          <cell r="P101">
            <v>0.94032452256363863</v>
          </cell>
          <cell r="Q101">
            <v>0.99825671471485089</v>
          </cell>
          <cell r="R101">
            <v>0.94458601269240206</v>
          </cell>
          <cell r="S101">
            <v>0.98181237584001213</v>
          </cell>
          <cell r="T101">
            <v>0.99867475910842318</v>
          </cell>
          <cell r="U101">
            <v>0.94665243483818118</v>
          </cell>
          <cell r="V101">
            <v>0.94964631820531042</v>
          </cell>
          <cell r="W101">
            <v>0.96829491253454869</v>
          </cell>
          <cell r="X101">
            <v>0.91179221652859666</v>
          </cell>
          <cell r="Y101">
            <v>0.92540611279509044</v>
          </cell>
          <cell r="Z101">
            <v>0.98932252819167221</v>
          </cell>
        </row>
        <row r="102">
          <cell r="C102">
            <v>1.006657288519494</v>
          </cell>
          <cell r="D102">
            <v>0.99359319374858979</v>
          </cell>
          <cell r="E102">
            <v>0.9932763045282047</v>
          </cell>
          <cell r="F102">
            <v>0.96663893756290742</v>
          </cell>
          <cell r="G102">
            <v>0.8734897664276664</v>
          </cell>
          <cell r="H102">
            <v>0.99927293869428513</v>
          </cell>
          <cell r="I102">
            <v>0.9597807204558616</v>
          </cell>
          <cell r="J102">
            <v>0.96948833213482377</v>
          </cell>
          <cell r="K102">
            <v>0.93773446435580665</v>
          </cell>
          <cell r="L102">
            <v>0.96595035936616636</v>
          </cell>
          <cell r="M102">
            <v>0.98734830054330947</v>
          </cell>
          <cell r="N102">
            <v>1</v>
          </cell>
          <cell r="O102">
            <v>0.89922464509682665</v>
          </cell>
          <cell r="P102">
            <v>0.92842781931240748</v>
          </cell>
          <cell r="Q102">
            <v>0.98562707077965539</v>
          </cell>
          <cell r="R102">
            <v>0.93263539434882414</v>
          </cell>
          <cell r="S102">
            <v>0.96939078073802509</v>
          </cell>
          <cell r="T102">
            <v>0.98603982620120068</v>
          </cell>
          <cell r="U102">
            <v>0.93467567274266417</v>
          </cell>
          <cell r="V102">
            <v>0.93763167839722417</v>
          </cell>
          <cell r="W102">
            <v>0.95604433631571906</v>
          </cell>
          <cell r="X102">
            <v>0.90025649543812714</v>
          </cell>
          <cell r="Y102">
            <v>0.91369815278062272</v>
          </cell>
          <cell r="Z102">
            <v>0.976805916899258</v>
          </cell>
        </row>
        <row r="103">
          <cell r="C103">
            <v>1.1194725300384747</v>
          </cell>
          <cell r="D103">
            <v>1.1049443530783141</v>
          </cell>
          <cell r="E103">
            <v>1.1045919503476807</v>
          </cell>
          <cell r="F103">
            <v>1.0749693559153082</v>
          </cell>
          <cell r="G103">
            <v>0.97138103497331396</v>
          </cell>
          <cell r="H103">
            <v>1.1112606222960955</v>
          </cell>
          <cell r="I103">
            <v>1.067342544145367</v>
          </cell>
          <cell r="J103">
            <v>1.0781380797569569</v>
          </cell>
          <cell r="K103">
            <v>1.0428255825382025</v>
          </cell>
          <cell r="L103">
            <v>1.0742036093351899</v>
          </cell>
          <cell r="M103">
            <v>1.0979995999075334</v>
          </cell>
          <cell r="N103">
            <v>1.1120691647550673</v>
          </cell>
          <cell r="O103">
            <v>1</v>
          </cell>
          <cell r="P103">
            <v>1.0324759495581175</v>
          </cell>
          <cell r="Q103">
            <v>1.096085473361915</v>
          </cell>
          <cell r="R103">
            <v>1.0371550640145097</v>
          </cell>
          <cell r="S103">
            <v>1.0780295958565982</v>
          </cell>
          <cell r="T103">
            <v>1.0965444859388012</v>
          </cell>
          <cell r="U103">
            <v>1.0394239947038153</v>
          </cell>
          <cell r="V103">
            <v>1.0427112774430931</v>
          </cell>
          <cell r="W103">
            <v>1.0631874265554344</v>
          </cell>
          <cell r="X103">
            <v>1.0011474889472023</v>
          </cell>
          <cell r="Y103">
            <v>1.0160955416009951</v>
          </cell>
          <cell r="Z103">
            <v>1.0862757401339656</v>
          </cell>
        </row>
        <row r="104">
          <cell r="C104">
            <v>1.0842601520331685</v>
          </cell>
          <cell r="D104">
            <v>1.0701889506977977</v>
          </cell>
          <cell r="E104">
            <v>1.069847632596602</v>
          </cell>
          <cell r="F104">
            <v>1.0411568001902389</v>
          </cell>
          <cell r="G104">
            <v>0.94082679154807314</v>
          </cell>
          <cell r="H104">
            <v>1.0763065452243186</v>
          </cell>
          <cell r="I104">
            <v>1.0337698854895085</v>
          </cell>
          <cell r="J104">
            <v>1.0442258536079043</v>
          </cell>
          <cell r="K104">
            <v>1.010024091103056</v>
          </cell>
          <cell r="L104">
            <v>1.0404151397375707</v>
          </cell>
          <cell r="M104">
            <v>1.0634626408270904</v>
          </cell>
          <cell r="N104">
            <v>1.0770896554355716</v>
          </cell>
          <cell r="O104">
            <v>0.96854556314651519</v>
          </cell>
          <cell r="P104">
            <v>1</v>
          </cell>
          <cell r="Q104">
            <v>1.0616087220540307</v>
          </cell>
          <cell r="R104">
            <v>1.0045319355461935</v>
          </cell>
          <cell r="S104">
            <v>1.0441207820075391</v>
          </cell>
          <cell r="T104">
            <v>1.0620532966488021</v>
          </cell>
          <cell r="U104">
            <v>1.0067294982984072</v>
          </cell>
          <cell r="V104">
            <v>1.0099133814103427</v>
          </cell>
          <cell r="W104">
            <v>1.0297454647834277</v>
          </cell>
          <cell r="X104">
            <v>0.96965695847508759</v>
          </cell>
          <cell r="Y104">
            <v>0.98413482855059908</v>
          </cell>
          <cell r="Z104">
            <v>1.0521075484604494</v>
          </cell>
        </row>
        <row r="105">
          <cell r="C105">
            <v>1.0213368913692713</v>
          </cell>
          <cell r="D105">
            <v>1.0080822891386627</v>
          </cell>
          <cell r="E105">
            <v>1.0077607788740002</v>
          </cell>
          <cell r="F105">
            <v>0.98073497189791281</v>
          </cell>
          <cell r="G105">
            <v>0.88622745085188703</v>
          </cell>
          <cell r="H105">
            <v>1.0138448590944602</v>
          </cell>
          <cell r="I105">
            <v>0.97377674468361686</v>
          </cell>
          <cell r="J105">
            <v>0.98362591783110687</v>
          </cell>
          <cell r="K105">
            <v>0.95140899855158756</v>
          </cell>
          <cell r="L105">
            <v>0.98003635249392629</v>
          </cell>
          <cell r="M105">
            <v>1.0017463296359064</v>
          </cell>
          <cell r="N105">
            <v>1.0145825227882339</v>
          </cell>
          <cell r="O105">
            <v>0.91233760897569283</v>
          </cell>
          <cell r="P105">
            <v>0.94196663914476098</v>
          </cell>
          <cell r="Q105">
            <v>1</v>
          </cell>
          <cell r="R105">
            <v>0.94623557124002944</v>
          </cell>
          <cell r="S105">
            <v>0.98352694388884121</v>
          </cell>
          <cell r="T105">
            <v>1.000418774436886</v>
          </cell>
          <cell r="U105">
            <v>0.94830560204004199</v>
          </cell>
          <cell r="V105">
            <v>0.95130471371442182</v>
          </cell>
          <cell r="W105">
            <v>0.96998587463660513</v>
          </cell>
          <cell r="X105">
            <v>0.9133845062981093</v>
          </cell>
          <cell r="Y105">
            <v>0.92702217691511346</v>
          </cell>
          <cell r="Z105">
            <v>0.99105021144212324</v>
          </cell>
        </row>
        <row r="106">
          <cell r="C106">
            <v>1.0793685234542838</v>
          </cell>
          <cell r="D106">
            <v>1.0653608041997238</v>
          </cell>
          <cell r="E106">
            <v>1.0650210259516482</v>
          </cell>
          <cell r="F106">
            <v>1.0364596319420463</v>
          </cell>
          <cell r="G106">
            <v>0.93658226110702802</v>
          </cell>
          <cell r="H106">
            <v>1.0714507992611497</v>
          </cell>
          <cell r="I106">
            <v>1.0291060432313859</v>
          </cell>
          <cell r="J106">
            <v>1.0395148393566285</v>
          </cell>
          <cell r="K106">
            <v>1.0054673777532781</v>
          </cell>
          <cell r="L106">
            <v>1.0357213174829196</v>
          </cell>
          <cell r="M106">
            <v>1.0586648400071568</v>
          </cell>
          <cell r="N106">
            <v>1.0722303764786993</v>
          </cell>
          <cell r="O106">
            <v>0.96417597975109537</v>
          </cell>
          <cell r="P106">
            <v>0.99548851023464058</v>
          </cell>
          <cell r="Q106">
            <v>1.0568192851696676</v>
          </cell>
          <cell r="R106">
            <v>1</v>
          </cell>
          <cell r="S106">
            <v>1.039410241785713</v>
          </cell>
          <cell r="T106">
            <v>1.0572618540707046</v>
          </cell>
          <cell r="U106">
            <v>1.0021876484703485</v>
          </cell>
          <cell r="V106">
            <v>1.0053571675262105</v>
          </cell>
          <cell r="W106">
            <v>1.0250997786581317</v>
          </cell>
          <cell r="X106">
            <v>0.96528236103101761</v>
          </cell>
          <cell r="Y106">
            <v>0.97969491434385925</v>
          </cell>
          <cell r="Z106">
            <v>1.0473609760235125</v>
          </cell>
        </row>
        <row r="107">
          <cell r="C107">
            <v>1.0384432248809885</v>
          </cell>
          <cell r="D107">
            <v>1.0249666218118338</v>
          </cell>
          <cell r="E107">
            <v>1.0246397265837364</v>
          </cell>
          <cell r="F107">
            <v>0.99716126537429772</v>
          </cell>
          <cell r="G107">
            <v>0.90107084138210347</v>
          </cell>
          <cell r="H107">
            <v>1.0308257088369563</v>
          </cell>
          <cell r="I107">
            <v>0.99008649507183566</v>
          </cell>
          <cell r="J107">
            <v>1.0001006316531342</v>
          </cell>
          <cell r="K107">
            <v>0.96734411239385054</v>
          </cell>
          <cell r="L107">
            <v>0.99645094481996277</v>
          </cell>
          <cell r="M107">
            <v>1.01852454155961</v>
          </cell>
          <cell r="N107">
            <v>1.0315757276324324</v>
          </cell>
          <cell r="O107">
            <v>0.92761831757077484</v>
          </cell>
          <cell r="P107">
            <v>0.95774360326138919</v>
          </cell>
          <cell r="Q107">
            <v>1.016748962713746</v>
          </cell>
          <cell r="R107">
            <v>0.96208403554114885</v>
          </cell>
          <cell r="S107">
            <v>1</v>
          </cell>
          <cell r="T107">
            <v>1.0171747511880609</v>
          </cell>
          <cell r="U107">
            <v>0.9641887372098471</v>
          </cell>
          <cell r="V107">
            <v>0.96723808089383545</v>
          </cell>
          <cell r="W107">
            <v>0.98623213188375392</v>
          </cell>
          <cell r="X107">
            <v>0.92868274933740969</v>
          </cell>
          <cell r="Y107">
            <v>0.94254883679108026</v>
          </cell>
          <cell r="Z107">
            <v>1.0076492744810175</v>
          </cell>
        </row>
        <row r="108">
          <cell r="C108">
            <v>1.0209093606266633</v>
          </cell>
          <cell r="D108">
            <v>1.0076603067611265</v>
          </cell>
          <cell r="E108">
            <v>1.0073389310803837</v>
          </cell>
          <cell r="F108">
            <v>0.98032443708380756</v>
          </cell>
          <cell r="G108">
            <v>0.8858564768046514</v>
          </cell>
          <cell r="H108">
            <v>1.0134204645101061</v>
          </cell>
          <cell r="I108">
            <v>0.97336912257742736</v>
          </cell>
          <cell r="J108">
            <v>0.98321417286952506</v>
          </cell>
          <cell r="K108">
            <v>0.95101073956465398</v>
          </cell>
          <cell r="L108">
            <v>0.97962611012130152</v>
          </cell>
          <cell r="M108">
            <v>1.0013269994855583</v>
          </cell>
          <cell r="N108">
            <v>1.0141578194184935</v>
          </cell>
          <cell r="O108">
            <v>0.91195570523876646</v>
          </cell>
          <cell r="P108">
            <v>0.94157233272133822</v>
          </cell>
          <cell r="Q108">
            <v>0.99958140086173242</v>
          </cell>
          <cell r="R108">
            <v>0.94583947784531031</v>
          </cell>
          <cell r="S108">
            <v>0.98311524035766651</v>
          </cell>
          <cell r="T108">
            <v>1</v>
          </cell>
          <cell r="U108">
            <v>0.94790864213221382</v>
          </cell>
          <cell r="V108">
            <v>0.95090649838103103</v>
          </cell>
          <cell r="W108">
            <v>0.96957983938535053</v>
          </cell>
          <cell r="X108">
            <v>0.91300216433086601</v>
          </cell>
          <cell r="Y108">
            <v>0.92663412623070185</v>
          </cell>
          <cell r="Z108">
            <v>0.99063535867763364</v>
          </cell>
        </row>
        <row r="109">
          <cell r="C109">
            <v>1.0770123989272242</v>
          </cell>
          <cell r="D109">
            <v>1.0630352567463761</v>
          </cell>
          <cell r="E109">
            <v>1.0626962201911021</v>
          </cell>
          <cell r="F109">
            <v>1.0341971720805057</v>
          </cell>
          <cell r="G109">
            <v>0.93453782087271309</v>
          </cell>
          <cell r="H109">
            <v>1.0691119581213344</v>
          </cell>
          <cell r="I109">
            <v>1.0268596353209134</v>
          </cell>
          <cell r="J109">
            <v>1.037245710364973</v>
          </cell>
          <cell r="K109">
            <v>1.0032725700500655</v>
          </cell>
          <cell r="L109">
            <v>1.0334604692681595</v>
          </cell>
          <cell r="M109">
            <v>1.0563539089939995</v>
          </cell>
          <cell r="N109">
            <v>1.0698898336207376</v>
          </cell>
          <cell r="O109">
            <v>0.96207130593031076</v>
          </cell>
          <cell r="P109">
            <v>0.99331548513301582</v>
          </cell>
          <cell r="Q109">
            <v>1.0545123827685405</v>
          </cell>
          <cell r="R109">
            <v>0.99781712688867452</v>
          </cell>
          <cell r="S109">
            <v>1.0371413411172825</v>
          </cell>
          <cell r="T109">
            <v>1.0549539855978236</v>
          </cell>
          <cell r="U109">
            <v>1</v>
          </cell>
          <cell r="V109">
            <v>1.0031626003979393</v>
          </cell>
          <cell r="W109">
            <v>1.0228621159148732</v>
          </cell>
          <cell r="X109">
            <v>0.9631752721202862</v>
          </cell>
          <cell r="Y109">
            <v>0.97755636465803575</v>
          </cell>
          <cell r="Z109">
            <v>1.0450747199110992</v>
          </cell>
        </row>
        <row r="110">
          <cell r="C110">
            <v>1.0736169774471158</v>
          </cell>
          <cell r="D110">
            <v>1.0596839000224754</v>
          </cell>
          <cell r="E110">
            <v>1.0593459323239791</v>
          </cell>
          <cell r="F110">
            <v>1.0309367311642754</v>
          </cell>
          <cell r="G110">
            <v>0.93159156900585838</v>
          </cell>
          <cell r="H110">
            <v>1.0657414438070498</v>
          </cell>
          <cell r="I110">
            <v>1.0236223269423861</v>
          </cell>
          <cell r="J110">
            <v>1.0339756585358282</v>
          </cell>
          <cell r="K110">
            <v>1.0001096229585142</v>
          </cell>
          <cell r="L110">
            <v>1.0302023509032352</v>
          </cell>
          <cell r="M110">
            <v>1.0530236160867243</v>
          </cell>
          <cell r="N110">
            <v>1.0665168669529035</v>
          </cell>
          <cell r="O110">
            <v>0.95903825117550423</v>
          </cell>
          <cell r="P110">
            <v>0.9901839290449852</v>
          </cell>
          <cell r="Q110">
            <v>1.0511878955118859</v>
          </cell>
          <cell r="R110">
            <v>0.99467137879029366</v>
          </cell>
          <cell r="S110">
            <v>1.0338716183257477</v>
          </cell>
          <cell r="T110">
            <v>1.0516281061308901</v>
          </cell>
          <cell r="U110">
            <v>0.99684737011060365</v>
          </cell>
          <cell r="V110">
            <v>1</v>
          </cell>
          <cell r="W110">
            <v>1.0196374102355088</v>
          </cell>
          <cell r="X110">
            <v>0.96013873696867236</v>
          </cell>
          <cell r="Y110">
            <v>0.97447449124424512</v>
          </cell>
          <cell r="Z110">
            <v>1.0417799861124548</v>
          </cell>
        </row>
        <row r="111">
          <cell r="C111">
            <v>1.052939963431843</v>
          </cell>
          <cell r="D111">
            <v>1.0392752260607199</v>
          </cell>
          <cell r="E111">
            <v>1.0389437673528463</v>
          </cell>
          <cell r="F111">
            <v>1.0110817049426981</v>
          </cell>
          <cell r="G111">
            <v>0.9136498520495494</v>
          </cell>
          <cell r="H111">
            <v>1.04521610634205</v>
          </cell>
          <cell r="I111">
            <v>1.0039081703622044</v>
          </cell>
          <cell r="J111">
            <v>1.0140621049761285</v>
          </cell>
          <cell r="K111">
            <v>0.98084830246422183</v>
          </cell>
          <cell r="L111">
            <v>1.0103614682647688</v>
          </cell>
          <cell r="M111">
            <v>1.0327432139269039</v>
          </cell>
          <cell r="N111">
            <v>1.0459765954512859</v>
          </cell>
          <cell r="O111">
            <v>0.94056793282426965</v>
          </cell>
          <cell r="P111">
            <v>0.97111376956665352</v>
          </cell>
          <cell r="Q111">
            <v>1.0309428478787275</v>
          </cell>
          <cell r="R111">
            <v>0.97551479457835044</v>
          </cell>
          <cell r="S111">
            <v>1.0139600684982235</v>
          </cell>
          <cell r="T111">
            <v>1.0313745803893095</v>
          </cell>
          <cell r="U111">
            <v>0.97764887802651212</v>
          </cell>
          <cell r="V111">
            <v>0.98074079075720355</v>
          </cell>
          <cell r="W111">
            <v>1</v>
          </cell>
          <cell r="X111">
            <v>0.94164722413127833</v>
          </cell>
          <cell r="Y111">
            <v>0.95570688311560459</v>
          </cell>
          <cell r="Z111">
            <v>1.0217161273749575</v>
          </cell>
        </row>
        <row r="112">
          <cell r="C112">
            <v>1.1181894200381024</v>
          </cell>
          <cell r="D112">
            <v>1.1036778948926533</v>
          </cell>
          <cell r="E112">
            <v>1.1033258960767705</v>
          </cell>
          <cell r="F112">
            <v>1.0737372542838184</v>
          </cell>
          <cell r="G112">
            <v>0.97026766355355853</v>
          </cell>
          <cell r="H112">
            <v>1.1099869245686138</v>
          </cell>
          <cell r="I112">
            <v>1.0661191841651372</v>
          </cell>
          <cell r="J112">
            <v>1.0769023462174561</v>
          </cell>
          <cell r="K112">
            <v>1.0416303232551964</v>
          </cell>
          <cell r="L112">
            <v>1.0729723853823105</v>
          </cell>
          <cell r="M112">
            <v>1.0967411016154873</v>
          </cell>
          <cell r="N112">
            <v>1.1107945402974635</v>
          </cell>
          <cell r="O112">
            <v>0.99885382627447938</v>
          </cell>
          <cell r="P112">
            <v>1.0312925527525021</v>
          </cell>
          <cell r="Q112">
            <v>1.0948291689914227</v>
          </cell>
          <cell r="R112">
            <v>1.0359663041308458</v>
          </cell>
          <cell r="S112">
            <v>1.0767939866584937</v>
          </cell>
          <cell r="T112">
            <v>1.0952876554601534</v>
          </cell>
          <cell r="U112">
            <v>1.0382326342314101</v>
          </cell>
          <cell r="V112">
            <v>1.0415161491735838</v>
          </cell>
          <cell r="W112">
            <v>1.0619688290618128</v>
          </cell>
          <cell r="X112">
            <v>1</v>
          </cell>
          <cell r="Y112">
            <v>1.0149309195885934</v>
          </cell>
          <cell r="Z112">
            <v>1.0850306794219535</v>
          </cell>
        </row>
        <row r="113">
          <cell r="C113">
            <v>1.1017394370952511</v>
          </cell>
          <cell r="D113">
            <v>1.0874413948685631</v>
          </cell>
          <cell r="E113">
            <v>1.0870945744011902</v>
          </cell>
          <cell r="F113">
            <v>1.0579412190132726</v>
          </cell>
          <cell r="G113">
            <v>0.95599379704271958</v>
          </cell>
          <cell r="H113">
            <v>1.0936576107254194</v>
          </cell>
          <cell r="I113">
            <v>1.0504352203569609</v>
          </cell>
          <cell r="J113">
            <v>1.0610597484348818</v>
          </cell>
          <cell r="K113">
            <v>1.0263066216146275</v>
          </cell>
          <cell r="L113">
            <v>1.0571876023022773</v>
          </cell>
          <cell r="M113">
            <v>1.0806066506083547</v>
          </cell>
          <cell r="N113">
            <v>1.0944533454037728</v>
          </cell>
          <cell r="O113">
            <v>0.98415942109574228</v>
          </cell>
          <cell r="P113">
            <v>1.0161209328123939</v>
          </cell>
          <cell r="Q113">
            <v>1.078722844935315</v>
          </cell>
          <cell r="R113">
            <v>1.0207259273870375</v>
          </cell>
          <cell r="S113">
            <v>1.0609529829823068</v>
          </cell>
          <cell r="T113">
            <v>1.0791745864872586</v>
          </cell>
          <cell r="U113">
            <v>1.0229589169007307</v>
          </cell>
          <cell r="V113">
            <v>1.0261941271783963</v>
          </cell>
          <cell r="W113">
            <v>1.0463459222350684</v>
          </cell>
          <cell r="X113">
            <v>0.98528873315373455</v>
          </cell>
          <cell r="Y113">
            <v>1</v>
          </cell>
          <cell r="Z113">
            <v>1.0690685035605925</v>
          </cell>
        </row>
        <row r="114">
          <cell r="C114">
            <v>1.0305601871403434</v>
          </cell>
          <cell r="D114">
            <v>1.0171858877581545</v>
          </cell>
          <cell r="E114">
            <v>1.0168614740594835</v>
          </cell>
          <cell r="F114">
            <v>0.98959160754408182</v>
          </cell>
          <cell r="G114">
            <v>0.89423062587545021</v>
          </cell>
          <cell r="H114">
            <v>1.0230004972393552</v>
          </cell>
          <cell r="I114">
            <v>0.98257054328925375</v>
          </cell>
          <cell r="J114">
            <v>0.99250866048430286</v>
          </cell>
          <cell r="K114">
            <v>0.96000080275160649</v>
          </cell>
          <cell r="L114">
            <v>0.98888667918029083</v>
          </cell>
          <cell r="M114">
            <v>1.0107927106722663</v>
          </cell>
          <cell r="N114">
            <v>1.0237448224867112</v>
          </cell>
          <cell r="O114">
            <v>0.92057657467032672</v>
          </cell>
          <cell r="P114">
            <v>0.95047317307370494</v>
          </cell>
          <cell r="Q114">
            <v>1.0090306106134153</v>
          </cell>
          <cell r="R114">
            <v>0.95478065623246089</v>
          </cell>
          <cell r="S114">
            <v>0.99240879274690386</v>
          </cell>
          <cell r="T114">
            <v>1.0094531668391757</v>
          </cell>
          <cell r="U114">
            <v>0.95686938067458605</v>
          </cell>
          <cell r="V114">
            <v>0.95989557615868326</v>
          </cell>
          <cell r="W114">
            <v>0.97874543937096148</v>
          </cell>
          <cell r="X114">
            <v>0.92163292611481418</v>
          </cell>
          <cell r="Y114">
            <v>0.93539375322483442</v>
          </cell>
          <cell r="Z114">
            <v>1</v>
          </cell>
        </row>
        <row r="119">
          <cell r="C119">
            <v>1</v>
          </cell>
          <cell r="D119">
            <v>0.97942538068310747</v>
          </cell>
          <cell r="E119">
            <v>1.0432651161155553</v>
          </cell>
          <cell r="F119">
            <v>0.99647632884311921</v>
          </cell>
          <cell r="G119">
            <v>0.99589542574675038</v>
          </cell>
          <cell r="H119">
            <v>0.99690867820423534</v>
          </cell>
          <cell r="I119">
            <v>0.99908963346837087</v>
          </cell>
          <cell r="J119">
            <v>0.94834660342564814</v>
          </cell>
          <cell r="K119">
            <v>0.91244875208701925</v>
          </cell>
          <cell r="L119">
            <v>1.0079761656623907</v>
          </cell>
          <cell r="M119">
            <v>1.0031483396715477</v>
          </cell>
          <cell r="N119">
            <v>1.003362570449934</v>
          </cell>
          <cell r="O119">
            <v>0.9794801391169945</v>
          </cell>
          <cell r="P119">
            <v>0.97255361357264447</v>
          </cell>
          <cell r="Q119">
            <v>1.0053595552260342</v>
          </cell>
          <cell r="R119">
            <v>0.97156814061471519</v>
          </cell>
          <cell r="S119">
            <v>1.007976165684465</v>
          </cell>
          <cell r="T119">
            <v>1.0079761657082946</v>
          </cell>
          <cell r="U119">
            <v>1.0079761656706105</v>
          </cell>
          <cell r="V119">
            <v>1.0079761656803972</v>
          </cell>
          <cell r="W119">
            <v>0.97967836394143271</v>
          </cell>
          <cell r="X119">
            <v>1.007976165685194</v>
          </cell>
          <cell r="Y119">
            <v>0.97754169127414614</v>
          </cell>
          <cell r="Z119">
            <v>1.0079761656386519</v>
          </cell>
        </row>
        <row r="120">
          <cell r="C120">
            <v>1.0210068267809669</v>
          </cell>
          <cell r="D120">
            <v>1</v>
          </cell>
          <cell r="E120">
            <v>1.06518080569642</v>
          </cell>
          <cell r="F120">
            <v>1.0174091344744605</v>
          </cell>
          <cell r="G120">
            <v>1.0168160284473695</v>
          </cell>
          <cell r="H120">
            <v>1.0178505661237143</v>
          </cell>
          <cell r="I120">
            <v>1.0200773363373006</v>
          </cell>
          <cell r="J120">
            <v>0.96826835625212893</v>
          </cell>
          <cell r="K120">
            <v>0.93161640496862064</v>
          </cell>
          <cell r="L120">
            <v>1.0291505463738035</v>
          </cell>
          <cell r="M120">
            <v>1.0242213030786422</v>
          </cell>
          <cell r="N120">
            <v>1.0244400341658815</v>
          </cell>
          <cell r="O120">
            <v>1.0000559087348224</v>
          </cell>
          <cell r="P120">
            <v>0.9929838788681683</v>
          </cell>
          <cell r="Q120">
            <v>1.0264789692552572</v>
          </cell>
          <cell r="R120">
            <v>0.99197770425051457</v>
          </cell>
          <cell r="S120">
            <v>1.0291505463963415</v>
          </cell>
          <cell r="T120">
            <v>1.0291505464206718</v>
          </cell>
          <cell r="U120">
            <v>1.0291505463821962</v>
          </cell>
          <cell r="V120">
            <v>1.0291505463921884</v>
          </cell>
          <cell r="W120">
            <v>1.0002582976338112</v>
          </cell>
          <cell r="X120">
            <v>1.029150546397086</v>
          </cell>
          <cell r="Y120">
            <v>0.99807674025391546</v>
          </cell>
          <cell r="Z120">
            <v>1.0291505463495663</v>
          </cell>
        </row>
        <row r="121">
          <cell r="C121">
            <v>0.95852912606083607</v>
          </cell>
          <cell r="D121">
            <v>0.93880775418798079</v>
          </cell>
          <cell r="E121">
            <v>1</v>
          </cell>
          <cell r="F121">
            <v>0.95515158462630545</v>
          </cell>
          <cell r="G121">
            <v>0.954594772089017</v>
          </cell>
          <cell r="H121">
            <v>0.955566004081569</v>
          </cell>
          <cell r="I121">
            <v>0.95765651322487855</v>
          </cell>
          <cell r="J121">
            <v>0.90901784098434879</v>
          </cell>
          <cell r="K121">
            <v>0.87460870491327114</v>
          </cell>
          <cell r="L121">
            <v>0.9661745131625239</v>
          </cell>
          <cell r="M121">
            <v>0.96154690133474741</v>
          </cell>
          <cell r="N121">
            <v>0.96175224777552937</v>
          </cell>
          <cell r="O121">
            <v>0.93886024174175886</v>
          </cell>
          <cell r="P121">
            <v>0.93222096526509501</v>
          </cell>
          <cell r="Q121">
            <v>0.96366641584772128</v>
          </cell>
          <cell r="R121">
            <v>0.93127636073197451</v>
          </cell>
          <cell r="S121">
            <v>0.96617451318368264</v>
          </cell>
          <cell r="T121">
            <v>0.96617451320652425</v>
          </cell>
          <cell r="U121">
            <v>0.96617451317040282</v>
          </cell>
          <cell r="V121">
            <v>0.96617451317978376</v>
          </cell>
          <cell r="W121">
            <v>0.93905024600949116</v>
          </cell>
          <cell r="X121">
            <v>0.96617451318438163</v>
          </cell>
          <cell r="Y121">
            <v>0.93700218302503901</v>
          </cell>
          <cell r="Z121">
            <v>0.96617451313976965</v>
          </cell>
        </row>
        <row r="122">
          <cell r="C122">
            <v>1.0035361313208229</v>
          </cell>
          <cell r="D122">
            <v>0.98288875744814996</v>
          </cell>
          <cell r="E122">
            <v>1.0469542385685735</v>
          </cell>
          <cell r="F122">
            <v>1</v>
          </cell>
          <cell r="G122">
            <v>0.99941704275399779</v>
          </cell>
          <cell r="H122">
            <v>1.0004338782052336</v>
          </cell>
          <cell r="I122">
            <v>1.0026225456135878</v>
          </cell>
          <cell r="J122">
            <v>0.95170008155301755</v>
          </cell>
          <cell r="K122">
            <v>0.91567529069791997</v>
          </cell>
          <cell r="L122">
            <v>1.0115405017524324</v>
          </cell>
          <cell r="M122">
            <v>1.0066956039348918</v>
          </cell>
          <cell r="N122">
            <v>1.0069105922614434</v>
          </cell>
          <cell r="O122">
            <v>0.98294370951505006</v>
          </cell>
          <cell r="P122">
            <v>0.97599269086677809</v>
          </cell>
          <cell r="Q122">
            <v>1.0089146386379575</v>
          </cell>
          <cell r="R122">
            <v>0.97500373314705657</v>
          </cell>
          <cell r="S122">
            <v>1.0115405017745847</v>
          </cell>
          <cell r="T122">
            <v>1.0115405017984986</v>
          </cell>
          <cell r="U122">
            <v>1.0115405017606813</v>
          </cell>
          <cell r="V122">
            <v>1.0115405017705026</v>
          </cell>
          <cell r="W122">
            <v>0.98314263528849855</v>
          </cell>
          <cell r="X122">
            <v>1.0115405017753165</v>
          </cell>
          <cell r="Y122">
            <v>0.98099840706607089</v>
          </cell>
          <cell r="Z122">
            <v>1.0115405017286097</v>
          </cell>
        </row>
        <row r="123">
          <cell r="C123">
            <v>1.0041214912199963</v>
          </cell>
          <cell r="D123">
            <v>0.98346207379023431</v>
          </cell>
          <cell r="E123">
            <v>1.0475649241317539</v>
          </cell>
          <cell r="F123">
            <v>1.0005832972833801</v>
          </cell>
          <cell r="G123">
            <v>1</v>
          </cell>
          <cell r="H123">
            <v>1.001017428568592</v>
          </cell>
          <cell r="I123">
            <v>1.0032073726207</v>
          </cell>
          <cell r="J123">
            <v>0.95225520562518018</v>
          </cell>
          <cell r="K123">
            <v>0.91620940160744235</v>
          </cell>
          <cell r="L123">
            <v>1.0121305305791337</v>
          </cell>
          <cell r="M123">
            <v>1.0072828067458577</v>
          </cell>
          <cell r="N123">
            <v>1.0074979204745163</v>
          </cell>
          <cell r="O123">
            <v>0.98351705791052579</v>
          </cell>
          <cell r="P123">
            <v>0.97656198475195966</v>
          </cell>
          <cell r="Q123">
            <v>1.0095031358058375</v>
          </cell>
          <cell r="R123">
            <v>0.97557245017588679</v>
          </cell>
          <cell r="S123">
            <v>1.0121305306012989</v>
          </cell>
          <cell r="T123">
            <v>1.0121305306252268</v>
          </cell>
          <cell r="U123">
            <v>1.0121305305873873</v>
          </cell>
          <cell r="V123">
            <v>1.0121305305972144</v>
          </cell>
          <cell r="W123">
            <v>0.98371609971683749</v>
          </cell>
          <cell r="X123">
            <v>1.012130530602031</v>
          </cell>
          <cell r="Y123">
            <v>0.98157062077191282</v>
          </cell>
          <cell r="Z123">
            <v>1.012130530555297</v>
          </cell>
        </row>
        <row r="124">
          <cell r="C124">
            <v>1.0031009076993223</v>
          </cell>
          <cell r="D124">
            <v>0.98246248838697936</v>
          </cell>
          <cell r="E124">
            <v>1.0465001849465525</v>
          </cell>
          <cell r="F124">
            <v>0.99956630996342122</v>
          </cell>
          <cell r="G124">
            <v>0.9989836055401683</v>
          </cell>
          <cell r="H124">
            <v>1</v>
          </cell>
          <cell r="I124">
            <v>1.002187718205106</v>
          </cell>
          <cell r="J124">
            <v>0.95128733870983684</v>
          </cell>
          <cell r="K124">
            <v>0.91527817144760293</v>
          </cell>
          <cell r="L124">
            <v>1.0111018067152264</v>
          </cell>
          <cell r="M124">
            <v>1.0062590100815976</v>
          </cell>
          <cell r="N124">
            <v>1.0064739051698539</v>
          </cell>
          <cell r="O124">
            <v>0.98251741662171554</v>
          </cell>
          <cell r="P124">
            <v>0.97556941256097551</v>
          </cell>
          <cell r="Q124">
            <v>1.0084770824114218</v>
          </cell>
          <cell r="R124">
            <v>0.97458088374236362</v>
          </cell>
          <cell r="S124">
            <v>1.0111018067373692</v>
          </cell>
          <cell r="T124">
            <v>1.0111018067612729</v>
          </cell>
          <cell r="U124">
            <v>1.0111018067234718</v>
          </cell>
          <cell r="V124">
            <v>1.0111018067332889</v>
          </cell>
          <cell r="W124">
            <v>0.98271625612303815</v>
          </cell>
          <cell r="X124">
            <v>1.0111018067381006</v>
          </cell>
          <cell r="Y124">
            <v>0.98057295783102671</v>
          </cell>
          <cell r="Z124">
            <v>1.0111018066914141</v>
          </cell>
        </row>
        <row r="125">
          <cell r="C125">
            <v>1.0009111960540205</v>
          </cell>
          <cell r="D125">
            <v>0.98031782922519339</v>
          </cell>
          <cell r="E125">
            <v>1.0442157351726571</v>
          </cell>
          <cell r="F125">
            <v>0.99738431414188589</v>
          </cell>
          <cell r="G125">
            <v>0.99680288172890785</v>
          </cell>
          <cell r="H125">
            <v>0.99781705745803373</v>
          </cell>
          <cell r="I125">
            <v>1</v>
          </cell>
          <cell r="J125">
            <v>0.94921073310853332</v>
          </cell>
          <cell r="K125">
            <v>0.91328017178941689</v>
          </cell>
          <cell r="L125">
            <v>1.0088946295670889</v>
          </cell>
          <cell r="M125">
            <v>1.0040624044802535</v>
          </cell>
          <cell r="N125">
            <v>1.0042768304648799</v>
          </cell>
          <cell r="O125">
            <v>0.98037263755474924</v>
          </cell>
          <cell r="P125">
            <v>0.97343980058765511</v>
          </cell>
          <cell r="Q125">
            <v>1.0062756348856279</v>
          </cell>
          <cell r="R125">
            <v>0.9724534296706554</v>
          </cell>
          <cell r="S125">
            <v>1.0088946295891832</v>
          </cell>
          <cell r="T125">
            <v>1.0088946296130348</v>
          </cell>
          <cell r="U125">
            <v>1.0088946295753163</v>
          </cell>
          <cell r="V125">
            <v>1.008894629585112</v>
          </cell>
          <cell r="W125">
            <v>0.98057104300086539</v>
          </cell>
          <cell r="X125">
            <v>1.0088946295899131</v>
          </cell>
          <cell r="Y125">
            <v>0.97843242340587566</v>
          </cell>
          <cell r="Z125">
            <v>1.0088946295433285</v>
          </cell>
        </row>
        <row r="126">
          <cell r="C126">
            <v>1.0544667913479817</v>
          </cell>
          <cell r="D126">
            <v>1.0327715385336917</v>
          </cell>
          <cell r="E126">
            <v>1.1000884195156491</v>
          </cell>
          <cell r="F126">
            <v>1.0507511971294201</v>
          </cell>
          <cell r="G126">
            <v>1.0501386541053079</v>
          </cell>
          <cell r="H126">
            <v>1.0512070951729775</v>
          </cell>
          <cell r="I126">
            <v>1.0535068400724241</v>
          </cell>
          <cell r="J126">
            <v>1</v>
          </cell>
          <cell r="K126">
            <v>0.96214690788266921</v>
          </cell>
          <cell r="L126">
            <v>1.0628773931612627</v>
          </cell>
          <cell r="M126">
            <v>1.057786610979512</v>
          </cell>
          <cell r="N126">
            <v>1.0580125102210052</v>
          </cell>
          <cell r="O126">
            <v>1.0328292794837719</v>
          </cell>
          <cell r="P126">
            <v>1.0255254883178313</v>
          </cell>
          <cell r="Q126">
            <v>1.06011826435023</v>
          </cell>
          <cell r="R126">
            <v>1.0244863398099233</v>
          </cell>
          <cell r="S126">
            <v>1.0628773931845392</v>
          </cell>
          <cell r="T126">
            <v>1.0628773932096669</v>
          </cell>
          <cell r="U126">
            <v>1.0628773931699302</v>
          </cell>
          <cell r="V126">
            <v>1.06287739318025</v>
          </cell>
          <cell r="W126">
            <v>1.0330383009783628</v>
          </cell>
          <cell r="X126">
            <v>1.0628773931853082</v>
          </cell>
          <cell r="Y126">
            <v>1.0307852506067281</v>
          </cell>
          <cell r="Z126">
            <v>1.062877393136231</v>
          </cell>
        </row>
        <row r="127">
          <cell r="C127">
            <v>1.095951961918658</v>
          </cell>
          <cell r="D127">
            <v>1.0734031675125801</v>
          </cell>
          <cell r="E127">
            <v>1.1433684508081394</v>
          </cell>
          <cell r="F127">
            <v>1.0920901876011184</v>
          </cell>
          <cell r="G127">
            <v>1.0914535457129684</v>
          </cell>
          <cell r="H127">
            <v>1.0925640217316679</v>
          </cell>
          <cell r="I127">
            <v>1.0949542439322539</v>
          </cell>
          <cell r="J127">
            <v>1.0393423206032346</v>
          </cell>
          <cell r="K127">
            <v>1</v>
          </cell>
          <cell r="L127">
            <v>1.1046934563249433</v>
          </cell>
          <cell r="M127">
            <v>1.0994023909584771</v>
          </cell>
          <cell r="N127">
            <v>1.0996371776003528</v>
          </cell>
          <cell r="O127">
            <v>1.0734631801256302</v>
          </cell>
          <cell r="P127">
            <v>1.0658720408660201</v>
          </cell>
          <cell r="Q127">
            <v>1.1018257769836415</v>
          </cell>
          <cell r="R127">
            <v>1.0647920098443597</v>
          </cell>
          <cell r="S127">
            <v>1.1046934563491357</v>
          </cell>
          <cell r="T127">
            <v>1.104693456375252</v>
          </cell>
          <cell r="U127">
            <v>1.1046934563339519</v>
          </cell>
          <cell r="V127">
            <v>1.1046934563446777</v>
          </cell>
          <cell r="W127">
            <v>1.0736804250108742</v>
          </cell>
          <cell r="X127">
            <v>1.1046934563499349</v>
          </cell>
          <cell r="Y127">
            <v>1.0713387344091836</v>
          </cell>
          <cell r="Z127">
            <v>1.1046934562989268</v>
          </cell>
        </row>
        <row r="128">
          <cell r="C128">
            <v>0.99208695013423343</v>
          </cell>
          <cell r="D128">
            <v>0.97167513880596468</v>
          </cell>
          <cell r="E128">
            <v>1.0350097072285183</v>
          </cell>
          <cell r="F128">
            <v>0.98859116196292762</v>
          </cell>
          <cell r="G128">
            <v>0.98801485558172752</v>
          </cell>
          <cell r="H128">
            <v>0.98902009012198977</v>
          </cell>
          <cell r="I128">
            <v>0.99118378737836521</v>
          </cell>
          <cell r="J128">
            <v>0.94084228946271065</v>
          </cell>
          <cell r="K128">
            <v>0.90522849961179819</v>
          </cell>
          <cell r="L128">
            <v>1</v>
          </cell>
          <cell r="M128">
            <v>0.99521037683696578</v>
          </cell>
          <cell r="N128">
            <v>0.99542291239652003</v>
          </cell>
          <cell r="O128">
            <v>0.97172946393363369</v>
          </cell>
          <cell r="P128">
            <v>0.96485774833131266</v>
          </cell>
          <cell r="Q128">
            <v>0.99740409493250559</v>
          </cell>
          <cell r="R128">
            <v>0.9638800734700409</v>
          </cell>
          <cell r="S128">
            <v>1.0000000000218996</v>
          </cell>
          <cell r="T128">
            <v>1.0000000000455407</v>
          </cell>
          <cell r="U128">
            <v>1.0000000000081548</v>
          </cell>
          <cell r="V128">
            <v>1.0000000000178642</v>
          </cell>
          <cell r="W128">
            <v>0.97192612019515157</v>
          </cell>
          <cell r="X128">
            <v>1.000000000022623</v>
          </cell>
          <cell r="Y128">
            <v>0.96980635512522806</v>
          </cell>
          <cell r="Z128">
            <v>0.99999999997644917</v>
          </cell>
        </row>
        <row r="129">
          <cell r="C129">
            <v>0.99686154126260274</v>
          </cell>
          <cell r="D129">
            <v>0.97635149453947401</v>
          </cell>
          <cell r="E129">
            <v>1.0399908715964608</v>
          </cell>
          <cell r="F129">
            <v>0.99334892900225202</v>
          </cell>
          <cell r="G129">
            <v>0.99276984904628163</v>
          </cell>
          <cell r="H129">
            <v>0.99377992145273808</v>
          </cell>
          <cell r="I129">
            <v>0.99595403187876907</v>
          </cell>
          <cell r="J129">
            <v>0.94537025674204589</v>
          </cell>
          <cell r="K129">
            <v>0.90958506932860461</v>
          </cell>
          <cell r="L129">
            <v>1.0048126740581793</v>
          </cell>
          <cell r="M129">
            <v>1</v>
          </cell>
          <cell r="N129">
            <v>1.000213558423928</v>
          </cell>
          <cell r="O129">
            <v>0.97640608111627569</v>
          </cell>
          <cell r="P129">
            <v>0.96950129418654007</v>
          </cell>
          <cell r="Q129">
            <v>1.0022042757457092</v>
          </cell>
          <cell r="R129">
            <v>0.96851891409482616</v>
          </cell>
          <cell r="S129">
            <v>1.0048126740801844</v>
          </cell>
          <cell r="T129">
            <v>1.0048126741039394</v>
          </cell>
          <cell r="U129">
            <v>1.0048126740663734</v>
          </cell>
          <cell r="V129">
            <v>1.0048126740761294</v>
          </cell>
          <cell r="W129">
            <v>0.97660368382028173</v>
          </cell>
          <cell r="X129">
            <v>1.0048126740809113</v>
          </cell>
          <cell r="Y129">
            <v>0.97447371701199681</v>
          </cell>
          <cell r="Z129">
            <v>1.0048126740345151</v>
          </cell>
        </row>
        <row r="130">
          <cell r="C130">
            <v>0.99664869853733318</v>
          </cell>
          <cell r="D130">
            <v>0.97614303097225119</v>
          </cell>
          <cell r="E130">
            <v>1.0397688202059681</v>
          </cell>
          <cell r="F130">
            <v>0.99313683626475446</v>
          </cell>
          <cell r="G130">
            <v>0.99255787994978206</v>
          </cell>
          <cell r="H130">
            <v>0.99356773669282417</v>
          </cell>
          <cell r="I130">
            <v>0.99574138291839298</v>
          </cell>
          <cell r="J130">
            <v>0.94516840806647262</v>
          </cell>
          <cell r="K130">
            <v>0.90939086124954149</v>
          </cell>
          <cell r="L130">
            <v>1.004598133664073</v>
          </cell>
          <cell r="M130">
            <v>0.99978648717353458</v>
          </cell>
          <cell r="N130">
            <v>1</v>
          </cell>
          <cell r="O130">
            <v>0.97619760589411853</v>
          </cell>
          <cell r="P130">
            <v>0.96929429322495653</v>
          </cell>
          <cell r="Q130">
            <v>1.001990292278099</v>
          </cell>
          <cell r="R130">
            <v>0.9683121228839926</v>
          </cell>
          <cell r="S130">
            <v>1.0045981336860732</v>
          </cell>
          <cell r="T130">
            <v>1.0045981337098231</v>
          </cell>
          <cell r="U130">
            <v>1.0045981336722654</v>
          </cell>
          <cell r="V130">
            <v>1.0045981336820191</v>
          </cell>
          <cell r="W130">
            <v>0.97639516640741264</v>
          </cell>
          <cell r="X130">
            <v>1.0045981336868</v>
          </cell>
          <cell r="Y130">
            <v>0.9742656543743613</v>
          </cell>
          <cell r="Z130">
            <v>1.0045981336404139</v>
          </cell>
        </row>
        <row r="131">
          <cell r="C131">
            <v>1.0209497467723074</v>
          </cell>
          <cell r="D131">
            <v>0.99994409439078946</v>
          </cell>
          <cell r="E131">
            <v>1.0651212561145582</v>
          </cell>
          <cell r="F131">
            <v>1.0173522555969812</v>
          </cell>
          <cell r="G131">
            <v>1.0167591827278442</v>
          </cell>
          <cell r="H131">
            <v>1.0177936625677297</v>
          </cell>
          <cell r="I131">
            <v>1.0200203082923707</v>
          </cell>
          <cell r="J131">
            <v>0.96821422461979334</v>
          </cell>
          <cell r="K131">
            <v>0.93156432238595033</v>
          </cell>
          <cell r="L131">
            <v>1.0290930110855392</v>
          </cell>
          <cell r="M131">
            <v>1.0241640433627273</v>
          </cell>
          <cell r="N131">
            <v>1.0243827622216717</v>
          </cell>
          <cell r="O131">
            <v>1</v>
          </cell>
          <cell r="P131">
            <v>0.99292836549948393</v>
          </cell>
          <cell r="Q131">
            <v>1.0264215833231392</v>
          </cell>
          <cell r="R131">
            <v>0.9919222471326351</v>
          </cell>
          <cell r="S131">
            <v>1.0290930111080758</v>
          </cell>
          <cell r="T131">
            <v>1.0290930111324048</v>
          </cell>
          <cell r="U131">
            <v>1.0290930110939314</v>
          </cell>
          <cell r="V131">
            <v>1.0290930111039229</v>
          </cell>
          <cell r="W131">
            <v>1.0002023775843143</v>
          </cell>
          <cell r="X131">
            <v>1.0290930111088203</v>
          </cell>
          <cell r="Y131">
            <v>0.99802094216571269</v>
          </cell>
          <cell r="Z131">
            <v>1.0290930110613032</v>
          </cell>
        </row>
        <row r="132">
          <cell r="C132">
            <v>1.0282209495130372</v>
          </cell>
          <cell r="D132">
            <v>1.0070656949031529</v>
          </cell>
          <cell r="E132">
            <v>1.0727070482861654</v>
          </cell>
          <cell r="F132">
            <v>1.0245978370103377</v>
          </cell>
          <cell r="G132">
            <v>1.0240005402770143</v>
          </cell>
          <cell r="H132">
            <v>1.0250423876809458</v>
          </cell>
          <cell r="I132">
            <v>1.0272848915734807</v>
          </cell>
          <cell r="J132">
            <v>0.97510984504178377</v>
          </cell>
          <cell r="K132">
            <v>0.93819892225290091</v>
          </cell>
          <cell r="L132">
            <v>1.036422210143894</v>
          </cell>
          <cell r="M132">
            <v>1.0314581383195056</v>
          </cell>
          <cell r="N132">
            <v>1.0316784148938729</v>
          </cell>
          <cell r="O132">
            <v>1.0071219986720379</v>
          </cell>
          <cell r="P132">
            <v>1</v>
          </cell>
          <cell r="Q132">
            <v>1.0337317564765176</v>
          </cell>
          <cell r="R132">
            <v>0.99898671605947864</v>
          </cell>
          <cell r="S132">
            <v>1.0364222101665912</v>
          </cell>
          <cell r="T132">
            <v>1.0364222101910934</v>
          </cell>
          <cell r="U132">
            <v>1.0364222101523457</v>
          </cell>
          <cell r="V132">
            <v>1.0364222101624088</v>
          </cell>
          <cell r="W132">
            <v>1.0073258175892388</v>
          </cell>
          <cell r="X132">
            <v>1.0364222101673408</v>
          </cell>
          <cell r="Y132">
            <v>1.005128845990483</v>
          </cell>
          <cell r="Z132">
            <v>1.0364222101194853</v>
          </cell>
        </row>
        <row r="133">
          <cell r="C133">
            <v>0.9946690164745795</v>
          </cell>
          <cell r="D133">
            <v>0.97420408011430715</v>
          </cell>
          <cell r="E133">
            <v>1.0377034869688975</v>
          </cell>
          <cell r="F133">
            <v>0.99116412995058512</v>
          </cell>
          <cell r="G133">
            <v>0.99058632363905286</v>
          </cell>
          <cell r="H133">
            <v>0.99159417446437981</v>
          </cell>
          <cell r="I133">
            <v>0.99376350309193262</v>
          </cell>
          <cell r="J133">
            <v>0.94329098330639749</v>
          </cell>
          <cell r="K133">
            <v>0.90758450282185288</v>
          </cell>
          <cell r="L133">
            <v>1.002602661329228</v>
          </cell>
          <cell r="M133">
            <v>0.99780057239920572</v>
          </cell>
          <cell r="N133">
            <v>0.99801366111684187</v>
          </cell>
          <cell r="O133">
            <v>0.97425854663188516</v>
          </cell>
          <cell r="P133">
            <v>0.96736894628110048</v>
          </cell>
          <cell r="Q133">
            <v>1</v>
          </cell>
          <cell r="R133">
            <v>0.96638872686327471</v>
          </cell>
          <cell r="S133">
            <v>1.0026026613511845</v>
          </cell>
          <cell r="T133">
            <v>1.0026026613748873</v>
          </cell>
          <cell r="U133">
            <v>1.0026026613374039</v>
          </cell>
          <cell r="V133">
            <v>1.0026026613471386</v>
          </cell>
          <cell r="W133">
            <v>0.97445571472305004</v>
          </cell>
          <cell r="X133">
            <v>1.0026026613519099</v>
          </cell>
          <cell r="Y133">
            <v>0.97233043262255203</v>
          </cell>
          <cell r="Z133">
            <v>1.0026026613056158</v>
          </cell>
        </row>
        <row r="134">
          <cell r="C134">
            <v>1.0292638860793601</v>
          </cell>
          <cell r="D134">
            <v>1.0080871734466519</v>
          </cell>
          <cell r="E134">
            <v>1.0737951076241314</v>
          </cell>
          <cell r="F134">
            <v>1.0256370986111634</v>
          </cell>
          <cell r="G134">
            <v>1.0250391960327592</v>
          </cell>
          <cell r="H134">
            <v>1.0260821001947296</v>
          </cell>
          <cell r="I134">
            <v>1.0283268786852588</v>
          </cell>
          <cell r="J134">
            <v>0.97609891039204444</v>
          </cell>
          <cell r="K134">
            <v>0.93915054842134815</v>
          </cell>
          <cell r="L134">
            <v>1.037473465345045</v>
          </cell>
          <cell r="M134">
            <v>1.0325043584043951</v>
          </cell>
          <cell r="N134">
            <v>1.0327248584078748</v>
          </cell>
          <cell r="O134">
            <v>1.0081435343251099</v>
          </cell>
          <cell r="P134">
            <v>1.0010143117263044</v>
          </cell>
          <cell r="Q134">
            <v>1.0347802827189649</v>
          </cell>
          <cell r="R134">
            <v>1</v>
          </cell>
          <cell r="S134">
            <v>1.0374734653677653</v>
          </cell>
          <cell r="T134">
            <v>1.0374734653922923</v>
          </cell>
          <cell r="U134">
            <v>1.0374734653535056</v>
          </cell>
          <cell r="V134">
            <v>1.0374734653635787</v>
          </cell>
          <cell r="W134">
            <v>1.0083475599782288</v>
          </cell>
          <cell r="X134">
            <v>1.0374734653685158</v>
          </cell>
          <cell r="Y134">
            <v>1.0061483599654177</v>
          </cell>
          <cell r="Z134">
            <v>1.0374734653206117</v>
          </cell>
        </row>
        <row r="135">
          <cell r="C135">
            <v>0.99208695011250714</v>
          </cell>
          <cell r="D135">
            <v>0.97167513878468537</v>
          </cell>
          <cell r="E135">
            <v>1.0350097072058519</v>
          </cell>
          <cell r="F135">
            <v>0.98859116194127794</v>
          </cell>
          <cell r="G135">
            <v>0.9880148555600905</v>
          </cell>
          <cell r="H135">
            <v>0.98902009010033065</v>
          </cell>
          <cell r="I135">
            <v>0.99118378735665869</v>
          </cell>
          <cell r="J135">
            <v>0.94084228944210657</v>
          </cell>
          <cell r="K135">
            <v>0.90522849959197416</v>
          </cell>
          <cell r="L135">
            <v>0.99999999997810041</v>
          </cell>
          <cell r="M135">
            <v>0.9952103768151711</v>
          </cell>
          <cell r="N135">
            <v>0.99542291237472069</v>
          </cell>
          <cell r="O135">
            <v>0.97172946391235326</v>
          </cell>
          <cell r="P135">
            <v>0.96485774831018267</v>
          </cell>
          <cell r="Q135">
            <v>0.99740409491066284</v>
          </cell>
          <cell r="R135">
            <v>0.96388007344893234</v>
          </cell>
          <cell r="S135">
            <v>1</v>
          </cell>
          <cell r="T135">
            <v>1.0000000000236411</v>
          </cell>
          <cell r="U135">
            <v>0.99999999998625522</v>
          </cell>
          <cell r="V135">
            <v>0.99999999999596456</v>
          </cell>
          <cell r="W135">
            <v>0.97192612017386681</v>
          </cell>
          <cell r="X135">
            <v>1.0000000000007234</v>
          </cell>
          <cell r="Y135">
            <v>0.96980635510398971</v>
          </cell>
          <cell r="Z135">
            <v>0.99999999995454958</v>
          </cell>
        </row>
        <row r="136">
          <cell r="C136">
            <v>0.99208695008905301</v>
          </cell>
          <cell r="D136">
            <v>0.97167513876171385</v>
          </cell>
          <cell r="E136">
            <v>1.0350097071813831</v>
          </cell>
          <cell r="F136">
            <v>0.98859116191790641</v>
          </cell>
          <cell r="G136">
            <v>0.98801485553673263</v>
          </cell>
          <cell r="H136">
            <v>0.98902009007694902</v>
          </cell>
          <cell r="I136">
            <v>0.99118378733322599</v>
          </cell>
          <cell r="J136">
            <v>0.94084228941986392</v>
          </cell>
          <cell r="K136">
            <v>0.90522849957057339</v>
          </cell>
          <cell r="L136">
            <v>0.99999999995445921</v>
          </cell>
          <cell r="M136">
            <v>0.99521037679164315</v>
          </cell>
          <cell r="N136">
            <v>0.99542291235118763</v>
          </cell>
          <cell r="O136">
            <v>0.97172946388938042</v>
          </cell>
          <cell r="P136">
            <v>0.96485774828737225</v>
          </cell>
          <cell r="Q136">
            <v>0.99740409488708304</v>
          </cell>
          <cell r="R136">
            <v>0.96388007342614501</v>
          </cell>
          <cell r="S136">
            <v>0.9999999999763588</v>
          </cell>
          <cell r="T136">
            <v>1</v>
          </cell>
          <cell r="U136">
            <v>0.99999999996261402</v>
          </cell>
          <cell r="V136">
            <v>0.99999999997232336</v>
          </cell>
          <cell r="W136">
            <v>0.97192612015088931</v>
          </cell>
          <cell r="X136">
            <v>0.99999999997708222</v>
          </cell>
          <cell r="Y136">
            <v>0.96980635508106239</v>
          </cell>
          <cell r="Z136">
            <v>0.99999999993090838</v>
          </cell>
        </row>
        <row r="137">
          <cell r="C137">
            <v>0.99208695012614312</v>
          </cell>
          <cell r="D137">
            <v>0.97167513879804079</v>
          </cell>
          <cell r="E137">
            <v>1.0350097072200779</v>
          </cell>
          <cell r="F137">
            <v>0.98859116195486585</v>
          </cell>
          <cell r="G137">
            <v>0.98801485557367053</v>
          </cell>
          <cell r="H137">
            <v>0.98902009011392444</v>
          </cell>
          <cell r="I137">
            <v>0.99118378737028234</v>
          </cell>
          <cell r="J137">
            <v>0.94084228945503823</v>
          </cell>
          <cell r="K137">
            <v>0.9052284996044162</v>
          </cell>
          <cell r="L137">
            <v>0.99999999999184519</v>
          </cell>
          <cell r="M137">
            <v>0.99521037682885005</v>
          </cell>
          <cell r="N137">
            <v>0.99542291238840253</v>
          </cell>
          <cell r="O137">
            <v>0.97172946392570947</v>
          </cell>
          <cell r="P137">
            <v>0.9648577483234444</v>
          </cell>
          <cell r="Q137">
            <v>0.99740409492437188</v>
          </cell>
          <cell r="R137">
            <v>0.96388007346218063</v>
          </cell>
          <cell r="S137">
            <v>1.0000000000137448</v>
          </cell>
          <cell r="T137">
            <v>1.0000000000373859</v>
          </cell>
          <cell r="U137">
            <v>1</v>
          </cell>
          <cell r="V137">
            <v>1.0000000000097093</v>
          </cell>
          <cell r="W137">
            <v>0.97192612018722568</v>
          </cell>
          <cell r="X137">
            <v>1.0000000000144682</v>
          </cell>
          <cell r="Y137">
            <v>0.9698063551173195</v>
          </cell>
          <cell r="Z137">
            <v>0.99999999996829436</v>
          </cell>
        </row>
        <row r="138">
          <cell r="C138">
            <v>0.99208695011651071</v>
          </cell>
          <cell r="D138">
            <v>0.97167513878860656</v>
          </cell>
          <cell r="E138">
            <v>1.0350097072100288</v>
          </cell>
          <cell r="F138">
            <v>0.98859116194526742</v>
          </cell>
          <cell r="G138">
            <v>0.98801485556407753</v>
          </cell>
          <cell r="H138">
            <v>0.98902009010432179</v>
          </cell>
          <cell r="I138">
            <v>0.9911837873606586</v>
          </cell>
          <cell r="J138">
            <v>0.94084228944590331</v>
          </cell>
          <cell r="K138">
            <v>0.90522849959562712</v>
          </cell>
          <cell r="L138">
            <v>0.99999999998213596</v>
          </cell>
          <cell r="M138">
            <v>0.99521037681918723</v>
          </cell>
          <cell r="N138">
            <v>0.9954229123787377</v>
          </cell>
          <cell r="O138">
            <v>0.97172946391627468</v>
          </cell>
          <cell r="P138">
            <v>0.96485774831407634</v>
          </cell>
          <cell r="Q138">
            <v>0.99740409491468784</v>
          </cell>
          <cell r="R138">
            <v>0.96388007345282201</v>
          </cell>
          <cell r="S138">
            <v>1.0000000000040354</v>
          </cell>
          <cell r="T138">
            <v>1.0000000000276767</v>
          </cell>
          <cell r="U138">
            <v>0.99999999999029077</v>
          </cell>
          <cell r="V138">
            <v>1</v>
          </cell>
          <cell r="W138">
            <v>0.9719261201777889</v>
          </cell>
          <cell r="X138">
            <v>1.0000000000047589</v>
          </cell>
          <cell r="Y138">
            <v>0.96980635510790336</v>
          </cell>
          <cell r="Z138">
            <v>0.99999999995858502</v>
          </cell>
        </row>
        <row r="139">
          <cell r="C139">
            <v>1.0207431712351076</v>
          </cell>
          <cell r="D139">
            <v>0.99974176906662782</v>
          </cell>
          <cell r="E139">
            <v>1.0649057430627549</v>
          </cell>
          <cell r="F139">
            <v>1.0171464079640435</v>
          </cell>
          <cell r="G139">
            <v>1.0165534550952757</v>
          </cell>
          <cell r="H139">
            <v>1.0175877256219907</v>
          </cell>
          <cell r="I139">
            <v>1.0198139208146262</v>
          </cell>
          <cell r="J139">
            <v>0.96801831941073913</v>
          </cell>
          <cell r="K139">
            <v>0.93137583279482072</v>
          </cell>
          <cell r="L139">
            <v>1.028884787867633</v>
          </cell>
          <cell r="M139">
            <v>1.0239568174555687</v>
          </cell>
          <cell r="N139">
            <v>1.0241754920596748</v>
          </cell>
          <cell r="O139">
            <v>0.99979766336408538</v>
          </cell>
          <cell r="P139">
            <v>0.99272745971430454</v>
          </cell>
          <cell r="Q139">
            <v>1.0262139006329394</v>
          </cell>
          <cell r="R139">
            <v>0.99172154492206144</v>
          </cell>
          <cell r="S139">
            <v>1.028884787890165</v>
          </cell>
          <cell r="T139">
            <v>1.0288847879144891</v>
          </cell>
          <cell r="U139">
            <v>1.0288847878760232</v>
          </cell>
          <cell r="V139">
            <v>1.028884787886013</v>
          </cell>
          <cell r="W139">
            <v>1</v>
          </cell>
          <cell r="X139">
            <v>1.0288847878909093</v>
          </cell>
          <cell r="Y139">
            <v>0.99781900596570261</v>
          </cell>
          <cell r="Z139">
            <v>1.0288847878434018</v>
          </cell>
        </row>
        <row r="140">
          <cell r="C140">
            <v>0.99208695011178949</v>
          </cell>
          <cell r="D140">
            <v>0.97167513878398248</v>
          </cell>
          <cell r="E140">
            <v>1.0350097072051032</v>
          </cell>
          <cell r="F140">
            <v>0.98859116194056273</v>
          </cell>
          <cell r="G140">
            <v>0.98801485555937574</v>
          </cell>
          <cell r="H140">
            <v>0.98902009009961522</v>
          </cell>
          <cell r="I140">
            <v>0.9911837873559417</v>
          </cell>
          <cell r="J140">
            <v>0.94084228944142601</v>
          </cell>
          <cell r="K140">
            <v>0.90522849959131924</v>
          </cell>
          <cell r="L140">
            <v>0.99999999997737699</v>
          </cell>
          <cell r="M140">
            <v>0.99521037681445113</v>
          </cell>
          <cell r="N140">
            <v>0.9954229123740006</v>
          </cell>
          <cell r="O140">
            <v>0.97172946391165027</v>
          </cell>
          <cell r="P140">
            <v>0.96485774830948468</v>
          </cell>
          <cell r="Q140">
            <v>0.99740409490994131</v>
          </cell>
          <cell r="R140">
            <v>0.96388007344823501</v>
          </cell>
          <cell r="S140">
            <v>0.99999999999927658</v>
          </cell>
          <cell r="T140">
            <v>1.0000000000229179</v>
          </cell>
          <cell r="U140">
            <v>0.9999999999855318</v>
          </cell>
          <cell r="V140">
            <v>0.99999999999524114</v>
          </cell>
          <cell r="W140">
            <v>0.97192612017316371</v>
          </cell>
          <cell r="X140">
            <v>1</v>
          </cell>
          <cell r="Y140">
            <v>0.96980635510328816</v>
          </cell>
          <cell r="Z140">
            <v>0.99999999995382616</v>
          </cell>
        </row>
        <row r="141">
          <cell r="C141">
            <v>1.0229742720196222</v>
          </cell>
          <cell r="D141">
            <v>1.0019269658018433</v>
          </cell>
          <cell r="E141">
            <v>1.0672333726817769</v>
          </cell>
          <cell r="F141">
            <v>1.0193696470830755</v>
          </cell>
          <cell r="G141">
            <v>1.0187753981609537</v>
          </cell>
          <cell r="H141">
            <v>1.0198119293560215</v>
          </cell>
          <cell r="I141">
            <v>1.022042990479658</v>
          </cell>
          <cell r="J141">
            <v>0.97013417626163378</v>
          </cell>
          <cell r="K141">
            <v>0.93341159792143136</v>
          </cell>
          <cell r="L141">
            <v>1.0311336842816143</v>
          </cell>
          <cell r="M141">
            <v>1.0261949425031942</v>
          </cell>
          <cell r="N141">
            <v>1.0264140950777583</v>
          </cell>
          <cell r="O141">
            <v>1.0019829822708857</v>
          </cell>
          <cell r="P141">
            <v>0.99489732484452897</v>
          </cell>
          <cell r="Q141">
            <v>1.0284569591253234</v>
          </cell>
          <cell r="R141">
            <v>0.99388921136279629</v>
          </cell>
          <cell r="S141">
            <v>1.0311336843041956</v>
          </cell>
          <cell r="T141">
            <v>1.0311336843285728</v>
          </cell>
          <cell r="U141">
            <v>1.0311336842900229</v>
          </cell>
          <cell r="V141">
            <v>1.0311336843000345</v>
          </cell>
          <cell r="W141">
            <v>1.0021857611663616</v>
          </cell>
          <cell r="X141">
            <v>1.0311336843049417</v>
          </cell>
          <cell r="Y141">
            <v>1</v>
          </cell>
          <cell r="Z141">
            <v>1.0311336842573302</v>
          </cell>
        </row>
        <row r="142">
          <cell r="C142">
            <v>0.99208695015759796</v>
          </cell>
          <cell r="D142">
            <v>0.97167513882884848</v>
          </cell>
          <cell r="E142">
            <v>1.0350097072528937</v>
          </cell>
          <cell r="F142">
            <v>0.98859116198620978</v>
          </cell>
          <cell r="G142">
            <v>0.98801485560499613</v>
          </cell>
          <cell r="H142">
            <v>0.98902009014528203</v>
          </cell>
          <cell r="I142">
            <v>0.99118378740170843</v>
          </cell>
          <cell r="J142">
            <v>0.94084228948486825</v>
          </cell>
          <cell r="K142">
            <v>0.90522849963311713</v>
          </cell>
          <cell r="L142">
            <v>1.0000000000235509</v>
          </cell>
          <cell r="M142">
            <v>0.99521037686040381</v>
          </cell>
          <cell r="N142">
            <v>0.99542291241996306</v>
          </cell>
          <cell r="O142">
            <v>0.97172946395651871</v>
          </cell>
          <cell r="P142">
            <v>0.96485774835403582</v>
          </cell>
          <cell r="Q142">
            <v>0.99740409495599525</v>
          </cell>
          <cell r="R142">
            <v>0.96388007349274107</v>
          </cell>
          <cell r="S142">
            <v>1.0000000000454505</v>
          </cell>
          <cell r="T142">
            <v>1.0000000000690916</v>
          </cell>
          <cell r="U142">
            <v>1.0000000000317057</v>
          </cell>
          <cell r="V142">
            <v>1.0000000000414149</v>
          </cell>
          <cell r="W142">
            <v>0.97192612021804126</v>
          </cell>
          <cell r="X142">
            <v>1.0000000000461737</v>
          </cell>
          <cell r="Y142">
            <v>0.96980635514806779</v>
          </cell>
          <cell r="Z142">
            <v>1</v>
          </cell>
        </row>
        <row r="147">
          <cell r="C147">
            <v>1</v>
          </cell>
          <cell r="D147">
            <v>0.97942538068310747</v>
          </cell>
          <cell r="E147">
            <v>1.0432651161155553</v>
          </cell>
          <cell r="F147">
            <v>0.99647632884311921</v>
          </cell>
          <cell r="G147">
            <v>0.99589542574675038</v>
          </cell>
          <cell r="H147">
            <v>0.99690867820423534</v>
          </cell>
          <cell r="I147">
            <v>0.99908963346837087</v>
          </cell>
          <cell r="J147">
            <v>0.94834660342564814</v>
          </cell>
          <cell r="K147">
            <v>0.91244875208701925</v>
          </cell>
          <cell r="L147">
            <v>1.0079761656623907</v>
          </cell>
          <cell r="M147">
            <v>1.0031483396715477</v>
          </cell>
          <cell r="N147">
            <v>1.003362570449934</v>
          </cell>
          <cell r="O147">
            <v>0.9794801391169945</v>
          </cell>
          <cell r="P147">
            <v>0.97255361357264447</v>
          </cell>
          <cell r="Q147">
            <v>1.0053595552260342</v>
          </cell>
          <cell r="R147">
            <v>0.97156814061471519</v>
          </cell>
          <cell r="S147">
            <v>1.007976165684465</v>
          </cell>
          <cell r="T147">
            <v>1.0079761657082946</v>
          </cell>
          <cell r="U147">
            <v>1.0079761656706105</v>
          </cell>
          <cell r="V147">
            <v>1.0079761656803972</v>
          </cell>
          <cell r="W147">
            <v>0.97967836394143271</v>
          </cell>
          <cell r="X147">
            <v>1.007976165685194</v>
          </cell>
          <cell r="Y147">
            <v>0.97754169127414614</v>
          </cell>
          <cell r="Z147">
            <v>1.0079761656386519</v>
          </cell>
        </row>
        <row r="148">
          <cell r="C148">
            <v>1.0210068267809669</v>
          </cell>
          <cell r="D148">
            <v>1</v>
          </cell>
          <cell r="E148">
            <v>1.06518080569642</v>
          </cell>
          <cell r="F148">
            <v>1.0174091344744605</v>
          </cell>
          <cell r="G148">
            <v>1.0168160284473695</v>
          </cell>
          <cell r="H148">
            <v>1.0178505661237143</v>
          </cell>
          <cell r="I148">
            <v>1.0200773363373006</v>
          </cell>
          <cell r="J148">
            <v>0.96826835625212893</v>
          </cell>
          <cell r="K148">
            <v>0.93161640496862064</v>
          </cell>
          <cell r="L148">
            <v>1.0291505463738035</v>
          </cell>
          <cell r="M148">
            <v>1.0242213030786422</v>
          </cell>
          <cell r="N148">
            <v>1.0244400341658815</v>
          </cell>
          <cell r="O148">
            <v>1.0000559087348224</v>
          </cell>
          <cell r="P148">
            <v>0.9929838788681683</v>
          </cell>
          <cell r="Q148">
            <v>1.0264789692552572</v>
          </cell>
          <cell r="R148">
            <v>0.99197770425051457</v>
          </cell>
          <cell r="S148">
            <v>1.0291505463963415</v>
          </cell>
          <cell r="T148">
            <v>1.0291505464206718</v>
          </cell>
          <cell r="U148">
            <v>1.0291505463821962</v>
          </cell>
          <cell r="V148">
            <v>1.0291505463921884</v>
          </cell>
          <cell r="W148">
            <v>1.0002582976338112</v>
          </cell>
          <cell r="X148">
            <v>1.029150546397086</v>
          </cell>
          <cell r="Y148">
            <v>0.99807674025391546</v>
          </cell>
          <cell r="Z148">
            <v>1.0291505463495663</v>
          </cell>
        </row>
        <row r="149">
          <cell r="C149">
            <v>0.95852912606083607</v>
          </cell>
          <cell r="D149">
            <v>0.93880775418798079</v>
          </cell>
          <cell r="E149">
            <v>1</v>
          </cell>
          <cell r="F149">
            <v>0.95515158462630545</v>
          </cell>
          <cell r="G149">
            <v>0.954594772089017</v>
          </cell>
          <cell r="H149">
            <v>0.955566004081569</v>
          </cell>
          <cell r="I149">
            <v>0.95765651322487855</v>
          </cell>
          <cell r="J149">
            <v>0.90901784098434879</v>
          </cell>
          <cell r="K149">
            <v>0.87460870491327114</v>
          </cell>
          <cell r="L149">
            <v>0.9661745131625239</v>
          </cell>
          <cell r="M149">
            <v>0.96154690133474741</v>
          </cell>
          <cell r="N149">
            <v>0.96175224777552937</v>
          </cell>
          <cell r="O149">
            <v>0.93886024174175886</v>
          </cell>
          <cell r="P149">
            <v>0.93222096526509501</v>
          </cell>
          <cell r="Q149">
            <v>0.96366641584772128</v>
          </cell>
          <cell r="R149">
            <v>0.93127636073197451</v>
          </cell>
          <cell r="S149">
            <v>0.96617451318368264</v>
          </cell>
          <cell r="T149">
            <v>0.96617451320652425</v>
          </cell>
          <cell r="U149">
            <v>0.96617451317040282</v>
          </cell>
          <cell r="V149">
            <v>0.96617451317978376</v>
          </cell>
          <cell r="W149">
            <v>0.93905024600949116</v>
          </cell>
          <cell r="X149">
            <v>0.96617451318438163</v>
          </cell>
          <cell r="Y149">
            <v>0.93700218302503901</v>
          </cell>
          <cell r="Z149">
            <v>0.96617451313976965</v>
          </cell>
        </row>
        <row r="150">
          <cell r="C150">
            <v>1.0035361313208229</v>
          </cell>
          <cell r="D150">
            <v>0.98288875744814996</v>
          </cell>
          <cell r="E150">
            <v>1.0469542385685735</v>
          </cell>
          <cell r="F150">
            <v>1</v>
          </cell>
          <cell r="G150">
            <v>0.99941704275399779</v>
          </cell>
          <cell r="H150">
            <v>1.0004338782052336</v>
          </cell>
          <cell r="I150">
            <v>1.0026225456135878</v>
          </cell>
          <cell r="J150">
            <v>0.95170008155301755</v>
          </cell>
          <cell r="K150">
            <v>0.91567529069791997</v>
          </cell>
          <cell r="L150">
            <v>1.0115405017524324</v>
          </cell>
          <cell r="M150">
            <v>1.0066956039348918</v>
          </cell>
          <cell r="N150">
            <v>1.0069105922614434</v>
          </cell>
          <cell r="O150">
            <v>0.98294370951505006</v>
          </cell>
          <cell r="P150">
            <v>0.97599269086677809</v>
          </cell>
          <cell r="Q150">
            <v>1.0089146386379575</v>
          </cell>
          <cell r="R150">
            <v>0.97500373314705657</v>
          </cell>
          <cell r="S150">
            <v>1.0115405017745847</v>
          </cell>
          <cell r="T150">
            <v>1.0115405017984986</v>
          </cell>
          <cell r="U150">
            <v>1.0115405017606813</v>
          </cell>
          <cell r="V150">
            <v>1.0115405017705026</v>
          </cell>
          <cell r="W150">
            <v>0.98314263528849855</v>
          </cell>
          <cell r="X150">
            <v>1.0115405017753165</v>
          </cell>
          <cell r="Y150">
            <v>0.98099840706607089</v>
          </cell>
          <cell r="Z150">
            <v>1.0115405017286097</v>
          </cell>
        </row>
        <row r="151">
          <cell r="C151">
            <v>1.0041214912199963</v>
          </cell>
          <cell r="D151">
            <v>0.98346207379023431</v>
          </cell>
          <cell r="E151">
            <v>1.0475649241317539</v>
          </cell>
          <cell r="F151">
            <v>1.0005832972833801</v>
          </cell>
          <cell r="G151">
            <v>1</v>
          </cell>
          <cell r="H151">
            <v>1.001017428568592</v>
          </cell>
          <cell r="I151">
            <v>1.0032073726207</v>
          </cell>
          <cell r="J151">
            <v>0.95225520562518018</v>
          </cell>
          <cell r="K151">
            <v>0.91620940160744235</v>
          </cell>
          <cell r="L151">
            <v>1.0121305305791337</v>
          </cell>
          <cell r="M151">
            <v>1.0072828067458577</v>
          </cell>
          <cell r="N151">
            <v>1.0074979204745163</v>
          </cell>
          <cell r="O151">
            <v>0.98351705791052579</v>
          </cell>
          <cell r="P151">
            <v>0.97656198475195966</v>
          </cell>
          <cell r="Q151">
            <v>1.0095031358058375</v>
          </cell>
          <cell r="R151">
            <v>0.97557245017588679</v>
          </cell>
          <cell r="S151">
            <v>1.0121305306012989</v>
          </cell>
          <cell r="T151">
            <v>1.0121305306252268</v>
          </cell>
          <cell r="U151">
            <v>1.0121305305873873</v>
          </cell>
          <cell r="V151">
            <v>1.0121305305972144</v>
          </cell>
          <cell r="W151">
            <v>0.98371609971683749</v>
          </cell>
          <cell r="X151">
            <v>1.012130530602031</v>
          </cell>
          <cell r="Y151">
            <v>0.98157062077191282</v>
          </cell>
          <cell r="Z151">
            <v>1.012130530555297</v>
          </cell>
        </row>
        <row r="152">
          <cell r="C152">
            <v>1.0031009076993223</v>
          </cell>
          <cell r="D152">
            <v>0.98246248838697936</v>
          </cell>
          <cell r="E152">
            <v>1.0465001849465525</v>
          </cell>
          <cell r="F152">
            <v>0.99956630996342122</v>
          </cell>
          <cell r="G152">
            <v>0.9989836055401683</v>
          </cell>
          <cell r="H152">
            <v>1</v>
          </cell>
          <cell r="I152">
            <v>1.002187718205106</v>
          </cell>
          <cell r="J152">
            <v>0.95128733870983684</v>
          </cell>
          <cell r="K152">
            <v>0.91527817144760293</v>
          </cell>
          <cell r="L152">
            <v>1.0111018067152264</v>
          </cell>
          <cell r="M152">
            <v>1.0062590100815976</v>
          </cell>
          <cell r="N152">
            <v>1.0064739051698539</v>
          </cell>
          <cell r="O152">
            <v>0.98251741662171554</v>
          </cell>
          <cell r="P152">
            <v>0.97556941256097551</v>
          </cell>
          <cell r="Q152">
            <v>1.0084770824114218</v>
          </cell>
          <cell r="R152">
            <v>0.97458088374236362</v>
          </cell>
          <cell r="S152">
            <v>1.0111018067373692</v>
          </cell>
          <cell r="T152">
            <v>1.0111018067612729</v>
          </cell>
          <cell r="U152">
            <v>1.0111018067234718</v>
          </cell>
          <cell r="V152">
            <v>1.0111018067332889</v>
          </cell>
          <cell r="W152">
            <v>0.98271625612303815</v>
          </cell>
          <cell r="X152">
            <v>1.0111018067381006</v>
          </cell>
          <cell r="Y152">
            <v>0.98057295783102671</v>
          </cell>
          <cell r="Z152">
            <v>1.0111018066914141</v>
          </cell>
        </row>
        <row r="153">
          <cell r="C153">
            <v>1.0009111960540205</v>
          </cell>
          <cell r="D153">
            <v>0.98031782922519339</v>
          </cell>
          <cell r="E153">
            <v>1.0442157351726571</v>
          </cell>
          <cell r="F153">
            <v>0.99738431414188589</v>
          </cell>
          <cell r="G153">
            <v>0.99680288172890785</v>
          </cell>
          <cell r="H153">
            <v>0.99781705745803373</v>
          </cell>
          <cell r="I153">
            <v>1</v>
          </cell>
          <cell r="J153">
            <v>0.94921073310853332</v>
          </cell>
          <cell r="K153">
            <v>0.91328017178941689</v>
          </cell>
          <cell r="L153">
            <v>1.0088946295670889</v>
          </cell>
          <cell r="M153">
            <v>1.0040624044802535</v>
          </cell>
          <cell r="N153">
            <v>1.0042768304648799</v>
          </cell>
          <cell r="O153">
            <v>0.98037263755474924</v>
          </cell>
          <cell r="P153">
            <v>0.97343980058765511</v>
          </cell>
          <cell r="Q153">
            <v>1.0062756348856279</v>
          </cell>
          <cell r="R153">
            <v>0.9724534296706554</v>
          </cell>
          <cell r="S153">
            <v>1.0088946295891832</v>
          </cell>
          <cell r="T153">
            <v>1.0088946296130348</v>
          </cell>
          <cell r="U153">
            <v>1.0088946295753163</v>
          </cell>
          <cell r="V153">
            <v>1.008894629585112</v>
          </cell>
          <cell r="W153">
            <v>0.98057104300086539</v>
          </cell>
          <cell r="X153">
            <v>1.0088946295899131</v>
          </cell>
          <cell r="Y153">
            <v>0.97843242340587566</v>
          </cell>
          <cell r="Z153">
            <v>1.0088946295433285</v>
          </cell>
        </row>
        <row r="154">
          <cell r="C154">
            <v>1.0544667913479817</v>
          </cell>
          <cell r="D154">
            <v>1.0327715385336917</v>
          </cell>
          <cell r="E154">
            <v>1.1000884195156491</v>
          </cell>
          <cell r="F154">
            <v>1.0507511971294201</v>
          </cell>
          <cell r="G154">
            <v>1.0501386541053079</v>
          </cell>
          <cell r="H154">
            <v>1.0512070951729775</v>
          </cell>
          <cell r="I154">
            <v>1.0535068400724241</v>
          </cell>
          <cell r="J154">
            <v>1</v>
          </cell>
          <cell r="K154">
            <v>0.96214690788266921</v>
          </cell>
          <cell r="L154">
            <v>1.0628773931612627</v>
          </cell>
          <cell r="M154">
            <v>1.057786610979512</v>
          </cell>
          <cell r="N154">
            <v>1.0580125102210052</v>
          </cell>
          <cell r="O154">
            <v>1.0328292794837719</v>
          </cell>
          <cell r="P154">
            <v>1.0255254883178313</v>
          </cell>
          <cell r="Q154">
            <v>1.06011826435023</v>
          </cell>
          <cell r="R154">
            <v>1.0244863398099233</v>
          </cell>
          <cell r="S154">
            <v>1.0628773931845392</v>
          </cell>
          <cell r="T154">
            <v>1.0628773932096669</v>
          </cell>
          <cell r="U154">
            <v>1.0628773931699302</v>
          </cell>
          <cell r="V154">
            <v>1.06287739318025</v>
          </cell>
          <cell r="W154">
            <v>1.0330383009783628</v>
          </cell>
          <cell r="X154">
            <v>1.0628773931853082</v>
          </cell>
          <cell r="Y154">
            <v>1.0307852506067281</v>
          </cell>
          <cell r="Z154">
            <v>1.062877393136231</v>
          </cell>
        </row>
        <row r="155">
          <cell r="C155">
            <v>1.095951961918658</v>
          </cell>
          <cell r="D155">
            <v>1.0734031675125801</v>
          </cell>
          <cell r="E155">
            <v>1.1433684508081394</v>
          </cell>
          <cell r="F155">
            <v>1.0920901876011184</v>
          </cell>
          <cell r="G155">
            <v>1.0914535457129684</v>
          </cell>
          <cell r="H155">
            <v>1.0925640217316679</v>
          </cell>
          <cell r="I155">
            <v>1.0949542439322539</v>
          </cell>
          <cell r="J155">
            <v>1.0393423206032346</v>
          </cell>
          <cell r="K155">
            <v>1</v>
          </cell>
          <cell r="L155">
            <v>1.1046934563249433</v>
          </cell>
          <cell r="M155">
            <v>1.0994023909584771</v>
          </cell>
          <cell r="N155">
            <v>1.0996371776003528</v>
          </cell>
          <cell r="O155">
            <v>1.0734631801256302</v>
          </cell>
          <cell r="P155">
            <v>1.0658720408660201</v>
          </cell>
          <cell r="Q155">
            <v>1.1018257769836415</v>
          </cell>
          <cell r="R155">
            <v>1.0647920098443597</v>
          </cell>
          <cell r="S155">
            <v>1.1046934563491357</v>
          </cell>
          <cell r="T155">
            <v>1.104693456375252</v>
          </cell>
          <cell r="U155">
            <v>1.1046934563339519</v>
          </cell>
          <cell r="V155">
            <v>1.1046934563446777</v>
          </cell>
          <cell r="W155">
            <v>1.0736804250108742</v>
          </cell>
          <cell r="X155">
            <v>1.1046934563499349</v>
          </cell>
          <cell r="Y155">
            <v>1.0713387344091836</v>
          </cell>
          <cell r="Z155">
            <v>1.1046934562989268</v>
          </cell>
        </row>
        <row r="156">
          <cell r="C156">
            <v>0.99208695013423343</v>
          </cell>
          <cell r="D156">
            <v>0.97167513880596468</v>
          </cell>
          <cell r="E156">
            <v>1.0350097072285183</v>
          </cell>
          <cell r="F156">
            <v>0.98859116196292762</v>
          </cell>
          <cell r="G156">
            <v>0.98801485558172752</v>
          </cell>
          <cell r="H156">
            <v>0.98902009012198977</v>
          </cell>
          <cell r="I156">
            <v>0.99118378737836521</v>
          </cell>
          <cell r="J156">
            <v>0.94084228946271065</v>
          </cell>
          <cell r="K156">
            <v>0.90522849961179819</v>
          </cell>
          <cell r="L156">
            <v>1</v>
          </cell>
          <cell r="M156">
            <v>0.99521037683696578</v>
          </cell>
          <cell r="N156">
            <v>0.99542291239652003</v>
          </cell>
          <cell r="O156">
            <v>0.97172946393363369</v>
          </cell>
          <cell r="P156">
            <v>0.96485774833131266</v>
          </cell>
          <cell r="Q156">
            <v>0.99740409493250559</v>
          </cell>
          <cell r="R156">
            <v>0.9638800734700409</v>
          </cell>
          <cell r="S156">
            <v>1.0000000000218996</v>
          </cell>
          <cell r="T156">
            <v>1.0000000000455407</v>
          </cell>
          <cell r="U156">
            <v>1.0000000000081548</v>
          </cell>
          <cell r="V156">
            <v>1.0000000000178642</v>
          </cell>
          <cell r="W156">
            <v>0.97192612019515157</v>
          </cell>
          <cell r="X156">
            <v>1.000000000022623</v>
          </cell>
          <cell r="Y156">
            <v>0.96980635512522806</v>
          </cell>
          <cell r="Z156">
            <v>0.99999999997644917</v>
          </cell>
        </row>
        <row r="157">
          <cell r="C157">
            <v>0.99686154126260274</v>
          </cell>
          <cell r="D157">
            <v>0.97635149453947401</v>
          </cell>
          <cell r="E157">
            <v>1.0399908715964608</v>
          </cell>
          <cell r="F157">
            <v>0.99334892900225202</v>
          </cell>
          <cell r="G157">
            <v>0.99276984904628163</v>
          </cell>
          <cell r="H157">
            <v>0.99377992145273808</v>
          </cell>
          <cell r="I157">
            <v>0.99595403187876907</v>
          </cell>
          <cell r="J157">
            <v>0.94537025674204589</v>
          </cell>
          <cell r="K157">
            <v>0.90958506932860461</v>
          </cell>
          <cell r="L157">
            <v>1.0048126740581793</v>
          </cell>
          <cell r="M157">
            <v>1</v>
          </cell>
          <cell r="N157">
            <v>1.000213558423928</v>
          </cell>
          <cell r="O157">
            <v>0.97640608111627569</v>
          </cell>
          <cell r="P157">
            <v>0.96950129418654007</v>
          </cell>
          <cell r="Q157">
            <v>1.0022042757457092</v>
          </cell>
          <cell r="R157">
            <v>0.96851891409482616</v>
          </cell>
          <cell r="S157">
            <v>1.0048126740801844</v>
          </cell>
          <cell r="T157">
            <v>1.0048126741039394</v>
          </cell>
          <cell r="U157">
            <v>1.0048126740663734</v>
          </cell>
          <cell r="V157">
            <v>1.0048126740761294</v>
          </cell>
          <cell r="W157">
            <v>0.97660368382028173</v>
          </cell>
          <cell r="X157">
            <v>1.0048126740809113</v>
          </cell>
          <cell r="Y157">
            <v>0.97447371701199681</v>
          </cell>
          <cell r="Z157">
            <v>1.0048126740345151</v>
          </cell>
        </row>
        <row r="158">
          <cell r="C158">
            <v>0.99664869853733318</v>
          </cell>
          <cell r="D158">
            <v>0.97614303097225119</v>
          </cell>
          <cell r="E158">
            <v>1.0397688202059681</v>
          </cell>
          <cell r="F158">
            <v>0.99313683626475446</v>
          </cell>
          <cell r="G158">
            <v>0.99255787994978206</v>
          </cell>
          <cell r="H158">
            <v>0.99356773669282417</v>
          </cell>
          <cell r="I158">
            <v>0.99574138291839298</v>
          </cell>
          <cell r="J158">
            <v>0.94516840806647262</v>
          </cell>
          <cell r="K158">
            <v>0.90939086124954149</v>
          </cell>
          <cell r="L158">
            <v>1.004598133664073</v>
          </cell>
          <cell r="M158">
            <v>0.99978648717353458</v>
          </cell>
          <cell r="N158">
            <v>1</v>
          </cell>
          <cell r="O158">
            <v>0.97619760589411853</v>
          </cell>
          <cell r="P158">
            <v>0.96929429322495653</v>
          </cell>
          <cell r="Q158">
            <v>1.001990292278099</v>
          </cell>
          <cell r="R158">
            <v>0.9683121228839926</v>
          </cell>
          <cell r="S158">
            <v>1.0045981336860732</v>
          </cell>
          <cell r="T158">
            <v>1.0045981337098231</v>
          </cell>
          <cell r="U158">
            <v>1.0045981336722654</v>
          </cell>
          <cell r="V158">
            <v>1.0045981336820191</v>
          </cell>
          <cell r="W158">
            <v>0.97639516640741264</v>
          </cell>
          <cell r="X158">
            <v>1.0045981336868</v>
          </cell>
          <cell r="Y158">
            <v>0.9742656543743613</v>
          </cell>
          <cell r="Z158">
            <v>1.0045981336404139</v>
          </cell>
        </row>
        <row r="159">
          <cell r="C159">
            <v>1.0209497467723074</v>
          </cell>
          <cell r="D159">
            <v>0.99994409439078946</v>
          </cell>
          <cell r="E159">
            <v>1.0651212561145582</v>
          </cell>
          <cell r="F159">
            <v>1.0173522555969812</v>
          </cell>
          <cell r="G159">
            <v>1.0167591827278442</v>
          </cell>
          <cell r="H159">
            <v>1.0177936625677297</v>
          </cell>
          <cell r="I159">
            <v>1.0200203082923707</v>
          </cell>
          <cell r="J159">
            <v>0.96821422461979334</v>
          </cell>
          <cell r="K159">
            <v>0.93156432238595033</v>
          </cell>
          <cell r="L159">
            <v>1.0290930110855392</v>
          </cell>
          <cell r="M159">
            <v>1.0241640433627273</v>
          </cell>
          <cell r="N159">
            <v>1.0243827622216717</v>
          </cell>
          <cell r="O159">
            <v>1</v>
          </cell>
          <cell r="P159">
            <v>0.99292836549948393</v>
          </cell>
          <cell r="Q159">
            <v>1.0264215833231392</v>
          </cell>
          <cell r="R159">
            <v>0.9919222471326351</v>
          </cell>
          <cell r="S159">
            <v>1.0290930111080758</v>
          </cell>
          <cell r="T159">
            <v>1.0290930111324048</v>
          </cell>
          <cell r="U159">
            <v>1.0290930110939314</v>
          </cell>
          <cell r="V159">
            <v>1.0290930111039229</v>
          </cell>
          <cell r="W159">
            <v>1.0002023775843143</v>
          </cell>
          <cell r="X159">
            <v>1.0290930111088203</v>
          </cell>
          <cell r="Y159">
            <v>0.99802094216571269</v>
          </cell>
          <cell r="Z159">
            <v>1.0290930110613032</v>
          </cell>
        </row>
        <row r="160">
          <cell r="C160">
            <v>1.0282209495130372</v>
          </cell>
          <cell r="D160">
            <v>1.0070656949031529</v>
          </cell>
          <cell r="E160">
            <v>1.0727070482861654</v>
          </cell>
          <cell r="F160">
            <v>1.0245978370103377</v>
          </cell>
          <cell r="G160">
            <v>1.0240005402770143</v>
          </cell>
          <cell r="H160">
            <v>1.0250423876809458</v>
          </cell>
          <cell r="I160">
            <v>1.0272848915734807</v>
          </cell>
          <cell r="J160">
            <v>0.97510984504178377</v>
          </cell>
          <cell r="K160">
            <v>0.93819892225290091</v>
          </cell>
          <cell r="L160">
            <v>1.036422210143894</v>
          </cell>
          <cell r="M160">
            <v>1.0314581383195056</v>
          </cell>
          <cell r="N160">
            <v>1.0316784148938729</v>
          </cell>
          <cell r="O160">
            <v>1.0071219986720379</v>
          </cell>
          <cell r="P160">
            <v>1</v>
          </cell>
          <cell r="Q160">
            <v>1.0337317564765176</v>
          </cell>
          <cell r="R160">
            <v>0.99898671605947864</v>
          </cell>
          <cell r="S160">
            <v>1.0364222101665912</v>
          </cell>
          <cell r="T160">
            <v>1.0364222101910934</v>
          </cell>
          <cell r="U160">
            <v>1.0364222101523457</v>
          </cell>
          <cell r="V160">
            <v>1.0364222101624088</v>
          </cell>
          <cell r="W160">
            <v>1.0073258175892388</v>
          </cell>
          <cell r="X160">
            <v>1.0364222101673408</v>
          </cell>
          <cell r="Y160">
            <v>1.005128845990483</v>
          </cell>
          <cell r="Z160">
            <v>1.0364222101194853</v>
          </cell>
        </row>
        <row r="161">
          <cell r="C161">
            <v>0.9946690164745795</v>
          </cell>
          <cell r="D161">
            <v>0.97420408011430715</v>
          </cell>
          <cell r="E161">
            <v>1.0377034869688975</v>
          </cell>
          <cell r="F161">
            <v>0.99116412995058512</v>
          </cell>
          <cell r="G161">
            <v>0.99058632363905286</v>
          </cell>
          <cell r="H161">
            <v>0.99159417446437981</v>
          </cell>
          <cell r="I161">
            <v>0.99376350309193262</v>
          </cell>
          <cell r="J161">
            <v>0.94329098330639749</v>
          </cell>
          <cell r="K161">
            <v>0.90758450282185288</v>
          </cell>
          <cell r="L161">
            <v>1.002602661329228</v>
          </cell>
          <cell r="M161">
            <v>0.99780057239920572</v>
          </cell>
          <cell r="N161">
            <v>0.99801366111684187</v>
          </cell>
          <cell r="O161">
            <v>0.97425854663188516</v>
          </cell>
          <cell r="P161">
            <v>0.96736894628110048</v>
          </cell>
          <cell r="Q161">
            <v>1</v>
          </cell>
          <cell r="R161">
            <v>0.96638872686327471</v>
          </cell>
          <cell r="S161">
            <v>1.0026026613511845</v>
          </cell>
          <cell r="T161">
            <v>1.0026026613748873</v>
          </cell>
          <cell r="U161">
            <v>1.0026026613374039</v>
          </cell>
          <cell r="V161">
            <v>1.0026026613471386</v>
          </cell>
          <cell r="W161">
            <v>0.97445571472305004</v>
          </cell>
          <cell r="X161">
            <v>1.0026026613519099</v>
          </cell>
          <cell r="Y161">
            <v>0.97233043262255203</v>
          </cell>
          <cell r="Z161">
            <v>1.0026026613056158</v>
          </cell>
        </row>
        <row r="162">
          <cell r="C162">
            <v>1.0292638860793601</v>
          </cell>
          <cell r="D162">
            <v>1.0080871734466519</v>
          </cell>
          <cell r="E162">
            <v>1.0737951076241314</v>
          </cell>
          <cell r="F162">
            <v>1.0256370986111634</v>
          </cell>
          <cell r="G162">
            <v>1.0250391960327592</v>
          </cell>
          <cell r="H162">
            <v>1.0260821001947296</v>
          </cell>
          <cell r="I162">
            <v>1.0283268786852588</v>
          </cell>
          <cell r="J162">
            <v>0.97609891039204444</v>
          </cell>
          <cell r="K162">
            <v>0.93915054842134815</v>
          </cell>
          <cell r="L162">
            <v>1.037473465345045</v>
          </cell>
          <cell r="M162">
            <v>1.0325043584043951</v>
          </cell>
          <cell r="N162">
            <v>1.0327248584078748</v>
          </cell>
          <cell r="O162">
            <v>1.0081435343251099</v>
          </cell>
          <cell r="P162">
            <v>1.0010143117263044</v>
          </cell>
          <cell r="Q162">
            <v>1.0347802827189649</v>
          </cell>
          <cell r="R162">
            <v>1</v>
          </cell>
          <cell r="S162">
            <v>1.0374734653677653</v>
          </cell>
          <cell r="T162">
            <v>1.0374734653922923</v>
          </cell>
          <cell r="U162">
            <v>1.0374734653535056</v>
          </cell>
          <cell r="V162">
            <v>1.0374734653635787</v>
          </cell>
          <cell r="W162">
            <v>1.0083475599782288</v>
          </cell>
          <cell r="X162">
            <v>1.0374734653685158</v>
          </cell>
          <cell r="Y162">
            <v>1.0061483599654177</v>
          </cell>
          <cell r="Z162">
            <v>1.0374734653206117</v>
          </cell>
        </row>
        <row r="163">
          <cell r="C163">
            <v>0.99208695011250714</v>
          </cell>
          <cell r="D163">
            <v>0.97167513878468537</v>
          </cell>
          <cell r="E163">
            <v>1.0350097072058519</v>
          </cell>
          <cell r="F163">
            <v>0.98859116194127794</v>
          </cell>
          <cell r="G163">
            <v>0.9880148555600905</v>
          </cell>
          <cell r="H163">
            <v>0.98902009010033065</v>
          </cell>
          <cell r="I163">
            <v>0.99118378735665869</v>
          </cell>
          <cell r="J163">
            <v>0.94084228944210657</v>
          </cell>
          <cell r="K163">
            <v>0.90522849959197416</v>
          </cell>
          <cell r="L163">
            <v>0.99999999997810041</v>
          </cell>
          <cell r="M163">
            <v>0.9952103768151711</v>
          </cell>
          <cell r="N163">
            <v>0.99542291237472069</v>
          </cell>
          <cell r="O163">
            <v>0.97172946391235326</v>
          </cell>
          <cell r="P163">
            <v>0.96485774831018267</v>
          </cell>
          <cell r="Q163">
            <v>0.99740409491066284</v>
          </cell>
          <cell r="R163">
            <v>0.96388007344893234</v>
          </cell>
          <cell r="S163">
            <v>1</v>
          </cell>
          <cell r="T163">
            <v>1.0000000000236411</v>
          </cell>
          <cell r="U163">
            <v>0.99999999998625522</v>
          </cell>
          <cell r="V163">
            <v>0.99999999999596456</v>
          </cell>
          <cell r="W163">
            <v>0.97192612017386681</v>
          </cell>
          <cell r="X163">
            <v>1.0000000000007234</v>
          </cell>
          <cell r="Y163">
            <v>0.96980635510398971</v>
          </cell>
          <cell r="Z163">
            <v>0.99999999995454958</v>
          </cell>
        </row>
        <row r="164">
          <cell r="C164">
            <v>0.99208695008905301</v>
          </cell>
          <cell r="D164">
            <v>0.97167513876171385</v>
          </cell>
          <cell r="E164">
            <v>1.0350097071813831</v>
          </cell>
          <cell r="F164">
            <v>0.98859116191790641</v>
          </cell>
          <cell r="G164">
            <v>0.98801485553673263</v>
          </cell>
          <cell r="H164">
            <v>0.98902009007694902</v>
          </cell>
          <cell r="I164">
            <v>0.99118378733322599</v>
          </cell>
          <cell r="J164">
            <v>0.94084228941986392</v>
          </cell>
          <cell r="K164">
            <v>0.90522849957057339</v>
          </cell>
          <cell r="L164">
            <v>0.99999999995445921</v>
          </cell>
          <cell r="M164">
            <v>0.99521037679164315</v>
          </cell>
          <cell r="N164">
            <v>0.99542291235118763</v>
          </cell>
          <cell r="O164">
            <v>0.97172946388938042</v>
          </cell>
          <cell r="P164">
            <v>0.96485774828737225</v>
          </cell>
          <cell r="Q164">
            <v>0.99740409488708304</v>
          </cell>
          <cell r="R164">
            <v>0.96388007342614501</v>
          </cell>
          <cell r="S164">
            <v>0.9999999999763588</v>
          </cell>
          <cell r="T164">
            <v>1</v>
          </cell>
          <cell r="U164">
            <v>0.99999999996261402</v>
          </cell>
          <cell r="V164">
            <v>0.99999999997232336</v>
          </cell>
          <cell r="W164">
            <v>0.97192612015088931</v>
          </cell>
          <cell r="X164">
            <v>0.99999999997708222</v>
          </cell>
          <cell r="Y164">
            <v>0.96980635508106239</v>
          </cell>
          <cell r="Z164">
            <v>0.99999999993090838</v>
          </cell>
        </row>
        <row r="165">
          <cell r="C165">
            <v>0.99208695012614312</v>
          </cell>
          <cell r="D165">
            <v>0.97167513879804079</v>
          </cell>
          <cell r="E165">
            <v>1.0350097072200779</v>
          </cell>
          <cell r="F165">
            <v>0.98859116195486585</v>
          </cell>
          <cell r="G165">
            <v>0.98801485557367053</v>
          </cell>
          <cell r="H165">
            <v>0.98902009011392444</v>
          </cell>
          <cell r="I165">
            <v>0.99118378737028234</v>
          </cell>
          <cell r="J165">
            <v>0.94084228945503823</v>
          </cell>
          <cell r="K165">
            <v>0.9052284996044162</v>
          </cell>
          <cell r="L165">
            <v>0.99999999999184519</v>
          </cell>
          <cell r="M165">
            <v>0.99521037682885005</v>
          </cell>
          <cell r="N165">
            <v>0.99542291238840253</v>
          </cell>
          <cell r="O165">
            <v>0.97172946392570947</v>
          </cell>
          <cell r="P165">
            <v>0.9648577483234444</v>
          </cell>
          <cell r="Q165">
            <v>0.99740409492437188</v>
          </cell>
          <cell r="R165">
            <v>0.96388007346218063</v>
          </cell>
          <cell r="S165">
            <v>1.0000000000137448</v>
          </cell>
          <cell r="T165">
            <v>1.0000000000373859</v>
          </cell>
          <cell r="U165">
            <v>1</v>
          </cell>
          <cell r="V165">
            <v>1.0000000000097093</v>
          </cell>
          <cell r="W165">
            <v>0.97192612018722568</v>
          </cell>
          <cell r="X165">
            <v>1.0000000000144682</v>
          </cell>
          <cell r="Y165">
            <v>0.9698063551173195</v>
          </cell>
          <cell r="Z165">
            <v>0.99999999996829436</v>
          </cell>
        </row>
        <row r="166">
          <cell r="C166">
            <v>0.99208695011651071</v>
          </cell>
          <cell r="D166">
            <v>0.97167513878860656</v>
          </cell>
          <cell r="E166">
            <v>1.0350097072100288</v>
          </cell>
          <cell r="F166">
            <v>0.98859116194526742</v>
          </cell>
          <cell r="G166">
            <v>0.98801485556407753</v>
          </cell>
          <cell r="H166">
            <v>0.98902009010432179</v>
          </cell>
          <cell r="I166">
            <v>0.9911837873606586</v>
          </cell>
          <cell r="J166">
            <v>0.94084228944590331</v>
          </cell>
          <cell r="K166">
            <v>0.90522849959562712</v>
          </cell>
          <cell r="L166">
            <v>0.99999999998213596</v>
          </cell>
          <cell r="M166">
            <v>0.99521037681918723</v>
          </cell>
          <cell r="N166">
            <v>0.9954229123787377</v>
          </cell>
          <cell r="O166">
            <v>0.97172946391627468</v>
          </cell>
          <cell r="P166">
            <v>0.96485774831407634</v>
          </cell>
          <cell r="Q166">
            <v>0.99740409491468784</v>
          </cell>
          <cell r="R166">
            <v>0.96388007345282201</v>
          </cell>
          <cell r="S166">
            <v>1.0000000000040354</v>
          </cell>
          <cell r="T166">
            <v>1.0000000000276767</v>
          </cell>
          <cell r="U166">
            <v>0.99999999999029077</v>
          </cell>
          <cell r="V166">
            <v>1</v>
          </cell>
          <cell r="W166">
            <v>0.9719261201777889</v>
          </cell>
          <cell r="X166">
            <v>1.0000000000047589</v>
          </cell>
          <cell r="Y166">
            <v>0.96980635510790336</v>
          </cell>
          <cell r="Z166">
            <v>0.99999999995858502</v>
          </cell>
        </row>
        <row r="167">
          <cell r="C167">
            <v>1.0207431712351076</v>
          </cell>
          <cell r="D167">
            <v>0.99974176906662782</v>
          </cell>
          <cell r="E167">
            <v>1.0649057430627549</v>
          </cell>
          <cell r="F167">
            <v>1.0171464079640435</v>
          </cell>
          <cell r="G167">
            <v>1.0165534550952757</v>
          </cell>
          <cell r="H167">
            <v>1.0175877256219907</v>
          </cell>
          <cell r="I167">
            <v>1.0198139208146262</v>
          </cell>
          <cell r="J167">
            <v>0.96801831941073913</v>
          </cell>
          <cell r="K167">
            <v>0.93137583279482072</v>
          </cell>
          <cell r="L167">
            <v>1.028884787867633</v>
          </cell>
          <cell r="M167">
            <v>1.0239568174555687</v>
          </cell>
          <cell r="N167">
            <v>1.0241754920596748</v>
          </cell>
          <cell r="O167">
            <v>0.99979766336408538</v>
          </cell>
          <cell r="P167">
            <v>0.99272745971430454</v>
          </cell>
          <cell r="Q167">
            <v>1.0262139006329394</v>
          </cell>
          <cell r="R167">
            <v>0.99172154492206144</v>
          </cell>
          <cell r="S167">
            <v>1.028884787890165</v>
          </cell>
          <cell r="T167">
            <v>1.0288847879144891</v>
          </cell>
          <cell r="U167">
            <v>1.0288847878760232</v>
          </cell>
          <cell r="V167">
            <v>1.028884787886013</v>
          </cell>
          <cell r="W167">
            <v>1</v>
          </cell>
          <cell r="X167">
            <v>1.0288847878909093</v>
          </cell>
          <cell r="Y167">
            <v>0.99781900596570261</v>
          </cell>
          <cell r="Z167">
            <v>1.0288847878434018</v>
          </cell>
        </row>
        <row r="168">
          <cell r="C168">
            <v>0.99208695011178949</v>
          </cell>
          <cell r="D168">
            <v>0.97167513878398248</v>
          </cell>
          <cell r="E168">
            <v>1.0350097072051032</v>
          </cell>
          <cell r="F168">
            <v>0.98859116194056273</v>
          </cell>
          <cell r="G168">
            <v>0.98801485555937574</v>
          </cell>
          <cell r="H168">
            <v>0.98902009009961522</v>
          </cell>
          <cell r="I168">
            <v>0.9911837873559417</v>
          </cell>
          <cell r="J168">
            <v>0.94084228944142601</v>
          </cell>
          <cell r="K168">
            <v>0.90522849959131924</v>
          </cell>
          <cell r="L168">
            <v>0.99999999997737699</v>
          </cell>
          <cell r="M168">
            <v>0.99521037681445113</v>
          </cell>
          <cell r="N168">
            <v>0.9954229123740006</v>
          </cell>
          <cell r="O168">
            <v>0.97172946391165027</v>
          </cell>
          <cell r="P168">
            <v>0.96485774830948468</v>
          </cell>
          <cell r="Q168">
            <v>0.99740409490994131</v>
          </cell>
          <cell r="R168">
            <v>0.96388007344823501</v>
          </cell>
          <cell r="S168">
            <v>0.99999999999927658</v>
          </cell>
          <cell r="T168">
            <v>1.0000000000229179</v>
          </cell>
          <cell r="U168">
            <v>0.9999999999855318</v>
          </cell>
          <cell r="V168">
            <v>0.99999999999524114</v>
          </cell>
          <cell r="W168">
            <v>0.97192612017316371</v>
          </cell>
          <cell r="X168">
            <v>1</v>
          </cell>
          <cell r="Y168">
            <v>0.96980635510328816</v>
          </cell>
          <cell r="Z168">
            <v>0.99999999995382616</v>
          </cell>
        </row>
        <row r="169">
          <cell r="C169">
            <v>1.0229742720196222</v>
          </cell>
          <cell r="D169">
            <v>1.0019269658018433</v>
          </cell>
          <cell r="E169">
            <v>1.0672333726817769</v>
          </cell>
          <cell r="F169">
            <v>1.0193696470830755</v>
          </cell>
          <cell r="G169">
            <v>1.0187753981609537</v>
          </cell>
          <cell r="H169">
            <v>1.0198119293560215</v>
          </cell>
          <cell r="I169">
            <v>1.022042990479658</v>
          </cell>
          <cell r="J169">
            <v>0.97013417626163378</v>
          </cell>
          <cell r="K169">
            <v>0.93341159792143136</v>
          </cell>
          <cell r="L169">
            <v>1.0311336842816143</v>
          </cell>
          <cell r="M169">
            <v>1.0261949425031942</v>
          </cell>
          <cell r="N169">
            <v>1.0264140950777583</v>
          </cell>
          <cell r="O169">
            <v>1.0019829822708857</v>
          </cell>
          <cell r="P169">
            <v>0.99489732484452897</v>
          </cell>
          <cell r="Q169">
            <v>1.0284569591253234</v>
          </cell>
          <cell r="R169">
            <v>0.99388921136279629</v>
          </cell>
          <cell r="S169">
            <v>1.0311336843041956</v>
          </cell>
          <cell r="T169">
            <v>1.0311336843285728</v>
          </cell>
          <cell r="U169">
            <v>1.0311336842900229</v>
          </cell>
          <cell r="V169">
            <v>1.0311336843000345</v>
          </cell>
          <cell r="W169">
            <v>1.0021857611663616</v>
          </cell>
          <cell r="X169">
            <v>1.0311336843049417</v>
          </cell>
          <cell r="Y169">
            <v>1</v>
          </cell>
          <cell r="Z169">
            <v>1.0311336842573302</v>
          </cell>
        </row>
        <row r="170">
          <cell r="C170">
            <v>0.99208695015759796</v>
          </cell>
          <cell r="D170">
            <v>0.97167513882884848</v>
          </cell>
          <cell r="E170">
            <v>1.0350097072528937</v>
          </cell>
          <cell r="F170">
            <v>0.98859116198620978</v>
          </cell>
          <cell r="G170">
            <v>0.98801485560499613</v>
          </cell>
          <cell r="H170">
            <v>0.98902009014528203</v>
          </cell>
          <cell r="I170">
            <v>0.99118378740170843</v>
          </cell>
          <cell r="J170">
            <v>0.94084228948486825</v>
          </cell>
          <cell r="K170">
            <v>0.90522849963311713</v>
          </cell>
          <cell r="L170">
            <v>1.0000000000235509</v>
          </cell>
          <cell r="M170">
            <v>0.99521037686040381</v>
          </cell>
          <cell r="N170">
            <v>0.99542291241996306</v>
          </cell>
          <cell r="O170">
            <v>0.97172946395651871</v>
          </cell>
          <cell r="P170">
            <v>0.96485774835403582</v>
          </cell>
          <cell r="Q170">
            <v>0.99740409495599525</v>
          </cell>
          <cell r="R170">
            <v>0.96388007349274107</v>
          </cell>
          <cell r="S170">
            <v>1.0000000000454505</v>
          </cell>
          <cell r="T170">
            <v>1.0000000000690916</v>
          </cell>
          <cell r="U170">
            <v>1.0000000000317057</v>
          </cell>
          <cell r="V170">
            <v>1.0000000000414149</v>
          </cell>
          <cell r="W170">
            <v>0.97192612021804126</v>
          </cell>
          <cell r="X170">
            <v>1.0000000000461737</v>
          </cell>
          <cell r="Y170">
            <v>0.96980635514806779</v>
          </cell>
          <cell r="Z170">
            <v>1</v>
          </cell>
        </row>
        <row r="175">
          <cell r="C175">
            <v>1</v>
          </cell>
          <cell r="D175">
            <v>0.95833390205694524</v>
          </cell>
          <cell r="E175">
            <v>0.94709226627394849</v>
          </cell>
          <cell r="F175">
            <v>0.93337107362887073</v>
          </cell>
          <cell r="G175">
            <v>0.92075379837252436</v>
          </cell>
          <cell r="H175">
            <v>0.99464691809335071</v>
          </cell>
          <cell r="I175">
            <v>1.0012401338369497</v>
          </cell>
          <cell r="J175">
            <v>0.94101093707972527</v>
          </cell>
          <cell r="K175">
            <v>0.94316054155643914</v>
          </cell>
          <cell r="L175">
            <v>1.000070479915194</v>
          </cell>
          <cell r="M175">
            <v>0.95363996768234838</v>
          </cell>
          <cell r="N175">
            <v>0.96785478187251528</v>
          </cell>
          <cell r="O175">
            <v>0.91276538535719398</v>
          </cell>
          <cell r="P175">
            <v>0.92952903885108762</v>
          </cell>
          <cell r="Q175">
            <v>0.94754931061852887</v>
          </cell>
          <cell r="R175">
            <v>0.92898201148054349</v>
          </cell>
          <cell r="S175">
            <v>0.94353850897602509</v>
          </cell>
          <cell r="T175">
            <v>0.95303436756469562</v>
          </cell>
          <cell r="U175">
            <v>0.98171406350458734</v>
          </cell>
          <cell r="V175">
            <v>0.93730015497151209</v>
          </cell>
          <cell r="W175">
            <v>0.96532948012472108</v>
          </cell>
          <cell r="X175">
            <v>0.95896515810910155</v>
          </cell>
          <cell r="Y175">
            <v>0.89093088967050682</v>
          </cell>
          <cell r="Z175">
            <v>0.9452183939983988</v>
          </cell>
        </row>
        <row r="176">
          <cell r="C176">
            <v>1.0434776416170017</v>
          </cell>
          <cell r="D176">
            <v>1</v>
          </cell>
          <cell r="E176">
            <v>0.98826960440524125</v>
          </cell>
          <cell r="F176">
            <v>0.97395184666378298</v>
          </cell>
          <cell r="G176">
            <v>0.960786002035658</v>
          </cell>
          <cell r="H176">
            <v>1.0378918203336687</v>
          </cell>
          <cell r="I176">
            <v>1.0447716935484714</v>
          </cell>
          <cell r="J176">
            <v>0.98192387335975662</v>
          </cell>
          <cell r="K176">
            <v>0.98416693756952733</v>
          </cell>
          <cell r="L176">
            <v>1.0435511858326898</v>
          </cell>
          <cell r="M176">
            <v>0.99510198442889064</v>
          </cell>
          <cell r="N176">
            <v>1.0099348252160698</v>
          </cell>
          <cell r="O176">
            <v>0.95245027166215857</v>
          </cell>
          <cell r="P176">
            <v>0.96994276927485124</v>
          </cell>
          <cell r="Q176">
            <v>0.98874651996003837</v>
          </cell>
          <cell r="R176">
            <v>0.96937195844433599</v>
          </cell>
          <cell r="S176">
            <v>0.9845613381211249</v>
          </cell>
          <cell r="T176">
            <v>0.99447005424635937</v>
          </cell>
          <cell r="U176">
            <v>1.0243966757280103</v>
          </cell>
          <cell r="V176">
            <v>0.97805175519692378</v>
          </cell>
          <cell r="W176">
            <v>1.0072997293039103</v>
          </cell>
          <cell r="X176">
            <v>1.0006587015765604</v>
          </cell>
          <cell r="Y176">
            <v>0.92966646359711758</v>
          </cell>
          <cell r="Z176">
            <v>0.98631426058245919</v>
          </cell>
        </row>
        <row r="177">
          <cell r="C177">
            <v>1.0558633362451593</v>
          </cell>
          <cell r="D177">
            <v>1.011869631062688</v>
          </cell>
          <cell r="E177">
            <v>1</v>
          </cell>
          <cell r="F177">
            <v>0.98551229575650567</v>
          </cell>
          <cell r="G177">
            <v>0.97219017741001623</v>
          </cell>
          <cell r="H177">
            <v>1.0502112133240109</v>
          </cell>
          <cell r="I177">
            <v>1.0571727480956314</v>
          </cell>
          <cell r="J177">
            <v>0.99357894746818243</v>
          </cell>
          <cell r="K177">
            <v>0.99584863602257301</v>
          </cell>
          <cell r="L177">
            <v>1.0559377534035543</v>
          </cell>
          <cell r="M177">
            <v>1.0069134778538102</v>
          </cell>
          <cell r="N177">
            <v>1.0219223789887448</v>
          </cell>
          <cell r="O177">
            <v>0.9637555049923453</v>
          </cell>
          <cell r="P177">
            <v>0.98145563209806563</v>
          </cell>
          <cell r="Q177">
            <v>1.0004825763664806</v>
          </cell>
          <cell r="R177">
            <v>0.98087804595358552</v>
          </cell>
          <cell r="S177">
            <v>0.99624771796320899</v>
          </cell>
          <cell r="T177">
            <v>1.0062740468931548</v>
          </cell>
          <cell r="U177">
            <v>1.0365558863307458</v>
          </cell>
          <cell r="V177">
            <v>0.98966086869132563</v>
          </cell>
          <cell r="W177">
            <v>1.019256005460293</v>
          </cell>
          <cell r="X177">
            <v>1.0125361511839426</v>
          </cell>
          <cell r="Y177">
            <v>0.94070126153136924</v>
          </cell>
          <cell r="Z177">
            <v>0.99802144696744088</v>
          </cell>
        </row>
        <row r="178">
          <cell r="C178">
            <v>1.0713852488615074</v>
          </cell>
          <cell r="D178">
            <v>1.0267448061476998</v>
          </cell>
          <cell r="E178">
            <v>1.0147006833967234</v>
          </cell>
          <cell r="F178">
            <v>1</v>
          </cell>
          <cell r="G178">
            <v>0.98648203740952511</v>
          </cell>
          <cell r="H178">
            <v>1.0656500358707759</v>
          </cell>
          <cell r="I178">
            <v>1.0727139099610292</v>
          </cell>
          <cell r="J178">
            <v>1.0081852370045619</v>
          </cell>
          <cell r="K178">
            <v>1.0104882915317996</v>
          </cell>
          <cell r="L178">
            <v>1.0714607600029873</v>
          </cell>
          <cell r="M178">
            <v>1.0217157940996326</v>
          </cell>
          <cell r="N178">
            <v>1.0369453363382848</v>
          </cell>
          <cell r="O178">
            <v>0.9779233695430869</v>
          </cell>
          <cell r="P178">
            <v>0.9958837006134702</v>
          </cell>
          <cell r="Q178">
            <v>1.0151903539655822</v>
          </cell>
          <cell r="R178">
            <v>0.99529762355794582</v>
          </cell>
          <cell r="S178">
            <v>1.0108932402496942</v>
          </cell>
          <cell r="T178">
            <v>1.0210669630668707</v>
          </cell>
          <cell r="U178">
            <v>1.0517939662387039</v>
          </cell>
          <cell r="V178">
            <v>1.004209559792083</v>
          </cell>
          <cell r="W178">
            <v>1.0342397652967739</v>
          </cell>
          <cell r="X178">
            <v>1.0274211245702345</v>
          </cell>
          <cell r="Y178">
            <v>0.95453021294804008</v>
          </cell>
          <cell r="Z178">
            <v>1.0126930442824489</v>
          </cell>
        </row>
        <row r="179">
          <cell r="C179">
            <v>1.0860666573057283</v>
          </cell>
          <cell r="D179">
            <v>1.0408144975897418</v>
          </cell>
          <cell r="E179">
            <v>1.0286053317922539</v>
          </cell>
          <cell r="F179">
            <v>1.0137032019619665</v>
          </cell>
          <cell r="G179">
            <v>1</v>
          </cell>
          <cell r="H179">
            <v>1.08025285353309</v>
          </cell>
          <cell r="I179">
            <v>1.0874135253166359</v>
          </cell>
          <cell r="J179">
            <v>1.0220006029223083</v>
          </cell>
          <cell r="K179">
            <v>1.0243352166708624</v>
          </cell>
          <cell r="L179">
            <v>1.0861432031916303</v>
          </cell>
          <cell r="M179">
            <v>1.0357165719739108</v>
          </cell>
          <cell r="N179">
            <v>1.0511548077056474</v>
          </cell>
          <cell r="O179">
            <v>0.99132405097926257</v>
          </cell>
          <cell r="P179">
            <v>1.0095304960936071</v>
          </cell>
          <cell r="Q179">
            <v>1.0291017124158128</v>
          </cell>
          <cell r="R179">
            <v>1.0089363879058255</v>
          </cell>
          <cell r="S179">
            <v>1.0247457144828225</v>
          </cell>
          <cell r="T179">
            <v>1.0350588498784676</v>
          </cell>
          <cell r="U179">
            <v>1.0662069113804507</v>
          </cell>
          <cell r="V179">
            <v>1.0179704462020513</v>
          </cell>
          <cell r="W179">
            <v>1.0484121616777322</v>
          </cell>
          <cell r="X179">
            <v>1.0415000837402111</v>
          </cell>
          <cell r="Y179">
            <v>0.96761033323486589</v>
          </cell>
          <cell r="Z179">
            <v>1.0265701815937298</v>
          </cell>
        </row>
        <row r="180">
          <cell r="C180">
            <v>1.0053818916132677</v>
          </cell>
          <cell r="D180">
            <v>0.9634915512471357</v>
          </cell>
          <cell r="E180">
            <v>0.95218941419879899</v>
          </cell>
          <cell r="F180">
            <v>0.9383943755821007</v>
          </cell>
          <cell r="G180">
            <v>0.9257091955178699</v>
          </cell>
          <cell r="H180">
            <v>1</v>
          </cell>
          <cell r="I180">
            <v>1.0066286997161138</v>
          </cell>
          <cell r="J180">
            <v>0.94607535594998793</v>
          </cell>
          <cell r="K180">
            <v>0.9482365293650068</v>
          </cell>
          <cell r="L180">
            <v>1.0054527508437263</v>
          </cell>
          <cell r="M180">
            <v>0.95877235462649502</v>
          </cell>
          <cell r="N180">
            <v>0.97306367140593608</v>
          </cell>
          <cell r="O180">
            <v>0.91767778972952896</v>
          </cell>
          <cell r="P180">
            <v>0.93453166338956906</v>
          </cell>
          <cell r="Q180">
            <v>0.95264891830650444</v>
          </cell>
          <cell r="R180">
            <v>0.93398169197700731</v>
          </cell>
          <cell r="S180">
            <v>0.94861653096427834</v>
          </cell>
          <cell r="T180">
            <v>0.95816349523464794</v>
          </cell>
          <cell r="U180">
            <v>0.98699754218958968</v>
          </cell>
          <cell r="V180">
            <v>0.94234460281466792</v>
          </cell>
          <cell r="W180">
            <v>0.97052477875784438</v>
          </cell>
          <cell r="X180">
            <v>0.9641262046509449</v>
          </cell>
          <cell r="Y180">
            <v>0.89572578315362572</v>
          </cell>
          <cell r="Z180">
            <v>0.95030545694576529</v>
          </cell>
        </row>
        <row r="181">
          <cell r="C181">
            <v>0.99876140219010467</v>
          </cell>
          <cell r="D181">
            <v>0.95714691178470912</v>
          </cell>
          <cell r="E181">
            <v>0.94591919986717288</v>
          </cell>
          <cell r="F181">
            <v>0.93221500226125442</v>
          </cell>
          <cell r="G181">
            <v>0.91961335473440731</v>
          </cell>
          <cell r="H181">
            <v>0.99341495059898122</v>
          </cell>
          <cell r="I181">
            <v>1</v>
          </cell>
          <cell r="J181">
            <v>0.9398454029939709</v>
          </cell>
          <cell r="K181">
            <v>0.94199234497528772</v>
          </cell>
          <cell r="L181">
            <v>0.99883179480903017</v>
          </cell>
          <cell r="M181">
            <v>0.95245879130694844</v>
          </cell>
          <cell r="N181">
            <v>0.96665599905939126</v>
          </cell>
          <cell r="O181">
            <v>0.91163483614994234</v>
          </cell>
          <cell r="P181">
            <v>0.92837772621933257</v>
          </cell>
          <cell r="Q181">
            <v>0.94637567811762902</v>
          </cell>
          <cell r="R181">
            <v>0.92783137639569158</v>
          </cell>
          <cell r="S181">
            <v>0.94236984424525549</v>
          </cell>
          <cell r="T181">
            <v>0.95185394128427503</v>
          </cell>
          <cell r="U181">
            <v>0.98049811461558722</v>
          </cell>
          <cell r="V181">
            <v>0.93613921705234993</v>
          </cell>
          <cell r="W181">
            <v>0.96413382514481116</v>
          </cell>
          <cell r="X181">
            <v>0.95777738596450168</v>
          </cell>
          <cell r="Y181">
            <v>0.88982738462179278</v>
          </cell>
          <cell r="Z181">
            <v>0.94404764856571965</v>
          </cell>
        </row>
        <row r="182">
          <cell r="C182">
            <v>1.0626869046850165</v>
          </cell>
          <cell r="D182">
            <v>1.0184088880316089</v>
          </cell>
          <cell r="E182">
            <v>1.0064625488977796</v>
          </cell>
          <cell r="F182">
            <v>0.99188121715719513</v>
          </cell>
          <cell r="G182">
            <v>0.97847300396946957</v>
          </cell>
          <cell r="H182">
            <v>1.056998254643114</v>
          </cell>
          <cell r="I182">
            <v>1.0640047786735995</v>
          </cell>
          <cell r="J182">
            <v>1</v>
          </cell>
          <cell r="K182">
            <v>1.002284356527656</v>
          </cell>
          <cell r="L182">
            <v>1.0627618027679364</v>
          </cell>
          <cell r="M182">
            <v>1.013420705440274</v>
          </cell>
          <cell r="N182">
            <v>1.0285266023326949</v>
          </cell>
          <cell r="O182">
            <v>0.96998382206886258</v>
          </cell>
          <cell r="P182">
            <v>0.98779833711150056</v>
          </cell>
          <cell r="Q182">
            <v>1.0069482439376256</v>
          </cell>
          <cell r="R182">
            <v>0.98721701828831909</v>
          </cell>
          <cell r="S182">
            <v>1.0026860175548478</v>
          </cell>
          <cell r="T182">
            <v>1.0127771421257685</v>
          </cell>
          <cell r="U182">
            <v>1.0432546794314395</v>
          </cell>
          <cell r="V182">
            <v>0.99605660044746236</v>
          </cell>
          <cell r="W182">
            <v>1.0258429972349359</v>
          </cell>
          <cell r="X182">
            <v>1.0190797155717384</v>
          </cell>
          <cell r="Y182">
            <v>0.94678058943221866</v>
          </cell>
          <cell r="Z182">
            <v>1.0044712093695007</v>
          </cell>
        </row>
        <row r="183">
          <cell r="C183">
            <v>1.0602648816815028</v>
          </cell>
          <cell r="D183">
            <v>1.01608778127578</v>
          </cell>
          <cell r="E183">
            <v>1.0041686696424144</v>
          </cell>
          <cell r="F183">
            <v>0.98962057094605183</v>
          </cell>
          <cell r="G183">
            <v>0.97624291708923872</v>
          </cell>
          <cell r="H183">
            <v>1.0545891969271179</v>
          </cell>
          <cell r="I183">
            <v>1.0615797520374055</v>
          </cell>
          <cell r="J183">
            <v>0.99772084986383502</v>
          </cell>
          <cell r="K183">
            <v>1</v>
          </cell>
          <cell r="L183">
            <v>1.0603396090604469</v>
          </cell>
          <cell r="M183">
            <v>1.0111109675014771</v>
          </cell>
          <cell r="N183">
            <v>1.0261824357869391</v>
          </cell>
          <cell r="O183">
            <v>0.96777308330871648</v>
          </cell>
          <cell r="P183">
            <v>0.9855469963969693</v>
          </cell>
          <cell r="Q183">
            <v>1.004653257710344</v>
          </cell>
          <cell r="R183">
            <v>0.98496700248666291</v>
          </cell>
          <cell r="S183">
            <v>1.0004007455814068</v>
          </cell>
          <cell r="T183">
            <v>1.0104688709643876</v>
          </cell>
          <cell r="U183">
            <v>1.0408769453867586</v>
          </cell>
          <cell r="V183">
            <v>0.99378643791092447</v>
          </cell>
          <cell r="W183">
            <v>1.0235049470281039</v>
          </cell>
          <cell r="X183">
            <v>1.01675707989923</v>
          </cell>
          <cell r="Y183">
            <v>0.9446227343228959</v>
          </cell>
          <cell r="Z183">
            <v>1.0021818686758923</v>
          </cell>
        </row>
        <row r="184">
          <cell r="C184">
            <v>0.99992952505187427</v>
          </cell>
          <cell r="D184">
            <v>0.95826636352491068</v>
          </cell>
          <cell r="E184">
            <v>0.94702551999561257</v>
          </cell>
          <cell r="F184">
            <v>0.93330529435087473</v>
          </cell>
          <cell r="G184">
            <v>0.92068890829634753</v>
          </cell>
          <cell r="H184">
            <v>0.99457682040339479</v>
          </cell>
          <cell r="I184">
            <v>1.0011695714904563</v>
          </cell>
          <cell r="J184">
            <v>0.94094461938274887</v>
          </cell>
          <cell r="K184">
            <v>0.9430940723661988</v>
          </cell>
          <cell r="L184">
            <v>1</v>
          </cell>
          <cell r="M184">
            <v>0.95357275995509538</v>
          </cell>
          <cell r="N184">
            <v>0.96778657235696963</v>
          </cell>
          <cell r="O184">
            <v>0.91270105826401005</v>
          </cell>
          <cell r="P184">
            <v>0.92946353034029328</v>
          </cell>
          <cell r="Q184">
            <v>0.94748253213001654</v>
          </cell>
          <cell r="R184">
            <v>0.92891654152147474</v>
          </cell>
          <cell r="S184">
            <v>0.94347201314855045</v>
          </cell>
          <cell r="T184">
            <v>0.95296720251707945</v>
          </cell>
          <cell r="U184">
            <v>0.98164487725688765</v>
          </cell>
          <cell r="V184">
            <v>0.93723409879171227</v>
          </cell>
          <cell r="W184">
            <v>0.9652614485796851</v>
          </cell>
          <cell r="X184">
            <v>0.95889757508932938</v>
          </cell>
          <cell r="Y184">
            <v>0.89086810136227368</v>
          </cell>
          <cell r="Z184">
            <v>0.94515177978111442</v>
          </cell>
        </row>
        <row r="185">
          <cell r="C185">
            <v>1.048613768181635</v>
          </cell>
          <cell r="D185">
            <v>1.0049221242121433</v>
          </cell>
          <cell r="E185">
            <v>0.99313399015320958</v>
          </cell>
          <cell r="F185">
            <v>0.97874575862970847</v>
          </cell>
          <cell r="G185">
            <v>0.96551511007896618</v>
          </cell>
          <cell r="H185">
            <v>1.0430004527921186</v>
          </cell>
          <cell r="I185">
            <v>1.0499141895974484</v>
          </cell>
          <cell r="J185">
            <v>0.98675702463130222</v>
          </cell>
          <cell r="K185">
            <v>0.9890111294817292</v>
          </cell>
          <cell r="L185">
            <v>1.0486876743910878</v>
          </cell>
          <cell r="M185">
            <v>1</v>
          </cell>
          <cell r="N185">
            <v>1.0149058498719528</v>
          </cell>
          <cell r="O185">
            <v>0.95713835020516935</v>
          </cell>
          <cell r="P185">
            <v>0.97471694806389242</v>
          </cell>
          <cell r="Q185">
            <v>0.99361325314560611</v>
          </cell>
          <cell r="R185">
            <v>0.97414332763156763</v>
          </cell>
          <cell r="S185">
            <v>0.98940747132183116</v>
          </cell>
          <cell r="T185">
            <v>0.9993649593786168</v>
          </cell>
          <cell r="U185">
            <v>1.0294388834084502</v>
          </cell>
          <cell r="V185">
            <v>0.98286584742190786</v>
          </cell>
          <cell r="W185">
            <v>1.0122577836904025</v>
          </cell>
          <cell r="X185">
            <v>1.0055840679996824</v>
          </cell>
          <cell r="Y185">
            <v>0.9342423974068067</v>
          </cell>
          <cell r="Z185">
            <v>0.99116902188525435</v>
          </cell>
        </row>
        <row r="186">
          <cell r="C186">
            <v>1.0332128525162558</v>
          </cell>
          <cell r="D186">
            <v>0.99016290460729051</v>
          </cell>
          <cell r="E186">
            <v>0.97854790203299158</v>
          </cell>
          <cell r="F186">
            <v>0.96437098944024569</v>
          </cell>
          <cell r="G186">
            <v>0.95133465848165322</v>
          </cell>
          <cell r="H186">
            <v>1.0276819794897336</v>
          </cell>
          <cell r="I186">
            <v>1.0344941747354324</v>
          </cell>
          <cell r="J186">
            <v>0.97226459454913783</v>
          </cell>
          <cell r="K186">
            <v>0.97448559352230502</v>
          </cell>
          <cell r="L186">
            <v>1.0332856732704785</v>
          </cell>
          <cell r="M186">
            <v>0.98531307128258916</v>
          </cell>
          <cell r="N186">
            <v>1</v>
          </cell>
          <cell r="O186">
            <v>0.94308092748300576</v>
          </cell>
          <cell r="P186">
            <v>0.96040134972802571</v>
          </cell>
          <cell r="Q186">
            <v>0.97902012612398193</v>
          </cell>
          <cell r="R186">
            <v>0.95983615401810141</v>
          </cell>
          <cell r="S186">
            <v>0.97487611431805365</v>
          </cell>
          <cell r="T186">
            <v>0.98468735745754488</v>
          </cell>
          <cell r="U186">
            <v>1.0143195879088993</v>
          </cell>
          <cell r="V186">
            <v>0.96843056678204464</v>
          </cell>
          <cell r="W186">
            <v>0.99739082577769722</v>
          </cell>
          <cell r="X186">
            <v>0.99081512647360692</v>
          </cell>
          <cell r="Y186">
            <v>0.92052124591130979</v>
          </cell>
          <cell r="Z186">
            <v>0.97661179311391977</v>
          </cell>
        </row>
        <row r="187">
          <cell r="C187">
            <v>1.0955717822369746</v>
          </cell>
          <cell r="D187">
            <v>1.0499235810546419</v>
          </cell>
          <cell r="E187">
            <v>1.0376075621046053</v>
          </cell>
          <cell r="F187">
            <v>1.0225750106240206</v>
          </cell>
          <cell r="G187">
            <v>1.0087518798844506</v>
          </cell>
          <cell r="H187">
            <v>1.0897070967520466</v>
          </cell>
          <cell r="I187">
            <v>1.0969304378749341</v>
          </cell>
          <cell r="J187">
            <v>1.0309450294409204</v>
          </cell>
          <cell r="K187">
            <v>1.0333000754485784</v>
          </cell>
          <cell r="L187">
            <v>1.0956489980432758</v>
          </cell>
          <cell r="M187">
            <v>1.0447810390061614</v>
          </cell>
          <cell r="N187">
            <v>1.0603543883226501</v>
          </cell>
          <cell r="O187">
            <v>1</v>
          </cell>
          <cell r="P187">
            <v>1.0183657857351081</v>
          </cell>
          <cell r="Q187">
            <v>1.0381082869917584</v>
          </cell>
          <cell r="R187">
            <v>1.0177664779838287</v>
          </cell>
          <cell r="S187">
            <v>1.0337141658880815</v>
          </cell>
          <cell r="T187">
            <v>1.0441175606059416</v>
          </cell>
          <cell r="U187">
            <v>1.0755382262008233</v>
          </cell>
          <cell r="V187">
            <v>1.026879601273132</v>
          </cell>
          <cell r="W187">
            <v>1.0575877389861328</v>
          </cell>
          <cell r="X187">
            <v>1.0506151673727506</v>
          </cell>
          <cell r="Y187">
            <v>0.97607874264629058</v>
          </cell>
          <cell r="Z187">
            <v>1.0355546005159968</v>
          </cell>
        </row>
        <row r="188">
          <cell r="C188">
            <v>1.0758136198047299</v>
          </cell>
          <cell r="D188">
            <v>1.0309886641534738</v>
          </cell>
          <cell r="E188">
            <v>1.0188947592692417</v>
          </cell>
          <cell r="F188">
            <v>1.0041333133417025</v>
          </cell>
          <cell r="G188">
            <v>0.9905594767760999</v>
          </cell>
          <cell r="H188">
            <v>1.0700547013816264</v>
          </cell>
          <cell r="I188">
            <v>1.0771477726769012</v>
          </cell>
          <cell r="J188">
            <v>1.0123523824955802</v>
          </cell>
          <cell r="K188">
            <v>1.0146649562688221</v>
          </cell>
          <cell r="L188">
            <v>1.0758894430574184</v>
          </cell>
          <cell r="M188">
            <v>1.025938865622813</v>
          </cell>
          <cell r="N188">
            <v>1.041231356331588</v>
          </cell>
          <cell r="O188">
            <v>0.9819654332535821</v>
          </cell>
          <cell r="P188">
            <v>1</v>
          </cell>
          <cell r="Q188">
            <v>1.0193864537999959</v>
          </cell>
          <cell r="R188">
            <v>0.99941150050436267</v>
          </cell>
          <cell r="S188">
            <v>1.0150715787666553</v>
          </cell>
          <cell r="T188">
            <v>1.0252873527680866</v>
          </cell>
          <cell r="U188">
            <v>1.0561413602720806</v>
          </cell>
          <cell r="V188">
            <v>1.0083602725634369</v>
          </cell>
          <cell r="W188">
            <v>1.0385146023171943</v>
          </cell>
          <cell r="X188">
            <v>1.0316677780119676</v>
          </cell>
          <cell r="Y188">
            <v>0.9584755854122764</v>
          </cell>
          <cell r="Z188">
            <v>1.0168788219534308</v>
          </cell>
        </row>
        <row r="189">
          <cell r="C189">
            <v>1.0553540473236511</v>
          </cell>
          <cell r="D189">
            <v>1.0113815622232647</v>
          </cell>
          <cell r="E189">
            <v>0.99951765640114065</v>
          </cell>
          <cell r="F189">
            <v>0.98503694020905042</v>
          </cell>
          <cell r="G189">
            <v>0.9717212477010686</v>
          </cell>
          <cell r="H189">
            <v>1.0497046506678138</v>
          </cell>
          <cell r="I189">
            <v>1.056662827587699</v>
          </cell>
          <cell r="J189">
            <v>0.99309970102290979</v>
          </cell>
          <cell r="K189">
            <v>0.99536829480755473</v>
          </cell>
          <cell r="L189">
            <v>1.0554284285874063</v>
          </cell>
          <cell r="M189">
            <v>1.0064277995831623</v>
          </cell>
          <cell r="N189">
            <v>1.0214294612707087</v>
          </cell>
          <cell r="O189">
            <v>0.96329064369364681</v>
          </cell>
          <cell r="P189">
            <v>0.98098223325635869</v>
          </cell>
          <cell r="Q189">
            <v>1</v>
          </cell>
          <cell r="R189">
            <v>0.98040492570685822</v>
          </cell>
          <cell r="S189">
            <v>0.99576718425357125</v>
          </cell>
          <cell r="T189">
            <v>1.0057886770479376</v>
          </cell>
          <cell r="U189">
            <v>1.0360559102341143</v>
          </cell>
          <cell r="V189">
            <v>0.98918351210627076</v>
          </cell>
          <cell r="W189">
            <v>1.0187643738504604</v>
          </cell>
          <cell r="X189">
            <v>1.0120477608528053</v>
          </cell>
          <cell r="Y189">
            <v>0.94024752029943071</v>
          </cell>
          <cell r="Z189">
            <v>0.99754005771097176</v>
          </cell>
        </row>
        <row r="190">
          <cell r="C190">
            <v>1.0764471083850948</v>
          </cell>
          <cell r="D190">
            <v>1.0315957577366035</v>
          </cell>
          <cell r="E190">
            <v>1.0194947314044782</v>
          </cell>
          <cell r="F190">
            <v>1.0047245932580893</v>
          </cell>
          <cell r="G190">
            <v>0.99114276379269639</v>
          </cell>
          <cell r="H190">
            <v>1.0706847988457338</v>
          </cell>
          <cell r="I190">
            <v>1.0777820468678898</v>
          </cell>
          <cell r="J190">
            <v>1.0129485021782187</v>
          </cell>
          <cell r="K190">
            <v>1.0152624377013491</v>
          </cell>
          <cell r="L190">
            <v>1.0765229762860047</v>
          </cell>
          <cell r="M190">
            <v>1.0265429856521191</v>
          </cell>
          <cell r="N190">
            <v>1.0418444812833558</v>
          </cell>
          <cell r="O190">
            <v>0.98254365970175817</v>
          </cell>
          <cell r="P190">
            <v>1.0005888460312298</v>
          </cell>
          <cell r="Q190">
            <v>1.0199867154676054</v>
          </cell>
          <cell r="R190">
            <v>1</v>
          </cell>
          <cell r="S190">
            <v>1.0156692996372261</v>
          </cell>
          <cell r="T190">
            <v>1.0258910891566342</v>
          </cell>
          <cell r="U190">
            <v>1.0567632649204943</v>
          </cell>
          <cell r="V190">
            <v>1.0089540415079854</v>
          </cell>
          <cell r="W190">
            <v>1.0391261275191428</v>
          </cell>
          <cell r="X190">
            <v>1.0322752714885977</v>
          </cell>
          <cell r="Y190">
            <v>0.95903997995677692</v>
          </cell>
          <cell r="Z190">
            <v>1.0174776070119798</v>
          </cell>
        </row>
        <row r="191">
          <cell r="C191">
            <v>1.0598401554222199</v>
          </cell>
          <cell r="D191">
            <v>1.0156807517024153</v>
          </cell>
          <cell r="E191">
            <v>1.003766414686964</v>
          </cell>
          <cell r="F191">
            <v>0.98922414374142653</v>
          </cell>
          <cell r="G191">
            <v>0.97585184877273545</v>
          </cell>
          <cell r="H191">
            <v>1.0541667442622888</v>
          </cell>
          <cell r="I191">
            <v>1.0611544990607169</v>
          </cell>
          <cell r="J191">
            <v>0.99732117780858476</v>
          </cell>
          <cell r="K191">
            <v>0.99959941495128146</v>
          </cell>
          <cell r="L191">
            <v>1.0599148528664932</v>
          </cell>
          <cell r="M191">
            <v>1.0107059315653009</v>
          </cell>
          <cell r="N191">
            <v>1.0257713624459053</v>
          </cell>
          <cell r="O191">
            <v>0.96738540788099081</v>
          </cell>
          <cell r="P191">
            <v>0.98515220100540324</v>
          </cell>
          <cell r="Q191">
            <v>1.004250808636159</v>
          </cell>
          <cell r="R191">
            <v>0.98457243943198558</v>
          </cell>
          <cell r="S191">
            <v>1</v>
          </cell>
          <cell r="T191">
            <v>1.0100640922424839</v>
          </cell>
          <cell r="U191">
            <v>1.0404599856448808</v>
          </cell>
          <cell r="V191">
            <v>0.9933883419222781</v>
          </cell>
          <cell r="W191">
            <v>1.0230949462490351</v>
          </cell>
          <cell r="X191">
            <v>1.0163497822148437</v>
          </cell>
          <cell r="Y191">
            <v>0.94424433257884643</v>
          </cell>
          <cell r="Z191">
            <v>1.0017804096032041</v>
          </cell>
        </row>
        <row r="192">
          <cell r="C192">
            <v>1.0492801036706751</v>
          </cell>
          <cell r="D192">
            <v>1.0055606961014341</v>
          </cell>
          <cell r="E192">
            <v>0.99376507134162329</v>
          </cell>
          <cell r="F192">
            <v>0.97936769690051073</v>
          </cell>
          <cell r="G192">
            <v>0.9661286410114901</v>
          </cell>
          <cell r="H192">
            <v>1.0436632213327086</v>
          </cell>
          <cell r="I192">
            <v>1.0505813514316751</v>
          </cell>
          <cell r="J192">
            <v>0.98738405361425319</v>
          </cell>
          <cell r="K192">
            <v>0.98963959082243047</v>
          </cell>
          <cell r="L192">
            <v>1.0493540568433966</v>
          </cell>
          <cell r="M192">
            <v>1.0006354441542338</v>
          </cell>
          <cell r="N192">
            <v>1.0155507658613514</v>
          </cell>
          <cell r="O192">
            <v>0.95774655817460008</v>
          </cell>
          <cell r="P192">
            <v>0.97533632625057209</v>
          </cell>
          <cell r="Q192">
            <v>0.9942446388788867</v>
          </cell>
          <cell r="R192">
            <v>0.97476234131449691</v>
          </cell>
          <cell r="S192">
            <v>0.9900361845156378</v>
          </cell>
          <cell r="T192">
            <v>1</v>
          </cell>
          <cell r="U192">
            <v>1.0300930343290531</v>
          </cell>
          <cell r="V192">
            <v>0.98349040377904806</v>
          </cell>
          <cell r="W192">
            <v>1.0129010169816262</v>
          </cell>
          <cell r="X192">
            <v>1.0062230605172833</v>
          </cell>
          <cell r="Y192">
            <v>0.93483605627687605</v>
          </cell>
          <cell r="Z192">
            <v>0.99179885444606897</v>
          </cell>
        </row>
        <row r="193">
          <cell r="C193">
            <v>1.0186265402271353</v>
          </cell>
          <cell r="D193">
            <v>0.97618434703463652</v>
          </cell>
          <cell r="E193">
            <v>0.96473331847050892</v>
          </cell>
          <cell r="F193">
            <v>0.95075654747866334</v>
          </cell>
          <cell r="G193">
            <v>0.93790425603719774</v>
          </cell>
          <cell r="H193">
            <v>1.0131737489250128</v>
          </cell>
          <cell r="I193">
            <v>1.0198897734668859</v>
          </cell>
          <cell r="J193">
            <v>0.95853871515341504</v>
          </cell>
          <cell r="K193">
            <v>0.96072835932438683</v>
          </cell>
          <cell r="L193">
            <v>1.0186983329393049</v>
          </cell>
          <cell r="M193">
            <v>0.97140298090258759</v>
          </cell>
          <cell r="N193">
            <v>0.98588256790108897</v>
          </cell>
          <cell r="O193">
            <v>0.92976704652548636</v>
          </cell>
          <cell r="P193">
            <v>0.94684294888553777</v>
          </cell>
          <cell r="Q193">
            <v>0.96519887596995924</v>
          </cell>
          <cell r="R193">
            <v>0.94628573228767088</v>
          </cell>
          <cell r="S193">
            <v>0.96111336696931826</v>
          </cell>
          <cell r="T193">
            <v>0.97078610054998182</v>
          </cell>
          <cell r="U193">
            <v>1</v>
          </cell>
          <cell r="V193">
            <v>0.95475881401298912</v>
          </cell>
          <cell r="W193">
            <v>0.98331022851870376</v>
          </cell>
          <cell r="X193">
            <v>0.97682736120304181</v>
          </cell>
          <cell r="Y193">
            <v>0.90752584972655193</v>
          </cell>
          <cell r="Z193">
            <v>0.96282454243763826</v>
          </cell>
        </row>
        <row r="194">
          <cell r="C194">
            <v>1.0668940943793972</v>
          </cell>
          <cell r="D194">
            <v>1.0224407805481186</v>
          </cell>
          <cell r="E194">
            <v>1.0104471457200752</v>
          </cell>
          <cell r="F194">
            <v>0.99580808631919959</v>
          </cell>
          <cell r="G194">
            <v>0.9823467898610444</v>
          </cell>
          <cell r="H194">
            <v>1.0611829229064638</v>
          </cell>
          <cell r="I194">
            <v>1.0682171858462788</v>
          </cell>
          <cell r="J194">
            <v>1.0039590115167814</v>
          </cell>
          <cell r="K194">
            <v>1.006252411838239</v>
          </cell>
          <cell r="L194">
            <v>1.06696928898469</v>
          </cell>
          <cell r="M194">
            <v>1.0174328496844567</v>
          </cell>
          <cell r="N194">
            <v>1.0325985509966462</v>
          </cell>
          <cell r="O194">
            <v>0.97382399919152485</v>
          </cell>
          <cell r="P194">
            <v>0.99170904210438249</v>
          </cell>
          <cell r="Q194">
            <v>1.0109347636321775</v>
          </cell>
          <cell r="R194">
            <v>0.99112542183328511</v>
          </cell>
          <cell r="S194">
            <v>1.006655663046063</v>
          </cell>
          <cell r="T194">
            <v>1.0167867384953773</v>
          </cell>
          <cell r="U194">
            <v>1.0473849367222448</v>
          </cell>
          <cell r="V194">
            <v>1</v>
          </cell>
          <cell r="W194">
            <v>1.0299043214753985</v>
          </cell>
          <cell r="X194">
            <v>1.0231142639022053</v>
          </cell>
          <cell r="Y194">
            <v>0.9505289046896459</v>
          </cell>
          <cell r="Z194">
            <v>1.0084479224556699</v>
          </cell>
        </row>
        <row r="195">
          <cell r="C195">
            <v>1.0359157371541161</v>
          </cell>
          <cell r="D195">
            <v>0.99275317058910095</v>
          </cell>
          <cell r="E195">
            <v>0.98110778317013969</v>
          </cell>
          <cell r="F195">
            <v>0.96689378377658031</v>
          </cell>
          <cell r="G195">
            <v>0.9538233497785259</v>
          </cell>
          <cell r="H195">
            <v>1.0303703953647432</v>
          </cell>
          <cell r="I195">
            <v>1.0372004113119895</v>
          </cell>
          <cell r="J195">
            <v>0.97480803855502918</v>
          </cell>
          <cell r="K195">
            <v>0.97703484766111393</v>
          </cell>
          <cell r="L195">
            <v>1.0359887484074188</v>
          </cell>
          <cell r="M195">
            <v>0.98789065010128729</v>
          </cell>
          <cell r="N195">
            <v>1.0026159998216029</v>
          </cell>
          <cell r="O195">
            <v>0.94554802702105833</v>
          </cell>
          <cell r="P195">
            <v>0.9629137594875814</v>
          </cell>
          <cell r="Q195">
            <v>0.98158124259926782</v>
          </cell>
          <cell r="R195">
            <v>0.96234708522578072</v>
          </cell>
          <cell r="S195">
            <v>0.97742639005919463</v>
          </cell>
          <cell r="T195">
            <v>0.98726329940898838</v>
          </cell>
          <cell r="U195">
            <v>1.0169730477699173</v>
          </cell>
          <cell r="V195">
            <v>0.97096398097198122</v>
          </cell>
          <cell r="W195">
            <v>1</v>
          </cell>
          <cell r="X195">
            <v>0.99340709866770327</v>
          </cell>
          <cell r="Y195">
            <v>0.92292932932639549</v>
          </cell>
          <cell r="Z195">
            <v>0.97916660939048106</v>
          </cell>
        </row>
        <row r="196">
          <cell r="C196">
            <v>1.0427907537035146</v>
          </cell>
          <cell r="D196">
            <v>0.99934173202559207</v>
          </cell>
          <cell r="E196">
            <v>0.98761905817458051</v>
          </cell>
          <cell r="F196">
            <v>0.97331072535450869</v>
          </cell>
          <cell r="G196">
            <v>0.96015354738025849</v>
          </cell>
          <cell r="H196">
            <v>1.0372086093874431</v>
          </cell>
          <cell r="I196">
            <v>1.0440839538020406</v>
          </cell>
          <cell r="J196">
            <v>0.98127750432061733</v>
          </cell>
          <cell r="K196">
            <v>0.98351909199305421</v>
          </cell>
          <cell r="L196">
            <v>1.0428642495074008</v>
          </cell>
          <cell r="M196">
            <v>0.99444694066127137</v>
          </cell>
          <cell r="N196">
            <v>1.0092700174643909</v>
          </cell>
          <cell r="O196">
            <v>0.95182330415110727</v>
          </cell>
          <cell r="P196">
            <v>0.96930428701282911</v>
          </cell>
          <cell r="Q196">
            <v>0.98809565979114145</v>
          </cell>
          <cell r="R196">
            <v>0.96873385192880301</v>
          </cell>
          <cell r="S196">
            <v>0.98391323292339961</v>
          </cell>
          <cell r="T196">
            <v>0.99381542645814125</v>
          </cell>
          <cell r="U196">
            <v>1.0237223482032887</v>
          </cell>
          <cell r="V196">
            <v>0.97740793504916412</v>
          </cell>
          <cell r="W196">
            <v>1.0066366561514797</v>
          </cell>
          <cell r="X196">
            <v>1</v>
          </cell>
          <cell r="Y196">
            <v>0.92905449393725059</v>
          </cell>
          <cell r="Z196">
            <v>0.98566500149201597</v>
          </cell>
        </row>
        <row r="197">
          <cell r="C197">
            <v>1.1224215161849762</v>
          </cell>
          <cell r="D197">
            <v>1.0756545913582209</v>
          </cell>
          <cell r="E197">
            <v>1.0630367374782705</v>
          </cell>
          <cell r="F197">
            <v>1.0476357756257162</v>
          </cell>
          <cell r="G197">
            <v>1.0334738744023646</v>
          </cell>
          <cell r="H197">
            <v>1.1164131018750527</v>
          </cell>
          <cell r="I197">
            <v>1.1238134690865176</v>
          </cell>
          <cell r="J197">
            <v>1.0562109227436705</v>
          </cell>
          <cell r="K197">
            <v>1.0586236850596218</v>
          </cell>
          <cell r="L197">
            <v>1.1225006243582489</v>
          </cell>
          <cell r="M197">
            <v>1.0703860184206133</v>
          </cell>
          <cell r="N197">
            <v>1.0863410317162281</v>
          </cell>
          <cell r="O197">
            <v>1.0245075077537857</v>
          </cell>
          <cell r="P197">
            <v>1.0433233931252015</v>
          </cell>
          <cell r="Q197">
            <v>1.0635497338844782</v>
          </cell>
          <cell r="R197">
            <v>1.0427093978345607</v>
          </cell>
          <cell r="S197">
            <v>1.059047923823782</v>
          </cell>
          <cell r="T197">
            <v>1.0697062798183556</v>
          </cell>
          <cell r="U197">
            <v>1.1018969876189331</v>
          </cell>
          <cell r="V197">
            <v>1.0520458610635379</v>
          </cell>
          <cell r="W197">
            <v>1.0835065786996443</v>
          </cell>
          <cell r="X197">
            <v>1.0763631267333831</v>
          </cell>
          <cell r="Y197">
            <v>1</v>
          </cell>
          <cell r="Z197">
            <v>1.060933462917611</v>
          </cell>
        </row>
        <row r="198">
          <cell r="C198">
            <v>1.0579565594040841</v>
          </cell>
          <cell r="D198">
            <v>1.0138756377804563</v>
          </cell>
          <cell r="E198">
            <v>1.0019824754654032</v>
          </cell>
          <cell r="F198">
            <v>0.98746604970369611</v>
          </cell>
          <cell r="G198">
            <v>0.97411752058443757</v>
          </cell>
          <cell r="H198">
            <v>1.0522932312879172</v>
          </cell>
          <cell r="I198">
            <v>1.0592685671314239</v>
          </cell>
          <cell r="J198">
            <v>0.99554869335447926</v>
          </cell>
          <cell r="K198">
            <v>0.99782288151074305</v>
          </cell>
          <cell r="L198">
            <v>1.0580311240926699</v>
          </cell>
          <cell r="M198">
            <v>1.0089096591194393</v>
          </cell>
          <cell r="N198">
            <v>1.0239483150326365</v>
          </cell>
          <cell r="O198">
            <v>0.96566612663563989</v>
          </cell>
          <cell r="P198">
            <v>0.98340134380908184</v>
          </cell>
          <cell r="Q198">
            <v>1.0024660085276906</v>
          </cell>
          <cell r="R198">
            <v>0.98282261261424109</v>
          </cell>
          <cell r="S198">
            <v>0.99822275462153498</v>
          </cell>
          <cell r="T198">
            <v>1.0082689605025925</v>
          </cell>
          <cell r="U198">
            <v>1.0386108329439157</v>
          </cell>
          <cell r="V198">
            <v>0.99162284708257575</v>
          </cell>
          <cell r="W198">
            <v>1.0212766554840831</v>
          </cell>
          <cell r="X198">
            <v>1.0145434792614985</v>
          </cell>
          <cell r="Y198">
            <v>0.94256617870262893</v>
          </cell>
          <cell r="Z198">
            <v>1</v>
          </cell>
        </row>
        <row r="203">
          <cell r="C203">
            <v>1</v>
          </cell>
          <cell r="D203">
            <v>1.0076977705605525</v>
          </cell>
          <cell r="E203">
            <v>0.97661332855783334</v>
          </cell>
          <cell r="F203">
            <v>0.94400219085692305</v>
          </cell>
          <cell r="G203">
            <v>0.99637744537748052</v>
          </cell>
          <cell r="H203">
            <v>0.98469053101602522</v>
          </cell>
          <cell r="I203">
            <v>0.95543472938528007</v>
          </cell>
          <cell r="J203">
            <v>0.95234486519312878</v>
          </cell>
          <cell r="K203">
            <v>0.94054683441230502</v>
          </cell>
          <cell r="L203">
            <v>0.94054683441230502</v>
          </cell>
          <cell r="M203">
            <v>0.96588245907501902</v>
          </cell>
          <cell r="N203">
            <v>0.97826547084175153</v>
          </cell>
          <cell r="O203">
            <v>0.913270278038668</v>
          </cell>
          <cell r="P203">
            <v>0.94408463607919291</v>
          </cell>
          <cell r="Q203">
            <v>0.96244427295500823</v>
          </cell>
          <cell r="R203">
            <v>0.90810801951860276</v>
          </cell>
          <cell r="S203">
            <v>0.95638056287306883</v>
          </cell>
          <cell r="T203">
            <v>0.96010796843593738</v>
          </cell>
          <cell r="U203">
            <v>1.0153822895624991</v>
          </cell>
          <cell r="V203">
            <v>0.91297290633017469</v>
          </cell>
          <cell r="W203">
            <v>0.88792512345385477</v>
          </cell>
          <cell r="X203">
            <v>0.87658065317070577</v>
          </cell>
          <cell r="Y203">
            <v>0.88966880841587681</v>
          </cell>
          <cell r="Z203">
            <v>0.95111690167634211</v>
          </cell>
        </row>
        <row r="204">
          <cell r="C204">
            <v>0.99236103245889828</v>
          </cell>
          <cell r="D204">
            <v>1</v>
          </cell>
          <cell r="E204">
            <v>0.96915301104077278</v>
          </cell>
          <cell r="F204">
            <v>0.9367909887622381</v>
          </cell>
          <cell r="G204">
            <v>0.98876615041355609</v>
          </cell>
          <cell r="H204">
            <v>0.97716851201156363</v>
          </cell>
          <cell r="I204">
            <v>0.94813619449986464</v>
          </cell>
          <cell r="J204">
            <v>0.94506993367998371</v>
          </cell>
          <cell r="K204">
            <v>0.93336202767334342</v>
          </cell>
          <cell r="L204">
            <v>0.93336202767334342</v>
          </cell>
          <cell r="M204">
            <v>0.95850411432162552</v>
          </cell>
          <cell r="N204">
            <v>0.97079253266341092</v>
          </cell>
          <cell r="O204">
            <v>0.90629383602847768</v>
          </cell>
          <cell r="P204">
            <v>0.93687280418813113</v>
          </cell>
          <cell r="Q204">
            <v>0.95509219239378562</v>
          </cell>
          <cell r="R204">
            <v>0.90117101183368598</v>
          </cell>
          <cell r="S204">
            <v>0.94907480279634093</v>
          </cell>
          <cell r="T204">
            <v>0.95277373482910221</v>
          </cell>
          <cell r="U204">
            <v>1.0076258172107215</v>
          </cell>
          <cell r="V204">
            <v>0.90599873593281322</v>
          </cell>
          <cell r="W204">
            <v>0.88114229225686214</v>
          </cell>
          <cell r="X204">
            <v>0.86988448201397706</v>
          </cell>
          <cell r="Y204">
            <v>0.88287265726605735</v>
          </cell>
          <cell r="Z204">
            <v>0.94385135053664326</v>
          </cell>
        </row>
        <row r="205">
          <cell r="C205">
            <v>1.0239467051680544</v>
          </cell>
          <cell r="D205">
            <v>1.0318288119706718</v>
          </cell>
          <cell r="E205">
            <v>1</v>
          </cell>
          <cell r="F205">
            <v>0.9666079329993712</v>
          </cell>
          <cell r="G205">
            <v>1.0202374022980343</v>
          </cell>
          <cell r="H205">
            <v>1.008270624844041</v>
          </cell>
          <cell r="I205">
            <v>0.97831424315718918</v>
          </cell>
          <cell r="J205">
            <v>0.9751503868982192</v>
          </cell>
          <cell r="K205">
            <v>0.96306983215272324</v>
          </cell>
          <cell r="L205">
            <v>0.96306983215272324</v>
          </cell>
          <cell r="M205">
            <v>0.98901216154948379</v>
          </cell>
          <cell r="N205">
            <v>1.001691705648087</v>
          </cell>
          <cell r="O205">
            <v>0.935140092125607</v>
          </cell>
          <cell r="P205">
            <v>0.96669235251307117</v>
          </cell>
          <cell r="Q205">
            <v>0.98549164220014418</v>
          </cell>
          <cell r="R205">
            <v>0.92985421452276051</v>
          </cell>
          <cell r="S205">
            <v>0.97928272624064816</v>
          </cell>
          <cell r="T205">
            <v>0.98309939088557241</v>
          </cell>
          <cell r="U205">
            <v>1.0396973498835163</v>
          </cell>
          <cell r="V205">
            <v>0.93483559934448501</v>
          </cell>
          <cell r="W205">
            <v>0.9091880045965125</v>
          </cell>
          <cell r="X205">
            <v>0.89757187162820518</v>
          </cell>
          <cell r="Y205">
            <v>0.91097344506822608</v>
          </cell>
          <cell r="Z205">
            <v>0.97389301770113879</v>
          </cell>
        </row>
        <row r="206">
          <cell r="C206">
            <v>1.0593195754050577</v>
          </cell>
          <cell r="D206">
            <v>1.0674739744468278</v>
          </cell>
          <cell r="E206">
            <v>1.0345456165428042</v>
          </cell>
          <cell r="F206">
            <v>1</v>
          </cell>
          <cell r="G206">
            <v>1.0554821323804489</v>
          </cell>
          <cell r="H206">
            <v>1.0431019552212766</v>
          </cell>
          <cell r="I206">
            <v>1.0121107118596611</v>
          </cell>
          <cell r="J206">
            <v>1.0088375582355722</v>
          </cell>
          <cell r="K206">
            <v>0.99633967327821404</v>
          </cell>
          <cell r="L206">
            <v>0.99633967327821404</v>
          </cell>
          <cell r="M206">
            <v>1.0231781964385422</v>
          </cell>
          <cell r="N206">
            <v>1.0362957632055132</v>
          </cell>
          <cell r="O206">
            <v>0.96744508316198075</v>
          </cell>
          <cell r="P206">
            <v>1.000087335837849</v>
          </cell>
          <cell r="Q206">
            <v>1.0195360585777287</v>
          </cell>
          <cell r="R206">
            <v>0.96197660165837418</v>
          </cell>
          <cell r="S206">
            <v>1.0131126517883495</v>
          </cell>
          <cell r="T206">
            <v>1.0170611654665698</v>
          </cell>
          <cell r="U206">
            <v>1.0756143358531618</v>
          </cell>
          <cell r="V206">
            <v>0.96713007149000219</v>
          </cell>
          <cell r="W206">
            <v>0.94059646476862091</v>
          </cell>
          <cell r="X206">
            <v>0.92857904532508018</v>
          </cell>
          <cell r="Y206">
            <v>0.9424435843822303</v>
          </cell>
          <cell r="Z206">
            <v>1.0075367524443568</v>
          </cell>
        </row>
        <row r="207">
          <cell r="C207">
            <v>1.0036357252357786</v>
          </cell>
          <cell r="D207">
            <v>1.0113614827750175</v>
          </cell>
          <cell r="E207">
            <v>0.98016402628206878</v>
          </cell>
          <cell r="F207">
            <v>0.94743432344485179</v>
          </cell>
          <cell r="G207">
            <v>1</v>
          </cell>
          <cell r="H207">
            <v>0.98827059522907235</v>
          </cell>
          <cell r="I207">
            <v>0.95890842754204542</v>
          </cell>
          <cell r="J207">
            <v>0.95580732945267566</v>
          </cell>
          <cell r="K207">
            <v>0.94396640427360945</v>
          </cell>
          <cell r="L207">
            <v>0.94396640427360945</v>
          </cell>
          <cell r="M207">
            <v>0.96939414230627396</v>
          </cell>
          <cell r="N207">
            <v>0.98182217530138172</v>
          </cell>
          <cell r="O207">
            <v>0.91659067783561965</v>
          </cell>
          <cell r="P207">
            <v>0.94751706841529681</v>
          </cell>
          <cell r="Q207">
            <v>0.96594345588622121</v>
          </cell>
          <cell r="R207">
            <v>0.91140965076197944</v>
          </cell>
          <cell r="S207">
            <v>0.95985769982051461</v>
          </cell>
          <cell r="T207">
            <v>0.96359865720585203</v>
          </cell>
          <cell r="U207">
            <v>1.019073940576624</v>
          </cell>
          <cell r="V207">
            <v>0.91629222496530138</v>
          </cell>
          <cell r="W207">
            <v>0.89115337523267779</v>
          </cell>
          <cell r="X207">
            <v>0.8797676595726337</v>
          </cell>
          <cell r="Y207">
            <v>0.89290339975411948</v>
          </cell>
          <cell r="Z207">
            <v>0.95457490139794221</v>
          </cell>
        </row>
        <row r="208">
          <cell r="C208">
            <v>1.01554749284344</v>
          </cell>
          <cell r="D208">
            <v>1.0233649444366932</v>
          </cell>
          <cell r="E208">
            <v>0.99179721729439441</v>
          </cell>
          <cell r="F208">
            <v>0.95867905816346277</v>
          </cell>
          <cell r="G208">
            <v>1.011868616578852</v>
          </cell>
          <cell r="H208">
            <v>1</v>
          </cell>
          <cell r="I208">
            <v>0.97028934400277167</v>
          </cell>
          <cell r="J208">
            <v>0.96715144016920584</v>
          </cell>
          <cell r="K208">
            <v>0.95516997958925043</v>
          </cell>
          <cell r="L208">
            <v>0.95516997958925043</v>
          </cell>
          <cell r="M208">
            <v>0.9808995096950921</v>
          </cell>
          <cell r="N208">
            <v>0.99347504624864813</v>
          </cell>
          <cell r="O208">
            <v>0.92746934115060065</v>
          </cell>
          <cell r="P208">
            <v>0.95876278520223579</v>
          </cell>
          <cell r="Q208">
            <v>0.97740786840098604</v>
          </cell>
          <cell r="R208">
            <v>0.92222682245313869</v>
          </cell>
          <cell r="S208">
            <v>0.97124988282994307</v>
          </cell>
          <cell r="T208">
            <v>0.9750352402041248</v>
          </cell>
          <cell r="U208">
            <v>1.0311689384428278</v>
          </cell>
          <cell r="V208">
            <v>0.92716734605759765</v>
          </cell>
          <cell r="W208">
            <v>0.90173013295626414</v>
          </cell>
          <cell r="X208">
            <v>0.89020928460257531</v>
          </cell>
          <cell r="Y208">
            <v>0.90350092784775449</v>
          </cell>
          <cell r="Z208">
            <v>0.96590438489842978</v>
          </cell>
        </row>
        <row r="209">
          <cell r="C209">
            <v>1.046643971842423</v>
          </cell>
          <cell r="D209">
            <v>1.0547007969962514</v>
          </cell>
          <cell r="E209">
            <v>1.0221664531560199</v>
          </cell>
          <cell r="F209">
            <v>0.98803420246643892</v>
          </cell>
          <cell r="G209">
            <v>1.042852446884093</v>
          </cell>
          <cell r="H209">
            <v>1.0306204084182371</v>
          </cell>
          <cell r="I209">
            <v>1</v>
          </cell>
          <cell r="J209">
            <v>0.99676601226947315</v>
          </cell>
          <cell r="K209">
            <v>0.98441767447311257</v>
          </cell>
          <cell r="L209">
            <v>0.98441767447311257</v>
          </cell>
          <cell r="M209">
            <v>1.0109350532992043</v>
          </cell>
          <cell r="N209">
            <v>1.0238956579181089</v>
          </cell>
          <cell r="O209">
            <v>0.95586883117202537</v>
          </cell>
          <cell r="P209">
            <v>0.98812049326133489</v>
          </cell>
          <cell r="Q209">
            <v>1.0073364965226228</v>
          </cell>
          <cell r="R209">
            <v>0.9504657844109069</v>
          </cell>
          <cell r="S209">
            <v>1.0009899509183608</v>
          </cell>
          <cell r="T209">
            <v>1.0048912174813491</v>
          </cell>
          <cell r="U209">
            <v>1.0627437524861472</v>
          </cell>
          <cell r="V209">
            <v>0.95555758886593434</v>
          </cell>
          <cell r="W209">
            <v>0.92934147791041632</v>
          </cell>
          <cell r="X209">
            <v>0.91746785647481288</v>
          </cell>
          <cell r="Y209">
            <v>0.93116649526470896</v>
          </cell>
          <cell r="Z209">
            <v>0.9954807716569859</v>
          </cell>
        </row>
        <row r="210">
          <cell r="C210">
            <v>1.0500397876321905</v>
          </cell>
          <cell r="D210">
            <v>1.0581227529968344</v>
          </cell>
          <cell r="E210">
            <v>1.025482852117634</v>
          </cell>
          <cell r="F210">
            <v>0.99123986001172593</v>
          </cell>
          <cell r="G210">
            <v>1.046235961145674</v>
          </cell>
          <cell r="H210">
            <v>1.033964236071496</v>
          </cell>
          <cell r="I210">
            <v>1.0032444803401388</v>
          </cell>
          <cell r="J210">
            <v>1</v>
          </cell>
          <cell r="K210">
            <v>0.98761159826442568</v>
          </cell>
          <cell r="L210">
            <v>0.98761159826442568</v>
          </cell>
          <cell r="M210">
            <v>1.0142150122047908</v>
          </cell>
          <cell r="N210">
            <v>1.0272176672505775</v>
          </cell>
          <cell r="O210">
            <v>0.95897012880251442</v>
          </cell>
          <cell r="P210">
            <v>0.9913264307754095</v>
          </cell>
          <cell r="Q210">
            <v>1.0106047799814948</v>
          </cell>
          <cell r="R210">
            <v>0.95354955196240265</v>
          </cell>
          <cell r="S210">
            <v>1.0042376431347919</v>
          </cell>
          <cell r="T210">
            <v>1.0081515672804455</v>
          </cell>
          <cell r="U210">
            <v>1.0661918036976936</v>
          </cell>
          <cell r="V210">
            <v>0.95865787667688029</v>
          </cell>
          <cell r="W210">
            <v>0.93235670806477211</v>
          </cell>
          <cell r="X210">
            <v>0.92044456289785459</v>
          </cell>
          <cell r="Y210">
            <v>0.93418764665199117</v>
          </cell>
          <cell r="Z210">
            <v>0.99871058944961311</v>
          </cell>
        </row>
        <row r="211">
          <cell r="C211">
            <v>1.0632112760496866</v>
          </cell>
          <cell r="D211">
            <v>1.0713956325101093</v>
          </cell>
          <cell r="E211">
            <v>1.0383463032631057</v>
          </cell>
          <cell r="F211">
            <v>1.0036737739346888</v>
          </cell>
          <cell r="G211">
            <v>1.0593597351269179</v>
          </cell>
          <cell r="H211">
            <v>1.0469340759955916</v>
          </cell>
          <cell r="I211">
            <v>1.0158289778119105</v>
          </cell>
          <cell r="J211">
            <v>1.0125437993613533</v>
          </cell>
          <cell r="K211">
            <v>1</v>
          </cell>
          <cell r="L211">
            <v>1</v>
          </cell>
          <cell r="M211">
            <v>1.0269371218271601</v>
          </cell>
          <cell r="N211">
            <v>1.0401028795690062</v>
          </cell>
          <cell r="O211">
            <v>0.97099925769174422</v>
          </cell>
          <cell r="P211">
            <v>1.0037614306246627</v>
          </cell>
          <cell r="Q211">
            <v>1.023281603575207</v>
          </cell>
          <cell r="R211">
            <v>0.96551068622332725</v>
          </cell>
          <cell r="S211">
            <v>1.0168345986413929</v>
          </cell>
          <cell r="T211">
            <v>1.0207976182662453</v>
          </cell>
          <cell r="U211">
            <v>1.079565899763997</v>
          </cell>
          <cell r="V211">
            <v>0.97068308873809594</v>
          </cell>
          <cell r="W211">
            <v>0.94405200354394847</v>
          </cell>
          <cell r="X211">
            <v>0.93199043481809374</v>
          </cell>
          <cell r="Y211">
            <v>0.94590590905744854</v>
          </cell>
          <cell r="Z211">
            <v>1.011238214703728</v>
          </cell>
        </row>
        <row r="212">
          <cell r="C212">
            <v>1.0632112760496866</v>
          </cell>
          <cell r="D212">
            <v>1.0713956325101093</v>
          </cell>
          <cell r="E212">
            <v>1.0383463032631057</v>
          </cell>
          <cell r="F212">
            <v>1.0036737739346888</v>
          </cell>
          <cell r="G212">
            <v>1.0593597351269179</v>
          </cell>
          <cell r="H212">
            <v>1.0469340759955916</v>
          </cell>
          <cell r="I212">
            <v>1.0158289778119105</v>
          </cell>
          <cell r="J212">
            <v>1.0125437993613533</v>
          </cell>
          <cell r="K212">
            <v>1</v>
          </cell>
          <cell r="L212">
            <v>1</v>
          </cell>
          <cell r="M212">
            <v>1.0269371218271601</v>
          </cell>
          <cell r="N212">
            <v>1.0401028795690062</v>
          </cell>
          <cell r="O212">
            <v>0.97099925769174422</v>
          </cell>
          <cell r="P212">
            <v>1.0037614306246627</v>
          </cell>
          <cell r="Q212">
            <v>1.023281603575207</v>
          </cell>
          <cell r="R212">
            <v>0.96551068622332725</v>
          </cell>
          <cell r="S212">
            <v>1.0168345986413929</v>
          </cell>
          <cell r="T212">
            <v>1.0207976182662453</v>
          </cell>
          <cell r="U212">
            <v>1.079565899763997</v>
          </cell>
          <cell r="V212">
            <v>0.97068308873809594</v>
          </cell>
          <cell r="W212">
            <v>0.94405200354394847</v>
          </cell>
          <cell r="X212">
            <v>0.93199043481809374</v>
          </cell>
          <cell r="Y212">
            <v>0.94590590905744854</v>
          </cell>
          <cell r="Z212">
            <v>1.011238214703728</v>
          </cell>
        </row>
        <row r="213">
          <cell r="C213">
            <v>1.035322663336959</v>
          </cell>
          <cell r="D213">
            <v>1.0432923396554672</v>
          </cell>
          <cell r="E213">
            <v>1.0111099123728686</v>
          </cell>
          <cell r="F213">
            <v>0.97734686243391389</v>
          </cell>
          <cell r="G213">
            <v>1.0315721504370885</v>
          </cell>
          <cell r="H213">
            <v>1.0194724231341956</v>
          </cell>
          <cell r="I213">
            <v>0.98918322867179487</v>
          </cell>
          <cell r="J213">
            <v>0.98598422224702731</v>
          </cell>
          <cell r="K213">
            <v>0.97376945359689338</v>
          </cell>
          <cell r="L213">
            <v>0.97376945359689338</v>
          </cell>
          <cell r="M213">
            <v>1</v>
          </cell>
          <cell r="N213">
            <v>1.0128204127224665</v>
          </cell>
          <cell r="O213">
            <v>0.94552941660547873</v>
          </cell>
          <cell r="P213">
            <v>0.97743221984101369</v>
          </cell>
          <cell r="Q213">
            <v>0.99644036798918223</v>
          </cell>
          <cell r="R213">
            <v>0.94018481336565096</v>
          </cell>
          <cell r="S213">
            <v>0.99016247151744563</v>
          </cell>
          <cell r="T213">
            <v>0.99402153897213164</v>
          </cell>
          <cell r="U213">
            <v>1.0512482963350258</v>
          </cell>
          <cell r="V213">
            <v>0.94522154093624045</v>
          </cell>
          <cell r="W213">
            <v>0.91928900365804311</v>
          </cell>
          <cell r="X213">
            <v>0.90754381647034621</v>
          </cell>
          <cell r="Y213">
            <v>0.92109428021694428</v>
          </cell>
          <cell r="Z213">
            <v>0.98471288378834709</v>
          </cell>
        </row>
        <row r="214">
          <cell r="C214">
            <v>1.0222174141948881</v>
          </cell>
          <cell r="D214">
            <v>1.0300862093123617</v>
          </cell>
          <cell r="E214">
            <v>0.99831115138665105</v>
          </cell>
          <cell r="F214">
            <v>0.96497547853207311</v>
          </cell>
          <cell r="G214">
            <v>1.0185143757758766</v>
          </cell>
          <cell r="H214">
            <v>1.0065678083973926</v>
          </cell>
          <cell r="I214">
            <v>0.97666201850421364</v>
          </cell>
          <cell r="J214">
            <v>0.97350350551949949</v>
          </cell>
          <cell r="K214">
            <v>0.96144335300213402</v>
          </cell>
          <cell r="L214">
            <v>0.96144335300213402</v>
          </cell>
          <cell r="M214">
            <v>0.98734186973186577</v>
          </cell>
          <cell r="N214">
            <v>1</v>
          </cell>
          <cell r="O214">
            <v>0.93356078207773363</v>
          </cell>
          <cell r="P214">
            <v>0.96505975547399458</v>
          </cell>
          <cell r="Q214">
            <v>0.98382729600674756</v>
          </cell>
          <cell r="R214">
            <v>0.92828383152194704</v>
          </cell>
          <cell r="S214">
            <v>0.97762886596636012</v>
          </cell>
          <cell r="T214">
            <v>0.98143908484249121</v>
          </cell>
          <cell r="U214">
            <v>1.0379414584558628</v>
          </cell>
          <cell r="V214">
            <v>0.9332568035388229</v>
          </cell>
          <cell r="W214">
            <v>0.90765252369567628</v>
          </cell>
          <cell r="X214">
            <v>0.89605600861742485</v>
          </cell>
          <cell r="Y214">
            <v>0.90943494882872489</v>
          </cell>
          <cell r="Z214">
            <v>0.97224825982864405</v>
          </cell>
        </row>
        <row r="215">
          <cell r="C215">
            <v>1.0949661059238587</v>
          </cell>
          <cell r="D215">
            <v>1.1033949037788424</v>
          </cell>
          <cell r="E215">
            <v>1.0693584933643088</v>
          </cell>
          <cell r="F215">
            <v>1.0336504029061964</v>
          </cell>
          <cell r="G215">
            <v>1.090999531395342</v>
          </cell>
          <cell r="H215">
            <v>1.0782027562867138</v>
          </cell>
          <cell r="I215">
            <v>1.0461686450994159</v>
          </cell>
          <cell r="J215">
            <v>1.0427853485371024</v>
          </cell>
          <cell r="K215">
            <v>1.0298669047154538</v>
          </cell>
          <cell r="L215">
            <v>1.0298669047154538</v>
          </cell>
          <cell r="M215">
            <v>1.0576085549935343</v>
          </cell>
          <cell r="N215">
            <v>1.0711675331673629</v>
          </cell>
          <cell r="O215">
            <v>1</v>
          </cell>
          <cell r="P215">
            <v>1.0337406776301772</v>
          </cell>
          <cell r="Q215">
            <v>1.0538438577262648</v>
          </cell>
          <cell r="R215">
            <v>0.99434750189051191</v>
          </cell>
          <cell r="S215">
            <v>1.0472043007103924</v>
          </cell>
          <cell r="T215">
            <v>1.0512856834647655</v>
          </cell>
          <cell r="U215">
            <v>1.1118091916263015</v>
          </cell>
          <cell r="V215">
            <v>0.99967438805833919</v>
          </cell>
          <cell r="W215">
            <v>0.97224791478022887</v>
          </cell>
          <cell r="X215">
            <v>0.95982610433052029</v>
          </cell>
          <cell r="Y215">
            <v>0.97415719071305218</v>
          </cell>
          <cell r="Z215">
            <v>1.0414407701069099</v>
          </cell>
        </row>
        <row r="216">
          <cell r="C216">
            <v>1.0592270669216957</v>
          </cell>
          <cell r="D216">
            <v>1.067380753854386</v>
          </cell>
          <cell r="E216">
            <v>1.0344552715249482</v>
          </cell>
          <cell r="F216">
            <v>0.99991267178903342</v>
          </cell>
          <cell r="G216">
            <v>1.0553899590141207</v>
          </cell>
          <cell r="H216">
            <v>1.0430108629936714</v>
          </cell>
          <cell r="I216">
            <v>1.0120223260418943</v>
          </cell>
          <cell r="J216">
            <v>1.0087494582564556</v>
          </cell>
          <cell r="K216">
            <v>0.99625266471703156</v>
          </cell>
          <cell r="L216">
            <v>0.99625266471703156</v>
          </cell>
          <cell r="M216">
            <v>1.0230888441171471</v>
          </cell>
          <cell r="N216">
            <v>1.0362052653504801</v>
          </cell>
          <cell r="O216">
            <v>0.9673605979136598</v>
          </cell>
          <cell r="P216">
            <v>1</v>
          </cell>
          <cell r="Q216">
            <v>1.0194470243177172</v>
          </cell>
          <cell r="R216">
            <v>0.96189259396275961</v>
          </cell>
          <cell r="S216">
            <v>1.0130241784729612</v>
          </cell>
          <cell r="T216">
            <v>1.016972347334546</v>
          </cell>
          <cell r="U216">
            <v>1.0755204043775217</v>
          </cell>
          <cell r="V216">
            <v>0.96704561375108689</v>
          </cell>
          <cell r="W216">
            <v>0.94051432416211123</v>
          </cell>
          <cell r="X216">
            <v>0.92849795417831082</v>
          </cell>
          <cell r="Y216">
            <v>0.94236128247006923</v>
          </cell>
          <cell r="Z216">
            <v>1.0074487660622826</v>
          </cell>
        </row>
        <row r="217">
          <cell r="C217">
            <v>1.0390211964477527</v>
          </cell>
          <cell r="D217">
            <v>1.0470193432255583</v>
          </cell>
          <cell r="E217">
            <v>1.0147219491049821</v>
          </cell>
          <cell r="F217">
            <v>0.98083828579345989</v>
          </cell>
          <cell r="G217">
            <v>1.0352572854096651</v>
          </cell>
          <cell r="H217">
            <v>1.0231143336670434</v>
          </cell>
          <cell r="I217">
            <v>0.9927169356536284</v>
          </cell>
          <cell r="J217">
            <v>0.98950650126383843</v>
          </cell>
          <cell r="K217">
            <v>0.97724809720621941</v>
          </cell>
          <cell r="L217">
            <v>0.97724809720621941</v>
          </cell>
          <cell r="M217">
            <v>1.0035723482560237</v>
          </cell>
          <cell r="N217">
            <v>1.0164385599575207</v>
          </cell>
          <cell r="O217">
            <v>0.94890717696790849</v>
          </cell>
          <cell r="P217">
            <v>0.98092394812694417</v>
          </cell>
          <cell r="Q217">
            <v>1</v>
          </cell>
          <cell r="R217">
            <v>0.94354348094401774</v>
          </cell>
          <cell r="S217">
            <v>0.9936996766957511</v>
          </cell>
          <cell r="T217">
            <v>0.9975725300833288</v>
          </cell>
          <cell r="U217">
            <v>1.0550037213530861</v>
          </cell>
          <cell r="V217">
            <v>0.94859820145956009</v>
          </cell>
          <cell r="W217">
            <v>0.92257302412704267</v>
          </cell>
          <cell r="X217">
            <v>0.91078587904037922</v>
          </cell>
          <cell r="Y217">
            <v>0.92438474976251073</v>
          </cell>
          <cell r="Z217">
            <v>0.98823062114143245</v>
          </cell>
        </row>
        <row r="218">
          <cell r="C218">
            <v>1.1011905836159339</v>
          </cell>
          <cell r="D218">
            <v>1.1096672960720504</v>
          </cell>
          <cell r="E218">
            <v>1.0754374012417003</v>
          </cell>
          <cell r="F218">
            <v>1.0395263234844552</v>
          </cell>
          <cell r="G218">
            <v>1.0972014605769811</v>
          </cell>
          <cell r="H218">
            <v>1.0843319405306207</v>
          </cell>
          <cell r="I218">
            <v>1.0521157272587083</v>
          </cell>
          <cell r="J218">
            <v>1.0487131979056594</v>
          </cell>
          <cell r="K218">
            <v>1.0357213175046052</v>
          </cell>
          <cell r="L218">
            <v>1.0357213175046052</v>
          </cell>
          <cell r="M218">
            <v>1.0636206688132135</v>
          </cell>
          <cell r="N218">
            <v>1.0772567247675446</v>
          </cell>
          <cell r="O218">
            <v>1.0056846304724869</v>
          </cell>
          <cell r="P218">
            <v>1.0396171113868828</v>
          </cell>
          <cell r="Q218">
            <v>1.0598345706331387</v>
          </cell>
          <cell r="R218">
            <v>1</v>
          </cell>
          <cell r="S218">
            <v>1.0531572701891301</v>
          </cell>
          <cell r="T218">
            <v>1.0572618540962784</v>
          </cell>
          <cell r="U218">
            <v>1.1181294160366113</v>
          </cell>
          <cell r="V218">
            <v>1.0053571675472603</v>
          </cell>
          <cell r="W218">
            <v>0.97777478490340042</v>
          </cell>
          <cell r="X218">
            <v>0.9652823610514859</v>
          </cell>
          <cell r="Y218">
            <v>0.97969491436437184</v>
          </cell>
          <cell r="Z218">
            <v>1.04736097604395</v>
          </cell>
        </row>
        <row r="219">
          <cell r="C219">
            <v>1.045608870380943</v>
          </cell>
          <cell r="D219">
            <v>1.053657727561214</v>
          </cell>
          <cell r="E219">
            <v>1.0211555592723289</v>
          </cell>
          <cell r="F219">
            <v>0.98705706441904273</v>
          </cell>
          <cell r="G219">
            <v>1.0418210951341971</v>
          </cell>
          <cell r="H219">
            <v>1.029601153810477</v>
          </cell>
          <cell r="I219">
            <v>0.99901102811526465</v>
          </cell>
          <cell r="J219">
            <v>0.99578023870767896</v>
          </cell>
          <cell r="K219">
            <v>0.98344411307022206</v>
          </cell>
          <cell r="L219">
            <v>0.98344411307022206</v>
          </cell>
          <cell r="M219">
            <v>1.0099352669541981</v>
          </cell>
          <cell r="N219">
            <v>1.0228830538995253</v>
          </cell>
          <cell r="O219">
            <v>0.95492350377250135</v>
          </cell>
          <cell r="P219">
            <v>0.98714326987476864</v>
          </cell>
          <cell r="Q219">
            <v>1.0063402690490941</v>
          </cell>
          <cell r="R219">
            <v>0.94952580047272162</v>
          </cell>
          <cell r="S219">
            <v>1</v>
          </cell>
          <cell r="T219">
            <v>1.0038974083200425</v>
          </cell>
          <cell r="U219">
            <v>1.0616927287942601</v>
          </cell>
          <cell r="V219">
            <v>0.95461256927630045</v>
          </cell>
          <cell r="W219">
            <v>0.92842238531744448</v>
          </cell>
          <cell r="X219">
            <v>0.91656050655961085</v>
          </cell>
          <cell r="Y219">
            <v>0.93024559778088456</v>
          </cell>
          <cell r="Z219">
            <v>0.99449626916202249</v>
          </cell>
        </row>
        <row r="220">
          <cell r="C220">
            <v>1.0415495265902737</v>
          </cell>
          <cell r="D220">
            <v>1.0495671358734178</v>
          </cell>
          <cell r="E220">
            <v>1.0171911500211628</v>
          </cell>
          <cell r="F220">
            <v>0.98322503498720937</v>
          </cell>
          <cell r="G220">
            <v>1.0377764565381411</v>
          </cell>
          <cell r="H220">
            <v>1.0256039564176662</v>
          </cell>
          <cell r="I220">
            <v>0.99513259007914467</v>
          </cell>
          <cell r="J220">
            <v>0.99191434349258134</v>
          </cell>
          <cell r="K220">
            <v>0.97962611011811673</v>
          </cell>
          <cell r="L220">
            <v>0.97962611011811673</v>
          </cell>
          <cell r="M220">
            <v>1.0060144179914354</v>
          </cell>
          <cell r="N220">
            <v>1.0189119380348375</v>
          </cell>
          <cell r="O220">
            <v>0.9512162257401422</v>
          </cell>
          <cell r="P220">
            <v>0.98331090576943414</v>
          </cell>
          <cell r="Q220">
            <v>1.0024333768658089</v>
          </cell>
          <cell r="R220">
            <v>0.94583947782243172</v>
          </cell>
          <cell r="S220">
            <v>0.99611772250058439</v>
          </cell>
          <cell r="T220">
            <v>1</v>
          </cell>
          <cell r="U220">
            <v>1.0575709430019691</v>
          </cell>
          <cell r="V220">
            <v>0.95090649837793972</v>
          </cell>
          <cell r="W220">
            <v>0.92481799198097281</v>
          </cell>
          <cell r="X220">
            <v>0.91300216432814141</v>
          </cell>
          <cell r="Y220">
            <v>0.92663412622768937</v>
          </cell>
          <cell r="Z220">
            <v>0.9906353586730019</v>
          </cell>
        </row>
        <row r="221">
          <cell r="C221">
            <v>0.9848507407302457</v>
          </cell>
          <cell r="D221">
            <v>0.99243189576877744</v>
          </cell>
          <cell r="E221">
            <v>0.96181836003721299</v>
          </cell>
          <cell r="F221">
            <v>0.92970125691641547</v>
          </cell>
          <cell r="G221">
            <v>0.98128306512692165</v>
          </cell>
          <cell r="H221">
            <v>0.9697731988611914</v>
          </cell>
          <cell r="I221">
            <v>0.94096060095449496</v>
          </cell>
          <cell r="J221">
            <v>0.93791754591609899</v>
          </cell>
          <cell r="K221">
            <v>0.9262982465624463</v>
          </cell>
          <cell r="L221">
            <v>0.9262982465624463</v>
          </cell>
          <cell r="M221">
            <v>0.95125005527838369</v>
          </cell>
          <cell r="N221">
            <v>0.96344547358932164</v>
          </cell>
          <cell r="O221">
            <v>0.89943490981329965</v>
          </cell>
          <cell r="P221">
            <v>0.92978245315463759</v>
          </cell>
          <cell r="Q221">
            <v>0.9478639551313226</v>
          </cell>
          <cell r="R221">
            <v>0.89435085568597239</v>
          </cell>
          <cell r="S221">
            <v>0.94189210576555127</v>
          </cell>
          <cell r="T221">
            <v>0.94556304389514434</v>
          </cell>
          <cell r="U221">
            <v>1</v>
          </cell>
          <cell r="V221">
            <v>0.89914204306591772</v>
          </cell>
          <cell r="W221">
            <v>0.87447371554652376</v>
          </cell>
          <cell r="X221">
            <v>0.86330110558497219</v>
          </cell>
          <cell r="Y221">
            <v>0.87619098497297132</v>
          </cell>
          <cell r="Z221">
            <v>0.93670818513700183</v>
          </cell>
        </row>
        <row r="222">
          <cell r="C222">
            <v>1.0953227560932155</v>
          </cell>
          <cell r="D222">
            <v>1.1037542993593732</v>
          </cell>
          <cell r="E222">
            <v>1.0697068026733352</v>
          </cell>
          <cell r="F222">
            <v>1.0339870814474386</v>
          </cell>
          <cell r="G222">
            <v>1.0913548895799792</v>
          </cell>
          <cell r="H222">
            <v>1.0785539463313647</v>
          </cell>
          <cell r="I222">
            <v>1.0465094010574605</v>
          </cell>
          <cell r="J222">
            <v>1.0431250024945597</v>
          </cell>
          <cell r="K222">
            <v>1.0302023509032352</v>
          </cell>
          <cell r="L222">
            <v>1.0302023509032352</v>
          </cell>
          <cell r="M222">
            <v>1.0579530371361423</v>
          </cell>
          <cell r="N222">
            <v>1.0715164317132144</v>
          </cell>
          <cell r="O222">
            <v>1.000325717999331</v>
          </cell>
          <cell r="P222">
            <v>1.0340773855755219</v>
          </cell>
          <cell r="Q222">
            <v>1.0541871136392105</v>
          </cell>
          <cell r="R222">
            <v>0.99467137876946754</v>
          </cell>
          <cell r="S222">
            <v>1.0475453940001105</v>
          </cell>
          <cell r="T222">
            <v>1.0516281061343089</v>
          </cell>
          <cell r="U222">
            <v>1.1121713278918359</v>
          </cell>
          <cell r="V222">
            <v>1</v>
          </cell>
          <cell r="W222">
            <v>0.97256459342588486</v>
          </cell>
          <cell r="X222">
            <v>0.96013873696892849</v>
          </cell>
          <cell r="Y222">
            <v>0.97447449124424512</v>
          </cell>
          <cell r="Z222">
            <v>1.0417799861109709</v>
          </cell>
        </row>
        <row r="223">
          <cell r="C223">
            <v>1.1262210895781346</v>
          </cell>
          <cell r="D223">
            <v>1.1348904811261626</v>
          </cell>
          <cell r="E223">
            <v>1.0998825269849317</v>
          </cell>
          <cell r="F223">
            <v>1.06315517595103</v>
          </cell>
          <cell r="G223">
            <v>1.1221412921641043</v>
          </cell>
          <cell r="H223">
            <v>1.1089792427381397</v>
          </cell>
          <cell r="I223">
            <v>1.0760307419490802</v>
          </cell>
          <cell r="J223">
            <v>1.0725508717319472</v>
          </cell>
          <cell r="K223">
            <v>1.0592636806510913</v>
          </cell>
          <cell r="L223">
            <v>1.0592636806510913</v>
          </cell>
          <cell r="M223">
            <v>1.0877971954638759</v>
          </cell>
          <cell r="N223">
            <v>1.1017432044680644</v>
          </cell>
          <cell r="O223">
            <v>1.0285442476120346</v>
          </cell>
          <cell r="P223">
            <v>1.0632480274990852</v>
          </cell>
          <cell r="Q223">
            <v>1.0839250377456249</v>
          </cell>
          <cell r="R223">
            <v>1.0227304031968827</v>
          </cell>
          <cell r="S223">
            <v>1.0770959595702572</v>
          </cell>
          <cell r="T223">
            <v>1.0812938423245706</v>
          </cell>
          <cell r="U223">
            <v>1.1435449484894185</v>
          </cell>
          <cell r="V223">
            <v>1.0282093413224855</v>
          </cell>
          <cell r="W223">
            <v>1</v>
          </cell>
          <cell r="X223">
            <v>0.9872236183170251</v>
          </cell>
          <cell r="Y223">
            <v>1.0019637747778094</v>
          </cell>
          <cell r="Z223">
            <v>1.0711679133221095</v>
          </cell>
        </row>
        <row r="224">
          <cell r="C224">
            <v>1.140796339028098</v>
          </cell>
          <cell r="D224">
            <v>1.1495779275022546</v>
          </cell>
          <cell r="E224">
            <v>1.1141169098648214</v>
          </cell>
          <cell r="F224">
            <v>1.0769142433640817</v>
          </cell>
          <cell r="G224">
            <v>1.1366637419767984</v>
          </cell>
          <cell r="H224">
            <v>1.1233313528587152</v>
          </cell>
          <cell r="I224">
            <v>1.0899564414630289</v>
          </cell>
          <cell r="J224">
            <v>1.0864315357045289</v>
          </cell>
          <cell r="K224">
            <v>1.0729723853820241</v>
          </cell>
          <cell r="L224">
            <v>1.0729723853820241</v>
          </cell>
          <cell r="M224">
            <v>1.1018751732442384</v>
          </cell>
          <cell r="N224">
            <v>1.1160016677338687</v>
          </cell>
          <cell r="O224">
            <v>1.0418553897296856</v>
          </cell>
          <cell r="P224">
            <v>1.0770082965718175</v>
          </cell>
          <cell r="Q224">
            <v>1.0979529031056328</v>
          </cell>
          <cell r="R224">
            <v>1.0359663041088785</v>
          </cell>
          <cell r="S224">
            <v>1.0910354448432287</v>
          </cell>
          <cell r="T224">
            <v>1.0952876554634221</v>
          </cell>
          <cell r="U224">
            <v>1.1583443986468669</v>
          </cell>
          <cell r="V224">
            <v>1.0415161491733058</v>
          </cell>
          <cell r="W224">
            <v>1.0129417301672294</v>
          </cell>
          <cell r="X224">
            <v>1</v>
          </cell>
          <cell r="Y224">
            <v>1.0149309195883225</v>
          </cell>
          <cell r="Z224">
            <v>1.0850306794201185</v>
          </cell>
        </row>
        <row r="225">
          <cell r="C225">
            <v>1.1240137796677128</v>
          </cell>
          <cell r="D225">
            <v>1.1326661798504944</v>
          </cell>
          <cell r="E225">
            <v>1.0977268387061561</v>
          </cell>
          <cell r="F225">
            <v>1.0610714705596918</v>
          </cell>
          <cell r="G225">
            <v>1.119941978354402</v>
          </cell>
          <cell r="H225">
            <v>1.1068057255703296</v>
          </cell>
          <cell r="I225">
            <v>1.073921801402147</v>
          </cell>
          <cell r="J225">
            <v>1.0704487514728671</v>
          </cell>
          <cell r="K225">
            <v>1.0571876023022773</v>
          </cell>
          <cell r="L225">
            <v>1.0571876023022773</v>
          </cell>
          <cell r="M225">
            <v>1.0856651935396571</v>
          </cell>
          <cell r="N225">
            <v>1.0995838693992519</v>
          </cell>
          <cell r="O225">
            <v>1.0265283770764262</v>
          </cell>
          <cell r="P225">
            <v>1.0611641401255907</v>
          </cell>
          <cell r="Q225">
            <v>1.0818006249637027</v>
          </cell>
          <cell r="R225">
            <v>1.0207259273656659</v>
          </cell>
          <cell r="S225">
            <v>1.0749849312756927</v>
          </cell>
          <cell r="T225">
            <v>1.0791745864907671</v>
          </cell>
          <cell r="U225">
            <v>1.1413036850988005</v>
          </cell>
          <cell r="V225">
            <v>1.0261941271783963</v>
          </cell>
          <cell r="W225">
            <v>0.99804007407528783</v>
          </cell>
          <cell r="X225">
            <v>0.98528873315399745</v>
          </cell>
          <cell r="Y225">
            <v>1</v>
          </cell>
          <cell r="Z225">
            <v>1.0690685035590697</v>
          </cell>
        </row>
        <row r="226">
          <cell r="C226">
            <v>1.0513954680413118</v>
          </cell>
          <cell r="D226">
            <v>1.0594888691226987</v>
          </cell>
          <cell r="E226">
            <v>1.0268068276744466</v>
          </cell>
          <cell r="F226">
            <v>0.99251962528803839</v>
          </cell>
          <cell r="G226">
            <v>1.0475867305284627</v>
          </cell>
          <cell r="H226">
            <v>1.0352991617334417</v>
          </cell>
          <cell r="I226">
            <v>1.0045397444849606</v>
          </cell>
          <cell r="J226">
            <v>1.0012910752764697</v>
          </cell>
          <cell r="K226">
            <v>0.98888667918169959</v>
          </cell>
          <cell r="L226">
            <v>0.98888667918169959</v>
          </cell>
          <cell r="M226">
            <v>1.0155244401320729</v>
          </cell>
          <cell r="N226">
            <v>1.0285438825843176</v>
          </cell>
          <cell r="O226">
            <v>0.96020823142668421</v>
          </cell>
          <cell r="P226">
            <v>0.99260630782109449</v>
          </cell>
          <cell r="Q226">
            <v>1.0119095468272108</v>
          </cell>
          <cell r="R226">
            <v>0.95478065621383001</v>
          </cell>
          <cell r="S226">
            <v>1.0055341895275434</v>
          </cell>
          <cell r="T226">
            <v>1.0094531668438953</v>
          </cell>
          <cell r="U226">
            <v>1.0675683375754224</v>
          </cell>
          <cell r="V226">
            <v>0.95989557616005072</v>
          </cell>
          <cell r="W226">
            <v>0.93356045075940519</v>
          </cell>
          <cell r="X226">
            <v>0.92163292611637293</v>
          </cell>
          <cell r="Y226">
            <v>0.93539375322616702</v>
          </cell>
          <cell r="Z226">
            <v>1</v>
          </cell>
        </row>
        <row r="231">
          <cell r="C231">
            <v>1</v>
          </cell>
          <cell r="D231">
            <v>1.0076977705605525</v>
          </cell>
          <cell r="E231">
            <v>0.97661332855783334</v>
          </cell>
          <cell r="F231">
            <v>0.94400219085692305</v>
          </cell>
          <cell r="G231">
            <v>0.99637744537748052</v>
          </cell>
          <cell r="H231">
            <v>0.98469053101602522</v>
          </cell>
          <cell r="I231">
            <v>0.95543472938528007</v>
          </cell>
          <cell r="J231">
            <v>0.95234486519312878</v>
          </cell>
          <cell r="K231">
            <v>0.94054683441230502</v>
          </cell>
          <cell r="L231">
            <v>0.94054683441230502</v>
          </cell>
          <cell r="M231">
            <v>0.96588245907501902</v>
          </cell>
          <cell r="N231">
            <v>0.97826547084175153</v>
          </cell>
          <cell r="O231">
            <v>0.913270278038668</v>
          </cell>
          <cell r="P231">
            <v>0.94408463607919291</v>
          </cell>
          <cell r="Q231">
            <v>0.96244427295500823</v>
          </cell>
          <cell r="R231">
            <v>0.90810801951860276</v>
          </cell>
          <cell r="S231">
            <v>0.95638056287306883</v>
          </cell>
          <cell r="T231">
            <v>0.96010796843593738</v>
          </cell>
          <cell r="U231">
            <v>1.0153822895624991</v>
          </cell>
          <cell r="V231">
            <v>0.91297290633017469</v>
          </cell>
          <cell r="W231">
            <v>0.88792512345385477</v>
          </cell>
          <cell r="X231">
            <v>0.87658065317070577</v>
          </cell>
          <cell r="Y231">
            <v>0.88966880841587681</v>
          </cell>
          <cell r="Z231">
            <v>0.95111690167634211</v>
          </cell>
        </row>
        <row r="232">
          <cell r="C232">
            <v>0.99236103245889828</v>
          </cell>
          <cell r="D232">
            <v>1</v>
          </cell>
          <cell r="E232">
            <v>0.96915301104077278</v>
          </cell>
          <cell r="F232">
            <v>0.9367909887622381</v>
          </cell>
          <cell r="G232">
            <v>0.98876615041355609</v>
          </cell>
          <cell r="H232">
            <v>0.97716851201156363</v>
          </cell>
          <cell r="I232">
            <v>0.94813619449986464</v>
          </cell>
          <cell r="J232">
            <v>0.94506993367998371</v>
          </cell>
          <cell r="K232">
            <v>0.93336202767334342</v>
          </cell>
          <cell r="L232">
            <v>0.93336202767334342</v>
          </cell>
          <cell r="M232">
            <v>0.95850411432162552</v>
          </cell>
          <cell r="N232">
            <v>0.97079253266341092</v>
          </cell>
          <cell r="O232">
            <v>0.90629383602847768</v>
          </cell>
          <cell r="P232">
            <v>0.93687280418813113</v>
          </cell>
          <cell r="Q232">
            <v>0.95509219239378562</v>
          </cell>
          <cell r="R232">
            <v>0.90117101183368598</v>
          </cell>
          <cell r="S232">
            <v>0.94907480279634093</v>
          </cell>
          <cell r="T232">
            <v>0.95277373482910221</v>
          </cell>
          <cell r="U232">
            <v>1.0076258172107215</v>
          </cell>
          <cell r="V232">
            <v>0.90599873593281322</v>
          </cell>
          <cell r="W232">
            <v>0.88114229225686214</v>
          </cell>
          <cell r="X232">
            <v>0.86988448201397706</v>
          </cell>
          <cell r="Y232">
            <v>0.88287265726605735</v>
          </cell>
          <cell r="Z232">
            <v>0.94385135053664326</v>
          </cell>
        </row>
        <row r="233">
          <cell r="C233">
            <v>1.0239467051680544</v>
          </cell>
          <cell r="D233">
            <v>1.0318288119706718</v>
          </cell>
          <cell r="E233">
            <v>1</v>
          </cell>
          <cell r="F233">
            <v>0.9666079329993712</v>
          </cell>
          <cell r="G233">
            <v>1.0202374022980343</v>
          </cell>
          <cell r="H233">
            <v>1.008270624844041</v>
          </cell>
          <cell r="I233">
            <v>0.97831424315718918</v>
          </cell>
          <cell r="J233">
            <v>0.9751503868982192</v>
          </cell>
          <cell r="K233">
            <v>0.96306983215272324</v>
          </cell>
          <cell r="L233">
            <v>0.96306983215272324</v>
          </cell>
          <cell r="M233">
            <v>0.98901216154948379</v>
          </cell>
          <cell r="N233">
            <v>1.001691705648087</v>
          </cell>
          <cell r="O233">
            <v>0.935140092125607</v>
          </cell>
          <cell r="P233">
            <v>0.96669235251307117</v>
          </cell>
          <cell r="Q233">
            <v>0.98549164220014418</v>
          </cell>
          <cell r="R233">
            <v>0.92985421452276051</v>
          </cell>
          <cell r="S233">
            <v>0.97928272624064816</v>
          </cell>
          <cell r="T233">
            <v>0.98309939088557241</v>
          </cell>
          <cell r="U233">
            <v>1.0396973498835163</v>
          </cell>
          <cell r="V233">
            <v>0.93483559934448501</v>
          </cell>
          <cell r="W233">
            <v>0.9091880045965125</v>
          </cell>
          <cell r="X233">
            <v>0.89757187162820518</v>
          </cell>
          <cell r="Y233">
            <v>0.91097344506822608</v>
          </cell>
          <cell r="Z233">
            <v>0.97389301770113879</v>
          </cell>
        </row>
        <row r="234">
          <cell r="C234">
            <v>1.0593195754050577</v>
          </cell>
          <cell r="D234">
            <v>1.0674739744468278</v>
          </cell>
          <cell r="E234">
            <v>1.0345456165428042</v>
          </cell>
          <cell r="F234">
            <v>1</v>
          </cell>
          <cell r="G234">
            <v>1.0554821323804489</v>
          </cell>
          <cell r="H234">
            <v>1.0431019552212766</v>
          </cell>
          <cell r="I234">
            <v>1.0121107118596611</v>
          </cell>
          <cell r="J234">
            <v>1.0088375582355722</v>
          </cell>
          <cell r="K234">
            <v>0.99633967327821404</v>
          </cell>
          <cell r="L234">
            <v>0.99633967327821404</v>
          </cell>
          <cell r="M234">
            <v>1.0231781964385422</v>
          </cell>
          <cell r="N234">
            <v>1.0362957632055132</v>
          </cell>
          <cell r="O234">
            <v>0.96744508316198075</v>
          </cell>
          <cell r="P234">
            <v>1.000087335837849</v>
          </cell>
          <cell r="Q234">
            <v>1.0195360585777287</v>
          </cell>
          <cell r="R234">
            <v>0.96197660165837418</v>
          </cell>
          <cell r="S234">
            <v>1.0131126517883495</v>
          </cell>
          <cell r="T234">
            <v>1.0170611654665698</v>
          </cell>
          <cell r="U234">
            <v>1.0756143358531618</v>
          </cell>
          <cell r="V234">
            <v>0.96713007149000219</v>
          </cell>
          <cell r="W234">
            <v>0.94059646476862091</v>
          </cell>
          <cell r="X234">
            <v>0.92857904532508018</v>
          </cell>
          <cell r="Y234">
            <v>0.9424435843822303</v>
          </cell>
          <cell r="Z234">
            <v>1.0075367524443568</v>
          </cell>
        </row>
        <row r="235">
          <cell r="C235">
            <v>1.0036357252357786</v>
          </cell>
          <cell r="D235">
            <v>1.0113614827750175</v>
          </cell>
          <cell r="E235">
            <v>0.98016402628206878</v>
          </cell>
          <cell r="F235">
            <v>0.94743432344485179</v>
          </cell>
          <cell r="G235">
            <v>1</v>
          </cell>
          <cell r="H235">
            <v>0.98827059522907235</v>
          </cell>
          <cell r="I235">
            <v>0.95890842754204542</v>
          </cell>
          <cell r="J235">
            <v>0.95580732945267566</v>
          </cell>
          <cell r="K235">
            <v>0.94396640427360945</v>
          </cell>
          <cell r="L235">
            <v>0.94396640427360945</v>
          </cell>
          <cell r="M235">
            <v>0.96939414230627396</v>
          </cell>
          <cell r="N235">
            <v>0.98182217530138172</v>
          </cell>
          <cell r="O235">
            <v>0.91659067783561965</v>
          </cell>
          <cell r="P235">
            <v>0.94751706841529681</v>
          </cell>
          <cell r="Q235">
            <v>0.96594345588622121</v>
          </cell>
          <cell r="R235">
            <v>0.91140965076197944</v>
          </cell>
          <cell r="S235">
            <v>0.95985769982051461</v>
          </cell>
          <cell r="T235">
            <v>0.96359865720585203</v>
          </cell>
          <cell r="U235">
            <v>1.019073940576624</v>
          </cell>
          <cell r="V235">
            <v>0.91629222496530138</v>
          </cell>
          <cell r="W235">
            <v>0.89115337523267779</v>
          </cell>
          <cell r="X235">
            <v>0.8797676595726337</v>
          </cell>
          <cell r="Y235">
            <v>0.89290339975411948</v>
          </cell>
          <cell r="Z235">
            <v>0.95457490139794221</v>
          </cell>
        </row>
        <row r="236">
          <cell r="C236">
            <v>1.01554749284344</v>
          </cell>
          <cell r="D236">
            <v>1.0233649444366932</v>
          </cell>
          <cell r="E236">
            <v>0.99179721729439441</v>
          </cell>
          <cell r="F236">
            <v>0.95867905816346277</v>
          </cell>
          <cell r="G236">
            <v>1.011868616578852</v>
          </cell>
          <cell r="H236">
            <v>1</v>
          </cell>
          <cell r="I236">
            <v>0.97028934400277167</v>
          </cell>
          <cell r="J236">
            <v>0.96715144016920584</v>
          </cell>
          <cell r="K236">
            <v>0.95516997958925043</v>
          </cell>
          <cell r="L236">
            <v>0.95516997958925043</v>
          </cell>
          <cell r="M236">
            <v>0.9808995096950921</v>
          </cell>
          <cell r="N236">
            <v>0.99347504624864813</v>
          </cell>
          <cell r="O236">
            <v>0.92746934115060065</v>
          </cell>
          <cell r="P236">
            <v>0.95876278520223579</v>
          </cell>
          <cell r="Q236">
            <v>0.97740786840098604</v>
          </cell>
          <cell r="R236">
            <v>0.92222682245313869</v>
          </cell>
          <cell r="S236">
            <v>0.97124988282994307</v>
          </cell>
          <cell r="T236">
            <v>0.9750352402041248</v>
          </cell>
          <cell r="U236">
            <v>1.0311689384428278</v>
          </cell>
          <cell r="V236">
            <v>0.92716734605759765</v>
          </cell>
          <cell r="W236">
            <v>0.90173013295626414</v>
          </cell>
          <cell r="X236">
            <v>0.89020928460257531</v>
          </cell>
          <cell r="Y236">
            <v>0.90350092784775449</v>
          </cell>
          <cell r="Z236">
            <v>0.96590438489842978</v>
          </cell>
        </row>
        <row r="237">
          <cell r="C237">
            <v>1.046643971842423</v>
          </cell>
          <cell r="D237">
            <v>1.0547007969962514</v>
          </cell>
          <cell r="E237">
            <v>1.0221664531560199</v>
          </cell>
          <cell r="F237">
            <v>0.98803420246643892</v>
          </cell>
          <cell r="G237">
            <v>1.042852446884093</v>
          </cell>
          <cell r="H237">
            <v>1.0306204084182371</v>
          </cell>
          <cell r="I237">
            <v>1</v>
          </cell>
          <cell r="J237">
            <v>0.99676601226947315</v>
          </cell>
          <cell r="K237">
            <v>0.98441767447311257</v>
          </cell>
          <cell r="L237">
            <v>0.98441767447311257</v>
          </cell>
          <cell r="M237">
            <v>1.0109350532992043</v>
          </cell>
          <cell r="N237">
            <v>1.0238956579181089</v>
          </cell>
          <cell r="O237">
            <v>0.95586883117202537</v>
          </cell>
          <cell r="P237">
            <v>0.98812049326133489</v>
          </cell>
          <cell r="Q237">
            <v>1.0073364965226228</v>
          </cell>
          <cell r="R237">
            <v>0.9504657844109069</v>
          </cell>
          <cell r="S237">
            <v>1.0009899509183608</v>
          </cell>
          <cell r="T237">
            <v>1.0048912174813491</v>
          </cell>
          <cell r="U237">
            <v>1.0627437524861472</v>
          </cell>
          <cell r="V237">
            <v>0.95555758886593434</v>
          </cell>
          <cell r="W237">
            <v>0.92934147791041632</v>
          </cell>
          <cell r="X237">
            <v>0.91746785647481288</v>
          </cell>
          <cell r="Y237">
            <v>0.93116649526470896</v>
          </cell>
          <cell r="Z237">
            <v>0.9954807716569859</v>
          </cell>
        </row>
        <row r="238">
          <cell r="C238">
            <v>1.0500397876321905</v>
          </cell>
          <cell r="D238">
            <v>1.0581227529968344</v>
          </cell>
          <cell r="E238">
            <v>1.025482852117634</v>
          </cell>
          <cell r="F238">
            <v>0.99123986001172593</v>
          </cell>
          <cell r="G238">
            <v>1.046235961145674</v>
          </cell>
          <cell r="H238">
            <v>1.033964236071496</v>
          </cell>
          <cell r="I238">
            <v>1.0032444803401388</v>
          </cell>
          <cell r="J238">
            <v>1</v>
          </cell>
          <cell r="K238">
            <v>0.98761159826442568</v>
          </cell>
          <cell r="L238">
            <v>0.98761159826442568</v>
          </cell>
          <cell r="M238">
            <v>1.0142150122047908</v>
          </cell>
          <cell r="N238">
            <v>1.0272176672505775</v>
          </cell>
          <cell r="O238">
            <v>0.95897012880251442</v>
          </cell>
          <cell r="P238">
            <v>0.9913264307754095</v>
          </cell>
          <cell r="Q238">
            <v>1.0106047799814948</v>
          </cell>
          <cell r="R238">
            <v>0.95354955196240265</v>
          </cell>
          <cell r="S238">
            <v>1.0042376431347919</v>
          </cell>
          <cell r="T238">
            <v>1.0081515672804455</v>
          </cell>
          <cell r="U238">
            <v>1.0661918036976936</v>
          </cell>
          <cell r="V238">
            <v>0.95865787667688029</v>
          </cell>
          <cell r="W238">
            <v>0.93235670806477211</v>
          </cell>
          <cell r="X238">
            <v>0.92044456289785459</v>
          </cell>
          <cell r="Y238">
            <v>0.93418764665199117</v>
          </cell>
          <cell r="Z238">
            <v>0.99871058944961311</v>
          </cell>
        </row>
        <row r="239">
          <cell r="C239">
            <v>1.0632112760496866</v>
          </cell>
          <cell r="D239">
            <v>1.0713956325101093</v>
          </cell>
          <cell r="E239">
            <v>1.0383463032631057</v>
          </cell>
          <cell r="F239">
            <v>1.0036737739346888</v>
          </cell>
          <cell r="G239">
            <v>1.0593597351269179</v>
          </cell>
          <cell r="H239">
            <v>1.0469340759955916</v>
          </cell>
          <cell r="I239">
            <v>1.0158289778119105</v>
          </cell>
          <cell r="J239">
            <v>1.0125437993613533</v>
          </cell>
          <cell r="K239">
            <v>1</v>
          </cell>
          <cell r="L239">
            <v>1</v>
          </cell>
          <cell r="M239">
            <v>1.0269371218271601</v>
          </cell>
          <cell r="N239">
            <v>1.0401028795690062</v>
          </cell>
          <cell r="O239">
            <v>0.97099925769174422</v>
          </cell>
          <cell r="P239">
            <v>1.0037614306246627</v>
          </cell>
          <cell r="Q239">
            <v>1.023281603575207</v>
          </cell>
          <cell r="R239">
            <v>0.96551068622332725</v>
          </cell>
          <cell r="S239">
            <v>1.0168345986413929</v>
          </cell>
          <cell r="T239">
            <v>1.0207976182662453</v>
          </cell>
          <cell r="U239">
            <v>1.079565899763997</v>
          </cell>
          <cell r="V239">
            <v>0.97068308873809594</v>
          </cell>
          <cell r="W239">
            <v>0.94405200354394847</v>
          </cell>
          <cell r="X239">
            <v>0.93199043481809374</v>
          </cell>
          <cell r="Y239">
            <v>0.94590590905744854</v>
          </cell>
          <cell r="Z239">
            <v>1.011238214703728</v>
          </cell>
        </row>
        <row r="240">
          <cell r="C240">
            <v>1.0632112760496866</v>
          </cell>
          <cell r="D240">
            <v>1.0713956325101093</v>
          </cell>
          <cell r="E240">
            <v>1.0383463032631057</v>
          </cell>
          <cell r="F240">
            <v>1.0036737739346888</v>
          </cell>
          <cell r="G240">
            <v>1.0593597351269179</v>
          </cell>
          <cell r="H240">
            <v>1.0469340759955916</v>
          </cell>
          <cell r="I240">
            <v>1.0158289778119105</v>
          </cell>
          <cell r="J240">
            <v>1.0125437993613533</v>
          </cell>
          <cell r="K240">
            <v>1</v>
          </cell>
          <cell r="L240">
            <v>1</v>
          </cell>
          <cell r="M240">
            <v>1.0269371218271601</v>
          </cell>
          <cell r="N240">
            <v>1.0401028795690062</v>
          </cell>
          <cell r="O240">
            <v>0.97099925769174422</v>
          </cell>
          <cell r="P240">
            <v>1.0037614306246627</v>
          </cell>
          <cell r="Q240">
            <v>1.023281603575207</v>
          </cell>
          <cell r="R240">
            <v>0.96551068622332725</v>
          </cell>
          <cell r="S240">
            <v>1.0168345986413929</v>
          </cell>
          <cell r="T240">
            <v>1.0207976182662453</v>
          </cell>
          <cell r="U240">
            <v>1.079565899763997</v>
          </cell>
          <cell r="V240">
            <v>0.97068308873809594</v>
          </cell>
          <cell r="W240">
            <v>0.94405200354394847</v>
          </cell>
          <cell r="X240">
            <v>0.93199043481809374</v>
          </cell>
          <cell r="Y240">
            <v>0.94590590905744854</v>
          </cell>
          <cell r="Z240">
            <v>1.011238214703728</v>
          </cell>
        </row>
        <row r="241">
          <cell r="C241">
            <v>1.035322663336959</v>
          </cell>
          <cell r="D241">
            <v>1.0432923396554672</v>
          </cell>
          <cell r="E241">
            <v>1.0111099123728686</v>
          </cell>
          <cell r="F241">
            <v>0.97734686243391389</v>
          </cell>
          <cell r="G241">
            <v>1.0315721504370885</v>
          </cell>
          <cell r="H241">
            <v>1.0194724231341956</v>
          </cell>
          <cell r="I241">
            <v>0.98918322867179487</v>
          </cell>
          <cell r="J241">
            <v>0.98598422224702731</v>
          </cell>
          <cell r="K241">
            <v>0.97376945359689338</v>
          </cell>
          <cell r="L241">
            <v>0.97376945359689338</v>
          </cell>
          <cell r="M241">
            <v>1</v>
          </cell>
          <cell r="N241">
            <v>1.0128204127224665</v>
          </cell>
          <cell r="O241">
            <v>0.94552941660547873</v>
          </cell>
          <cell r="P241">
            <v>0.97743221984101369</v>
          </cell>
          <cell r="Q241">
            <v>0.99644036798918223</v>
          </cell>
          <cell r="R241">
            <v>0.94018481336565096</v>
          </cell>
          <cell r="S241">
            <v>0.99016247151744563</v>
          </cell>
          <cell r="T241">
            <v>0.99402153897213164</v>
          </cell>
          <cell r="U241">
            <v>1.0512482963350258</v>
          </cell>
          <cell r="V241">
            <v>0.94522154093624045</v>
          </cell>
          <cell r="W241">
            <v>0.91928900365804311</v>
          </cell>
          <cell r="X241">
            <v>0.90754381647034621</v>
          </cell>
          <cell r="Y241">
            <v>0.92109428021694428</v>
          </cell>
          <cell r="Z241">
            <v>0.98471288378834709</v>
          </cell>
        </row>
        <row r="242">
          <cell r="C242">
            <v>1.0222174141948881</v>
          </cell>
          <cell r="D242">
            <v>1.0300862093123617</v>
          </cell>
          <cell r="E242">
            <v>0.99831115138665105</v>
          </cell>
          <cell r="F242">
            <v>0.96497547853207311</v>
          </cell>
          <cell r="G242">
            <v>1.0185143757758766</v>
          </cell>
          <cell r="H242">
            <v>1.0065678083973926</v>
          </cell>
          <cell r="I242">
            <v>0.97666201850421364</v>
          </cell>
          <cell r="J242">
            <v>0.97350350551949949</v>
          </cell>
          <cell r="K242">
            <v>0.96144335300213402</v>
          </cell>
          <cell r="L242">
            <v>0.96144335300213402</v>
          </cell>
          <cell r="M242">
            <v>0.98734186973186577</v>
          </cell>
          <cell r="N242">
            <v>1</v>
          </cell>
          <cell r="O242">
            <v>0.93356078207773363</v>
          </cell>
          <cell r="P242">
            <v>0.96505975547399458</v>
          </cell>
          <cell r="Q242">
            <v>0.98382729600674756</v>
          </cell>
          <cell r="R242">
            <v>0.92828383152194704</v>
          </cell>
          <cell r="S242">
            <v>0.97762886596636012</v>
          </cell>
          <cell r="T242">
            <v>0.98143908484249121</v>
          </cell>
          <cell r="U242">
            <v>1.0379414584558628</v>
          </cell>
          <cell r="V242">
            <v>0.9332568035388229</v>
          </cell>
          <cell r="W242">
            <v>0.90765252369567628</v>
          </cell>
          <cell r="X242">
            <v>0.89605600861742485</v>
          </cell>
          <cell r="Y242">
            <v>0.90943494882872489</v>
          </cell>
          <cell r="Z242">
            <v>0.97224825982864405</v>
          </cell>
        </row>
        <row r="243">
          <cell r="C243">
            <v>1.0949661059238587</v>
          </cell>
          <cell r="D243">
            <v>1.1033949037788424</v>
          </cell>
          <cell r="E243">
            <v>1.0693584933643088</v>
          </cell>
          <cell r="F243">
            <v>1.0336504029061964</v>
          </cell>
          <cell r="G243">
            <v>1.090999531395342</v>
          </cell>
          <cell r="H243">
            <v>1.0782027562867138</v>
          </cell>
          <cell r="I243">
            <v>1.0461686450994159</v>
          </cell>
          <cell r="J243">
            <v>1.0427853485371024</v>
          </cell>
          <cell r="K243">
            <v>1.0298669047154538</v>
          </cell>
          <cell r="L243">
            <v>1.0298669047154538</v>
          </cell>
          <cell r="M243">
            <v>1.0576085549935343</v>
          </cell>
          <cell r="N243">
            <v>1.0711675331673629</v>
          </cell>
          <cell r="O243">
            <v>1</v>
          </cell>
          <cell r="P243">
            <v>1.0337406776301772</v>
          </cell>
          <cell r="Q243">
            <v>1.0538438577262648</v>
          </cell>
          <cell r="R243">
            <v>0.99434750189051191</v>
          </cell>
          <cell r="S243">
            <v>1.0472043007103924</v>
          </cell>
          <cell r="T243">
            <v>1.0512856834647655</v>
          </cell>
          <cell r="U243">
            <v>1.1118091916263015</v>
          </cell>
          <cell r="V243">
            <v>0.99967438805833919</v>
          </cell>
          <cell r="W243">
            <v>0.97224791478022887</v>
          </cell>
          <cell r="X243">
            <v>0.95982610433052029</v>
          </cell>
          <cell r="Y243">
            <v>0.97415719071305218</v>
          </cell>
          <cell r="Z243">
            <v>1.0414407701069099</v>
          </cell>
        </row>
        <row r="244">
          <cell r="C244">
            <v>1.0592270669216957</v>
          </cell>
          <cell r="D244">
            <v>1.067380753854386</v>
          </cell>
          <cell r="E244">
            <v>1.0344552715249482</v>
          </cell>
          <cell r="F244">
            <v>0.99991267178903342</v>
          </cell>
          <cell r="G244">
            <v>1.0553899590141207</v>
          </cell>
          <cell r="H244">
            <v>1.0430108629936714</v>
          </cell>
          <cell r="I244">
            <v>1.0120223260418943</v>
          </cell>
          <cell r="J244">
            <v>1.0087494582564556</v>
          </cell>
          <cell r="K244">
            <v>0.99625266471703156</v>
          </cell>
          <cell r="L244">
            <v>0.99625266471703156</v>
          </cell>
          <cell r="M244">
            <v>1.0230888441171471</v>
          </cell>
          <cell r="N244">
            <v>1.0362052653504801</v>
          </cell>
          <cell r="O244">
            <v>0.9673605979136598</v>
          </cell>
          <cell r="P244">
            <v>1</v>
          </cell>
          <cell r="Q244">
            <v>1.0194470243177172</v>
          </cell>
          <cell r="R244">
            <v>0.96189259396275961</v>
          </cell>
          <cell r="S244">
            <v>1.0130241784729612</v>
          </cell>
          <cell r="T244">
            <v>1.016972347334546</v>
          </cell>
          <cell r="U244">
            <v>1.0755204043775217</v>
          </cell>
          <cell r="V244">
            <v>0.96704561375108689</v>
          </cell>
          <cell r="W244">
            <v>0.94051432416211123</v>
          </cell>
          <cell r="X244">
            <v>0.92849795417831082</v>
          </cell>
          <cell r="Y244">
            <v>0.94236128247006923</v>
          </cell>
          <cell r="Z244">
            <v>1.0074487660622826</v>
          </cell>
        </row>
        <row r="245">
          <cell r="C245">
            <v>1.0390211964477527</v>
          </cell>
          <cell r="D245">
            <v>1.0470193432255583</v>
          </cell>
          <cell r="E245">
            <v>1.0147219491049821</v>
          </cell>
          <cell r="F245">
            <v>0.98083828579345989</v>
          </cell>
          <cell r="G245">
            <v>1.0352572854096651</v>
          </cell>
          <cell r="H245">
            <v>1.0231143336670434</v>
          </cell>
          <cell r="I245">
            <v>0.9927169356536284</v>
          </cell>
          <cell r="J245">
            <v>0.98950650126383843</v>
          </cell>
          <cell r="K245">
            <v>0.97724809720621941</v>
          </cell>
          <cell r="L245">
            <v>0.97724809720621941</v>
          </cell>
          <cell r="M245">
            <v>1.0035723482560237</v>
          </cell>
          <cell r="N245">
            <v>1.0164385599575207</v>
          </cell>
          <cell r="O245">
            <v>0.94890717696790849</v>
          </cell>
          <cell r="P245">
            <v>0.98092394812694417</v>
          </cell>
          <cell r="Q245">
            <v>1</v>
          </cell>
          <cell r="R245">
            <v>0.94354348094401774</v>
          </cell>
          <cell r="S245">
            <v>0.9936996766957511</v>
          </cell>
          <cell r="T245">
            <v>0.9975725300833288</v>
          </cell>
          <cell r="U245">
            <v>1.0550037213530861</v>
          </cell>
          <cell r="V245">
            <v>0.94859820145956009</v>
          </cell>
          <cell r="W245">
            <v>0.92257302412704267</v>
          </cell>
          <cell r="X245">
            <v>0.91078587904037922</v>
          </cell>
          <cell r="Y245">
            <v>0.92438474976251073</v>
          </cell>
          <cell r="Z245">
            <v>0.98823062114143245</v>
          </cell>
        </row>
        <row r="246">
          <cell r="C246">
            <v>1.1011905836159339</v>
          </cell>
          <cell r="D246">
            <v>1.1096672960720504</v>
          </cell>
          <cell r="E246">
            <v>1.0754374012417003</v>
          </cell>
          <cell r="F246">
            <v>1.0395263234844552</v>
          </cell>
          <cell r="G246">
            <v>1.0972014605769811</v>
          </cell>
          <cell r="H246">
            <v>1.0843319405306207</v>
          </cell>
          <cell r="I246">
            <v>1.0521157272587083</v>
          </cell>
          <cell r="J246">
            <v>1.0487131979056594</v>
          </cell>
          <cell r="K246">
            <v>1.0357213175046052</v>
          </cell>
          <cell r="L246">
            <v>1.0357213175046052</v>
          </cell>
          <cell r="M246">
            <v>1.0636206688132135</v>
          </cell>
          <cell r="N246">
            <v>1.0772567247675446</v>
          </cell>
          <cell r="O246">
            <v>1.0056846304724869</v>
          </cell>
          <cell r="P246">
            <v>1.0396171113868828</v>
          </cell>
          <cell r="Q246">
            <v>1.0598345706331387</v>
          </cell>
          <cell r="R246">
            <v>1</v>
          </cell>
          <cell r="S246">
            <v>1.0531572701891301</v>
          </cell>
          <cell r="T246">
            <v>1.0572618540962784</v>
          </cell>
          <cell r="U246">
            <v>1.1181294160366113</v>
          </cell>
          <cell r="V246">
            <v>1.0053571675472603</v>
          </cell>
          <cell r="W246">
            <v>0.97777478490340042</v>
          </cell>
          <cell r="X246">
            <v>0.9652823610514859</v>
          </cell>
          <cell r="Y246">
            <v>0.97969491436437184</v>
          </cell>
          <cell r="Z246">
            <v>1.04736097604395</v>
          </cell>
        </row>
        <row r="247">
          <cell r="C247">
            <v>1.045608870380943</v>
          </cell>
          <cell r="D247">
            <v>1.053657727561214</v>
          </cell>
          <cell r="E247">
            <v>1.0211555592723289</v>
          </cell>
          <cell r="F247">
            <v>0.98705706441904273</v>
          </cell>
          <cell r="G247">
            <v>1.0418210951341971</v>
          </cell>
          <cell r="H247">
            <v>1.029601153810477</v>
          </cell>
          <cell r="I247">
            <v>0.99901102811526465</v>
          </cell>
          <cell r="J247">
            <v>0.99578023870767896</v>
          </cell>
          <cell r="K247">
            <v>0.98344411307022206</v>
          </cell>
          <cell r="L247">
            <v>0.98344411307022206</v>
          </cell>
          <cell r="M247">
            <v>1.0099352669541981</v>
          </cell>
          <cell r="N247">
            <v>1.0228830538995253</v>
          </cell>
          <cell r="O247">
            <v>0.95492350377250135</v>
          </cell>
          <cell r="P247">
            <v>0.98714326987476864</v>
          </cell>
          <cell r="Q247">
            <v>1.0063402690490941</v>
          </cell>
          <cell r="R247">
            <v>0.94952580047272162</v>
          </cell>
          <cell r="S247">
            <v>1</v>
          </cell>
          <cell r="T247">
            <v>1.0038974083200425</v>
          </cell>
          <cell r="U247">
            <v>1.0616927287942601</v>
          </cell>
          <cell r="V247">
            <v>0.95461256927630045</v>
          </cell>
          <cell r="W247">
            <v>0.92842238531744448</v>
          </cell>
          <cell r="X247">
            <v>0.91656050655961085</v>
          </cell>
          <cell r="Y247">
            <v>0.93024559778088456</v>
          </cell>
          <cell r="Z247">
            <v>0.99449626916202249</v>
          </cell>
        </row>
        <row r="248">
          <cell r="C248">
            <v>1.0415495265902737</v>
          </cell>
          <cell r="D248">
            <v>1.0495671358734178</v>
          </cell>
          <cell r="E248">
            <v>1.0171911500211628</v>
          </cell>
          <cell r="F248">
            <v>0.98322503498720937</v>
          </cell>
          <cell r="G248">
            <v>1.0377764565381411</v>
          </cell>
          <cell r="H248">
            <v>1.0256039564176662</v>
          </cell>
          <cell r="I248">
            <v>0.99513259007914467</v>
          </cell>
          <cell r="J248">
            <v>0.99191434349258134</v>
          </cell>
          <cell r="K248">
            <v>0.97962611011811673</v>
          </cell>
          <cell r="L248">
            <v>0.97962611011811673</v>
          </cell>
          <cell r="M248">
            <v>1.0060144179914354</v>
          </cell>
          <cell r="N248">
            <v>1.0189119380348375</v>
          </cell>
          <cell r="O248">
            <v>0.9512162257401422</v>
          </cell>
          <cell r="P248">
            <v>0.98331090576943414</v>
          </cell>
          <cell r="Q248">
            <v>1.0024333768658089</v>
          </cell>
          <cell r="R248">
            <v>0.94583947782243172</v>
          </cell>
          <cell r="S248">
            <v>0.99611772250058439</v>
          </cell>
          <cell r="T248">
            <v>1</v>
          </cell>
          <cell r="U248">
            <v>1.0575709430019691</v>
          </cell>
          <cell r="V248">
            <v>0.95090649837793972</v>
          </cell>
          <cell r="W248">
            <v>0.92481799198097281</v>
          </cell>
          <cell r="X248">
            <v>0.91300216432814141</v>
          </cell>
          <cell r="Y248">
            <v>0.92663412622768937</v>
          </cell>
          <cell r="Z248">
            <v>0.9906353586730019</v>
          </cell>
        </row>
        <row r="249">
          <cell r="C249">
            <v>0.9848507407302457</v>
          </cell>
          <cell r="D249">
            <v>0.99243189576877744</v>
          </cell>
          <cell r="E249">
            <v>0.96181836003721299</v>
          </cell>
          <cell r="F249">
            <v>0.92970125691641547</v>
          </cell>
          <cell r="G249">
            <v>0.98128306512692165</v>
          </cell>
          <cell r="H249">
            <v>0.9697731988611914</v>
          </cell>
          <cell r="I249">
            <v>0.94096060095449496</v>
          </cell>
          <cell r="J249">
            <v>0.93791754591609899</v>
          </cell>
          <cell r="K249">
            <v>0.9262982465624463</v>
          </cell>
          <cell r="L249">
            <v>0.9262982465624463</v>
          </cell>
          <cell r="M249">
            <v>0.95125005527838369</v>
          </cell>
          <cell r="N249">
            <v>0.96344547358932164</v>
          </cell>
          <cell r="O249">
            <v>0.89943490981329965</v>
          </cell>
          <cell r="P249">
            <v>0.92978245315463759</v>
          </cell>
          <cell r="Q249">
            <v>0.9478639551313226</v>
          </cell>
          <cell r="R249">
            <v>0.89435085568597239</v>
          </cell>
          <cell r="S249">
            <v>0.94189210576555127</v>
          </cell>
          <cell r="T249">
            <v>0.94556304389514434</v>
          </cell>
          <cell r="U249">
            <v>1</v>
          </cell>
          <cell r="V249">
            <v>0.89914204306591772</v>
          </cell>
          <cell r="W249">
            <v>0.87447371554652376</v>
          </cell>
          <cell r="X249">
            <v>0.86330110558497219</v>
          </cell>
          <cell r="Y249">
            <v>0.87619098497297132</v>
          </cell>
          <cell r="Z249">
            <v>0.93670818513700183</v>
          </cell>
        </row>
        <row r="250">
          <cell r="C250">
            <v>1.0953227560932155</v>
          </cell>
          <cell r="D250">
            <v>1.1037542993593732</v>
          </cell>
          <cell r="E250">
            <v>1.0697068026733352</v>
          </cell>
          <cell r="F250">
            <v>1.0339870814474386</v>
          </cell>
          <cell r="G250">
            <v>1.0913548895799792</v>
          </cell>
          <cell r="H250">
            <v>1.0785539463313647</v>
          </cell>
          <cell r="I250">
            <v>1.0465094010574605</v>
          </cell>
          <cell r="J250">
            <v>1.0431250024945597</v>
          </cell>
          <cell r="K250">
            <v>1.0302023509032352</v>
          </cell>
          <cell r="L250">
            <v>1.0302023509032352</v>
          </cell>
          <cell r="M250">
            <v>1.0579530371361423</v>
          </cell>
          <cell r="N250">
            <v>1.0715164317132144</v>
          </cell>
          <cell r="O250">
            <v>1.000325717999331</v>
          </cell>
          <cell r="P250">
            <v>1.0340773855755219</v>
          </cell>
          <cell r="Q250">
            <v>1.0541871136392105</v>
          </cell>
          <cell r="R250">
            <v>0.99467137876946754</v>
          </cell>
          <cell r="S250">
            <v>1.0475453940001105</v>
          </cell>
          <cell r="T250">
            <v>1.0516281061343089</v>
          </cell>
          <cell r="U250">
            <v>1.1121713278918359</v>
          </cell>
          <cell r="V250">
            <v>1</v>
          </cell>
          <cell r="W250">
            <v>0.97256459342588486</v>
          </cell>
          <cell r="X250">
            <v>0.96013873696892849</v>
          </cell>
          <cell r="Y250">
            <v>0.97447449124424512</v>
          </cell>
          <cell r="Z250">
            <v>1.0417799861109709</v>
          </cell>
        </row>
        <row r="251">
          <cell r="C251">
            <v>1.1262210895781346</v>
          </cell>
          <cell r="D251">
            <v>1.1348904811261626</v>
          </cell>
          <cell r="E251">
            <v>1.0998825269849317</v>
          </cell>
          <cell r="F251">
            <v>1.06315517595103</v>
          </cell>
          <cell r="G251">
            <v>1.1221412921641043</v>
          </cell>
          <cell r="H251">
            <v>1.1089792427381397</v>
          </cell>
          <cell r="I251">
            <v>1.0760307419490802</v>
          </cell>
          <cell r="J251">
            <v>1.0725508717319472</v>
          </cell>
          <cell r="K251">
            <v>1.0592636806510913</v>
          </cell>
          <cell r="L251">
            <v>1.0592636806510913</v>
          </cell>
          <cell r="M251">
            <v>1.0877971954638759</v>
          </cell>
          <cell r="N251">
            <v>1.1017432044680644</v>
          </cell>
          <cell r="O251">
            <v>1.0285442476120346</v>
          </cell>
          <cell r="P251">
            <v>1.0632480274990852</v>
          </cell>
          <cell r="Q251">
            <v>1.0839250377456249</v>
          </cell>
          <cell r="R251">
            <v>1.0227304031968827</v>
          </cell>
          <cell r="S251">
            <v>1.0770959595702572</v>
          </cell>
          <cell r="T251">
            <v>1.0812938423245706</v>
          </cell>
          <cell r="U251">
            <v>1.1435449484894185</v>
          </cell>
          <cell r="V251">
            <v>1.0282093413224855</v>
          </cell>
          <cell r="W251">
            <v>1</v>
          </cell>
          <cell r="X251">
            <v>0.9872236183170251</v>
          </cell>
          <cell r="Y251">
            <v>1.0019637747778094</v>
          </cell>
          <cell r="Z251">
            <v>1.0711679133221095</v>
          </cell>
        </row>
        <row r="252">
          <cell r="C252">
            <v>1.140796339028098</v>
          </cell>
          <cell r="D252">
            <v>1.1495779275022546</v>
          </cell>
          <cell r="E252">
            <v>1.1141169098648214</v>
          </cell>
          <cell r="F252">
            <v>1.0769142433640817</v>
          </cell>
          <cell r="G252">
            <v>1.1366637419767984</v>
          </cell>
          <cell r="H252">
            <v>1.1233313528587152</v>
          </cell>
          <cell r="I252">
            <v>1.0899564414630289</v>
          </cell>
          <cell r="J252">
            <v>1.0864315357045289</v>
          </cell>
          <cell r="K252">
            <v>1.0729723853820241</v>
          </cell>
          <cell r="L252">
            <v>1.0729723853820241</v>
          </cell>
          <cell r="M252">
            <v>1.1018751732442384</v>
          </cell>
          <cell r="N252">
            <v>1.1160016677338687</v>
          </cell>
          <cell r="O252">
            <v>1.0418553897296856</v>
          </cell>
          <cell r="P252">
            <v>1.0770082965718175</v>
          </cell>
          <cell r="Q252">
            <v>1.0979529031056328</v>
          </cell>
          <cell r="R252">
            <v>1.0359663041088785</v>
          </cell>
          <cell r="S252">
            <v>1.0910354448432287</v>
          </cell>
          <cell r="T252">
            <v>1.0952876554634221</v>
          </cell>
          <cell r="U252">
            <v>1.1583443986468669</v>
          </cell>
          <cell r="V252">
            <v>1.0415161491733058</v>
          </cell>
          <cell r="W252">
            <v>1.0129417301672294</v>
          </cell>
          <cell r="X252">
            <v>1</v>
          </cell>
          <cell r="Y252">
            <v>1.0149309195883225</v>
          </cell>
          <cell r="Z252">
            <v>1.0850306794201185</v>
          </cell>
        </row>
        <row r="253">
          <cell r="C253">
            <v>1.1240137796677128</v>
          </cell>
          <cell r="D253">
            <v>1.1326661798504944</v>
          </cell>
          <cell r="E253">
            <v>1.0977268387061561</v>
          </cell>
          <cell r="F253">
            <v>1.0610714705596918</v>
          </cell>
          <cell r="G253">
            <v>1.119941978354402</v>
          </cell>
          <cell r="H253">
            <v>1.1068057255703296</v>
          </cell>
          <cell r="I253">
            <v>1.073921801402147</v>
          </cell>
          <cell r="J253">
            <v>1.0704487514728671</v>
          </cell>
          <cell r="K253">
            <v>1.0571876023022773</v>
          </cell>
          <cell r="L253">
            <v>1.0571876023022773</v>
          </cell>
          <cell r="M253">
            <v>1.0856651935396571</v>
          </cell>
          <cell r="N253">
            <v>1.0995838693992519</v>
          </cell>
          <cell r="O253">
            <v>1.0265283770764262</v>
          </cell>
          <cell r="P253">
            <v>1.0611641401255907</v>
          </cell>
          <cell r="Q253">
            <v>1.0818006249637027</v>
          </cell>
          <cell r="R253">
            <v>1.0207259273656659</v>
          </cell>
          <cell r="S253">
            <v>1.0749849312756927</v>
          </cell>
          <cell r="T253">
            <v>1.0791745864907671</v>
          </cell>
          <cell r="U253">
            <v>1.1413036850988005</v>
          </cell>
          <cell r="V253">
            <v>1.0261941271783963</v>
          </cell>
          <cell r="W253">
            <v>0.99804007407528783</v>
          </cell>
          <cell r="X253">
            <v>0.98528873315399745</v>
          </cell>
          <cell r="Y253">
            <v>1</v>
          </cell>
          <cell r="Z253">
            <v>1.0690685035590697</v>
          </cell>
        </row>
        <row r="254">
          <cell r="C254">
            <v>1.0513954680413118</v>
          </cell>
          <cell r="D254">
            <v>1.0594888691226987</v>
          </cell>
          <cell r="E254">
            <v>1.0268068276744466</v>
          </cell>
          <cell r="F254">
            <v>0.99251962528803839</v>
          </cell>
          <cell r="G254">
            <v>1.0475867305284627</v>
          </cell>
          <cell r="H254">
            <v>1.0352991617334417</v>
          </cell>
          <cell r="I254">
            <v>1.0045397444849606</v>
          </cell>
          <cell r="J254">
            <v>1.0012910752764697</v>
          </cell>
          <cell r="K254">
            <v>0.98888667918169959</v>
          </cell>
          <cell r="L254">
            <v>0.98888667918169959</v>
          </cell>
          <cell r="M254">
            <v>1.0155244401320729</v>
          </cell>
          <cell r="N254">
            <v>1.0285438825843176</v>
          </cell>
          <cell r="O254">
            <v>0.96020823142668421</v>
          </cell>
          <cell r="P254">
            <v>0.99260630782109449</v>
          </cell>
          <cell r="Q254">
            <v>1.0119095468272108</v>
          </cell>
          <cell r="R254">
            <v>0.95478065621383001</v>
          </cell>
          <cell r="S254">
            <v>1.0055341895275434</v>
          </cell>
          <cell r="T254">
            <v>1.0094531668438953</v>
          </cell>
          <cell r="U254">
            <v>1.0675683375754224</v>
          </cell>
          <cell r="V254">
            <v>0.95989557616005072</v>
          </cell>
          <cell r="W254">
            <v>0.93356045075940519</v>
          </cell>
          <cell r="X254">
            <v>0.92163292611637293</v>
          </cell>
          <cell r="Y254">
            <v>0.93539375322616702</v>
          </cell>
          <cell r="Z254">
            <v>1</v>
          </cell>
        </row>
        <row r="259">
          <cell r="C259">
            <v>1</v>
          </cell>
          <cell r="D259">
            <v>1.0076977705605525</v>
          </cell>
          <cell r="E259">
            <v>0.97661332855783334</v>
          </cell>
          <cell r="F259">
            <v>0.94400219085692305</v>
          </cell>
          <cell r="G259">
            <v>0.99637744537748052</v>
          </cell>
          <cell r="H259">
            <v>0.98469053101602522</v>
          </cell>
          <cell r="I259">
            <v>0.95543472938528007</v>
          </cell>
          <cell r="J259">
            <v>0.95234486519312878</v>
          </cell>
          <cell r="K259">
            <v>0.94054683441230502</v>
          </cell>
          <cell r="L259">
            <v>0.94054683441230502</v>
          </cell>
          <cell r="M259">
            <v>0.96588245907501902</v>
          </cell>
          <cell r="N259">
            <v>0.97826547084175153</v>
          </cell>
          <cell r="O259">
            <v>0.913270278038668</v>
          </cell>
          <cell r="P259">
            <v>0.94408463607919291</v>
          </cell>
          <cell r="Q259">
            <v>0.96244427295500823</v>
          </cell>
          <cell r="R259">
            <v>0.90810801951860276</v>
          </cell>
          <cell r="S259">
            <v>0.95638056287306883</v>
          </cell>
          <cell r="T259">
            <v>0.96010796843593738</v>
          </cell>
          <cell r="U259">
            <v>1.0153822895624991</v>
          </cell>
          <cell r="V259">
            <v>0.91297290633017469</v>
          </cell>
          <cell r="W259">
            <v>0.88792512345385477</v>
          </cell>
          <cell r="X259">
            <v>0.87658065317070577</v>
          </cell>
          <cell r="Y259">
            <v>0.88966880841587681</v>
          </cell>
          <cell r="Z259">
            <v>0.95111690167634211</v>
          </cell>
        </row>
        <row r="260">
          <cell r="C260">
            <v>0.99236103245889828</v>
          </cell>
          <cell r="D260">
            <v>1</v>
          </cell>
          <cell r="E260">
            <v>0.96915301104077278</v>
          </cell>
          <cell r="F260">
            <v>0.9367909887622381</v>
          </cell>
          <cell r="G260">
            <v>0.98876615041355609</v>
          </cell>
          <cell r="H260">
            <v>0.97716851201156363</v>
          </cell>
          <cell r="I260">
            <v>0.94813619449986464</v>
          </cell>
          <cell r="J260">
            <v>0.94506993367998371</v>
          </cell>
          <cell r="K260">
            <v>0.93336202767334342</v>
          </cell>
          <cell r="L260">
            <v>0.93336202767334342</v>
          </cell>
          <cell r="M260">
            <v>0.95850411432162552</v>
          </cell>
          <cell r="N260">
            <v>0.97079253266341092</v>
          </cell>
          <cell r="O260">
            <v>0.90629383602847768</v>
          </cell>
          <cell r="P260">
            <v>0.93687280418813113</v>
          </cell>
          <cell r="Q260">
            <v>0.95509219239378562</v>
          </cell>
          <cell r="R260">
            <v>0.90117101183368598</v>
          </cell>
          <cell r="S260">
            <v>0.94907480279634093</v>
          </cell>
          <cell r="T260">
            <v>0.95277373482910221</v>
          </cell>
          <cell r="U260">
            <v>1.0076258172107215</v>
          </cell>
          <cell r="V260">
            <v>0.90599873593281322</v>
          </cell>
          <cell r="W260">
            <v>0.88114229225686214</v>
          </cell>
          <cell r="X260">
            <v>0.86988448201397706</v>
          </cell>
          <cell r="Y260">
            <v>0.88287265726605735</v>
          </cell>
          <cell r="Z260">
            <v>0.94385135053664326</v>
          </cell>
        </row>
        <row r="261">
          <cell r="C261">
            <v>1.0239467051680544</v>
          </cell>
          <cell r="D261">
            <v>1.0318288119706718</v>
          </cell>
          <cell r="E261">
            <v>1</v>
          </cell>
          <cell r="F261">
            <v>0.9666079329993712</v>
          </cell>
          <cell r="G261">
            <v>1.0202374022980343</v>
          </cell>
          <cell r="H261">
            <v>1.008270624844041</v>
          </cell>
          <cell r="I261">
            <v>0.97831424315718918</v>
          </cell>
          <cell r="J261">
            <v>0.9751503868982192</v>
          </cell>
          <cell r="K261">
            <v>0.96306983215272324</v>
          </cell>
          <cell r="L261">
            <v>0.96306983215272324</v>
          </cell>
          <cell r="M261">
            <v>0.98901216154948379</v>
          </cell>
          <cell r="N261">
            <v>1.001691705648087</v>
          </cell>
          <cell r="O261">
            <v>0.935140092125607</v>
          </cell>
          <cell r="P261">
            <v>0.96669235251307117</v>
          </cell>
          <cell r="Q261">
            <v>0.98549164220014418</v>
          </cell>
          <cell r="R261">
            <v>0.92985421452276051</v>
          </cell>
          <cell r="S261">
            <v>0.97928272624064816</v>
          </cell>
          <cell r="T261">
            <v>0.98309939088557241</v>
          </cell>
          <cell r="U261">
            <v>1.0396973498835163</v>
          </cell>
          <cell r="V261">
            <v>0.93483559934448501</v>
          </cell>
          <cell r="W261">
            <v>0.9091880045965125</v>
          </cell>
          <cell r="X261">
            <v>0.89757187162820518</v>
          </cell>
          <cell r="Y261">
            <v>0.91097344506822608</v>
          </cell>
          <cell r="Z261">
            <v>0.97389301770113879</v>
          </cell>
        </row>
        <row r="262">
          <cell r="C262">
            <v>1.0593195754050577</v>
          </cell>
          <cell r="D262">
            <v>1.0674739744468278</v>
          </cell>
          <cell r="E262">
            <v>1.0345456165428042</v>
          </cell>
          <cell r="F262">
            <v>1</v>
          </cell>
          <cell r="G262">
            <v>1.0554821323804489</v>
          </cell>
          <cell r="H262">
            <v>1.0431019552212766</v>
          </cell>
          <cell r="I262">
            <v>1.0121107118596611</v>
          </cell>
          <cell r="J262">
            <v>1.0088375582355722</v>
          </cell>
          <cell r="K262">
            <v>0.99633967327821404</v>
          </cell>
          <cell r="L262">
            <v>0.99633967327821404</v>
          </cell>
          <cell r="M262">
            <v>1.0231781964385422</v>
          </cell>
          <cell r="N262">
            <v>1.0362957632055132</v>
          </cell>
          <cell r="O262">
            <v>0.96744508316198075</v>
          </cell>
          <cell r="P262">
            <v>1.000087335837849</v>
          </cell>
          <cell r="Q262">
            <v>1.0195360585777287</v>
          </cell>
          <cell r="R262">
            <v>0.96197660165837418</v>
          </cell>
          <cell r="S262">
            <v>1.0131126517883495</v>
          </cell>
          <cell r="T262">
            <v>1.0170611654665698</v>
          </cell>
          <cell r="U262">
            <v>1.0756143358531618</v>
          </cell>
          <cell r="V262">
            <v>0.96713007149000219</v>
          </cell>
          <cell r="W262">
            <v>0.94059646476862091</v>
          </cell>
          <cell r="X262">
            <v>0.92857904532508018</v>
          </cell>
          <cell r="Y262">
            <v>0.9424435843822303</v>
          </cell>
          <cell r="Z262">
            <v>1.0075367524443568</v>
          </cell>
        </row>
        <row r="263">
          <cell r="C263">
            <v>1.0036357252357786</v>
          </cell>
          <cell r="D263">
            <v>1.0113614827750175</v>
          </cell>
          <cell r="E263">
            <v>0.98016402628206878</v>
          </cell>
          <cell r="F263">
            <v>0.94743432344485179</v>
          </cell>
          <cell r="G263">
            <v>1</v>
          </cell>
          <cell r="H263">
            <v>0.98827059522907235</v>
          </cell>
          <cell r="I263">
            <v>0.95890842754204542</v>
          </cell>
          <cell r="J263">
            <v>0.95580732945267566</v>
          </cell>
          <cell r="K263">
            <v>0.94396640427360945</v>
          </cell>
          <cell r="L263">
            <v>0.94396640427360945</v>
          </cell>
          <cell r="M263">
            <v>0.96939414230627396</v>
          </cell>
          <cell r="N263">
            <v>0.98182217530138172</v>
          </cell>
          <cell r="O263">
            <v>0.91659067783561965</v>
          </cell>
          <cell r="P263">
            <v>0.94751706841529681</v>
          </cell>
          <cell r="Q263">
            <v>0.96594345588622121</v>
          </cell>
          <cell r="R263">
            <v>0.91140965076197944</v>
          </cell>
          <cell r="S263">
            <v>0.95985769982051461</v>
          </cell>
          <cell r="T263">
            <v>0.96359865720585203</v>
          </cell>
          <cell r="U263">
            <v>1.019073940576624</v>
          </cell>
          <cell r="V263">
            <v>0.91629222496530138</v>
          </cell>
          <cell r="W263">
            <v>0.89115337523267779</v>
          </cell>
          <cell r="X263">
            <v>0.8797676595726337</v>
          </cell>
          <cell r="Y263">
            <v>0.89290339975411948</v>
          </cell>
          <cell r="Z263">
            <v>0.95457490139794221</v>
          </cell>
        </row>
        <row r="264">
          <cell r="C264">
            <v>1.01554749284344</v>
          </cell>
          <cell r="D264">
            <v>1.0233649444366932</v>
          </cell>
          <cell r="E264">
            <v>0.99179721729439441</v>
          </cell>
          <cell r="F264">
            <v>0.95867905816346277</v>
          </cell>
          <cell r="G264">
            <v>1.011868616578852</v>
          </cell>
          <cell r="H264">
            <v>1</v>
          </cell>
          <cell r="I264">
            <v>0.97028934400277167</v>
          </cell>
          <cell r="J264">
            <v>0.96715144016920584</v>
          </cell>
          <cell r="K264">
            <v>0.95516997958925043</v>
          </cell>
          <cell r="L264">
            <v>0.95516997958925043</v>
          </cell>
          <cell r="M264">
            <v>0.9808995096950921</v>
          </cell>
          <cell r="N264">
            <v>0.99347504624864813</v>
          </cell>
          <cell r="O264">
            <v>0.92746934115060065</v>
          </cell>
          <cell r="P264">
            <v>0.95876278520223579</v>
          </cell>
          <cell r="Q264">
            <v>0.97740786840098604</v>
          </cell>
          <cell r="R264">
            <v>0.92222682245313869</v>
          </cell>
          <cell r="S264">
            <v>0.97124988282994307</v>
          </cell>
          <cell r="T264">
            <v>0.9750352402041248</v>
          </cell>
          <cell r="U264">
            <v>1.0311689384428278</v>
          </cell>
          <cell r="V264">
            <v>0.92716734605759765</v>
          </cell>
          <cell r="W264">
            <v>0.90173013295626414</v>
          </cell>
          <cell r="X264">
            <v>0.89020928460257531</v>
          </cell>
          <cell r="Y264">
            <v>0.90350092784775449</v>
          </cell>
          <cell r="Z264">
            <v>0.96590438489842978</v>
          </cell>
        </row>
        <row r="265">
          <cell r="C265">
            <v>1.046643971842423</v>
          </cell>
          <cell r="D265">
            <v>1.0547007969962514</v>
          </cell>
          <cell r="E265">
            <v>1.0221664531560199</v>
          </cell>
          <cell r="F265">
            <v>0.98803420246643892</v>
          </cell>
          <cell r="G265">
            <v>1.042852446884093</v>
          </cell>
          <cell r="H265">
            <v>1.0306204084182371</v>
          </cell>
          <cell r="I265">
            <v>1</v>
          </cell>
          <cell r="J265">
            <v>0.99676601226947315</v>
          </cell>
          <cell r="K265">
            <v>0.98441767447311257</v>
          </cell>
          <cell r="L265">
            <v>0.98441767447311257</v>
          </cell>
          <cell r="M265">
            <v>1.0109350532992043</v>
          </cell>
          <cell r="N265">
            <v>1.0238956579181089</v>
          </cell>
          <cell r="O265">
            <v>0.95586883117202537</v>
          </cell>
          <cell r="P265">
            <v>0.98812049326133489</v>
          </cell>
          <cell r="Q265">
            <v>1.0073364965226228</v>
          </cell>
          <cell r="R265">
            <v>0.9504657844109069</v>
          </cell>
          <cell r="S265">
            <v>1.0009899509183608</v>
          </cell>
          <cell r="T265">
            <v>1.0048912174813491</v>
          </cell>
          <cell r="U265">
            <v>1.0627437524861472</v>
          </cell>
          <cell r="V265">
            <v>0.95555758886593434</v>
          </cell>
          <cell r="W265">
            <v>0.92934147791041632</v>
          </cell>
          <cell r="X265">
            <v>0.91746785647481288</v>
          </cell>
          <cell r="Y265">
            <v>0.93116649526470896</v>
          </cell>
          <cell r="Z265">
            <v>0.9954807716569859</v>
          </cell>
        </row>
        <row r="266">
          <cell r="C266">
            <v>1.0500397876321905</v>
          </cell>
          <cell r="D266">
            <v>1.0581227529968344</v>
          </cell>
          <cell r="E266">
            <v>1.025482852117634</v>
          </cell>
          <cell r="F266">
            <v>0.99123986001172593</v>
          </cell>
          <cell r="G266">
            <v>1.046235961145674</v>
          </cell>
          <cell r="H266">
            <v>1.033964236071496</v>
          </cell>
          <cell r="I266">
            <v>1.0032444803401388</v>
          </cell>
          <cell r="J266">
            <v>1</v>
          </cell>
          <cell r="K266">
            <v>0.98761159826442568</v>
          </cell>
          <cell r="L266">
            <v>0.98761159826442568</v>
          </cell>
          <cell r="M266">
            <v>1.0142150122047908</v>
          </cell>
          <cell r="N266">
            <v>1.0272176672505775</v>
          </cell>
          <cell r="O266">
            <v>0.95897012880251442</v>
          </cell>
          <cell r="P266">
            <v>0.9913264307754095</v>
          </cell>
          <cell r="Q266">
            <v>1.0106047799814948</v>
          </cell>
          <cell r="R266">
            <v>0.95354955196240265</v>
          </cell>
          <cell r="S266">
            <v>1.0042376431347919</v>
          </cell>
          <cell r="T266">
            <v>1.0081515672804455</v>
          </cell>
          <cell r="U266">
            <v>1.0661918036976936</v>
          </cell>
          <cell r="V266">
            <v>0.95865787667688029</v>
          </cell>
          <cell r="W266">
            <v>0.93235670806477211</v>
          </cell>
          <cell r="X266">
            <v>0.92044456289785459</v>
          </cell>
          <cell r="Y266">
            <v>0.93418764665199117</v>
          </cell>
          <cell r="Z266">
            <v>0.99871058944961311</v>
          </cell>
        </row>
        <row r="267">
          <cell r="C267">
            <v>1.0632112760496866</v>
          </cell>
          <cell r="D267">
            <v>1.0713956325101093</v>
          </cell>
          <cell r="E267">
            <v>1.0383463032631057</v>
          </cell>
          <cell r="F267">
            <v>1.0036737739346888</v>
          </cell>
          <cell r="G267">
            <v>1.0593597351269179</v>
          </cell>
          <cell r="H267">
            <v>1.0469340759955916</v>
          </cell>
          <cell r="I267">
            <v>1.0158289778119105</v>
          </cell>
          <cell r="J267">
            <v>1.0125437993613533</v>
          </cell>
          <cell r="K267">
            <v>1</v>
          </cell>
          <cell r="L267">
            <v>1</v>
          </cell>
          <cell r="M267">
            <v>1.0269371218271601</v>
          </cell>
          <cell r="N267">
            <v>1.0401028795690062</v>
          </cell>
          <cell r="O267">
            <v>0.97099925769174422</v>
          </cell>
          <cell r="P267">
            <v>1.0037614306246627</v>
          </cell>
          <cell r="Q267">
            <v>1.023281603575207</v>
          </cell>
          <cell r="R267">
            <v>0.96551068622332725</v>
          </cell>
          <cell r="S267">
            <v>1.0168345986413929</v>
          </cell>
          <cell r="T267">
            <v>1.0207976182662453</v>
          </cell>
          <cell r="U267">
            <v>1.079565899763997</v>
          </cell>
          <cell r="V267">
            <v>0.97068308873809594</v>
          </cell>
          <cell r="W267">
            <v>0.94405200354394847</v>
          </cell>
          <cell r="X267">
            <v>0.93199043481809374</v>
          </cell>
          <cell r="Y267">
            <v>0.94590590905744854</v>
          </cell>
          <cell r="Z267">
            <v>1.011238214703728</v>
          </cell>
        </row>
        <row r="268">
          <cell r="C268">
            <v>1.0632112760496866</v>
          </cell>
          <cell r="D268">
            <v>1.0713956325101093</v>
          </cell>
          <cell r="E268">
            <v>1.0383463032631057</v>
          </cell>
          <cell r="F268">
            <v>1.0036737739346888</v>
          </cell>
          <cell r="G268">
            <v>1.0593597351269179</v>
          </cell>
          <cell r="H268">
            <v>1.0469340759955916</v>
          </cell>
          <cell r="I268">
            <v>1.0158289778119105</v>
          </cell>
          <cell r="J268">
            <v>1.0125437993613533</v>
          </cell>
          <cell r="K268">
            <v>1</v>
          </cell>
          <cell r="L268">
            <v>1</v>
          </cell>
          <cell r="M268">
            <v>1.0269371218271601</v>
          </cell>
          <cell r="N268">
            <v>1.0401028795690062</v>
          </cell>
          <cell r="O268">
            <v>0.97099925769174422</v>
          </cell>
          <cell r="P268">
            <v>1.0037614306246627</v>
          </cell>
          <cell r="Q268">
            <v>1.023281603575207</v>
          </cell>
          <cell r="R268">
            <v>0.96551068622332725</v>
          </cell>
          <cell r="S268">
            <v>1.0168345986413929</v>
          </cell>
          <cell r="T268">
            <v>1.0207976182662453</v>
          </cell>
          <cell r="U268">
            <v>1.079565899763997</v>
          </cell>
          <cell r="V268">
            <v>0.97068308873809594</v>
          </cell>
          <cell r="W268">
            <v>0.94405200354394847</v>
          </cell>
          <cell r="X268">
            <v>0.93199043481809374</v>
          </cell>
          <cell r="Y268">
            <v>0.94590590905744854</v>
          </cell>
          <cell r="Z268">
            <v>1.011238214703728</v>
          </cell>
        </row>
        <row r="269">
          <cell r="C269">
            <v>1.035322663336959</v>
          </cell>
          <cell r="D269">
            <v>1.0432923396554672</v>
          </cell>
          <cell r="E269">
            <v>1.0111099123728686</v>
          </cell>
          <cell r="F269">
            <v>0.97734686243391389</v>
          </cell>
          <cell r="G269">
            <v>1.0315721504370885</v>
          </cell>
          <cell r="H269">
            <v>1.0194724231341956</v>
          </cell>
          <cell r="I269">
            <v>0.98918322867179487</v>
          </cell>
          <cell r="J269">
            <v>0.98598422224702731</v>
          </cell>
          <cell r="K269">
            <v>0.97376945359689338</v>
          </cell>
          <cell r="L269">
            <v>0.97376945359689338</v>
          </cell>
          <cell r="M269">
            <v>1</v>
          </cell>
          <cell r="N269">
            <v>1.0128204127224665</v>
          </cell>
          <cell r="O269">
            <v>0.94552941660547873</v>
          </cell>
          <cell r="P269">
            <v>0.97743221984101369</v>
          </cell>
          <cell r="Q269">
            <v>0.99644036798918223</v>
          </cell>
          <cell r="R269">
            <v>0.94018481336565096</v>
          </cell>
          <cell r="S269">
            <v>0.99016247151744563</v>
          </cell>
          <cell r="T269">
            <v>0.99402153897213164</v>
          </cell>
          <cell r="U269">
            <v>1.0512482963350258</v>
          </cell>
          <cell r="V269">
            <v>0.94522154093624045</v>
          </cell>
          <cell r="W269">
            <v>0.91928900365804311</v>
          </cell>
          <cell r="X269">
            <v>0.90754381647034621</v>
          </cell>
          <cell r="Y269">
            <v>0.92109428021694428</v>
          </cell>
          <cell r="Z269">
            <v>0.98471288378834709</v>
          </cell>
        </row>
        <row r="270">
          <cell r="C270">
            <v>1.0222174141948881</v>
          </cell>
          <cell r="D270">
            <v>1.0300862093123617</v>
          </cell>
          <cell r="E270">
            <v>0.99831115138665105</v>
          </cell>
          <cell r="F270">
            <v>0.96497547853207311</v>
          </cell>
          <cell r="G270">
            <v>1.0185143757758766</v>
          </cell>
          <cell r="H270">
            <v>1.0065678083973926</v>
          </cell>
          <cell r="I270">
            <v>0.97666201850421364</v>
          </cell>
          <cell r="J270">
            <v>0.97350350551949949</v>
          </cell>
          <cell r="K270">
            <v>0.96144335300213402</v>
          </cell>
          <cell r="L270">
            <v>0.96144335300213402</v>
          </cell>
          <cell r="M270">
            <v>0.98734186973186577</v>
          </cell>
          <cell r="N270">
            <v>1</v>
          </cell>
          <cell r="O270">
            <v>0.93356078207773363</v>
          </cell>
          <cell r="P270">
            <v>0.96505975547399458</v>
          </cell>
          <cell r="Q270">
            <v>0.98382729600674756</v>
          </cell>
          <cell r="R270">
            <v>0.92828383152194704</v>
          </cell>
          <cell r="S270">
            <v>0.97762886596636012</v>
          </cell>
          <cell r="T270">
            <v>0.98143908484249121</v>
          </cell>
          <cell r="U270">
            <v>1.0379414584558628</v>
          </cell>
          <cell r="V270">
            <v>0.9332568035388229</v>
          </cell>
          <cell r="W270">
            <v>0.90765252369567628</v>
          </cell>
          <cell r="X270">
            <v>0.89605600861742485</v>
          </cell>
          <cell r="Y270">
            <v>0.90943494882872489</v>
          </cell>
          <cell r="Z270">
            <v>0.97224825982864405</v>
          </cell>
        </row>
        <row r="271">
          <cell r="C271">
            <v>1.0949661059238587</v>
          </cell>
          <cell r="D271">
            <v>1.1033949037788424</v>
          </cell>
          <cell r="E271">
            <v>1.0693584933643088</v>
          </cell>
          <cell r="F271">
            <v>1.0336504029061964</v>
          </cell>
          <cell r="G271">
            <v>1.090999531395342</v>
          </cell>
          <cell r="H271">
            <v>1.0782027562867138</v>
          </cell>
          <cell r="I271">
            <v>1.0461686450994159</v>
          </cell>
          <cell r="J271">
            <v>1.0427853485371024</v>
          </cell>
          <cell r="K271">
            <v>1.0298669047154538</v>
          </cell>
          <cell r="L271">
            <v>1.0298669047154538</v>
          </cell>
          <cell r="M271">
            <v>1.0576085549935343</v>
          </cell>
          <cell r="N271">
            <v>1.0711675331673629</v>
          </cell>
          <cell r="O271">
            <v>1</v>
          </cell>
          <cell r="P271">
            <v>1.0337406776301772</v>
          </cell>
          <cell r="Q271">
            <v>1.0538438577262648</v>
          </cell>
          <cell r="R271">
            <v>0.99434750189051191</v>
          </cell>
          <cell r="S271">
            <v>1.0472043007103924</v>
          </cell>
          <cell r="T271">
            <v>1.0512856834647655</v>
          </cell>
          <cell r="U271">
            <v>1.1118091916263015</v>
          </cell>
          <cell r="V271">
            <v>0.99967438805833919</v>
          </cell>
          <cell r="W271">
            <v>0.97224791478022887</v>
          </cell>
          <cell r="X271">
            <v>0.95982610433052029</v>
          </cell>
          <cell r="Y271">
            <v>0.97415719071305218</v>
          </cell>
          <cell r="Z271">
            <v>1.0414407701069099</v>
          </cell>
        </row>
        <row r="272">
          <cell r="C272">
            <v>1.0592270669216957</v>
          </cell>
          <cell r="D272">
            <v>1.067380753854386</v>
          </cell>
          <cell r="E272">
            <v>1.0344552715249482</v>
          </cell>
          <cell r="F272">
            <v>0.99991267178903342</v>
          </cell>
          <cell r="G272">
            <v>1.0553899590141207</v>
          </cell>
          <cell r="H272">
            <v>1.0430108629936714</v>
          </cell>
          <cell r="I272">
            <v>1.0120223260418943</v>
          </cell>
          <cell r="J272">
            <v>1.0087494582564556</v>
          </cell>
          <cell r="K272">
            <v>0.99625266471703156</v>
          </cell>
          <cell r="L272">
            <v>0.99625266471703156</v>
          </cell>
          <cell r="M272">
            <v>1.0230888441171471</v>
          </cell>
          <cell r="N272">
            <v>1.0362052653504801</v>
          </cell>
          <cell r="O272">
            <v>0.9673605979136598</v>
          </cell>
          <cell r="P272">
            <v>1</v>
          </cell>
          <cell r="Q272">
            <v>1.0194470243177172</v>
          </cell>
          <cell r="R272">
            <v>0.96189259396275961</v>
          </cell>
          <cell r="S272">
            <v>1.0130241784729612</v>
          </cell>
          <cell r="T272">
            <v>1.016972347334546</v>
          </cell>
          <cell r="U272">
            <v>1.0755204043775217</v>
          </cell>
          <cell r="V272">
            <v>0.96704561375108689</v>
          </cell>
          <cell r="W272">
            <v>0.94051432416211123</v>
          </cell>
          <cell r="X272">
            <v>0.92849795417831082</v>
          </cell>
          <cell r="Y272">
            <v>0.94236128247006923</v>
          </cell>
          <cell r="Z272">
            <v>1.0074487660622826</v>
          </cell>
        </row>
        <row r="273">
          <cell r="C273">
            <v>1.0390211964477527</v>
          </cell>
          <cell r="D273">
            <v>1.0470193432255583</v>
          </cell>
          <cell r="E273">
            <v>1.0147219491049821</v>
          </cell>
          <cell r="F273">
            <v>0.98083828579345989</v>
          </cell>
          <cell r="G273">
            <v>1.0352572854096651</v>
          </cell>
          <cell r="H273">
            <v>1.0231143336670434</v>
          </cell>
          <cell r="I273">
            <v>0.9927169356536284</v>
          </cell>
          <cell r="J273">
            <v>0.98950650126383843</v>
          </cell>
          <cell r="K273">
            <v>0.97724809720621941</v>
          </cell>
          <cell r="L273">
            <v>0.97724809720621941</v>
          </cell>
          <cell r="M273">
            <v>1.0035723482560237</v>
          </cell>
          <cell r="N273">
            <v>1.0164385599575207</v>
          </cell>
          <cell r="O273">
            <v>0.94890717696790849</v>
          </cell>
          <cell r="P273">
            <v>0.98092394812694417</v>
          </cell>
          <cell r="Q273">
            <v>1</v>
          </cell>
          <cell r="R273">
            <v>0.94354348094401774</v>
          </cell>
          <cell r="S273">
            <v>0.9936996766957511</v>
          </cell>
          <cell r="T273">
            <v>0.9975725300833288</v>
          </cell>
          <cell r="U273">
            <v>1.0550037213530861</v>
          </cell>
          <cell r="V273">
            <v>0.94859820145956009</v>
          </cell>
          <cell r="W273">
            <v>0.92257302412704267</v>
          </cell>
          <cell r="X273">
            <v>0.91078587904037922</v>
          </cell>
          <cell r="Y273">
            <v>0.92438474976251073</v>
          </cell>
          <cell r="Z273">
            <v>0.98823062114143245</v>
          </cell>
        </row>
        <row r="274">
          <cell r="C274">
            <v>1.1011905836159339</v>
          </cell>
          <cell r="D274">
            <v>1.1096672960720504</v>
          </cell>
          <cell r="E274">
            <v>1.0754374012417003</v>
          </cell>
          <cell r="F274">
            <v>1.0395263234844552</v>
          </cell>
          <cell r="G274">
            <v>1.0972014605769811</v>
          </cell>
          <cell r="H274">
            <v>1.0843319405306207</v>
          </cell>
          <cell r="I274">
            <v>1.0521157272587083</v>
          </cell>
          <cell r="J274">
            <v>1.0487131979056594</v>
          </cell>
          <cell r="K274">
            <v>1.0357213175046052</v>
          </cell>
          <cell r="L274">
            <v>1.0357213175046052</v>
          </cell>
          <cell r="M274">
            <v>1.0636206688132135</v>
          </cell>
          <cell r="N274">
            <v>1.0772567247675446</v>
          </cell>
          <cell r="O274">
            <v>1.0056846304724869</v>
          </cell>
          <cell r="P274">
            <v>1.0396171113868828</v>
          </cell>
          <cell r="Q274">
            <v>1.0598345706331387</v>
          </cell>
          <cell r="R274">
            <v>1</v>
          </cell>
          <cell r="S274">
            <v>1.0531572701891301</v>
          </cell>
          <cell r="T274">
            <v>1.0572618540962784</v>
          </cell>
          <cell r="U274">
            <v>1.1181294160366113</v>
          </cell>
          <cell r="V274">
            <v>1.0053571675472603</v>
          </cell>
          <cell r="W274">
            <v>0.97777478490340042</v>
          </cell>
          <cell r="X274">
            <v>0.9652823610514859</v>
          </cell>
          <cell r="Y274">
            <v>0.97969491436437184</v>
          </cell>
          <cell r="Z274">
            <v>1.04736097604395</v>
          </cell>
        </row>
        <row r="275">
          <cell r="C275">
            <v>1.045608870380943</v>
          </cell>
          <cell r="D275">
            <v>1.053657727561214</v>
          </cell>
          <cell r="E275">
            <v>1.0211555592723289</v>
          </cell>
          <cell r="F275">
            <v>0.98705706441904273</v>
          </cell>
          <cell r="G275">
            <v>1.0418210951341971</v>
          </cell>
          <cell r="H275">
            <v>1.029601153810477</v>
          </cell>
          <cell r="I275">
            <v>0.99901102811526465</v>
          </cell>
          <cell r="J275">
            <v>0.99578023870767896</v>
          </cell>
          <cell r="K275">
            <v>0.98344411307022206</v>
          </cell>
          <cell r="L275">
            <v>0.98344411307022206</v>
          </cell>
          <cell r="M275">
            <v>1.0099352669541981</v>
          </cell>
          <cell r="N275">
            <v>1.0228830538995253</v>
          </cell>
          <cell r="O275">
            <v>0.95492350377250135</v>
          </cell>
          <cell r="P275">
            <v>0.98714326987476864</v>
          </cell>
          <cell r="Q275">
            <v>1.0063402690490941</v>
          </cell>
          <cell r="R275">
            <v>0.94952580047272162</v>
          </cell>
          <cell r="S275">
            <v>1</v>
          </cell>
          <cell r="T275">
            <v>1.0038974083200425</v>
          </cell>
          <cell r="U275">
            <v>1.0616927287942601</v>
          </cell>
          <cell r="V275">
            <v>0.95461256927630045</v>
          </cell>
          <cell r="W275">
            <v>0.92842238531744448</v>
          </cell>
          <cell r="X275">
            <v>0.91656050655961085</v>
          </cell>
          <cell r="Y275">
            <v>0.93024559778088456</v>
          </cell>
          <cell r="Z275">
            <v>0.99449626916202249</v>
          </cell>
        </row>
        <row r="276">
          <cell r="C276">
            <v>1.0415495265902737</v>
          </cell>
          <cell r="D276">
            <v>1.0495671358734178</v>
          </cell>
          <cell r="E276">
            <v>1.0171911500211628</v>
          </cell>
          <cell r="F276">
            <v>0.98322503498720937</v>
          </cell>
          <cell r="G276">
            <v>1.0377764565381411</v>
          </cell>
          <cell r="H276">
            <v>1.0256039564176662</v>
          </cell>
          <cell r="I276">
            <v>0.99513259007914467</v>
          </cell>
          <cell r="J276">
            <v>0.99191434349258134</v>
          </cell>
          <cell r="K276">
            <v>0.97962611011811673</v>
          </cell>
          <cell r="L276">
            <v>0.97962611011811673</v>
          </cell>
          <cell r="M276">
            <v>1.0060144179914354</v>
          </cell>
          <cell r="N276">
            <v>1.0189119380348375</v>
          </cell>
          <cell r="O276">
            <v>0.9512162257401422</v>
          </cell>
          <cell r="P276">
            <v>0.98331090576943414</v>
          </cell>
          <cell r="Q276">
            <v>1.0024333768658089</v>
          </cell>
          <cell r="R276">
            <v>0.94583947782243172</v>
          </cell>
          <cell r="S276">
            <v>0.99611772250058439</v>
          </cell>
          <cell r="T276">
            <v>1</v>
          </cell>
          <cell r="U276">
            <v>1.0575709430019691</v>
          </cell>
          <cell r="V276">
            <v>0.95090649837793972</v>
          </cell>
          <cell r="W276">
            <v>0.92481799198097281</v>
          </cell>
          <cell r="X276">
            <v>0.91300216432814141</v>
          </cell>
          <cell r="Y276">
            <v>0.92663412622768937</v>
          </cell>
          <cell r="Z276">
            <v>0.9906353586730019</v>
          </cell>
        </row>
        <row r="277">
          <cell r="C277">
            <v>0.9848507407302457</v>
          </cell>
          <cell r="D277">
            <v>0.99243189576877744</v>
          </cell>
          <cell r="E277">
            <v>0.96181836003721299</v>
          </cell>
          <cell r="F277">
            <v>0.92970125691641547</v>
          </cell>
          <cell r="G277">
            <v>0.98128306512692165</v>
          </cell>
          <cell r="H277">
            <v>0.9697731988611914</v>
          </cell>
          <cell r="I277">
            <v>0.94096060095449496</v>
          </cell>
          <cell r="J277">
            <v>0.93791754591609899</v>
          </cell>
          <cell r="K277">
            <v>0.9262982465624463</v>
          </cell>
          <cell r="L277">
            <v>0.9262982465624463</v>
          </cell>
          <cell r="M277">
            <v>0.95125005527838369</v>
          </cell>
          <cell r="N277">
            <v>0.96344547358932164</v>
          </cell>
          <cell r="O277">
            <v>0.89943490981329965</v>
          </cell>
          <cell r="P277">
            <v>0.92978245315463759</v>
          </cell>
          <cell r="Q277">
            <v>0.9478639551313226</v>
          </cell>
          <cell r="R277">
            <v>0.89435085568597239</v>
          </cell>
          <cell r="S277">
            <v>0.94189210576555127</v>
          </cell>
          <cell r="T277">
            <v>0.94556304389514434</v>
          </cell>
          <cell r="U277">
            <v>1</v>
          </cell>
          <cell r="V277">
            <v>0.89914204306591772</v>
          </cell>
          <cell r="W277">
            <v>0.87447371554652376</v>
          </cell>
          <cell r="X277">
            <v>0.86330110558497219</v>
          </cell>
          <cell r="Y277">
            <v>0.87619098497297132</v>
          </cell>
          <cell r="Z277">
            <v>0.93670818513700183</v>
          </cell>
        </row>
        <row r="278">
          <cell r="C278">
            <v>1.0953227560932155</v>
          </cell>
          <cell r="D278">
            <v>1.1037542993593732</v>
          </cell>
          <cell r="E278">
            <v>1.0697068026733352</v>
          </cell>
          <cell r="F278">
            <v>1.0339870814474386</v>
          </cell>
          <cell r="G278">
            <v>1.0913548895799792</v>
          </cell>
          <cell r="H278">
            <v>1.0785539463313647</v>
          </cell>
          <cell r="I278">
            <v>1.0465094010574605</v>
          </cell>
          <cell r="J278">
            <v>1.0431250024945597</v>
          </cell>
          <cell r="K278">
            <v>1.0302023509032352</v>
          </cell>
          <cell r="L278">
            <v>1.0302023509032352</v>
          </cell>
          <cell r="M278">
            <v>1.0579530371361423</v>
          </cell>
          <cell r="N278">
            <v>1.0715164317132144</v>
          </cell>
          <cell r="O278">
            <v>1.000325717999331</v>
          </cell>
          <cell r="P278">
            <v>1.0340773855755219</v>
          </cell>
          <cell r="Q278">
            <v>1.0541871136392105</v>
          </cell>
          <cell r="R278">
            <v>0.99467137876946754</v>
          </cell>
          <cell r="S278">
            <v>1.0475453940001105</v>
          </cell>
          <cell r="T278">
            <v>1.0516281061343089</v>
          </cell>
          <cell r="U278">
            <v>1.1121713278918359</v>
          </cell>
          <cell r="V278">
            <v>1</v>
          </cell>
          <cell r="W278">
            <v>0.97256459342588486</v>
          </cell>
          <cell r="X278">
            <v>0.96013873696892849</v>
          </cell>
          <cell r="Y278">
            <v>0.97447449124424512</v>
          </cell>
          <cell r="Z278">
            <v>1.0417799861109709</v>
          </cell>
        </row>
        <row r="279">
          <cell r="C279">
            <v>1.1262210895781346</v>
          </cell>
          <cell r="D279">
            <v>1.1348904811261626</v>
          </cell>
          <cell r="E279">
            <v>1.0998825269849317</v>
          </cell>
          <cell r="F279">
            <v>1.06315517595103</v>
          </cell>
          <cell r="G279">
            <v>1.1221412921641043</v>
          </cell>
          <cell r="H279">
            <v>1.1089792427381397</v>
          </cell>
          <cell r="I279">
            <v>1.0760307419490802</v>
          </cell>
          <cell r="J279">
            <v>1.0725508717319472</v>
          </cell>
          <cell r="K279">
            <v>1.0592636806510913</v>
          </cell>
          <cell r="L279">
            <v>1.0592636806510913</v>
          </cell>
          <cell r="M279">
            <v>1.0877971954638759</v>
          </cell>
          <cell r="N279">
            <v>1.1017432044680644</v>
          </cell>
          <cell r="O279">
            <v>1.0285442476120346</v>
          </cell>
          <cell r="P279">
            <v>1.0632480274990852</v>
          </cell>
          <cell r="Q279">
            <v>1.0839250377456249</v>
          </cell>
          <cell r="R279">
            <v>1.0227304031968827</v>
          </cell>
          <cell r="S279">
            <v>1.0770959595702572</v>
          </cell>
          <cell r="T279">
            <v>1.0812938423245706</v>
          </cell>
          <cell r="U279">
            <v>1.1435449484894185</v>
          </cell>
          <cell r="V279">
            <v>1.0282093413224855</v>
          </cell>
          <cell r="W279">
            <v>1</v>
          </cell>
          <cell r="X279">
            <v>0.9872236183170251</v>
          </cell>
          <cell r="Y279">
            <v>1.0019637747778094</v>
          </cell>
          <cell r="Z279">
            <v>1.0711679133221095</v>
          </cell>
        </row>
        <row r="280">
          <cell r="C280">
            <v>1.140796339028098</v>
          </cell>
          <cell r="D280">
            <v>1.1495779275022546</v>
          </cell>
          <cell r="E280">
            <v>1.1141169098648214</v>
          </cell>
          <cell r="F280">
            <v>1.0769142433640817</v>
          </cell>
          <cell r="G280">
            <v>1.1366637419767984</v>
          </cell>
          <cell r="H280">
            <v>1.1233313528587152</v>
          </cell>
          <cell r="I280">
            <v>1.0899564414630289</v>
          </cell>
          <cell r="J280">
            <v>1.0864315357045289</v>
          </cell>
          <cell r="K280">
            <v>1.0729723853820241</v>
          </cell>
          <cell r="L280">
            <v>1.0729723853820241</v>
          </cell>
          <cell r="M280">
            <v>1.1018751732442384</v>
          </cell>
          <cell r="N280">
            <v>1.1160016677338687</v>
          </cell>
          <cell r="O280">
            <v>1.0418553897296856</v>
          </cell>
          <cell r="P280">
            <v>1.0770082965718175</v>
          </cell>
          <cell r="Q280">
            <v>1.0979529031056328</v>
          </cell>
          <cell r="R280">
            <v>1.0359663041088785</v>
          </cell>
          <cell r="S280">
            <v>1.0910354448432287</v>
          </cell>
          <cell r="T280">
            <v>1.0952876554634221</v>
          </cell>
          <cell r="U280">
            <v>1.1583443986468669</v>
          </cell>
          <cell r="V280">
            <v>1.0415161491733058</v>
          </cell>
          <cell r="W280">
            <v>1.0129417301672294</v>
          </cell>
          <cell r="X280">
            <v>1</v>
          </cell>
          <cell r="Y280">
            <v>1.0149309195883225</v>
          </cell>
          <cell r="Z280">
            <v>1.0850306794201185</v>
          </cell>
        </row>
        <row r="281">
          <cell r="C281">
            <v>1.1240137796677128</v>
          </cell>
          <cell r="D281">
            <v>1.1326661798504944</v>
          </cell>
          <cell r="E281">
            <v>1.0977268387061561</v>
          </cell>
          <cell r="F281">
            <v>1.0610714705596918</v>
          </cell>
          <cell r="G281">
            <v>1.119941978354402</v>
          </cell>
          <cell r="H281">
            <v>1.1068057255703296</v>
          </cell>
          <cell r="I281">
            <v>1.073921801402147</v>
          </cell>
          <cell r="J281">
            <v>1.0704487514728671</v>
          </cell>
          <cell r="K281">
            <v>1.0571876023022773</v>
          </cell>
          <cell r="L281">
            <v>1.0571876023022773</v>
          </cell>
          <cell r="M281">
            <v>1.0856651935396571</v>
          </cell>
          <cell r="N281">
            <v>1.0995838693992519</v>
          </cell>
          <cell r="O281">
            <v>1.0265283770764262</v>
          </cell>
          <cell r="P281">
            <v>1.0611641401255907</v>
          </cell>
          <cell r="Q281">
            <v>1.0818006249637027</v>
          </cell>
          <cell r="R281">
            <v>1.0207259273656659</v>
          </cell>
          <cell r="S281">
            <v>1.0749849312756927</v>
          </cell>
          <cell r="T281">
            <v>1.0791745864907671</v>
          </cell>
          <cell r="U281">
            <v>1.1413036850988005</v>
          </cell>
          <cell r="V281">
            <v>1.0261941271783963</v>
          </cell>
          <cell r="W281">
            <v>0.99804007407528783</v>
          </cell>
          <cell r="X281">
            <v>0.98528873315399745</v>
          </cell>
          <cell r="Y281">
            <v>1</v>
          </cell>
          <cell r="Z281">
            <v>1.0690685035590697</v>
          </cell>
        </row>
        <row r="282">
          <cell r="C282">
            <v>1.0513954680413118</v>
          </cell>
          <cell r="D282">
            <v>1.0594888691226987</v>
          </cell>
          <cell r="E282">
            <v>1.0268068276744466</v>
          </cell>
          <cell r="F282">
            <v>0.99251962528803839</v>
          </cell>
          <cell r="G282">
            <v>1.0475867305284627</v>
          </cell>
          <cell r="H282">
            <v>1.0352991617334417</v>
          </cell>
          <cell r="I282">
            <v>1.0045397444849606</v>
          </cell>
          <cell r="J282">
            <v>1.0012910752764697</v>
          </cell>
          <cell r="K282">
            <v>0.98888667918169959</v>
          </cell>
          <cell r="L282">
            <v>0.98888667918169959</v>
          </cell>
          <cell r="M282">
            <v>1.0155244401320729</v>
          </cell>
          <cell r="N282">
            <v>1.0285438825843176</v>
          </cell>
          <cell r="O282">
            <v>0.96020823142668421</v>
          </cell>
          <cell r="P282">
            <v>0.99260630782109449</v>
          </cell>
          <cell r="Q282">
            <v>1.0119095468272108</v>
          </cell>
          <cell r="R282">
            <v>0.95478065621383001</v>
          </cell>
          <cell r="S282">
            <v>1.0055341895275434</v>
          </cell>
          <cell r="T282">
            <v>1.0094531668438953</v>
          </cell>
          <cell r="U282">
            <v>1.0675683375754224</v>
          </cell>
          <cell r="V282">
            <v>0.95989557616005072</v>
          </cell>
          <cell r="W282">
            <v>0.93356045075940519</v>
          </cell>
          <cell r="X282">
            <v>0.92163292611637293</v>
          </cell>
          <cell r="Y282">
            <v>0.93539375322616702</v>
          </cell>
          <cell r="Z282">
            <v>1</v>
          </cell>
        </row>
        <row r="287">
          <cell r="C287">
            <v>1</v>
          </cell>
          <cell r="D287">
            <v>1.0076977705605525</v>
          </cell>
          <cell r="E287">
            <v>0.97661332855783334</v>
          </cell>
          <cell r="F287">
            <v>0.94400219085692305</v>
          </cell>
          <cell r="G287">
            <v>0.99637744537748052</v>
          </cell>
          <cell r="H287">
            <v>0.98469053101602522</v>
          </cell>
          <cell r="I287">
            <v>0.95543472938528007</v>
          </cell>
          <cell r="J287">
            <v>0.95234486519312878</v>
          </cell>
          <cell r="K287">
            <v>0.94054683441230502</v>
          </cell>
          <cell r="L287">
            <v>0.94054683441230502</v>
          </cell>
          <cell r="M287">
            <v>0.96588245907501902</v>
          </cell>
          <cell r="N287">
            <v>0.97826547084175153</v>
          </cell>
          <cell r="O287">
            <v>0.913270278038668</v>
          </cell>
          <cell r="P287">
            <v>0.94408463607919291</v>
          </cell>
          <cell r="Q287">
            <v>0.96244427295500823</v>
          </cell>
          <cell r="R287">
            <v>0.90810801951860276</v>
          </cell>
          <cell r="S287">
            <v>0.95638056287306883</v>
          </cell>
          <cell r="T287">
            <v>0.96010796843593738</v>
          </cell>
          <cell r="U287">
            <v>1.0153822895624991</v>
          </cell>
          <cell r="V287">
            <v>0.91297290633017469</v>
          </cell>
          <cell r="W287">
            <v>0.88792512345385477</v>
          </cell>
          <cell r="X287">
            <v>0.87658065317070577</v>
          </cell>
          <cell r="Y287">
            <v>0.88966880841587681</v>
          </cell>
          <cell r="Z287">
            <v>0.95111690167634211</v>
          </cell>
        </row>
        <row r="288">
          <cell r="C288">
            <v>0.99236103245889828</v>
          </cell>
          <cell r="D288">
            <v>1</v>
          </cell>
          <cell r="E288">
            <v>0.96915301104077278</v>
          </cell>
          <cell r="F288">
            <v>0.9367909887622381</v>
          </cell>
          <cell r="G288">
            <v>0.98876615041355609</v>
          </cell>
          <cell r="H288">
            <v>0.97716851201156363</v>
          </cell>
          <cell r="I288">
            <v>0.94813619449986464</v>
          </cell>
          <cell r="J288">
            <v>0.94506993367998371</v>
          </cell>
          <cell r="K288">
            <v>0.93336202767334342</v>
          </cell>
          <cell r="L288">
            <v>0.93336202767334342</v>
          </cell>
          <cell r="M288">
            <v>0.95850411432162552</v>
          </cell>
          <cell r="N288">
            <v>0.97079253266341092</v>
          </cell>
          <cell r="O288">
            <v>0.90629383602847768</v>
          </cell>
          <cell r="P288">
            <v>0.93687280418813113</v>
          </cell>
          <cell r="Q288">
            <v>0.95509219239378562</v>
          </cell>
          <cell r="R288">
            <v>0.90117101183368598</v>
          </cell>
          <cell r="S288">
            <v>0.94907480279634093</v>
          </cell>
          <cell r="T288">
            <v>0.95277373482910221</v>
          </cell>
          <cell r="U288">
            <v>1.0076258172107215</v>
          </cell>
          <cell r="V288">
            <v>0.90599873593281322</v>
          </cell>
          <cell r="W288">
            <v>0.88114229225686214</v>
          </cell>
          <cell r="X288">
            <v>0.86988448201397706</v>
          </cell>
          <cell r="Y288">
            <v>0.88287265726605735</v>
          </cell>
          <cell r="Z288">
            <v>0.94385135053664326</v>
          </cell>
        </row>
        <row r="289">
          <cell r="C289">
            <v>1.0239467051680544</v>
          </cell>
          <cell r="D289">
            <v>1.0318288119706718</v>
          </cell>
          <cell r="E289">
            <v>1</v>
          </cell>
          <cell r="F289">
            <v>0.9666079329993712</v>
          </cell>
          <cell r="G289">
            <v>1.0202374022980343</v>
          </cell>
          <cell r="H289">
            <v>1.008270624844041</v>
          </cell>
          <cell r="I289">
            <v>0.97831424315718918</v>
          </cell>
          <cell r="J289">
            <v>0.9751503868982192</v>
          </cell>
          <cell r="K289">
            <v>0.96306983215272324</v>
          </cell>
          <cell r="L289">
            <v>0.96306983215272324</v>
          </cell>
          <cell r="M289">
            <v>0.98901216154948379</v>
          </cell>
          <cell r="N289">
            <v>1.001691705648087</v>
          </cell>
          <cell r="O289">
            <v>0.935140092125607</v>
          </cell>
          <cell r="P289">
            <v>0.96669235251307117</v>
          </cell>
          <cell r="Q289">
            <v>0.98549164220014418</v>
          </cell>
          <cell r="R289">
            <v>0.92985421452276051</v>
          </cell>
          <cell r="S289">
            <v>0.97928272624064816</v>
          </cell>
          <cell r="T289">
            <v>0.98309939088557241</v>
          </cell>
          <cell r="U289">
            <v>1.0396973498835163</v>
          </cell>
          <cell r="V289">
            <v>0.93483559934448501</v>
          </cell>
          <cell r="W289">
            <v>0.9091880045965125</v>
          </cell>
          <cell r="X289">
            <v>0.89757187162820518</v>
          </cell>
          <cell r="Y289">
            <v>0.91097344506822608</v>
          </cell>
          <cell r="Z289">
            <v>0.97389301770113879</v>
          </cell>
        </row>
        <row r="290">
          <cell r="C290">
            <v>1.0593195754050577</v>
          </cell>
          <cell r="D290">
            <v>1.0674739744468278</v>
          </cell>
          <cell r="E290">
            <v>1.0345456165428042</v>
          </cell>
          <cell r="F290">
            <v>1</v>
          </cell>
          <cell r="G290">
            <v>1.0554821323804489</v>
          </cell>
          <cell r="H290">
            <v>1.0431019552212766</v>
          </cell>
          <cell r="I290">
            <v>1.0121107118596611</v>
          </cell>
          <cell r="J290">
            <v>1.0088375582355722</v>
          </cell>
          <cell r="K290">
            <v>0.99633967327821404</v>
          </cell>
          <cell r="L290">
            <v>0.99633967327821404</v>
          </cell>
          <cell r="M290">
            <v>1.0231781964385422</v>
          </cell>
          <cell r="N290">
            <v>1.0362957632055132</v>
          </cell>
          <cell r="O290">
            <v>0.96744508316198075</v>
          </cell>
          <cell r="P290">
            <v>1.000087335837849</v>
          </cell>
          <cell r="Q290">
            <v>1.0195360585777287</v>
          </cell>
          <cell r="R290">
            <v>0.96197660165837418</v>
          </cell>
          <cell r="S290">
            <v>1.0131126517883495</v>
          </cell>
          <cell r="T290">
            <v>1.0170611654665698</v>
          </cell>
          <cell r="U290">
            <v>1.0756143358531618</v>
          </cell>
          <cell r="V290">
            <v>0.96713007149000219</v>
          </cell>
          <cell r="W290">
            <v>0.94059646476862091</v>
          </cell>
          <cell r="X290">
            <v>0.92857904532508018</v>
          </cell>
          <cell r="Y290">
            <v>0.9424435843822303</v>
          </cell>
          <cell r="Z290">
            <v>1.0075367524443568</v>
          </cell>
        </row>
        <row r="291">
          <cell r="C291">
            <v>1.0036357252357786</v>
          </cell>
          <cell r="D291">
            <v>1.0113614827750175</v>
          </cell>
          <cell r="E291">
            <v>0.98016402628206878</v>
          </cell>
          <cell r="F291">
            <v>0.94743432344485179</v>
          </cell>
          <cell r="G291">
            <v>1</v>
          </cell>
          <cell r="H291">
            <v>0.98827059522907235</v>
          </cell>
          <cell r="I291">
            <v>0.95890842754204542</v>
          </cell>
          <cell r="J291">
            <v>0.95580732945267566</v>
          </cell>
          <cell r="K291">
            <v>0.94396640427360945</v>
          </cell>
          <cell r="L291">
            <v>0.94396640427360945</v>
          </cell>
          <cell r="M291">
            <v>0.96939414230627396</v>
          </cell>
          <cell r="N291">
            <v>0.98182217530138172</v>
          </cell>
          <cell r="O291">
            <v>0.91659067783561965</v>
          </cell>
          <cell r="P291">
            <v>0.94751706841529681</v>
          </cell>
          <cell r="Q291">
            <v>0.96594345588622121</v>
          </cell>
          <cell r="R291">
            <v>0.91140965076197944</v>
          </cell>
          <cell r="S291">
            <v>0.95985769982051461</v>
          </cell>
          <cell r="T291">
            <v>0.96359865720585203</v>
          </cell>
          <cell r="U291">
            <v>1.019073940576624</v>
          </cell>
          <cell r="V291">
            <v>0.91629222496530138</v>
          </cell>
          <cell r="W291">
            <v>0.89115337523267779</v>
          </cell>
          <cell r="X291">
            <v>0.8797676595726337</v>
          </cell>
          <cell r="Y291">
            <v>0.89290339975411948</v>
          </cell>
          <cell r="Z291">
            <v>0.95457490139794221</v>
          </cell>
        </row>
        <row r="292">
          <cell r="C292">
            <v>1.01554749284344</v>
          </cell>
          <cell r="D292">
            <v>1.0233649444366932</v>
          </cell>
          <cell r="E292">
            <v>0.99179721729439441</v>
          </cell>
          <cell r="F292">
            <v>0.95867905816346277</v>
          </cell>
          <cell r="G292">
            <v>1.011868616578852</v>
          </cell>
          <cell r="H292">
            <v>1</v>
          </cell>
          <cell r="I292">
            <v>0.97028934400277167</v>
          </cell>
          <cell r="J292">
            <v>0.96715144016920584</v>
          </cell>
          <cell r="K292">
            <v>0.95516997958925043</v>
          </cell>
          <cell r="L292">
            <v>0.95516997958925043</v>
          </cell>
          <cell r="M292">
            <v>0.9808995096950921</v>
          </cell>
          <cell r="N292">
            <v>0.99347504624864813</v>
          </cell>
          <cell r="O292">
            <v>0.92746934115060065</v>
          </cell>
          <cell r="P292">
            <v>0.95876278520223579</v>
          </cell>
          <cell r="Q292">
            <v>0.97740786840098604</v>
          </cell>
          <cell r="R292">
            <v>0.92222682245313869</v>
          </cell>
          <cell r="S292">
            <v>0.97124988282994307</v>
          </cell>
          <cell r="T292">
            <v>0.9750352402041248</v>
          </cell>
          <cell r="U292">
            <v>1.0311689384428278</v>
          </cell>
          <cell r="V292">
            <v>0.92716734605759765</v>
          </cell>
          <cell r="W292">
            <v>0.90173013295626414</v>
          </cell>
          <cell r="X292">
            <v>0.89020928460257531</v>
          </cell>
          <cell r="Y292">
            <v>0.90350092784775449</v>
          </cell>
          <cell r="Z292">
            <v>0.96590438489842978</v>
          </cell>
        </row>
        <row r="293">
          <cell r="C293">
            <v>1.046643971842423</v>
          </cell>
          <cell r="D293">
            <v>1.0547007969962514</v>
          </cell>
          <cell r="E293">
            <v>1.0221664531560199</v>
          </cell>
          <cell r="F293">
            <v>0.98803420246643892</v>
          </cell>
          <cell r="G293">
            <v>1.042852446884093</v>
          </cell>
          <cell r="H293">
            <v>1.0306204084182371</v>
          </cell>
          <cell r="I293">
            <v>1</v>
          </cell>
          <cell r="J293">
            <v>0.99676601226947315</v>
          </cell>
          <cell r="K293">
            <v>0.98441767447311257</v>
          </cell>
          <cell r="L293">
            <v>0.98441767447311257</v>
          </cell>
          <cell r="M293">
            <v>1.0109350532992043</v>
          </cell>
          <cell r="N293">
            <v>1.0238956579181089</v>
          </cell>
          <cell r="O293">
            <v>0.95586883117202537</v>
          </cell>
          <cell r="P293">
            <v>0.98812049326133489</v>
          </cell>
          <cell r="Q293">
            <v>1.0073364965226228</v>
          </cell>
          <cell r="R293">
            <v>0.9504657844109069</v>
          </cell>
          <cell r="S293">
            <v>1.0009899509183608</v>
          </cell>
          <cell r="T293">
            <v>1.0048912174813491</v>
          </cell>
          <cell r="U293">
            <v>1.0627437524861472</v>
          </cell>
          <cell r="V293">
            <v>0.95555758886593434</v>
          </cell>
          <cell r="W293">
            <v>0.92934147791041632</v>
          </cell>
          <cell r="X293">
            <v>0.91746785647481288</v>
          </cell>
          <cell r="Y293">
            <v>0.93116649526470896</v>
          </cell>
          <cell r="Z293">
            <v>0.9954807716569859</v>
          </cell>
        </row>
        <row r="294">
          <cell r="C294">
            <v>1.0500397876321905</v>
          </cell>
          <cell r="D294">
            <v>1.0581227529968344</v>
          </cell>
          <cell r="E294">
            <v>1.025482852117634</v>
          </cell>
          <cell r="F294">
            <v>0.99123986001172593</v>
          </cell>
          <cell r="G294">
            <v>1.046235961145674</v>
          </cell>
          <cell r="H294">
            <v>1.033964236071496</v>
          </cell>
          <cell r="I294">
            <v>1.0032444803401388</v>
          </cell>
          <cell r="J294">
            <v>1</v>
          </cell>
          <cell r="K294">
            <v>0.98761159826442568</v>
          </cell>
          <cell r="L294">
            <v>0.98761159826442568</v>
          </cell>
          <cell r="M294">
            <v>1.0142150122047908</v>
          </cell>
          <cell r="N294">
            <v>1.0272176672505775</v>
          </cell>
          <cell r="O294">
            <v>0.95897012880251442</v>
          </cell>
          <cell r="P294">
            <v>0.9913264307754095</v>
          </cell>
          <cell r="Q294">
            <v>1.0106047799814948</v>
          </cell>
          <cell r="R294">
            <v>0.95354955196240265</v>
          </cell>
          <cell r="S294">
            <v>1.0042376431347919</v>
          </cell>
          <cell r="T294">
            <v>1.0081515672804455</v>
          </cell>
          <cell r="U294">
            <v>1.0661918036976936</v>
          </cell>
          <cell r="V294">
            <v>0.95865787667688029</v>
          </cell>
          <cell r="W294">
            <v>0.93235670806477211</v>
          </cell>
          <cell r="X294">
            <v>0.92044456289785459</v>
          </cell>
          <cell r="Y294">
            <v>0.93418764665199117</v>
          </cell>
          <cell r="Z294">
            <v>0.99871058944961311</v>
          </cell>
        </row>
        <row r="295">
          <cell r="C295">
            <v>1.0632112760496866</v>
          </cell>
          <cell r="D295">
            <v>1.0713956325101093</v>
          </cell>
          <cell r="E295">
            <v>1.0383463032631057</v>
          </cell>
          <cell r="F295">
            <v>1.0036737739346888</v>
          </cell>
          <cell r="G295">
            <v>1.0593597351269179</v>
          </cell>
          <cell r="H295">
            <v>1.0469340759955916</v>
          </cell>
          <cell r="I295">
            <v>1.0158289778119105</v>
          </cell>
          <cell r="J295">
            <v>1.0125437993613533</v>
          </cell>
          <cell r="K295">
            <v>1</v>
          </cell>
          <cell r="L295">
            <v>1</v>
          </cell>
          <cell r="M295">
            <v>1.0269371218271601</v>
          </cell>
          <cell r="N295">
            <v>1.0401028795690062</v>
          </cell>
          <cell r="O295">
            <v>0.97099925769174422</v>
          </cell>
          <cell r="P295">
            <v>1.0037614306246627</v>
          </cell>
          <cell r="Q295">
            <v>1.023281603575207</v>
          </cell>
          <cell r="R295">
            <v>0.96551068622332725</v>
          </cell>
          <cell r="S295">
            <v>1.0168345986413929</v>
          </cell>
          <cell r="T295">
            <v>1.0207976182662453</v>
          </cell>
          <cell r="U295">
            <v>1.079565899763997</v>
          </cell>
          <cell r="V295">
            <v>0.97068308873809594</v>
          </cell>
          <cell r="W295">
            <v>0.94405200354394847</v>
          </cell>
          <cell r="X295">
            <v>0.93199043481809374</v>
          </cell>
          <cell r="Y295">
            <v>0.94590590905744854</v>
          </cell>
          <cell r="Z295">
            <v>1.011238214703728</v>
          </cell>
        </row>
        <row r="296">
          <cell r="C296">
            <v>1.0632112760496866</v>
          </cell>
          <cell r="D296">
            <v>1.0713956325101093</v>
          </cell>
          <cell r="E296">
            <v>1.0383463032631057</v>
          </cell>
          <cell r="F296">
            <v>1.0036737739346888</v>
          </cell>
          <cell r="G296">
            <v>1.0593597351269179</v>
          </cell>
          <cell r="H296">
            <v>1.0469340759955916</v>
          </cell>
          <cell r="I296">
            <v>1.0158289778119105</v>
          </cell>
          <cell r="J296">
            <v>1.0125437993613533</v>
          </cell>
          <cell r="K296">
            <v>1</v>
          </cell>
          <cell r="L296">
            <v>1</v>
          </cell>
          <cell r="M296">
            <v>1.0269371218271601</v>
          </cell>
          <cell r="N296">
            <v>1.0401028795690062</v>
          </cell>
          <cell r="O296">
            <v>0.97099925769174422</v>
          </cell>
          <cell r="P296">
            <v>1.0037614306246627</v>
          </cell>
          <cell r="Q296">
            <v>1.023281603575207</v>
          </cell>
          <cell r="R296">
            <v>0.96551068622332725</v>
          </cell>
          <cell r="S296">
            <v>1.0168345986413929</v>
          </cell>
          <cell r="T296">
            <v>1.0207976182662453</v>
          </cell>
          <cell r="U296">
            <v>1.079565899763997</v>
          </cell>
          <cell r="V296">
            <v>0.97068308873809594</v>
          </cell>
          <cell r="W296">
            <v>0.94405200354394847</v>
          </cell>
          <cell r="X296">
            <v>0.93199043481809374</v>
          </cell>
          <cell r="Y296">
            <v>0.94590590905744854</v>
          </cell>
          <cell r="Z296">
            <v>1.011238214703728</v>
          </cell>
        </row>
        <row r="297">
          <cell r="C297">
            <v>1.035322663336959</v>
          </cell>
          <cell r="D297">
            <v>1.0432923396554672</v>
          </cell>
          <cell r="E297">
            <v>1.0111099123728686</v>
          </cell>
          <cell r="F297">
            <v>0.97734686243391389</v>
          </cell>
          <cell r="G297">
            <v>1.0315721504370885</v>
          </cell>
          <cell r="H297">
            <v>1.0194724231341956</v>
          </cell>
          <cell r="I297">
            <v>0.98918322867179487</v>
          </cell>
          <cell r="J297">
            <v>0.98598422224702731</v>
          </cell>
          <cell r="K297">
            <v>0.97376945359689338</v>
          </cell>
          <cell r="L297">
            <v>0.97376945359689338</v>
          </cell>
          <cell r="M297">
            <v>1</v>
          </cell>
          <cell r="N297">
            <v>1.0128204127224665</v>
          </cell>
          <cell r="O297">
            <v>0.94552941660547873</v>
          </cell>
          <cell r="P297">
            <v>0.97743221984101369</v>
          </cell>
          <cell r="Q297">
            <v>0.99644036798918223</v>
          </cell>
          <cell r="R297">
            <v>0.94018481336565096</v>
          </cell>
          <cell r="S297">
            <v>0.99016247151744563</v>
          </cell>
          <cell r="T297">
            <v>0.99402153897213164</v>
          </cell>
          <cell r="U297">
            <v>1.0512482963350258</v>
          </cell>
          <cell r="V297">
            <v>0.94522154093624045</v>
          </cell>
          <cell r="W297">
            <v>0.91928900365804311</v>
          </cell>
          <cell r="X297">
            <v>0.90754381647034621</v>
          </cell>
          <cell r="Y297">
            <v>0.92109428021694428</v>
          </cell>
          <cell r="Z297">
            <v>0.98471288378834709</v>
          </cell>
        </row>
        <row r="298">
          <cell r="C298">
            <v>1.0222174141948881</v>
          </cell>
          <cell r="D298">
            <v>1.0300862093123617</v>
          </cell>
          <cell r="E298">
            <v>0.99831115138665105</v>
          </cell>
          <cell r="F298">
            <v>0.96497547853207311</v>
          </cell>
          <cell r="G298">
            <v>1.0185143757758766</v>
          </cell>
          <cell r="H298">
            <v>1.0065678083973926</v>
          </cell>
          <cell r="I298">
            <v>0.97666201850421364</v>
          </cell>
          <cell r="J298">
            <v>0.97350350551949949</v>
          </cell>
          <cell r="K298">
            <v>0.96144335300213402</v>
          </cell>
          <cell r="L298">
            <v>0.96144335300213402</v>
          </cell>
          <cell r="M298">
            <v>0.98734186973186577</v>
          </cell>
          <cell r="N298">
            <v>1</v>
          </cell>
          <cell r="O298">
            <v>0.93356078207773363</v>
          </cell>
          <cell r="P298">
            <v>0.96505975547399458</v>
          </cell>
          <cell r="Q298">
            <v>0.98382729600674756</v>
          </cell>
          <cell r="R298">
            <v>0.92828383152194704</v>
          </cell>
          <cell r="S298">
            <v>0.97762886596636012</v>
          </cell>
          <cell r="T298">
            <v>0.98143908484249121</v>
          </cell>
          <cell r="U298">
            <v>1.0379414584558628</v>
          </cell>
          <cell r="V298">
            <v>0.9332568035388229</v>
          </cell>
          <cell r="W298">
            <v>0.90765252369567628</v>
          </cell>
          <cell r="X298">
            <v>0.89605600861742485</v>
          </cell>
          <cell r="Y298">
            <v>0.90943494882872489</v>
          </cell>
          <cell r="Z298">
            <v>0.97224825982864405</v>
          </cell>
        </row>
        <row r="299">
          <cell r="C299">
            <v>1.0949661059238587</v>
          </cell>
          <cell r="D299">
            <v>1.1033949037788424</v>
          </cell>
          <cell r="E299">
            <v>1.0693584933643088</v>
          </cell>
          <cell r="F299">
            <v>1.0336504029061964</v>
          </cell>
          <cell r="G299">
            <v>1.090999531395342</v>
          </cell>
          <cell r="H299">
            <v>1.0782027562867138</v>
          </cell>
          <cell r="I299">
            <v>1.0461686450994159</v>
          </cell>
          <cell r="J299">
            <v>1.0427853485371024</v>
          </cell>
          <cell r="K299">
            <v>1.0298669047154538</v>
          </cell>
          <cell r="L299">
            <v>1.0298669047154538</v>
          </cell>
          <cell r="M299">
            <v>1.0576085549935343</v>
          </cell>
          <cell r="N299">
            <v>1.0711675331673629</v>
          </cell>
          <cell r="O299">
            <v>1</v>
          </cell>
          <cell r="P299">
            <v>1.0337406776301772</v>
          </cell>
          <cell r="Q299">
            <v>1.0538438577262648</v>
          </cell>
          <cell r="R299">
            <v>0.99434750189051191</v>
          </cell>
          <cell r="S299">
            <v>1.0472043007103924</v>
          </cell>
          <cell r="T299">
            <v>1.0512856834647655</v>
          </cell>
          <cell r="U299">
            <v>1.1118091916263015</v>
          </cell>
          <cell r="V299">
            <v>0.99967438805833919</v>
          </cell>
          <cell r="W299">
            <v>0.97224791478022887</v>
          </cell>
          <cell r="X299">
            <v>0.95982610433052029</v>
          </cell>
          <cell r="Y299">
            <v>0.97415719071305218</v>
          </cell>
          <cell r="Z299">
            <v>1.0414407701069099</v>
          </cell>
        </row>
        <row r="300">
          <cell r="C300">
            <v>1.0592270669216957</v>
          </cell>
          <cell r="D300">
            <v>1.067380753854386</v>
          </cell>
          <cell r="E300">
            <v>1.0344552715249482</v>
          </cell>
          <cell r="F300">
            <v>0.99991267178903342</v>
          </cell>
          <cell r="G300">
            <v>1.0553899590141207</v>
          </cell>
          <cell r="H300">
            <v>1.0430108629936714</v>
          </cell>
          <cell r="I300">
            <v>1.0120223260418943</v>
          </cell>
          <cell r="J300">
            <v>1.0087494582564556</v>
          </cell>
          <cell r="K300">
            <v>0.99625266471703156</v>
          </cell>
          <cell r="L300">
            <v>0.99625266471703156</v>
          </cell>
          <cell r="M300">
            <v>1.0230888441171471</v>
          </cell>
          <cell r="N300">
            <v>1.0362052653504801</v>
          </cell>
          <cell r="O300">
            <v>0.9673605979136598</v>
          </cell>
          <cell r="P300">
            <v>1</v>
          </cell>
          <cell r="Q300">
            <v>1.0194470243177172</v>
          </cell>
          <cell r="R300">
            <v>0.96189259396275961</v>
          </cell>
          <cell r="S300">
            <v>1.0130241784729612</v>
          </cell>
          <cell r="T300">
            <v>1.016972347334546</v>
          </cell>
          <cell r="U300">
            <v>1.0755204043775217</v>
          </cell>
          <cell r="V300">
            <v>0.96704561375108689</v>
          </cell>
          <cell r="W300">
            <v>0.94051432416211123</v>
          </cell>
          <cell r="X300">
            <v>0.92849795417831082</v>
          </cell>
          <cell r="Y300">
            <v>0.94236128247006923</v>
          </cell>
          <cell r="Z300">
            <v>1.0074487660622826</v>
          </cell>
        </row>
        <row r="301">
          <cell r="C301">
            <v>1.0390211964477527</v>
          </cell>
          <cell r="D301">
            <v>1.0470193432255583</v>
          </cell>
          <cell r="E301">
            <v>1.0147219491049821</v>
          </cell>
          <cell r="F301">
            <v>0.98083828579345989</v>
          </cell>
          <cell r="G301">
            <v>1.0352572854096651</v>
          </cell>
          <cell r="H301">
            <v>1.0231143336670434</v>
          </cell>
          <cell r="I301">
            <v>0.9927169356536284</v>
          </cell>
          <cell r="J301">
            <v>0.98950650126383843</v>
          </cell>
          <cell r="K301">
            <v>0.97724809720621941</v>
          </cell>
          <cell r="L301">
            <v>0.97724809720621941</v>
          </cell>
          <cell r="M301">
            <v>1.0035723482560237</v>
          </cell>
          <cell r="N301">
            <v>1.0164385599575207</v>
          </cell>
          <cell r="O301">
            <v>0.94890717696790849</v>
          </cell>
          <cell r="P301">
            <v>0.98092394812694417</v>
          </cell>
          <cell r="Q301">
            <v>1</v>
          </cell>
          <cell r="R301">
            <v>0.94354348094401774</v>
          </cell>
          <cell r="S301">
            <v>0.9936996766957511</v>
          </cell>
          <cell r="T301">
            <v>0.9975725300833288</v>
          </cell>
          <cell r="U301">
            <v>1.0550037213530861</v>
          </cell>
          <cell r="V301">
            <v>0.94859820145956009</v>
          </cell>
          <cell r="W301">
            <v>0.92257302412704267</v>
          </cell>
          <cell r="X301">
            <v>0.91078587904037922</v>
          </cell>
          <cell r="Y301">
            <v>0.92438474976251073</v>
          </cell>
          <cell r="Z301">
            <v>0.98823062114143245</v>
          </cell>
        </row>
        <row r="302">
          <cell r="C302">
            <v>1.1011905836159339</v>
          </cell>
          <cell r="D302">
            <v>1.1096672960720504</v>
          </cell>
          <cell r="E302">
            <v>1.0754374012417003</v>
          </cell>
          <cell r="F302">
            <v>1.0395263234844552</v>
          </cell>
          <cell r="G302">
            <v>1.0972014605769811</v>
          </cell>
          <cell r="H302">
            <v>1.0843319405306207</v>
          </cell>
          <cell r="I302">
            <v>1.0521157272587083</v>
          </cell>
          <cell r="J302">
            <v>1.0487131979056594</v>
          </cell>
          <cell r="K302">
            <v>1.0357213175046052</v>
          </cell>
          <cell r="L302">
            <v>1.0357213175046052</v>
          </cell>
          <cell r="M302">
            <v>1.0636206688132135</v>
          </cell>
          <cell r="N302">
            <v>1.0772567247675446</v>
          </cell>
          <cell r="O302">
            <v>1.0056846304724869</v>
          </cell>
          <cell r="P302">
            <v>1.0396171113868828</v>
          </cell>
          <cell r="Q302">
            <v>1.0598345706331387</v>
          </cell>
          <cell r="R302">
            <v>1</v>
          </cell>
          <cell r="S302">
            <v>1.0531572701891301</v>
          </cell>
          <cell r="T302">
            <v>1.0572618540962784</v>
          </cell>
          <cell r="U302">
            <v>1.1181294160366113</v>
          </cell>
          <cell r="V302">
            <v>1.0053571675472603</v>
          </cell>
          <cell r="W302">
            <v>0.97777478490340042</v>
          </cell>
          <cell r="X302">
            <v>0.9652823610514859</v>
          </cell>
          <cell r="Y302">
            <v>0.97969491436437184</v>
          </cell>
          <cell r="Z302">
            <v>1.04736097604395</v>
          </cell>
        </row>
        <row r="303">
          <cell r="C303">
            <v>1.045608870380943</v>
          </cell>
          <cell r="D303">
            <v>1.053657727561214</v>
          </cell>
          <cell r="E303">
            <v>1.0211555592723289</v>
          </cell>
          <cell r="F303">
            <v>0.98705706441904273</v>
          </cell>
          <cell r="G303">
            <v>1.0418210951341971</v>
          </cell>
          <cell r="H303">
            <v>1.029601153810477</v>
          </cell>
          <cell r="I303">
            <v>0.99901102811526465</v>
          </cell>
          <cell r="J303">
            <v>0.99578023870767896</v>
          </cell>
          <cell r="K303">
            <v>0.98344411307022206</v>
          </cell>
          <cell r="L303">
            <v>0.98344411307022206</v>
          </cell>
          <cell r="M303">
            <v>1.0099352669541981</v>
          </cell>
          <cell r="N303">
            <v>1.0228830538995253</v>
          </cell>
          <cell r="O303">
            <v>0.95492350377250135</v>
          </cell>
          <cell r="P303">
            <v>0.98714326987476864</v>
          </cell>
          <cell r="Q303">
            <v>1.0063402690490941</v>
          </cell>
          <cell r="R303">
            <v>0.94952580047272162</v>
          </cell>
          <cell r="S303">
            <v>1</v>
          </cell>
          <cell r="T303">
            <v>1.0038974083200425</v>
          </cell>
          <cell r="U303">
            <v>1.0616927287942601</v>
          </cell>
          <cell r="V303">
            <v>0.95461256927630045</v>
          </cell>
          <cell r="W303">
            <v>0.92842238531744448</v>
          </cell>
          <cell r="X303">
            <v>0.91656050655961085</v>
          </cell>
          <cell r="Y303">
            <v>0.93024559778088456</v>
          </cell>
          <cell r="Z303">
            <v>0.99449626916202249</v>
          </cell>
        </row>
        <row r="304">
          <cell r="C304">
            <v>1.0415495265902737</v>
          </cell>
          <cell r="D304">
            <v>1.0495671358734178</v>
          </cell>
          <cell r="E304">
            <v>1.0171911500211628</v>
          </cell>
          <cell r="F304">
            <v>0.98322503498720937</v>
          </cell>
          <cell r="G304">
            <v>1.0377764565381411</v>
          </cell>
          <cell r="H304">
            <v>1.0256039564176662</v>
          </cell>
          <cell r="I304">
            <v>0.99513259007914467</v>
          </cell>
          <cell r="J304">
            <v>0.99191434349258134</v>
          </cell>
          <cell r="K304">
            <v>0.97962611011811673</v>
          </cell>
          <cell r="L304">
            <v>0.97962611011811673</v>
          </cell>
          <cell r="M304">
            <v>1.0060144179914354</v>
          </cell>
          <cell r="N304">
            <v>1.0189119380348375</v>
          </cell>
          <cell r="O304">
            <v>0.9512162257401422</v>
          </cell>
          <cell r="P304">
            <v>0.98331090576943414</v>
          </cell>
          <cell r="Q304">
            <v>1.0024333768658089</v>
          </cell>
          <cell r="R304">
            <v>0.94583947782243172</v>
          </cell>
          <cell r="S304">
            <v>0.99611772250058439</v>
          </cell>
          <cell r="T304">
            <v>1</v>
          </cell>
          <cell r="U304">
            <v>1.0575709430019691</v>
          </cell>
          <cell r="V304">
            <v>0.95090649837793972</v>
          </cell>
          <cell r="W304">
            <v>0.92481799198097281</v>
          </cell>
          <cell r="X304">
            <v>0.91300216432814141</v>
          </cell>
          <cell r="Y304">
            <v>0.92663412622768937</v>
          </cell>
          <cell r="Z304">
            <v>0.9906353586730019</v>
          </cell>
        </row>
        <row r="305">
          <cell r="C305">
            <v>0.9848507407302457</v>
          </cell>
          <cell r="D305">
            <v>0.99243189576877744</v>
          </cell>
          <cell r="E305">
            <v>0.96181836003721299</v>
          </cell>
          <cell r="F305">
            <v>0.92970125691641547</v>
          </cell>
          <cell r="G305">
            <v>0.98128306512692165</v>
          </cell>
          <cell r="H305">
            <v>0.9697731988611914</v>
          </cell>
          <cell r="I305">
            <v>0.94096060095449496</v>
          </cell>
          <cell r="J305">
            <v>0.93791754591609899</v>
          </cell>
          <cell r="K305">
            <v>0.9262982465624463</v>
          </cell>
          <cell r="L305">
            <v>0.9262982465624463</v>
          </cell>
          <cell r="M305">
            <v>0.95125005527838369</v>
          </cell>
          <cell r="N305">
            <v>0.96344547358932164</v>
          </cell>
          <cell r="O305">
            <v>0.89943490981329965</v>
          </cell>
          <cell r="P305">
            <v>0.92978245315463759</v>
          </cell>
          <cell r="Q305">
            <v>0.9478639551313226</v>
          </cell>
          <cell r="R305">
            <v>0.89435085568597239</v>
          </cell>
          <cell r="S305">
            <v>0.94189210576555127</v>
          </cell>
          <cell r="T305">
            <v>0.94556304389514434</v>
          </cell>
          <cell r="U305">
            <v>1</v>
          </cell>
          <cell r="V305">
            <v>0.89914204306591772</v>
          </cell>
          <cell r="W305">
            <v>0.87447371554652376</v>
          </cell>
          <cell r="X305">
            <v>0.86330110558497219</v>
          </cell>
          <cell r="Y305">
            <v>0.87619098497297132</v>
          </cell>
          <cell r="Z305">
            <v>0.93670818513700183</v>
          </cell>
        </row>
        <row r="306">
          <cell r="C306">
            <v>1.0953227560932155</v>
          </cell>
          <cell r="D306">
            <v>1.1037542993593732</v>
          </cell>
          <cell r="E306">
            <v>1.0697068026733352</v>
          </cell>
          <cell r="F306">
            <v>1.0339870814474386</v>
          </cell>
          <cell r="G306">
            <v>1.0913548895799792</v>
          </cell>
          <cell r="H306">
            <v>1.0785539463313647</v>
          </cell>
          <cell r="I306">
            <v>1.0465094010574605</v>
          </cell>
          <cell r="J306">
            <v>1.0431250024945597</v>
          </cell>
          <cell r="K306">
            <v>1.0302023509032352</v>
          </cell>
          <cell r="L306">
            <v>1.0302023509032352</v>
          </cell>
          <cell r="M306">
            <v>1.0579530371361423</v>
          </cell>
          <cell r="N306">
            <v>1.0715164317132144</v>
          </cell>
          <cell r="O306">
            <v>1.000325717999331</v>
          </cell>
          <cell r="P306">
            <v>1.0340773855755219</v>
          </cell>
          <cell r="Q306">
            <v>1.0541871136392105</v>
          </cell>
          <cell r="R306">
            <v>0.99467137876946754</v>
          </cell>
          <cell r="S306">
            <v>1.0475453940001105</v>
          </cell>
          <cell r="T306">
            <v>1.0516281061343089</v>
          </cell>
          <cell r="U306">
            <v>1.1121713278918359</v>
          </cell>
          <cell r="V306">
            <v>1</v>
          </cell>
          <cell r="W306">
            <v>0.97256459342588486</v>
          </cell>
          <cell r="X306">
            <v>0.96013873696892849</v>
          </cell>
          <cell r="Y306">
            <v>0.97447449124424512</v>
          </cell>
          <cell r="Z306">
            <v>1.0417799861109709</v>
          </cell>
        </row>
        <row r="307">
          <cell r="C307">
            <v>1.1262210895781346</v>
          </cell>
          <cell r="D307">
            <v>1.1348904811261626</v>
          </cell>
          <cell r="E307">
            <v>1.0998825269849317</v>
          </cell>
          <cell r="F307">
            <v>1.06315517595103</v>
          </cell>
          <cell r="G307">
            <v>1.1221412921641043</v>
          </cell>
          <cell r="H307">
            <v>1.1089792427381397</v>
          </cell>
          <cell r="I307">
            <v>1.0760307419490802</v>
          </cell>
          <cell r="J307">
            <v>1.0725508717319472</v>
          </cell>
          <cell r="K307">
            <v>1.0592636806510913</v>
          </cell>
          <cell r="L307">
            <v>1.0592636806510913</v>
          </cell>
          <cell r="M307">
            <v>1.0877971954638759</v>
          </cell>
          <cell r="N307">
            <v>1.1017432044680644</v>
          </cell>
          <cell r="O307">
            <v>1.0285442476120346</v>
          </cell>
          <cell r="P307">
            <v>1.0632480274990852</v>
          </cell>
          <cell r="Q307">
            <v>1.0839250377456249</v>
          </cell>
          <cell r="R307">
            <v>1.0227304031968827</v>
          </cell>
          <cell r="S307">
            <v>1.0770959595702572</v>
          </cell>
          <cell r="T307">
            <v>1.0812938423245706</v>
          </cell>
          <cell r="U307">
            <v>1.1435449484894185</v>
          </cell>
          <cell r="V307">
            <v>1.0282093413224855</v>
          </cell>
          <cell r="W307">
            <v>1</v>
          </cell>
          <cell r="X307">
            <v>0.9872236183170251</v>
          </cell>
          <cell r="Y307">
            <v>1.0019637747778094</v>
          </cell>
          <cell r="Z307">
            <v>1.0711679133221095</v>
          </cell>
        </row>
        <row r="308">
          <cell r="C308">
            <v>1.140796339028098</v>
          </cell>
          <cell r="D308">
            <v>1.1495779275022546</v>
          </cell>
          <cell r="E308">
            <v>1.1141169098648214</v>
          </cell>
          <cell r="F308">
            <v>1.0769142433640817</v>
          </cell>
          <cell r="G308">
            <v>1.1366637419767984</v>
          </cell>
          <cell r="H308">
            <v>1.1233313528587152</v>
          </cell>
          <cell r="I308">
            <v>1.0899564414630289</v>
          </cell>
          <cell r="J308">
            <v>1.0864315357045289</v>
          </cell>
          <cell r="K308">
            <v>1.0729723853820241</v>
          </cell>
          <cell r="L308">
            <v>1.0729723853820241</v>
          </cell>
          <cell r="M308">
            <v>1.1018751732442384</v>
          </cell>
          <cell r="N308">
            <v>1.1160016677338687</v>
          </cell>
          <cell r="O308">
            <v>1.0418553897296856</v>
          </cell>
          <cell r="P308">
            <v>1.0770082965718175</v>
          </cell>
          <cell r="Q308">
            <v>1.0979529031056328</v>
          </cell>
          <cell r="R308">
            <v>1.0359663041088785</v>
          </cell>
          <cell r="S308">
            <v>1.0910354448432287</v>
          </cell>
          <cell r="T308">
            <v>1.0952876554634221</v>
          </cell>
          <cell r="U308">
            <v>1.1583443986468669</v>
          </cell>
          <cell r="V308">
            <v>1.0415161491733058</v>
          </cell>
          <cell r="W308">
            <v>1.0129417301672294</v>
          </cell>
          <cell r="X308">
            <v>1</v>
          </cell>
          <cell r="Y308">
            <v>1.0149309195883225</v>
          </cell>
          <cell r="Z308">
            <v>1.0850306794201185</v>
          </cell>
        </row>
        <row r="309">
          <cell r="C309">
            <v>1.1240137796677128</v>
          </cell>
          <cell r="D309">
            <v>1.1326661798504944</v>
          </cell>
          <cell r="E309">
            <v>1.0977268387061561</v>
          </cell>
          <cell r="F309">
            <v>1.0610714705596918</v>
          </cell>
          <cell r="G309">
            <v>1.119941978354402</v>
          </cell>
          <cell r="H309">
            <v>1.1068057255703296</v>
          </cell>
          <cell r="I309">
            <v>1.073921801402147</v>
          </cell>
          <cell r="J309">
            <v>1.0704487514728671</v>
          </cell>
          <cell r="K309">
            <v>1.0571876023022773</v>
          </cell>
          <cell r="L309">
            <v>1.0571876023022773</v>
          </cell>
          <cell r="M309">
            <v>1.0856651935396571</v>
          </cell>
          <cell r="N309">
            <v>1.0995838693992519</v>
          </cell>
          <cell r="O309">
            <v>1.0265283770764262</v>
          </cell>
          <cell r="P309">
            <v>1.0611641401255907</v>
          </cell>
          <cell r="Q309">
            <v>1.0818006249637027</v>
          </cell>
          <cell r="R309">
            <v>1.0207259273656659</v>
          </cell>
          <cell r="S309">
            <v>1.0749849312756927</v>
          </cell>
          <cell r="T309">
            <v>1.0791745864907671</v>
          </cell>
          <cell r="U309">
            <v>1.1413036850988005</v>
          </cell>
          <cell r="V309">
            <v>1.0261941271783963</v>
          </cell>
          <cell r="W309">
            <v>0.99804007407528783</v>
          </cell>
          <cell r="X309">
            <v>0.98528873315399745</v>
          </cell>
          <cell r="Y309">
            <v>1</v>
          </cell>
          <cell r="Z309">
            <v>1.0690685035590697</v>
          </cell>
        </row>
        <row r="310">
          <cell r="C310">
            <v>1.0513954680413118</v>
          </cell>
          <cell r="D310">
            <v>1.0594888691226987</v>
          </cell>
          <cell r="E310">
            <v>1.0268068276744466</v>
          </cell>
          <cell r="F310">
            <v>0.99251962528803839</v>
          </cell>
          <cell r="G310">
            <v>1.0475867305284627</v>
          </cell>
          <cell r="H310">
            <v>1.0352991617334417</v>
          </cell>
          <cell r="I310">
            <v>1.0045397444849606</v>
          </cell>
          <cell r="J310">
            <v>1.0012910752764697</v>
          </cell>
          <cell r="K310">
            <v>0.98888667918169959</v>
          </cell>
          <cell r="L310">
            <v>0.98888667918169959</v>
          </cell>
          <cell r="M310">
            <v>1.0155244401320729</v>
          </cell>
          <cell r="N310">
            <v>1.0285438825843176</v>
          </cell>
          <cell r="O310">
            <v>0.96020823142668421</v>
          </cell>
          <cell r="P310">
            <v>0.99260630782109449</v>
          </cell>
          <cell r="Q310">
            <v>1.0119095468272108</v>
          </cell>
          <cell r="R310">
            <v>0.95478065621383001</v>
          </cell>
          <cell r="S310">
            <v>1.0055341895275434</v>
          </cell>
          <cell r="T310">
            <v>1.0094531668438953</v>
          </cell>
          <cell r="U310">
            <v>1.0675683375754224</v>
          </cell>
          <cell r="V310">
            <v>0.95989557616005072</v>
          </cell>
          <cell r="W310">
            <v>0.93356045075940519</v>
          </cell>
          <cell r="X310">
            <v>0.92163292611637293</v>
          </cell>
          <cell r="Y310">
            <v>0.93539375322616702</v>
          </cell>
          <cell r="Z310">
            <v>1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121">
          <cell r="CI121">
            <v>1199.7543236906586</v>
          </cell>
          <cell r="CJ121">
            <v>1191.4317316890103</v>
          </cell>
          <cell r="CK121">
            <v>1182.2822067277068</v>
          </cell>
          <cell r="CL121">
            <v>1172.3121923497815</v>
          </cell>
          <cell r="CM121">
            <v>1161.5272149454943</v>
          </cell>
          <cell r="CN121">
            <v>1149.9370549992736</v>
          </cell>
          <cell r="CO121">
            <v>1137.3457205901232</v>
          </cell>
          <cell r="CP121">
            <v>1120.6225832505331</v>
          </cell>
          <cell r="CQ121">
            <v>1099.25214556526</v>
          </cell>
          <cell r="CR121">
            <v>1072.7851363817817</v>
          </cell>
          <cell r="CS121">
            <v>1041.275360144969</v>
          </cell>
          <cell r="CT121">
            <v>1004.5680149449518</v>
          </cell>
          <cell r="CU121">
            <v>962.58538264741287</v>
          </cell>
          <cell r="CV121">
            <v>915.64115926059048</v>
          </cell>
          <cell r="CW121">
            <v>863.6525549269835</v>
          </cell>
          <cell r="CX121">
            <v>806.65870170252219</v>
          </cell>
          <cell r="CY121">
            <v>744.69918021680769</v>
          </cell>
        </row>
        <row r="122">
          <cell r="CI122">
            <v>523.89563381579148</v>
          </cell>
          <cell r="CJ122">
            <v>498.02966004278494</v>
          </cell>
          <cell r="CK122">
            <v>470.80876729539506</v>
          </cell>
          <cell r="CL122">
            <v>442.55105848463927</v>
          </cell>
          <cell r="CM122">
            <v>413.5738120365624</v>
          </cell>
          <cell r="CN122">
            <v>384.20199303976267</v>
          </cell>
          <cell r="CO122">
            <v>354.26038809150862</v>
          </cell>
          <cell r="CP122">
            <v>317.25322146835742</v>
          </cell>
          <cell r="CQ122">
            <v>274.33042828926426</v>
          </cell>
          <cell r="CR122">
            <v>227.5227748367596</v>
          </cell>
          <cell r="CS122">
            <v>180.20992513851954</v>
          </cell>
          <cell r="CT122">
            <v>135.26996664065339</v>
          </cell>
          <cell r="CU122">
            <v>95.30791020732164</v>
          </cell>
          <cell r="CV122">
            <v>62.471902953696969</v>
          </cell>
          <cell r="CW122">
            <v>37.428380999435639</v>
          </cell>
          <cell r="CX122">
            <v>19.998711339241364</v>
          </cell>
          <cell r="CY122">
            <v>9.164206445952372</v>
          </cell>
        </row>
        <row r="123">
          <cell r="CI123">
            <v>37.620475054826763</v>
          </cell>
          <cell r="CJ123">
            <v>36.421934203006273</v>
          </cell>
          <cell r="CK123">
            <v>35.137373375210984</v>
          </cell>
          <cell r="CL123">
            <v>33.776536059315944</v>
          </cell>
          <cell r="CM123">
            <v>32.3294395251895</v>
          </cell>
          <cell r="CN123">
            <v>30.807111904188588</v>
          </cell>
          <cell r="CO123">
            <v>29.185274929890667</v>
          </cell>
          <cell r="CP123">
            <v>27.095746559865738</v>
          </cell>
          <cell r="CQ123">
            <v>24.553256812234881</v>
          </cell>
          <cell r="CR123">
            <v>21.617708183454472</v>
          </cell>
          <cell r="CS123">
            <v>18.437776275964726</v>
          </cell>
          <cell r="CT123">
            <v>15.155282748380943</v>
          </cell>
          <cell r="CU123">
            <v>11.928950872539534</v>
          </cell>
          <cell r="CV123">
            <v>8.9373795521463695</v>
          </cell>
          <cell r="CW123">
            <v>6.2994456083400969</v>
          </cell>
          <cell r="CX123">
            <v>4.109546380401115</v>
          </cell>
          <cell r="CY123">
            <v>2.417532562778919</v>
          </cell>
        </row>
        <row r="124">
          <cell r="CI124">
            <v>76.914032837743079</v>
          </cell>
          <cell r="CJ124">
            <v>71.853051671076059</v>
          </cell>
          <cell r="CK124">
            <v>66.619006597167754</v>
          </cell>
          <cell r="CL124">
            <v>61.290130282102147</v>
          </cell>
          <cell r="CM124">
            <v>55.941662807390294</v>
          </cell>
          <cell r="CN124">
            <v>50.646756649941807</v>
          </cell>
          <cell r="CO124">
            <v>45.386436393741405</v>
          </cell>
          <cell r="CP124">
            <v>39.067639295761545</v>
          </cell>
          <cell r="CQ124">
            <v>32.023236378296147</v>
          </cell>
          <cell r="CR124">
            <v>24.741194145954637</v>
          </cell>
          <cell r="CS124">
            <v>17.884417982336963</v>
          </cell>
          <cell r="CT124">
            <v>11.940485657483102</v>
          </cell>
          <cell r="CU124">
            <v>7.2392337665049782</v>
          </cell>
          <cell r="CV124">
            <v>3.9152485709122073</v>
          </cell>
          <cell r="CW124">
            <v>1.8234729666718015</v>
          </cell>
          <cell r="CX124">
            <v>0.69176980912311015</v>
          </cell>
          <cell r="CY124">
            <v>0.19229481966596779</v>
          </cell>
        </row>
        <row r="125">
          <cell r="CI125">
            <v>15.086243563814918</v>
          </cell>
          <cell r="CJ125">
            <v>14.809675636991896</v>
          </cell>
          <cell r="CK125">
            <v>14.509116905897983</v>
          </cell>
          <cell r="CL125">
            <v>14.185769017428305</v>
          </cell>
          <cell r="CM125">
            <v>13.840876906823317</v>
          </cell>
          <cell r="CN125">
            <v>13.475889345656997</v>
          </cell>
          <cell r="CO125">
            <v>13.085938789521936</v>
          </cell>
          <cell r="CP125">
            <v>12.578358474090775</v>
          </cell>
          <cell r="CQ125">
            <v>11.946466923839754</v>
          </cell>
          <cell r="CR125">
            <v>11.189600884988486</v>
          </cell>
          <cell r="CS125">
            <v>10.325617337061503</v>
          </cell>
          <cell r="CT125">
            <v>9.3695100409793852</v>
          </cell>
          <cell r="CU125">
            <v>8.3417304910749444</v>
          </cell>
          <cell r="CV125">
            <v>7.274608191070401</v>
          </cell>
          <cell r="CW125">
            <v>6.1917865608950517</v>
          </cell>
          <cell r="CX125">
            <v>5.1211532859991493</v>
          </cell>
          <cell r="CY125">
            <v>4.0909771652026983</v>
          </cell>
        </row>
        <row r="126">
          <cell r="CI126">
            <v>220.57206984001303</v>
          </cell>
          <cell r="CJ126">
            <v>211.94565901991834</v>
          </cell>
          <cell r="CK126">
            <v>202.76936655228502</v>
          </cell>
          <cell r="CL126">
            <v>193.12907179643989</v>
          </cell>
          <cell r="CM126">
            <v>183.11208852965905</v>
          </cell>
          <cell r="CN126">
            <v>172.81082748333006</v>
          </cell>
          <cell r="CO126">
            <v>162.14285279054326</v>
          </cell>
          <cell r="CP126">
            <v>148.72581584159639</v>
          </cell>
          <cell r="CQ126">
            <v>132.78671349109783</v>
          </cell>
          <cell r="CR126">
            <v>114.8396634054439</v>
          </cell>
          <cell r="CS126">
            <v>95.92312325635217</v>
          </cell>
          <cell r="CT126">
            <v>76.974710512980266</v>
          </cell>
          <cell r="CU126">
            <v>58.961543545613445</v>
          </cell>
          <cell r="CV126">
            <v>42.870440917775987</v>
          </cell>
          <cell r="CW126">
            <v>29.25711680252995</v>
          </cell>
          <cell r="CX126">
            <v>18.464787100264722</v>
          </cell>
          <cell r="CY126">
            <v>10.540742208577171</v>
          </cell>
        </row>
        <row r="127">
          <cell r="CI127">
            <v>287.72947245237492</v>
          </cell>
          <cell r="CJ127">
            <v>279.92641060242471</v>
          </cell>
          <cell r="CK127">
            <v>271.52237897885237</v>
          </cell>
          <cell r="CL127">
            <v>262.57090239249084</v>
          </cell>
          <cell r="CM127">
            <v>253.12731566019463</v>
          </cell>
          <cell r="CN127">
            <v>243.25285300025365</v>
          </cell>
          <cell r="CO127">
            <v>232.83999247844</v>
          </cell>
          <cell r="CP127">
            <v>219.47965390469483</v>
          </cell>
          <cell r="CQ127">
            <v>203.16894459837511</v>
          </cell>
          <cell r="CR127">
            <v>184.12763305345896</v>
          </cell>
          <cell r="CS127">
            <v>163.0961524654434</v>
          </cell>
          <cell r="CT127">
            <v>140.75557870516249</v>
          </cell>
          <cell r="CU127">
            <v>117.91491557675357</v>
          </cell>
          <cell r="CV127">
            <v>95.600434779032668</v>
          </cell>
          <cell r="CW127">
            <v>74.549703693282339</v>
          </cell>
          <cell r="CX127">
            <v>55.480582360887752</v>
          </cell>
          <cell r="CY127">
            <v>38.970672000732193</v>
          </cell>
        </row>
        <row r="128">
          <cell r="CI128">
            <v>226.36516405464164</v>
          </cell>
          <cell r="CJ128">
            <v>219.58080276415086</v>
          </cell>
          <cell r="CK128">
            <v>212.29534498326669</v>
          </cell>
          <cell r="CL128">
            <v>204.56056087696803</v>
          </cell>
          <cell r="CM128">
            <v>196.42980433650735</v>
          </cell>
          <cell r="CN128">
            <v>187.96142084052599</v>
          </cell>
          <cell r="CO128">
            <v>179.06941984648506</v>
          </cell>
          <cell r="CP128">
            <v>167.714083861186</v>
          </cell>
          <cell r="CQ128">
            <v>153.93987100527414</v>
          </cell>
          <cell r="CR128">
            <v>137.99542892271643</v>
          </cell>
          <cell r="CS128">
            <v>120.5759863799436</v>
          </cell>
          <cell r="CT128">
            <v>102.32316075340117</v>
          </cell>
          <cell r="CU128">
            <v>83.973175752239754</v>
          </cell>
          <cell r="CV128">
            <v>66.411041423923578</v>
          </cell>
          <cell r="CW128">
            <v>50.250113945559804</v>
          </cell>
          <cell r="CX128">
            <v>36.045138541545924</v>
          </cell>
          <cell r="CY128">
            <v>24.191025126279669</v>
          </cell>
        </row>
        <row r="129">
          <cell r="CI129">
            <v>703.10102778722398</v>
          </cell>
          <cell r="CJ129">
            <v>680.16072192772208</v>
          </cell>
          <cell r="CK129">
            <v>655.59349584559686</v>
          </cell>
          <cell r="CL129">
            <v>629.59043587777421</v>
          </cell>
          <cell r="CM129">
            <v>602.34779095029342</v>
          </cell>
          <cell r="CN129">
            <v>574.07800295591596</v>
          </cell>
          <cell r="CO129">
            <v>544.51260111590227</v>
          </cell>
          <cell r="CP129">
            <v>506.92292415797652</v>
          </cell>
          <cell r="CQ129">
            <v>461.59964917236778</v>
          </cell>
          <cell r="CR129">
            <v>409.55144187563434</v>
          </cell>
          <cell r="CS129">
            <v>353.27066187555948</v>
          </cell>
          <cell r="CT129">
            <v>295.05243823080053</v>
          </cell>
          <cell r="CU129">
            <v>237.44970764988176</v>
          </cell>
          <cell r="CV129">
            <v>183.38791375444197</v>
          </cell>
          <cell r="CW129">
            <v>134.80553256755258</v>
          </cell>
          <cell r="CX129">
            <v>93.320326827479491</v>
          </cell>
          <cell r="CY129">
            <v>59.909999796986597</v>
          </cell>
        </row>
        <row r="130">
          <cell r="CI130">
            <v>123.43712609572799</v>
          </cell>
          <cell r="CJ130">
            <v>119.86970578362198</v>
          </cell>
          <cell r="CK130">
            <v>116.03456756077092</v>
          </cell>
          <cell r="CL130">
            <v>111.9579101421282</v>
          </cell>
          <cell r="CM130">
            <v>107.66676762181835</v>
          </cell>
          <cell r="CN130">
            <v>103.19083116660057</v>
          </cell>
          <cell r="CO130">
            <v>98.483432302546888</v>
          </cell>
          <cell r="CP130">
            <v>92.461292371528728</v>
          </cell>
          <cell r="CQ130">
            <v>85.138675370693647</v>
          </cell>
          <cell r="CR130">
            <v>76.635244170164171</v>
          </cell>
          <cell r="CS130">
            <v>67.306843280220619</v>
          </cell>
          <cell r="CT130">
            <v>57.481729050547514</v>
          </cell>
          <cell r="CU130">
            <v>47.541401526661822</v>
          </cell>
          <cell r="CV130">
            <v>37.953627233585607</v>
          </cell>
          <cell r="CW130">
            <v>29.047510506492671</v>
          </cell>
          <cell r="CX130">
            <v>21.12940185124836</v>
          </cell>
          <cell r="CY130">
            <v>14.428724812473092</v>
          </cell>
        </row>
        <row r="131">
          <cell r="CI131">
            <v>74.483219401367094</v>
          </cell>
          <cell r="CJ131">
            <v>71.759650544794937</v>
          </cell>
          <cell r="CK131">
            <v>68.85480304626563</v>
          </cell>
          <cell r="CL131">
            <v>65.794090738418404</v>
          </cell>
          <cell r="CM131">
            <v>62.603460434723964</v>
          </cell>
          <cell r="CN131">
            <v>59.310609904136108</v>
          </cell>
          <cell r="CO131">
            <v>55.887319693464832</v>
          </cell>
          <cell r="CP131">
            <v>51.563452075947474</v>
          </cell>
          <cell r="CQ131">
            <v>46.396674268869013</v>
          </cell>
          <cell r="CR131">
            <v>40.533597169995716</v>
          </cell>
          <cell r="CS131">
            <v>34.291000967168458</v>
          </cell>
          <cell r="CT131">
            <v>27.957702010559121</v>
          </cell>
          <cell r="CU131">
            <v>21.840627323406242</v>
          </cell>
          <cell r="CV131">
            <v>16.267712954165532</v>
          </cell>
          <cell r="CW131">
            <v>11.437869703857068</v>
          </cell>
          <cell r="CX131">
            <v>7.4930321403339715</v>
          </cell>
          <cell r="CY131">
            <v>4.4865369092434939</v>
          </cell>
        </row>
        <row r="132">
          <cell r="CI132">
            <v>43.008387570524029</v>
          </cell>
          <cell r="CJ132">
            <v>41.305901850236978</v>
          </cell>
          <cell r="CK132">
            <v>39.495789511968262</v>
          </cell>
          <cell r="CL132">
            <v>37.59519501707792</v>
          </cell>
          <cell r="CM132">
            <v>35.62153503277321</v>
          </cell>
          <cell r="CN132">
            <v>33.593213943813872</v>
          </cell>
          <cell r="CO132">
            <v>31.494209868838112</v>
          </cell>
          <cell r="CP132">
            <v>28.856419841497633</v>
          </cell>
          <cell r="CQ132">
            <v>25.726230225486937</v>
          </cell>
          <cell r="CR132">
            <v>22.206857180488925</v>
          </cell>
          <cell r="CS132">
            <v>18.504420891493982</v>
          </cell>
          <cell r="CT132">
            <v>14.804642409300396</v>
          </cell>
          <cell r="CU132">
            <v>11.298006860975702</v>
          </cell>
          <cell r="CV132">
            <v>8.1771813067785413</v>
          </cell>
          <cell r="CW132">
            <v>5.5489682986703546</v>
          </cell>
          <cell r="CX132">
            <v>3.4771740578637269</v>
          </cell>
          <cell r="CY132">
            <v>1.9668165721242894</v>
          </cell>
        </row>
        <row r="133">
          <cell r="CI133">
            <v>393.45610105173319</v>
          </cell>
          <cell r="CJ133">
            <v>375.41093285839679</v>
          </cell>
          <cell r="CK133">
            <v>356.35041617147601</v>
          </cell>
          <cell r="CL133">
            <v>336.48259369885005</v>
          </cell>
          <cell r="CM133">
            <v>316.01640706996841</v>
          </cell>
          <cell r="CN133">
            <v>295.16823226324578</v>
          </cell>
          <cell r="CO133">
            <v>273.80014378220631</v>
          </cell>
          <cell r="CP133">
            <v>247.23100301407629</v>
          </cell>
          <cell r="CQ133">
            <v>216.15927102235582</v>
          </cell>
          <cell r="CR133">
            <v>181.89848268917984</v>
          </cell>
          <cell r="CS133">
            <v>146.76154536197407</v>
          </cell>
          <cell r="CT133">
            <v>112.76405703396557</v>
          </cell>
          <cell r="CU133">
            <v>81.8185405948377</v>
          </cell>
          <cell r="CV133">
            <v>55.633471687948628</v>
          </cell>
          <cell r="CW133">
            <v>34.916444860816483</v>
          </cell>
          <cell r="CX133">
            <v>19.812210035276941</v>
          </cell>
          <cell r="CY133">
            <v>9.8416264617025622</v>
          </cell>
        </row>
        <row r="134">
          <cell r="CI134">
            <v>73.975593318371679</v>
          </cell>
          <cell r="CJ134">
            <v>71.860906963778149</v>
          </cell>
          <cell r="CK134">
            <v>69.586787356204795</v>
          </cell>
          <cell r="CL134">
            <v>67.168584985459191</v>
          </cell>
          <cell r="CM134">
            <v>64.622145371186846</v>
          </cell>
          <cell r="CN134">
            <v>61.964894022250839</v>
          </cell>
          <cell r="CO134">
            <v>59.168910383178137</v>
          </cell>
          <cell r="CP134">
            <v>55.590169414100487</v>
          </cell>
          <cell r="CQ134">
            <v>51.235518113431951</v>
          </cell>
          <cell r="CR134">
            <v>46.173922180021847</v>
          </cell>
          <cell r="CS134">
            <v>40.614566637266364</v>
          </cell>
          <cell r="CT134">
            <v>34.750360388875819</v>
          </cell>
          <cell r="CU134">
            <v>28.806354777322998</v>
          </cell>
          <cell r="CV134">
            <v>23.060122820717233</v>
          </cell>
          <cell r="CW134">
            <v>17.707757625009897</v>
          </cell>
          <cell r="CX134">
            <v>12.933287993098361</v>
          </cell>
          <cell r="CY134">
            <v>8.8764332441615998</v>
          </cell>
        </row>
        <row r="135">
          <cell r="CI135">
            <v>251.03037241002679</v>
          </cell>
          <cell r="CJ135">
            <v>237.87144129967351</v>
          </cell>
          <cell r="CK135">
            <v>224.06760661019635</v>
          </cell>
          <cell r="CL135">
            <v>209.78913349164264</v>
          </cell>
          <cell r="CM135">
            <v>195.20478581781521</v>
          </cell>
          <cell r="CN135">
            <v>180.48577710510466</v>
          </cell>
          <cell r="CO135">
            <v>165.55203196718165</v>
          </cell>
          <cell r="CP135">
            <v>147.19053665430923</v>
          </cell>
          <cell r="CQ135">
            <v>126.04726874703991</v>
          </cell>
          <cell r="CR135">
            <v>103.21302582845109</v>
          </cell>
          <cell r="CS135">
            <v>80.425402591053242</v>
          </cell>
          <cell r="CT135">
            <v>59.131390644149548</v>
          </cell>
          <cell r="CU135">
            <v>40.58434128635141</v>
          </cell>
          <cell r="CV135">
            <v>25.738999992351165</v>
          </cell>
          <cell r="CW135">
            <v>14.783993764801098</v>
          </cell>
          <cell r="CX135">
            <v>7.4744516242443835</v>
          </cell>
          <cell r="CY135">
            <v>3.1751621970743793</v>
          </cell>
        </row>
        <row r="136">
          <cell r="CI136">
            <v>443.17274858668139</v>
          </cell>
          <cell r="CJ136">
            <v>415.41622950307863</v>
          </cell>
          <cell r="CK136">
            <v>386.61317700533624</v>
          </cell>
          <cell r="CL136">
            <v>357.17730160958291</v>
          </cell>
          <cell r="CM136">
            <v>327.50949206129667</v>
          </cell>
          <cell r="CN136">
            <v>298.00354196187487</v>
          </cell>
          <cell r="CO136">
            <v>268.54272483118905</v>
          </cell>
          <cell r="CP136">
            <v>232.95628578248801</v>
          </cell>
          <cell r="CQ136">
            <v>192.97430848745793</v>
          </cell>
          <cell r="CR136">
            <v>151.20567361544585</v>
          </cell>
          <cell r="CS136">
            <v>111.31877968592866</v>
          </cell>
          <cell r="CT136">
            <v>76.103568483389381</v>
          </cell>
          <cell r="CU136">
            <v>47.582921907913637</v>
          </cell>
          <cell r="CV136">
            <v>26.786893458581705</v>
          </cell>
          <cell r="CW136">
            <v>13.164892072642393</v>
          </cell>
          <cell r="CX136">
            <v>5.3878702548733797</v>
          </cell>
          <cell r="CY136">
            <v>1.6850546356381599</v>
          </cell>
        </row>
        <row r="137">
          <cell r="CI137">
            <v>3261.4680708376309</v>
          </cell>
          <cell r="CJ137">
            <v>3108.6553608029667</v>
          </cell>
          <cell r="CK137">
            <v>2947.411931489738</v>
          </cell>
          <cell r="CL137">
            <v>2779.5332561025771</v>
          </cell>
          <cell r="CM137">
            <v>2606.8191147557895</v>
          </cell>
          <cell r="CN137">
            <v>2431.1275131989119</v>
          </cell>
          <cell r="CO137">
            <v>2251.3292495018554</v>
          </cell>
          <cell r="CP137">
            <v>2028.1444832998823</v>
          </cell>
          <cell r="CQ137">
            <v>1767.7432012052616</v>
          </cell>
          <cell r="CR137">
            <v>1481.5071338078376</v>
          </cell>
          <cell r="CS137">
            <v>1189.1455736219887</v>
          </cell>
          <cell r="CT137">
            <v>907.72795931281371</v>
          </cell>
          <cell r="CU137">
            <v>653.2416338156894</v>
          </cell>
          <cell r="CV137">
            <v>439.66312748110317</v>
          </cell>
          <cell r="CW137">
            <v>272.40277508012059</v>
          </cell>
          <cell r="CX137">
            <v>152.02066965031185</v>
          </cell>
          <cell r="CY137">
            <v>73.862929787420825</v>
          </cell>
        </row>
        <row r="138">
          <cell r="CI138">
            <v>111.68528246571482</v>
          </cell>
          <cell r="CJ138">
            <v>101.8212362655229</v>
          </cell>
          <cell r="CK138">
            <v>91.865792599572359</v>
          </cell>
          <cell r="CL138">
            <v>82.002513391614201</v>
          </cell>
          <cell r="CM138">
            <v>72.397543865580801</v>
          </cell>
          <cell r="CN138">
            <v>63.199896774529421</v>
          </cell>
          <cell r="CO138">
            <v>54.389267488105176</v>
          </cell>
          <cell r="CP138">
            <v>44.225574261460395</v>
          </cell>
          <cell r="CQ138">
            <v>33.521958442003161</v>
          </cell>
          <cell r="CR138">
            <v>23.290268558161841</v>
          </cell>
          <cell r="CS138">
            <v>14.626560200465217</v>
          </cell>
          <cell r="CT138">
            <v>8.1016992550253981</v>
          </cell>
          <cell r="CU138">
            <v>3.8201823772097736</v>
          </cell>
          <cell r="CV138">
            <v>1.4657805308527707</v>
          </cell>
          <cell r="CW138">
            <v>0.41465468309310394</v>
          </cell>
          <cell r="CX138">
            <v>6.9232848875680431E-2</v>
          </cell>
          <cell r="CY138">
            <v>2.1371998929066577E-3</v>
          </cell>
        </row>
        <row r="139">
          <cell r="CI139">
            <v>17.848726209560891</v>
          </cell>
          <cell r="CJ139">
            <v>16.597498644568798</v>
          </cell>
          <cell r="CK139">
            <v>15.309442421189656</v>
          </cell>
          <cell r="CL139">
            <v>14.004784067031634</v>
          </cell>
          <cell r="CM139">
            <v>12.70277151960185</v>
          </cell>
          <cell r="CN139">
            <v>11.421853542508575</v>
          </cell>
          <cell r="CO139">
            <v>10.157999064611325</v>
          </cell>
          <cell r="CP139">
            <v>8.6513349938055715</v>
          </cell>
          <cell r="CQ139">
            <v>6.9894151027584766</v>
          </cell>
          <cell r="CR139">
            <v>5.2961352376226518</v>
          </cell>
          <cell r="CS139">
            <v>3.7324176553001349</v>
          </cell>
          <cell r="CT139">
            <v>2.4108505576015191</v>
          </cell>
          <cell r="CU139">
            <v>1.3995930516144948</v>
          </cell>
          <cell r="CV139">
            <v>0.71494370889030534</v>
          </cell>
          <cell r="CW139">
            <v>0.30800636995729724</v>
          </cell>
          <cell r="CX139">
            <v>0.10435242148849849</v>
          </cell>
          <cell r="CY139">
            <v>2.4082172264638671E-2</v>
          </cell>
        </row>
        <row r="140">
          <cell r="CI140">
            <v>251.11416114237164</v>
          </cell>
          <cell r="CJ140">
            <v>228.08422342888863</v>
          </cell>
          <cell r="CK140">
            <v>204.92735076206148</v>
          </cell>
          <cell r="CL140">
            <v>182.08031642327111</v>
          </cell>
          <cell r="CM140">
            <v>159.93437051123612</v>
          </cell>
          <cell r="CN140">
            <v>138.83560126041326</v>
          </cell>
          <cell r="CO140">
            <v>118.7375563294631</v>
          </cell>
          <cell r="CP140">
            <v>95.697217950858715</v>
          </cell>
          <cell r="CQ140">
            <v>71.64701463060355</v>
          </cell>
          <cell r="CR140">
            <v>48.939035202730174</v>
          </cell>
          <cell r="CS140">
            <v>30.035321151804279</v>
          </cell>
          <cell r="CT140">
            <v>16.122226310766731</v>
          </cell>
          <cell r="CU140">
            <v>7.2749627768109963</v>
          </cell>
          <cell r="CV140">
            <v>2.6192125153230403</v>
          </cell>
          <cell r="CW140">
            <v>0.66883396509696968</v>
          </cell>
          <cell r="CX140">
            <v>9.0279914092184499E-2</v>
          </cell>
          <cell r="CY140">
            <v>-5.7233860699673622E-4</v>
          </cell>
        </row>
        <row r="141">
          <cell r="CI141">
            <v>588.75791242036053</v>
          </cell>
          <cell r="CJ141">
            <v>562.02985871334931</v>
          </cell>
          <cell r="CK141">
            <v>533.7841113726322</v>
          </cell>
          <cell r="CL141">
            <v>504.32602229722187</v>
          </cell>
          <cell r="CM141">
            <v>473.96253616716376</v>
          </cell>
          <cell r="CN141">
            <v>443.01198754031566</v>
          </cell>
          <cell r="CO141">
            <v>411.26683156502099</v>
          </cell>
          <cell r="CP141">
            <v>371.76352478586716</v>
          </cell>
          <cell r="CQ141">
            <v>325.51528193849418</v>
          </cell>
          <cell r="CR141">
            <v>274.44587727979882</v>
          </cell>
          <cell r="CS141">
            <v>221.97027074542405</v>
          </cell>
          <cell r="CT141">
            <v>171.07290596801809</v>
          </cell>
          <cell r="CU141">
            <v>124.60274217554897</v>
          </cell>
          <cell r="CV141">
            <v>85.130161526620867</v>
          </cell>
          <cell r="CW141">
            <v>53.751049325394675</v>
          </cell>
          <cell r="CX141">
            <v>30.735487219495138</v>
          </cell>
          <cell r="CY141">
            <v>15.424835238486585</v>
          </cell>
        </row>
        <row r="142">
          <cell r="CI142">
            <v>137.31816217187631</v>
          </cell>
          <cell r="CJ142">
            <v>128.44241408002983</v>
          </cell>
          <cell r="CK142">
            <v>119.25171498030036</v>
          </cell>
          <cell r="CL142">
            <v>109.88149106909248</v>
          </cell>
          <cell r="CM142">
            <v>100.46235206162318</v>
          </cell>
          <cell r="CN142">
            <v>91.12176687340758</v>
          </cell>
          <cell r="CO142">
            <v>81.825030276521744</v>
          </cell>
          <cell r="CP142">
            <v>70.634714351583028</v>
          </cell>
          <cell r="CQ142">
            <v>58.123684516262365</v>
          </cell>
          <cell r="CR142">
            <v>45.14026898993653</v>
          </cell>
          <cell r="CS142">
            <v>32.851417229073789</v>
          </cell>
          <cell r="CT142">
            <v>22.126325819584558</v>
          </cell>
          <cell r="CU142">
            <v>13.568790885910911</v>
          </cell>
          <cell r="CV142">
            <v>7.4487337460310883</v>
          </cell>
          <cell r="CW142">
            <v>3.539550288703178</v>
          </cell>
          <cell r="CX142">
            <v>1.3816611305063846</v>
          </cell>
          <cell r="CY142">
            <v>0.40171651759542726</v>
          </cell>
        </row>
        <row r="143">
          <cell r="CI143">
            <v>131.12780336758556</v>
          </cell>
          <cell r="CJ143">
            <v>123.31301762681733</v>
          </cell>
          <cell r="CK143">
            <v>115.17732901897688</v>
          </cell>
          <cell r="CL143">
            <v>106.83288044712793</v>
          </cell>
          <cell r="CM143">
            <v>98.389100548192872</v>
          </cell>
          <cell r="CN143">
            <v>89.954528775573834</v>
          </cell>
          <cell r="CO143">
            <v>81.492456490036844</v>
          </cell>
          <cell r="CP143">
            <v>71.216579750094226</v>
          </cell>
          <cell r="CQ143">
            <v>59.586002160803019</v>
          </cell>
          <cell r="CR143">
            <v>47.313718873689538</v>
          </cell>
          <cell r="CS143">
            <v>35.437462840919864</v>
          </cell>
          <cell r="CT143">
            <v>24.770155274976659</v>
          </cell>
          <cell r="CU143">
            <v>15.937049921017898</v>
          </cell>
          <cell r="CV143">
            <v>9.3092778523950717</v>
          </cell>
          <cell r="CW143">
            <v>4.8045879682697121</v>
          </cell>
          <cell r="CX143">
            <v>2.1038496933066364</v>
          </cell>
          <cell r="CY143">
            <v>0.72803481169762829</v>
          </cell>
        </row>
        <row r="202">
          <cell r="Y202">
            <v>581.24862850519014</v>
          </cell>
          <cell r="Z202">
            <v>574.47647604175859</v>
          </cell>
          <cell r="AA202">
            <v>570.49138240197692</v>
          </cell>
          <cell r="AB202">
            <v>566.11032975358398</v>
          </cell>
          <cell r="AC202">
            <v>561.3364034481574</v>
          </cell>
          <cell r="AD202">
            <v>556.17224967845414</v>
          </cell>
          <cell r="AE202">
            <v>550.62255161845201</v>
          </cell>
          <cell r="AF202">
            <v>544.59346276484337</v>
          </cell>
          <cell r="AG202">
            <v>536.58594921185443</v>
          </cell>
          <cell r="AH202">
            <v>526.35317614283144</v>
          </cell>
          <cell r="AI202">
            <v>513.68001975835</v>
          </cell>
          <cell r="AJ202">
            <v>498.59224315613307</v>
          </cell>
          <cell r="AK202">
            <v>481.01572278112383</v>
          </cell>
          <cell r="AL202">
            <v>460.91324498128921</v>
          </cell>
          <cell r="AM202">
            <v>438.43501632292578</v>
          </cell>
          <cell r="AN202">
            <v>413.5413946687641</v>
          </cell>
          <cell r="AO202">
            <v>386.25111755960506</v>
          </cell>
          <cell r="AP202">
            <v>356.58313732607485</v>
          </cell>
          <cell r="AS202">
            <v>0.47882842736883524</v>
          </cell>
          <cell r="AT202">
            <v>0.47882842736883524</v>
          </cell>
          <cell r="AU202">
            <v>0.47882842736883524</v>
          </cell>
          <cell r="AV202">
            <v>0.47882842736883524</v>
          </cell>
          <cell r="AW202">
            <v>0.47882842736883524</v>
          </cell>
          <cell r="AX202">
            <v>0.47882842736883524</v>
          </cell>
          <cell r="AY202">
            <v>0.47882842736883524</v>
          </cell>
          <cell r="AZ202">
            <v>0.47882842736883524</v>
          </cell>
          <cell r="BA202">
            <v>0.47882842736883524</v>
          </cell>
          <cell r="BB202">
            <v>0.47882842736883524</v>
          </cell>
          <cell r="BC202">
            <v>0.47882842736883524</v>
          </cell>
          <cell r="BD202">
            <v>0.47882842736883524</v>
          </cell>
          <cell r="BE202">
            <v>0.47882842736883524</v>
          </cell>
          <cell r="BF202">
            <v>0.47882842736883524</v>
          </cell>
          <cell r="BG202">
            <v>0.47882842736883524</v>
          </cell>
          <cell r="BH202">
            <v>0.47882842736883524</v>
          </cell>
          <cell r="BI202">
            <v>0.47882842736883524</v>
          </cell>
        </row>
        <row r="203">
          <cell r="Y203">
            <v>1323.5183470204013</v>
          </cell>
          <cell r="Z203">
            <v>1154.9395275177706</v>
          </cell>
          <cell r="AA203">
            <v>1075.9590671692022</v>
          </cell>
          <cell r="AB203">
            <v>996.80718371291835</v>
          </cell>
          <cell r="AC203">
            <v>918.23972449700773</v>
          </cell>
          <cell r="AD203">
            <v>840.09503113376581</v>
          </cell>
          <cell r="AE203">
            <v>763.26237310159013</v>
          </cell>
          <cell r="AF203">
            <v>687.59292229785626</v>
          </cell>
          <cell r="AG203">
            <v>600.98642451397461</v>
          </cell>
          <cell r="AH203">
            <v>506.68403273616946</v>
          </cell>
          <cell r="AI203">
            <v>409.30501843849987</v>
          </cell>
          <cell r="AJ203">
            <v>315.43780380386448</v>
          </cell>
          <cell r="AK203">
            <v>230.14560298126236</v>
          </cell>
          <cell r="AL203">
            <v>157.45246927342833</v>
          </cell>
          <cell r="AM203">
            <v>100.10989327230588</v>
          </cell>
          <cell r="AN203">
            <v>58.118859319145642</v>
          </cell>
          <cell r="AO203">
            <v>30.060306845708077</v>
          </cell>
          <cell r="AP203">
            <v>13.320261037713383</v>
          </cell>
          <cell r="AS203">
            <v>2.204522147103563</v>
          </cell>
          <cell r="AT203">
            <v>2.1604317041614918</v>
          </cell>
          <cell r="AU203">
            <v>2.1172230700782619</v>
          </cell>
          <cell r="AV203">
            <v>2.0748786086766966</v>
          </cell>
          <cell r="AW203">
            <v>2.0313061578944858</v>
          </cell>
          <cell r="AX203">
            <v>1.9866174224208071</v>
          </cell>
          <cell r="AY203">
            <v>1.9409252217051285</v>
          </cell>
          <cell r="AZ203">
            <v>1.8943430163842054</v>
          </cell>
          <cell r="BA203">
            <v>1.8469844409746003</v>
          </cell>
          <cell r="BB203">
            <v>1.7989628455092608</v>
          </cell>
          <cell r="BC203">
            <v>1.7503908486805106</v>
          </cell>
          <cell r="BD203">
            <v>1.7013799049174563</v>
          </cell>
          <cell r="BE203">
            <v>1.6520398876748501</v>
          </cell>
          <cell r="BF203">
            <v>1.6024786910446045</v>
          </cell>
          <cell r="BG203">
            <v>1.5528018516222217</v>
          </cell>
          <cell r="BH203">
            <v>1.5031121923703106</v>
          </cell>
          <cell r="BI203">
            <v>1.4535094900220902</v>
          </cell>
        </row>
        <row r="204">
          <cell r="Y204">
            <v>496.83233250215335</v>
          </cell>
          <cell r="Z204">
            <v>446.99976579956257</v>
          </cell>
          <cell r="AA204">
            <v>398.13820405471711</v>
          </cell>
          <cell r="AB204">
            <v>345.6866839511959</v>
          </cell>
          <cell r="AC204">
            <v>299.068708378363</v>
          </cell>
          <cell r="AD204">
            <v>257.34381436478134</v>
          </cell>
          <cell r="AE204">
            <v>220.21296327660954</v>
          </cell>
          <cell r="AF204">
            <v>187.13202909181206</v>
          </cell>
          <cell r="AG204">
            <v>155.66589360334132</v>
          </cell>
          <cell r="AH204">
            <v>126.24799488079466</v>
          </cell>
          <cell r="AI204">
            <v>99.371661594932263</v>
          </cell>
          <cell r="AJ204">
            <v>75.685537849570153</v>
          </cell>
          <cell r="AK204">
            <v>55.492368078647161</v>
          </cell>
          <cell r="AL204">
            <v>38.917879497792107</v>
          </cell>
          <cell r="AM204">
            <v>25.950583508652699</v>
          </cell>
          <cell r="AN204">
            <v>16.260766632464115</v>
          </cell>
          <cell r="AO204">
            <v>9.4198836508477033</v>
          </cell>
          <cell r="AP204">
            <v>4.9152725547690554</v>
          </cell>
          <cell r="AS204">
            <v>11.881821405713797</v>
          </cell>
          <cell r="AT204">
            <v>10.931275693256694</v>
          </cell>
          <cell r="AU204">
            <v>9.8381481239310258</v>
          </cell>
          <cell r="AV204">
            <v>8.854333311537923</v>
          </cell>
          <cell r="AW204">
            <v>7.9600456470725929</v>
          </cell>
          <cell r="AX204">
            <v>7.1481209910711883</v>
          </cell>
          <cell r="AY204">
            <v>6.411864528990856</v>
          </cell>
          <cell r="AZ204">
            <v>5.7450306179758073</v>
          </cell>
          <cell r="BA204">
            <v>5.1418024030883478</v>
          </cell>
          <cell r="BB204">
            <v>4.5967713483609831</v>
          </cell>
          <cell r="BC204">
            <v>4.1049168140863577</v>
          </cell>
          <cell r="BD204">
            <v>3.661585798165031</v>
          </cell>
          <cell r="BE204">
            <v>3.2624729461650426</v>
          </cell>
          <cell r="BF204">
            <v>2.9036009220868881</v>
          </cell>
          <cell r="BG204">
            <v>2.5813012197352436</v>
          </cell>
          <cell r="BH204">
            <v>2.2921954831248965</v>
          </cell>
          <cell r="BI204">
            <v>2.0331773935317834</v>
          </cell>
        </row>
        <row r="205">
          <cell r="Y205">
            <v>169.85144597855836</v>
          </cell>
          <cell r="Z205">
            <v>151.56117946760236</v>
          </cell>
          <cell r="AA205">
            <v>141.6035694616173</v>
          </cell>
          <cell r="AB205">
            <v>131.30272085468627</v>
          </cell>
          <cell r="AC205">
            <v>120.79977289724921</v>
          </cell>
          <cell r="AD205">
            <v>110.25821174670639</v>
          </cell>
          <cell r="AE205">
            <v>99.822217266224669</v>
          </cell>
          <cell r="AF205">
            <v>89.275481082788431</v>
          </cell>
          <cell r="AG205">
            <v>76.538971546252455</v>
          </cell>
          <cell r="AH205">
            <v>62.361572606558234</v>
          </cell>
          <cell r="AI205">
            <v>47.795187182966806</v>
          </cell>
          <cell r="AJ205">
            <v>33.927339815536968</v>
          </cell>
          <cell r="AK205">
            <v>21.790744104685665</v>
          </cell>
          <cell r="AL205">
            <v>12.31284982721097</v>
          </cell>
          <cell r="AM205">
            <v>5.9400510283703385</v>
          </cell>
          <cell r="AN205">
            <v>2.3293902686642785</v>
          </cell>
          <cell r="AO205">
            <v>0.6910528857546856</v>
          </cell>
          <cell r="AP205">
            <v>0.13677201934061681</v>
          </cell>
          <cell r="AS205">
            <v>1.9705270140669129</v>
          </cell>
          <cell r="AT205">
            <v>1.9707384191535851</v>
          </cell>
          <cell r="AU205">
            <v>1.9709498469205404</v>
          </cell>
          <cell r="AV205">
            <v>1.9709498469205404</v>
          </cell>
          <cell r="AW205">
            <v>1.9709498469205404</v>
          </cell>
          <cell r="AX205">
            <v>1.9709498469205404</v>
          </cell>
          <cell r="AY205">
            <v>1.9670079472266992</v>
          </cell>
          <cell r="AZ205">
            <v>1.9591399154377924</v>
          </cell>
          <cell r="BA205">
            <v>1.9473850759451656</v>
          </cell>
          <cell r="BB205">
            <v>1.9318059953376043</v>
          </cell>
          <cell r="BC205">
            <v>1.8970334874215273</v>
          </cell>
          <cell r="BD205">
            <v>1.8249462148995093</v>
          </cell>
          <cell r="BE205">
            <v>1.7008498722863425</v>
          </cell>
          <cell r="BF205">
            <v>1.5171580860794174</v>
          </cell>
          <cell r="BG205">
            <v>1.2774471084788692</v>
          </cell>
          <cell r="BH205">
            <v>0.99896363883047545</v>
          </cell>
          <cell r="BI205">
            <v>0.71126211084729829</v>
          </cell>
        </row>
        <row r="206">
          <cell r="Y206">
            <v>4.2</v>
          </cell>
          <cell r="Z206">
            <v>4.0848253329883075</v>
          </cell>
          <cell r="AA206">
            <v>4.023262737300362</v>
          </cell>
          <cell r="AB206">
            <v>3.954706891005177</v>
          </cell>
          <cell r="AC206">
            <v>3.8665729176547248</v>
          </cell>
          <cell r="AD206">
            <v>3.7725666996809473</v>
          </cell>
          <cell r="AE206">
            <v>3.673083124447718</v>
          </cell>
          <cell r="AF206">
            <v>3.559661868916856</v>
          </cell>
          <cell r="AG206">
            <v>3.4079025539505965</v>
          </cell>
          <cell r="AH206">
            <v>3.2172815596688915</v>
          </cell>
          <cell r="AI206">
            <v>2.9893437149492561</v>
          </cell>
          <cell r="AJ206">
            <v>2.7088737886057124</v>
          </cell>
          <cell r="AK206">
            <v>2.3646381808369692</v>
          </cell>
          <cell r="AL206">
            <v>1.9620943328869778</v>
          </cell>
          <cell r="AM206">
            <v>1.5262939780519231</v>
          </cell>
          <cell r="AN206">
            <v>1.0938471816974009</v>
          </cell>
          <cell r="AO206">
            <v>0.70748168795250899</v>
          </cell>
          <cell r="AP206">
            <v>0.40239676167190547</v>
          </cell>
          <cell r="AS206">
            <v>0.27076490683114501</v>
          </cell>
          <cell r="AT206">
            <v>0.27166447368036734</v>
          </cell>
          <cell r="AU206">
            <v>0.27256702917581299</v>
          </cell>
          <cell r="AV206">
            <v>0.27256702917581299</v>
          </cell>
          <cell r="AW206">
            <v>0.27256702917581299</v>
          </cell>
          <cell r="AX206">
            <v>0.27256702917581299</v>
          </cell>
          <cell r="AY206">
            <v>0.27202189511746139</v>
          </cell>
          <cell r="AZ206">
            <v>0.27093380753699153</v>
          </cell>
          <cell r="BA206">
            <v>0.26930820469176958</v>
          </cell>
          <cell r="BB206">
            <v>0.26715373905423545</v>
          </cell>
          <cell r="BC206">
            <v>0.2623449717512592</v>
          </cell>
          <cell r="BD206">
            <v>0.25237586282471136</v>
          </cell>
          <cell r="BE206">
            <v>0.23521430415263098</v>
          </cell>
          <cell r="BF206">
            <v>0.20981115930414682</v>
          </cell>
          <cell r="BG206">
            <v>0.17666099613409159</v>
          </cell>
          <cell r="BH206">
            <v>0.13814889897685959</v>
          </cell>
          <cell r="BI206">
            <v>9.8362016071523992E-2</v>
          </cell>
        </row>
        <row r="207">
          <cell r="Y207">
            <v>558.16999553323978</v>
          </cell>
          <cell r="Z207">
            <v>531.91991178857518</v>
          </cell>
          <cell r="AA207">
            <v>521.14137940985222</v>
          </cell>
          <cell r="AB207">
            <v>508.35684951647465</v>
          </cell>
          <cell r="AC207">
            <v>493.3875339890829</v>
          </cell>
          <cell r="AD207">
            <v>468.01774192061538</v>
          </cell>
          <cell r="AE207">
            <v>441.68866134188124</v>
          </cell>
          <cell r="AF207">
            <v>413.59344965183345</v>
          </cell>
          <cell r="AG207">
            <v>377.85183915844829</v>
          </cell>
          <cell r="AH207">
            <v>335.33291717212495</v>
          </cell>
          <cell r="AI207">
            <v>287.69025287066086</v>
          </cell>
          <cell r="AJ207">
            <v>235.9761089994204</v>
          </cell>
          <cell r="AK207">
            <v>182.16622606979948</v>
          </cell>
          <cell r="AL207">
            <v>130.048262306119</v>
          </cell>
          <cell r="AM207">
            <v>84.344839047099029</v>
          </cell>
          <cell r="AN207">
            <v>48.466781483806777</v>
          </cell>
          <cell r="AO207">
            <v>23.920139756857886</v>
          </cell>
          <cell r="AP207">
            <v>9.7223352798794043</v>
          </cell>
          <cell r="AS207">
            <v>2.4115469931183546</v>
          </cell>
          <cell r="AT207">
            <v>2.458844318018687</v>
          </cell>
          <cell r="AU207">
            <v>2.5070692785608348</v>
          </cell>
          <cell r="AV207">
            <v>2.5547035948534909</v>
          </cell>
          <cell r="AW207">
            <v>2.5559084912343706</v>
          </cell>
          <cell r="AX207">
            <v>2.5559084912343706</v>
          </cell>
          <cell r="AY207">
            <v>2.5507966742519019</v>
          </cell>
          <cell r="AZ207">
            <v>2.5405934875548941</v>
          </cell>
          <cell r="BA207">
            <v>2.5253499266295649</v>
          </cell>
          <cell r="BB207">
            <v>2.5051471272165284</v>
          </cell>
          <cell r="BC207">
            <v>2.4600544789266308</v>
          </cell>
          <cell r="BD207">
            <v>2.3665724087274187</v>
          </cell>
          <cell r="BE207">
            <v>2.205645484933954</v>
          </cell>
          <cell r="BF207">
            <v>1.9674357725610867</v>
          </cell>
          <cell r="BG207">
            <v>1.6565809204964348</v>
          </cell>
          <cell r="BH207">
            <v>1.2954462798282116</v>
          </cell>
          <cell r="BI207">
            <v>0.92235775123768637</v>
          </cell>
        </row>
        <row r="208">
          <cell r="Y208">
            <v>820.30555400377796</v>
          </cell>
          <cell r="Z208">
            <v>801.12414100856518</v>
          </cell>
          <cell r="AA208">
            <v>797.1754900663052</v>
          </cell>
          <cell r="AB208">
            <v>790.25379110155723</v>
          </cell>
          <cell r="AC208">
            <v>775.66393093055365</v>
          </cell>
          <cell r="AD208">
            <v>768.30694314892287</v>
          </cell>
          <cell r="AE208">
            <v>738.33539226469543</v>
          </cell>
          <cell r="AF208">
            <v>705.31620513793462</v>
          </cell>
          <cell r="AG208">
            <v>662.18584157073087</v>
          </cell>
          <cell r="AH208">
            <v>609.29741135195127</v>
          </cell>
          <cell r="AI208">
            <v>547.77555928349261</v>
          </cell>
          <cell r="AJ208">
            <v>476.47364563614872</v>
          </cell>
          <cell r="AK208">
            <v>395.58139448588247</v>
          </cell>
          <cell r="AL208">
            <v>308.8551853966004</v>
          </cell>
          <cell r="AM208">
            <v>223.36281511138495</v>
          </cell>
          <cell r="AN208">
            <v>146.65910159508314</v>
          </cell>
          <cell r="AO208">
            <v>85.351441980564914</v>
          </cell>
          <cell r="AP208">
            <v>42.686224098145125</v>
          </cell>
          <cell r="AS208">
            <v>2.7842964232354319</v>
          </cell>
          <cell r="AT208">
            <v>2.8478037793958699</v>
          </cell>
          <cell r="AU208">
            <v>2.9104554625425791</v>
          </cell>
          <cell r="AV208">
            <v>2.9541122944807174</v>
          </cell>
          <cell r="AW208">
            <v>3.0352589215630927</v>
          </cell>
          <cell r="AX208">
            <v>3.0352589215630927</v>
          </cell>
          <cell r="AY208">
            <v>3.0291884037199663</v>
          </cell>
          <cell r="AZ208">
            <v>3.0170716501050863</v>
          </cell>
          <cell r="BA208">
            <v>2.9989692202044558</v>
          </cell>
          <cell r="BB208">
            <v>2.9749774664428199</v>
          </cell>
          <cell r="BC208">
            <v>2.921427872046849</v>
          </cell>
          <cell r="BD208">
            <v>2.8104136129090684</v>
          </cell>
          <cell r="BE208">
            <v>2.6193054872312516</v>
          </cell>
          <cell r="BF208">
            <v>2.3364204946102762</v>
          </cell>
          <cell r="BG208">
            <v>1.9672660564618523</v>
          </cell>
          <cell r="BH208">
            <v>1.5384020561531682</v>
          </cell>
          <cell r="BI208">
            <v>1.0953422639810553</v>
          </cell>
        </row>
        <row r="209">
          <cell r="Y209">
            <v>653.6588003529464</v>
          </cell>
          <cell r="Z209">
            <v>635.23979687084932</v>
          </cell>
          <cell r="AA209">
            <v>628.52512854489532</v>
          </cell>
          <cell r="AB209">
            <v>618.00174509682574</v>
          </cell>
          <cell r="AC209">
            <v>601.44027861758013</v>
          </cell>
          <cell r="AD209">
            <v>582.05584163829019</v>
          </cell>
          <cell r="AE209">
            <v>556.96254126201347</v>
          </cell>
          <cell r="AF209">
            <v>529.55276022403882</v>
          </cell>
          <cell r="AG209">
            <v>493.98832189674272</v>
          </cell>
          <cell r="AH209">
            <v>450.69698274209389</v>
          </cell>
          <cell r="AI209">
            <v>400.78356605855691</v>
          </cell>
          <cell r="AJ209">
            <v>343.88839140835478</v>
          </cell>
          <cell r="AK209">
            <v>280.74091516646024</v>
          </cell>
          <cell r="AL209">
            <v>214.72779013132137</v>
          </cell>
          <cell r="AM209">
            <v>151.47913682530182</v>
          </cell>
          <cell r="AN209">
            <v>96.507635092948732</v>
          </cell>
          <cell r="AO209">
            <v>54.134991720627632</v>
          </cell>
          <cell r="AP209">
            <v>25.868166152604182</v>
          </cell>
          <cell r="AS209">
            <v>2.8062612881437472</v>
          </cell>
          <cell r="AT209">
            <v>2.862386513906622</v>
          </cell>
          <cell r="AU209">
            <v>2.9110470846430343</v>
          </cell>
          <cell r="AV209">
            <v>2.9401575554894648</v>
          </cell>
          <cell r="AW209">
            <v>2.9631747768844696</v>
          </cell>
          <cell r="AX209">
            <v>2.9631747768844696</v>
          </cell>
          <cell r="AY209">
            <v>2.9572484273307005</v>
          </cell>
          <cell r="AZ209">
            <v>2.9454194336213777</v>
          </cell>
          <cell r="BA209">
            <v>2.9277469170196495</v>
          </cell>
          <cell r="BB209">
            <v>2.9043249416834924</v>
          </cell>
          <cell r="BC209">
            <v>2.8520470927331893</v>
          </cell>
          <cell r="BD209">
            <v>2.743669303209328</v>
          </cell>
          <cell r="BE209">
            <v>2.5570997905910935</v>
          </cell>
          <cell r="BF209">
            <v>2.2809330132072549</v>
          </cell>
          <cell r="BG209">
            <v>1.9205455971205083</v>
          </cell>
          <cell r="BH209">
            <v>1.5018666569482371</v>
          </cell>
          <cell r="BI209">
            <v>1.0693290597471443</v>
          </cell>
        </row>
        <row r="210">
          <cell r="Y210">
            <v>1806.7514390135939</v>
          </cell>
          <cell r="Z210">
            <v>1879.6929356788958</v>
          </cell>
          <cell r="AA210">
            <v>1931.6114769447422</v>
          </cell>
          <cell r="AB210">
            <v>1960.5198147990429</v>
          </cell>
          <cell r="AC210">
            <v>1901.5865439388328</v>
          </cell>
          <cell r="AD210">
            <v>1837.2469668705055</v>
          </cell>
          <cell r="AE210">
            <v>1751.0200676819131</v>
          </cell>
          <cell r="AF210">
            <v>1657.5196781218121</v>
          </cell>
          <cell r="AG210">
            <v>1536.9227112090884</v>
          </cell>
          <cell r="AH210">
            <v>1391.11153350327</v>
          </cell>
          <cell r="AI210">
            <v>1224.3810875822319</v>
          </cell>
          <cell r="AJ210">
            <v>1037.1157106498683</v>
          </cell>
          <cell r="AK210">
            <v>833.2856848739068</v>
          </cell>
          <cell r="AL210">
            <v>625.00323432021264</v>
          </cell>
          <cell r="AM210">
            <v>430.57240207464622</v>
          </cell>
          <cell r="AN210">
            <v>266.49881848078064</v>
          </cell>
          <cell r="AO210">
            <v>144.26818750149909</v>
          </cell>
          <cell r="AP210">
            <v>65.943749373405737</v>
          </cell>
          <cell r="AS210">
            <v>2.6734322115764821</v>
          </cell>
          <cell r="AT210">
            <v>2.8399338783782442</v>
          </cell>
          <cell r="AU210">
            <v>2.990450373932291</v>
          </cell>
          <cell r="AV210">
            <v>3.0203548776716138</v>
          </cell>
          <cell r="AW210">
            <v>3.0501431141168038</v>
          </cell>
          <cell r="AX210">
            <v>3.0501431141168038</v>
          </cell>
          <cell r="AY210">
            <v>3.0440428278885703</v>
          </cell>
          <cell r="AZ210">
            <v>3.0318666565770158</v>
          </cell>
          <cell r="BA210">
            <v>3.0136754566375537</v>
          </cell>
          <cell r="BB210">
            <v>2.9895660529844532</v>
          </cell>
          <cell r="BC210">
            <v>2.9357538640307328</v>
          </cell>
          <cell r="BD210">
            <v>2.8241952171975648</v>
          </cell>
          <cell r="BE210">
            <v>2.6321499424281303</v>
          </cell>
          <cell r="BF210">
            <v>2.3478777486458919</v>
          </cell>
          <cell r="BG210">
            <v>1.9769130643598407</v>
          </cell>
          <cell r="BH210">
            <v>1.545946016329395</v>
          </cell>
          <cell r="BI210">
            <v>1.1007135636265288</v>
          </cell>
        </row>
        <row r="211">
          <cell r="Y211">
            <v>396.91979598081855</v>
          </cell>
          <cell r="Z211">
            <v>382.36500213281187</v>
          </cell>
          <cell r="AA211">
            <v>375.7701555311146</v>
          </cell>
          <cell r="AB211">
            <v>368.11265315808453</v>
          </cell>
          <cell r="AC211">
            <v>355.17970386599347</v>
          </cell>
          <cell r="AD211">
            <v>341.56631355104764</v>
          </cell>
          <cell r="AE211">
            <v>327.36667564543575</v>
          </cell>
          <cell r="AF211">
            <v>311.80787176151006</v>
          </cell>
          <cell r="AG211">
            <v>291.57024169601141</v>
          </cell>
          <cell r="AH211">
            <v>266.86800603466804</v>
          </cell>
          <cell r="AI211">
            <v>238.29220688375582</v>
          </cell>
          <cell r="AJ211">
            <v>205.51901233100634</v>
          </cell>
          <cell r="AK211">
            <v>168.84868279044625</v>
          </cell>
          <cell r="AL211">
            <v>130.15346865185637</v>
          </cell>
          <cell r="AM211">
            <v>92.683389588411274</v>
          </cell>
          <cell r="AN211">
            <v>59.726852590547217</v>
          </cell>
          <cell r="AO211">
            <v>33.974624692248369</v>
          </cell>
          <cell r="AP211">
            <v>16.518682629292236</v>
          </cell>
          <cell r="AS211">
            <v>3.0976499066924164</v>
          </cell>
          <cell r="AT211">
            <v>3.1348217055727252</v>
          </cell>
          <cell r="AU211">
            <v>3.1724395660395981</v>
          </cell>
          <cell r="AV211">
            <v>3.1724395660395981</v>
          </cell>
          <cell r="AW211">
            <v>3.1724395660395981</v>
          </cell>
          <cell r="AX211">
            <v>3.1724395660395981</v>
          </cell>
          <cell r="AY211">
            <v>3.1660946869075191</v>
          </cell>
          <cell r="AZ211">
            <v>3.1534303081598889</v>
          </cell>
          <cell r="BA211">
            <v>3.1345097263109296</v>
          </cell>
          <cell r="BB211">
            <v>3.1094336485004423</v>
          </cell>
          <cell r="BC211">
            <v>3.0534638428274343</v>
          </cell>
          <cell r="BD211">
            <v>2.9374322167999916</v>
          </cell>
          <cell r="BE211">
            <v>2.7376868260575922</v>
          </cell>
          <cell r="BF211">
            <v>2.4420166488433721</v>
          </cell>
          <cell r="BG211">
            <v>2.0561780183261189</v>
          </cell>
          <cell r="BH211">
            <v>1.6079312103310246</v>
          </cell>
          <cell r="BI211">
            <v>1.1448470217556892</v>
          </cell>
        </row>
        <row r="212">
          <cell r="Y212">
            <v>324.28402483758845</v>
          </cell>
          <cell r="Z212">
            <v>308.62477895591331</v>
          </cell>
          <cell r="AA212">
            <v>301.25235234114274</v>
          </cell>
          <cell r="AB212">
            <v>292.86141191078588</v>
          </cell>
          <cell r="AC212">
            <v>282.64165971186316</v>
          </cell>
          <cell r="AD212">
            <v>268.83277245951899</v>
          </cell>
          <cell r="AE212">
            <v>254.69256149856503</v>
          </cell>
          <cell r="AF212">
            <v>239.51222996631284</v>
          </cell>
          <cell r="AG212">
            <v>220.09781734699604</v>
          </cell>
          <cell r="AH212">
            <v>196.85524319346422</v>
          </cell>
          <cell r="AI212">
            <v>170.6031142126327</v>
          </cell>
          <cell r="AJ212">
            <v>141.73054521643715</v>
          </cell>
          <cell r="AK212">
            <v>111.16289254269877</v>
          </cell>
          <cell r="AL212">
            <v>80.935562243405357</v>
          </cell>
          <cell r="AM212">
            <v>53.773169404810943</v>
          </cell>
          <cell r="AN212">
            <v>31.834378123753364</v>
          </cell>
          <cell r="AO212">
            <v>16.308558434100778</v>
          </cell>
          <cell r="AP212">
            <v>6.9526315865628945</v>
          </cell>
          <cell r="AS212">
            <v>4.1435477874933087</v>
          </cell>
          <cell r="AT212">
            <v>4.1980744060771347</v>
          </cell>
          <cell r="AU212">
            <v>4.2533185624538552</v>
          </cell>
          <cell r="AV212">
            <v>4.2958517480783938</v>
          </cell>
          <cell r="AW212">
            <v>4.2942158563236035</v>
          </cell>
          <cell r="AX212">
            <v>4.2942158563236035</v>
          </cell>
          <cell r="AY212">
            <v>4.285627424610956</v>
          </cell>
          <cell r="AZ212">
            <v>4.2684849149125119</v>
          </cell>
          <cell r="BA212">
            <v>4.2428740054230367</v>
          </cell>
          <cell r="BB212">
            <v>4.2089310133796527</v>
          </cell>
          <cell r="BC212">
            <v>4.1331702551388192</v>
          </cell>
          <cell r="BD212">
            <v>3.9761097854435441</v>
          </cell>
          <cell r="BE212">
            <v>3.705734320033383</v>
          </cell>
          <cell r="BF212">
            <v>3.3055150134697771</v>
          </cell>
          <cell r="BG212">
            <v>2.783243641341552</v>
          </cell>
          <cell r="BH212">
            <v>2.1764965275290931</v>
          </cell>
          <cell r="BI212">
            <v>1.5496655276007136</v>
          </cell>
        </row>
        <row r="213">
          <cell r="Y213">
            <v>256.41998245933939</v>
          </cell>
          <cell r="Z213">
            <v>241.97836219947411</v>
          </cell>
          <cell r="AA213">
            <v>237.04764917663718</v>
          </cell>
          <cell r="AB213">
            <v>231.19291213965636</v>
          </cell>
          <cell r="AC213">
            <v>226.44953461891356</v>
          </cell>
          <cell r="AD213">
            <v>215.87510423415179</v>
          </cell>
          <cell r="AE213">
            <v>203.58298863339024</v>
          </cell>
          <cell r="AF213">
            <v>190.48079203461043</v>
          </cell>
          <cell r="AG213">
            <v>173.82901030585276</v>
          </cell>
          <cell r="AH213">
            <v>154.04313399164309</v>
          </cell>
          <cell r="AI213">
            <v>131.90612598249839</v>
          </cell>
          <cell r="AJ213">
            <v>107.93563525649557</v>
          </cell>
          <cell r="AK213">
            <v>83.073469299348901</v>
          </cell>
          <cell r="AL213">
            <v>59.085671058434983</v>
          </cell>
          <cell r="AM213">
            <v>38.145983776957209</v>
          </cell>
          <cell r="AN213">
            <v>21.79563506921361</v>
          </cell>
          <cell r="AO213">
            <v>10.680472544958809</v>
          </cell>
          <cell r="AP213">
            <v>4.3013807751872708</v>
          </cell>
          <cell r="AS213">
            <v>5.6263063060126193</v>
          </cell>
          <cell r="AT213">
            <v>5.7388324321328721</v>
          </cell>
          <cell r="AU213">
            <v>5.8536090807755299</v>
          </cell>
          <cell r="AV213">
            <v>6.0233637441180194</v>
          </cell>
          <cell r="AW213">
            <v>6.0602414813269059</v>
          </cell>
          <cell r="AX213">
            <v>6.0602414813269059</v>
          </cell>
          <cell r="AY213">
            <v>6.0481209983642517</v>
          </cell>
          <cell r="AZ213">
            <v>6.0239285143707946</v>
          </cell>
          <cell r="BA213">
            <v>5.98778494328457</v>
          </cell>
          <cell r="BB213">
            <v>5.9398826637382935</v>
          </cell>
          <cell r="BC213">
            <v>5.8329647757910044</v>
          </cell>
          <cell r="BD213">
            <v>5.6113121143109463</v>
          </cell>
          <cell r="BE213">
            <v>5.2297428905378016</v>
          </cell>
          <cell r="BF213">
            <v>4.6649306583597188</v>
          </cell>
          <cell r="BG213">
            <v>3.9278716143388825</v>
          </cell>
          <cell r="BH213">
            <v>3.0715956024130056</v>
          </cell>
          <cell r="BI213">
            <v>2.1869760689180593</v>
          </cell>
        </row>
        <row r="214">
          <cell r="Y214">
            <v>1807.5334262544441</v>
          </cell>
          <cell r="Z214">
            <v>1697.9697965305343</v>
          </cell>
          <cell r="AA214">
            <v>1646.6590774034373</v>
          </cell>
          <cell r="AB214">
            <v>1588.6826274012337</v>
          </cell>
          <cell r="AC214">
            <v>1521.1093439158185</v>
          </cell>
          <cell r="AD214">
            <v>1428.9920607144431</v>
          </cell>
          <cell r="AE214">
            <v>1334.7188659920016</v>
          </cell>
          <cell r="AF214">
            <v>1235.6184884331562</v>
          </cell>
          <cell r="AG214">
            <v>1111.253125152256</v>
          </cell>
          <cell r="AH214">
            <v>965.76245111098251</v>
          </cell>
          <cell r="AI214">
            <v>806.18961136895086</v>
          </cell>
          <cell r="AJ214">
            <v>638.7514293885913</v>
          </cell>
          <cell r="AK214">
            <v>472.134105319387</v>
          </cell>
          <cell r="AL214">
            <v>319.27309475928303</v>
          </cell>
          <cell r="AM214">
            <v>193.64737294994518</v>
          </cell>
          <cell r="AN214">
            <v>102.3334361805482</v>
          </cell>
          <cell r="AO214">
            <v>45.407460689372648</v>
          </cell>
          <cell r="AP214">
            <v>16.059838115439064</v>
          </cell>
          <cell r="AS214">
            <v>4.3155253965861835</v>
          </cell>
          <cell r="AT214">
            <v>4.3862842908321724</v>
          </cell>
          <cell r="AU214">
            <v>4.4582033731560422</v>
          </cell>
          <cell r="AV214">
            <v>4.5206182203802268</v>
          </cell>
          <cell r="AW214">
            <v>4.5218919927725576</v>
          </cell>
          <cell r="AX214">
            <v>4.5218919927725576</v>
          </cell>
          <cell r="AY214">
            <v>4.5128482087870125</v>
          </cell>
          <cell r="AZ214">
            <v>4.4947968159518643</v>
          </cell>
          <cell r="BA214">
            <v>4.4678280350561534</v>
          </cell>
          <cell r="BB214">
            <v>4.4320854107757039</v>
          </cell>
          <cell r="BC214">
            <v>4.3523078733817409</v>
          </cell>
          <cell r="BD214">
            <v>4.1869201741932347</v>
          </cell>
          <cell r="BE214">
            <v>3.9022096023480946</v>
          </cell>
          <cell r="BF214">
            <v>3.4807709652945</v>
          </cell>
          <cell r="BG214">
            <v>2.9308091527779685</v>
          </cell>
          <cell r="BH214">
            <v>2.2918927574723709</v>
          </cell>
          <cell r="BI214">
            <v>1.6318276433203274</v>
          </cell>
        </row>
        <row r="215">
          <cell r="Y215">
            <v>238.37982129321796</v>
          </cell>
          <cell r="Z215">
            <v>239.75298834722713</v>
          </cell>
          <cell r="AA215">
            <v>240.21153538088345</v>
          </cell>
          <cell r="AB215">
            <v>237.06171352532618</v>
          </cell>
          <cell r="AC215">
            <v>232.94243440324783</v>
          </cell>
          <cell r="AD215">
            <v>224.11528091775858</v>
          </cell>
          <cell r="AE215">
            <v>214.89969964735687</v>
          </cell>
          <cell r="AF215">
            <v>204.79257663395563</v>
          </cell>
          <cell r="AG215">
            <v>191.63638708709607</v>
          </cell>
          <cell r="AH215">
            <v>175.56481923271951</v>
          </cell>
          <cell r="AI215">
            <v>156.95487166912389</v>
          </cell>
          <cell r="AJ215">
            <v>135.57241891522969</v>
          </cell>
          <cell r="AK215">
            <v>111.58964764444126</v>
          </cell>
          <cell r="AL215">
            <v>86.212216488948073</v>
          </cell>
          <cell r="AM215">
            <v>61.561185720806201</v>
          </cell>
          <cell r="AN215">
            <v>39.80347785498271</v>
          </cell>
          <cell r="AO215">
            <v>22.733858523774611</v>
          </cell>
          <cell r="AP215">
            <v>11.109197545546289</v>
          </cell>
          <cell r="AS215">
            <v>3.2409741861128811</v>
          </cell>
          <cell r="AT215">
            <v>3.342728968087799</v>
          </cell>
          <cell r="AU215">
            <v>3.4067058206300174</v>
          </cell>
          <cell r="AV215">
            <v>3.4680265254013576</v>
          </cell>
          <cell r="AW215">
            <v>3.4680879074882145</v>
          </cell>
          <cell r="AX215">
            <v>3.4680879074882145</v>
          </cell>
          <cell r="AY215">
            <v>3.4611517316732381</v>
          </cell>
          <cell r="AZ215">
            <v>3.447307124746545</v>
          </cell>
          <cell r="BA215">
            <v>3.4266232819980655</v>
          </cell>
          <cell r="BB215">
            <v>3.3992102957420811</v>
          </cell>
          <cell r="BC215">
            <v>3.3380245104187236</v>
          </cell>
          <cell r="BD215">
            <v>3.2111795790228119</v>
          </cell>
          <cell r="BE215">
            <v>2.9928193676492607</v>
          </cell>
          <cell r="BF215">
            <v>2.6695948759431403</v>
          </cell>
          <cell r="BG215">
            <v>2.2477988855441238</v>
          </cell>
          <cell r="BH215">
            <v>1.7577787284955044</v>
          </cell>
          <cell r="BI215">
            <v>1.2515384546887987</v>
          </cell>
        </row>
        <row r="216">
          <cell r="Y216">
            <v>1454.7414738190216</v>
          </cell>
          <cell r="Z216">
            <v>1390.2523720942966</v>
          </cell>
          <cell r="AA216">
            <v>1338.9759549401645</v>
          </cell>
          <cell r="AB216">
            <v>1281.9546116544968</v>
          </cell>
          <cell r="AC216">
            <v>1215.8668233626979</v>
          </cell>
          <cell r="AD216">
            <v>1136.891019761782</v>
          </cell>
          <cell r="AE216">
            <v>1051.1661295898073</v>
          </cell>
          <cell r="AF216">
            <v>962.26221310588255</v>
          </cell>
          <cell r="AG216">
            <v>852.11486870173997</v>
          </cell>
          <cell r="AH216">
            <v>725.33407224532755</v>
          </cell>
          <cell r="AI216">
            <v>589.18383298958508</v>
          </cell>
          <cell r="AJ216">
            <v>450.83854822973825</v>
          </cell>
          <cell r="AK216">
            <v>318.8753614492926</v>
          </cell>
          <cell r="AL216">
            <v>203.97516114012046</v>
          </cell>
          <cell r="AM216">
            <v>115.39189554690599</v>
          </cell>
          <cell r="AN216">
            <v>55.806848772120006</v>
          </cell>
          <cell r="AO216">
            <v>22.063876493883093</v>
          </cell>
          <cell r="AP216">
            <v>6.6734189665480628</v>
          </cell>
          <cell r="AS216">
            <v>5.5381839207229184</v>
          </cell>
          <cell r="AT216">
            <v>5.6289899603933762</v>
          </cell>
          <cell r="AU216">
            <v>5.7212848882912137</v>
          </cell>
          <cell r="AV216">
            <v>5.7956615918389991</v>
          </cell>
          <cell r="AW216">
            <v>5.824093989287964</v>
          </cell>
          <cell r="AX216">
            <v>5.824093989287964</v>
          </cell>
          <cell r="AY216">
            <v>5.812445801309388</v>
          </cell>
          <cell r="AZ216">
            <v>5.7891960181041506</v>
          </cell>
          <cell r="BA216">
            <v>5.7544608419955257</v>
          </cell>
          <cell r="BB216">
            <v>5.7084251552595617</v>
          </cell>
          <cell r="BC216">
            <v>5.6056735024648896</v>
          </cell>
          <cell r="BD216">
            <v>5.3926579093712235</v>
          </cell>
          <cell r="BE216">
            <v>5.0259571715339799</v>
          </cell>
          <cell r="BF216">
            <v>4.4831537970083097</v>
          </cell>
          <cell r="BG216">
            <v>3.7748154970809962</v>
          </cell>
          <cell r="BH216">
            <v>2.9519057187173381</v>
          </cell>
          <cell r="BI216">
            <v>2.1017568717267441</v>
          </cell>
        </row>
        <row r="217">
          <cell r="Y217">
            <v>1106.8633126575778</v>
          </cell>
          <cell r="Z217">
            <v>1025.9305717826117</v>
          </cell>
          <cell r="AA217">
            <v>993.41040754720859</v>
          </cell>
          <cell r="AB217">
            <v>955.04144717631368</v>
          </cell>
          <cell r="AC217">
            <v>911.44347678247561</v>
          </cell>
          <cell r="AD217">
            <v>858.72549342866228</v>
          </cell>
          <cell r="AE217">
            <v>781.36128819987061</v>
          </cell>
          <cell r="AF217">
            <v>702.70719016745932</v>
          </cell>
          <cell r="AG217">
            <v>607.14829228197061</v>
          </cell>
          <cell r="AH217">
            <v>499.92657347773638</v>
          </cell>
          <cell r="AI217">
            <v>388.58540815255094</v>
          </cell>
          <cell r="AJ217">
            <v>280.93013351751551</v>
          </cell>
          <cell r="AK217">
            <v>184.76086297683582</v>
          </cell>
          <cell r="AL217">
            <v>107.66436425194212</v>
          </cell>
          <cell r="AM217">
            <v>54.063987982809671</v>
          </cell>
          <cell r="AN217">
            <v>22.372531185108318</v>
          </cell>
          <cell r="AO217">
            <v>7.1601430838380828</v>
          </cell>
          <cell r="AP217">
            <v>1.5944046511607466</v>
          </cell>
          <cell r="AS217">
            <v>2.3149676397170142</v>
          </cell>
          <cell r="AT217">
            <v>2.3913615718276757</v>
          </cell>
          <cell r="AU217">
            <v>2.4702765036979888</v>
          </cell>
          <cell r="AV217">
            <v>2.551795628320022</v>
          </cell>
          <cell r="AW217">
            <v>2.6219865812864538</v>
          </cell>
          <cell r="AX217">
            <v>2.6219865812864538</v>
          </cell>
          <cell r="AY217">
            <v>2.6167426081238809</v>
          </cell>
          <cell r="AZ217">
            <v>2.6062756376913856</v>
          </cell>
          <cell r="BA217">
            <v>2.5906379838652374</v>
          </cell>
          <cell r="BB217">
            <v>2.5699128799943156</v>
          </cell>
          <cell r="BC217">
            <v>2.5236544481544181</v>
          </cell>
          <cell r="BD217">
            <v>2.42775557912455</v>
          </cell>
          <cell r="BE217">
            <v>2.2626681997440805</v>
          </cell>
          <cell r="BF217">
            <v>2.0183000341717197</v>
          </cell>
          <cell r="BG217">
            <v>1.6994086287725876</v>
          </cell>
          <cell r="BH217">
            <v>1.3289375477001633</v>
          </cell>
          <cell r="BI217">
            <v>0.94620353396251589</v>
          </cell>
        </row>
        <row r="218">
          <cell r="Y218">
            <v>1567.5846848129866</v>
          </cell>
          <cell r="Z218">
            <v>1494.0237712727744</v>
          </cell>
          <cell r="AA218">
            <v>1456.7753593386615</v>
          </cell>
          <cell r="AB218">
            <v>1418.506371680138</v>
          </cell>
          <cell r="AC218">
            <v>1365.8030251507134</v>
          </cell>
          <cell r="AD218">
            <v>1294.7114069302518</v>
          </cell>
          <cell r="AE218">
            <v>1207.4518347758394</v>
          </cell>
          <cell r="AF218">
            <v>1115.9163289464072</v>
          </cell>
          <cell r="AG218">
            <v>1001.2691785042909</v>
          </cell>
          <cell r="AH218">
            <v>867.47609781602182</v>
          </cell>
          <cell r="AI218">
            <v>721.19674975098951</v>
          </cell>
          <cell r="AJ218">
            <v>568.45556855617872</v>
          </cell>
          <cell r="AK218">
            <v>417.43829327114207</v>
          </cell>
          <cell r="AL218">
            <v>279.97957004821359</v>
          </cell>
          <cell r="AM218">
            <v>168.08826141382428</v>
          </cell>
          <cell r="AN218">
            <v>87.68816044986076</v>
          </cell>
          <cell r="AO218">
            <v>38.268269707720584</v>
          </cell>
          <cell r="AP218">
            <v>13.238619760106909</v>
          </cell>
          <cell r="AS218">
            <v>0.45808321247464173</v>
          </cell>
          <cell r="AT218">
            <v>0.46861912636155845</v>
          </cell>
          <cell r="AU218">
            <v>0.48127184277332047</v>
          </cell>
          <cell r="AV218">
            <v>0.49137855147156018</v>
          </cell>
          <cell r="AW218">
            <v>0.49666330878179943</v>
          </cell>
          <cell r="AX218">
            <v>0.49666330878179943</v>
          </cell>
          <cell r="AY218">
            <v>0.49566998216423586</v>
          </cell>
          <cell r="AZ218">
            <v>0.49368730223557888</v>
          </cell>
          <cell r="BA218">
            <v>0.4907251784221654</v>
          </cell>
          <cell r="BB218">
            <v>0.48679937699478809</v>
          </cell>
          <cell r="BC218">
            <v>0.47803698820888191</v>
          </cell>
          <cell r="BD218">
            <v>0.45987158265694439</v>
          </cell>
          <cell r="BE218">
            <v>0.42860031503627216</v>
          </cell>
          <cell r="BF218">
            <v>0.38231148101235474</v>
          </cell>
          <cell r="BG218">
            <v>0.32190626701240266</v>
          </cell>
          <cell r="BH218">
            <v>0.2517307008036988</v>
          </cell>
          <cell r="BI218">
            <v>0.17923225897223349</v>
          </cell>
        </row>
        <row r="219">
          <cell r="Y219">
            <v>3920.9383887896388</v>
          </cell>
          <cell r="Z219">
            <v>3470.0767222026993</v>
          </cell>
          <cell r="AA219">
            <v>3242.6894693742729</v>
          </cell>
          <cell r="AB219">
            <v>2995.8549234374523</v>
          </cell>
          <cell r="AC219">
            <v>2674.2014249998056</v>
          </cell>
          <cell r="AD219">
            <v>2360.9717186012585</v>
          </cell>
          <cell r="AE219">
            <v>2061.0252908610305</v>
          </cell>
          <cell r="AF219">
            <v>1770.1525831888443</v>
          </cell>
          <cell r="AG219">
            <v>1433.6076594688275</v>
          </cell>
          <cell r="AH219">
            <v>1080.1214718467047</v>
          </cell>
          <cell r="AI219">
            <v>744.43945883066351</v>
          </cell>
          <cell r="AJ219">
            <v>459.10135984060787</v>
          </cell>
          <cell r="AK219">
            <v>244.63442206855464</v>
          </cell>
          <cell r="AL219">
            <v>107.5081670253121</v>
          </cell>
          <cell r="AM219">
            <v>36.795199656837653</v>
          </cell>
          <cell r="AN219">
            <v>8.7643735810824595</v>
          </cell>
          <cell r="AO219">
            <v>1.1443352136635694</v>
          </cell>
          <cell r="AP219">
            <v>2.515163354816875E-2</v>
          </cell>
          <cell r="AS219">
            <v>31.070134270090104</v>
          </cell>
          <cell r="AT219">
            <v>31.846887626842353</v>
          </cell>
          <cell r="AU219">
            <v>32.61121292988657</v>
          </cell>
          <cell r="AV219">
            <v>32.61121292988657</v>
          </cell>
          <cell r="AW219">
            <v>32.61121292988657</v>
          </cell>
          <cell r="AX219">
            <v>32.61121292988657</v>
          </cell>
          <cell r="AY219">
            <v>32.545990504026797</v>
          </cell>
          <cell r="AZ219">
            <v>32.415806542010692</v>
          </cell>
          <cell r="BA219">
            <v>32.221311702758626</v>
          </cell>
          <cell r="BB219">
            <v>31.963541209136558</v>
          </cell>
          <cell r="BC219">
            <v>31.388197467372098</v>
          </cell>
          <cell r="BD219">
            <v>30.195445963611956</v>
          </cell>
          <cell r="BE219">
            <v>28.14215563808634</v>
          </cell>
          <cell r="BF219">
            <v>25.102802829173012</v>
          </cell>
          <cell r="BG219">
            <v>21.136559982163671</v>
          </cell>
          <cell r="BH219">
            <v>16.528789906051987</v>
          </cell>
          <cell r="BI219">
            <v>11.768498413109011</v>
          </cell>
        </row>
        <row r="220">
          <cell r="Y220">
            <v>133.66592608149202</v>
          </cell>
          <cell r="Z220">
            <v>120.12140484544638</v>
          </cell>
          <cell r="AA220">
            <v>113.37619016384534</v>
          </cell>
          <cell r="AB220">
            <v>108.61511944917807</v>
          </cell>
          <cell r="AC220">
            <v>101.04812988894496</v>
          </cell>
          <cell r="AD220">
            <v>91.806222340785681</v>
          </cell>
          <cell r="AE220">
            <v>82.548696105359824</v>
          </cell>
          <cell r="AF220">
            <v>73.267663217093386</v>
          </cell>
          <cell r="AG220">
            <v>62.150787994164887</v>
          </cell>
          <cell r="AH220">
            <v>49.910363039507068</v>
          </cell>
          <cell r="AI220">
            <v>37.516354702306351</v>
          </cell>
          <cell r="AJ220">
            <v>25.963503158456678</v>
          </cell>
          <cell r="AK220">
            <v>16.133121970100508</v>
          </cell>
          <cell r="AL220">
            <v>8.7290265984982902</v>
          </cell>
          <cell r="AM220">
            <v>3.9774134907050804</v>
          </cell>
          <cell r="AN220">
            <v>1.4427818932764416</v>
          </cell>
          <cell r="AO220">
            <v>0.38225244268315633</v>
          </cell>
          <cell r="AP220">
            <v>6.2809218587169799E-2</v>
          </cell>
          <cell r="AS220">
            <v>6.7299707236868178</v>
          </cell>
          <cell r="AT220">
            <v>6.8309202845421195</v>
          </cell>
          <cell r="AU220">
            <v>7.094648940241278</v>
          </cell>
          <cell r="AV220">
            <v>7.2152579722253787</v>
          </cell>
          <cell r="AW220">
            <v>7.2272592008065351</v>
          </cell>
          <cell r="AX220">
            <v>7.2272592008065351</v>
          </cell>
          <cell r="AY220">
            <v>7.2128046824049221</v>
          </cell>
          <cell r="AZ220">
            <v>7.1839534636753024</v>
          </cell>
          <cell r="BA220">
            <v>7.1408497428932503</v>
          </cell>
          <cell r="BB220">
            <v>7.0837229449501038</v>
          </cell>
          <cell r="BC220">
            <v>6.956215931941002</v>
          </cell>
          <cell r="BD220">
            <v>6.6918797265272438</v>
          </cell>
          <cell r="BE220">
            <v>6.2368319051233909</v>
          </cell>
          <cell r="BF220">
            <v>5.5632540593700641</v>
          </cell>
          <cell r="BG220">
            <v>4.6842599179895936</v>
          </cell>
          <cell r="BH220">
            <v>3.6630912558678612</v>
          </cell>
          <cell r="BI220">
            <v>2.6081209741779161</v>
          </cell>
        </row>
        <row r="221">
          <cell r="Y221">
            <v>786.25921376206281</v>
          </cell>
          <cell r="Z221">
            <v>692.89862380992395</v>
          </cell>
          <cell r="AA221">
            <v>651.37950540481972</v>
          </cell>
          <cell r="AB221">
            <v>602.80381785229952</v>
          </cell>
          <cell r="AC221">
            <v>535.59814972254242</v>
          </cell>
          <cell r="AD221">
            <v>470.45476746496701</v>
          </cell>
          <cell r="AE221">
            <v>408.39170653588724</v>
          </cell>
          <cell r="AF221">
            <v>348.57378045274322</v>
          </cell>
          <cell r="AG221">
            <v>279.81130741476335</v>
          </cell>
          <cell r="AH221">
            <v>208.23341988238147</v>
          </cell>
          <cell r="AI221">
            <v>141.0975290010563</v>
          </cell>
          <cell r="AJ221">
            <v>85.036969104157336</v>
          </cell>
          <cell r="AK221">
            <v>43.911227521330389</v>
          </cell>
          <cell r="AL221">
            <v>18.46703841362207</v>
          </cell>
          <cell r="AM221">
            <v>5.930646913132497</v>
          </cell>
          <cell r="AN221">
            <v>1.2751513718960317</v>
          </cell>
          <cell r="AO221">
            <v>0.13459883877282525</v>
          </cell>
          <cell r="AP221">
            <v>-6.0755165991035944E-4</v>
          </cell>
          <cell r="AS221">
            <v>2.7592972879656843</v>
          </cell>
          <cell r="AT221">
            <v>2.8558726930444829</v>
          </cell>
          <cell r="AU221">
            <v>2.9415488738358175</v>
          </cell>
          <cell r="AV221">
            <v>2.9415488738358175</v>
          </cell>
          <cell r="AW221">
            <v>2.9415488738358175</v>
          </cell>
          <cell r="AX221">
            <v>2.9415488738358175</v>
          </cell>
          <cell r="AY221">
            <v>2.9356657760881459</v>
          </cell>
          <cell r="AZ221">
            <v>2.9239231129837933</v>
          </cell>
          <cell r="BA221">
            <v>2.9063795743058907</v>
          </cell>
          <cell r="BB221">
            <v>2.8831285377114435</v>
          </cell>
          <cell r="BC221">
            <v>2.8312322240326373</v>
          </cell>
          <cell r="BD221">
            <v>2.723645399519397</v>
          </cell>
          <cell r="BE221">
            <v>2.5384375123520777</v>
          </cell>
          <cell r="BF221">
            <v>2.2642862610180532</v>
          </cell>
          <cell r="BG221">
            <v>1.9065290317772006</v>
          </cell>
          <cell r="BH221">
            <v>1.4909057028497705</v>
          </cell>
          <cell r="BI221">
            <v>1.0615248604290362</v>
          </cell>
        </row>
        <row r="222">
          <cell r="Y222">
            <v>422.2974887072686</v>
          </cell>
          <cell r="Z222">
            <v>398.43151739847178</v>
          </cell>
          <cell r="AA222">
            <v>391.75409255246279</v>
          </cell>
          <cell r="AB222">
            <v>385.08814197367019</v>
          </cell>
          <cell r="AC222">
            <v>368.20221197762447</v>
          </cell>
          <cell r="AD222">
            <v>352.19143841086088</v>
          </cell>
          <cell r="AE222">
            <v>329.19274672386564</v>
          </cell>
          <cell r="AF222">
            <v>304.99239208775606</v>
          </cell>
          <cell r="AG222">
            <v>274.59424845619083</v>
          </cell>
          <cell r="AH222">
            <v>238.99148393014718</v>
          </cell>
          <cell r="AI222">
            <v>199.88464216603927</v>
          </cell>
          <cell r="AJ222">
            <v>158.75558600036194</v>
          </cell>
          <cell r="AK222">
            <v>117.70380659283899</v>
          </cell>
          <cell r="AL222">
            <v>79.90110548562113</v>
          </cell>
          <cell r="AM222">
            <v>48.693781183840514</v>
          </cell>
          <cell r="AN222">
            <v>25.887438540235021</v>
          </cell>
          <cell r="AO222">
            <v>11.575746004458846</v>
          </cell>
          <cell r="AP222">
            <v>4.1362750883897439</v>
          </cell>
          <cell r="AS222">
            <v>0.67673233597920668</v>
          </cell>
          <cell r="AT222">
            <v>0.69703430605858285</v>
          </cell>
          <cell r="AU222">
            <v>0.72143050677063325</v>
          </cell>
          <cell r="AV222">
            <v>0.73008767285188081</v>
          </cell>
          <cell r="AW222">
            <v>0.74307864342814867</v>
          </cell>
          <cell r="AX222">
            <v>0.74307864342814867</v>
          </cell>
          <cell r="AY222">
            <v>0.74159248614129236</v>
          </cell>
          <cell r="AZ222">
            <v>0.73862611619672724</v>
          </cell>
          <cell r="BA222">
            <v>0.73419435949954692</v>
          </cell>
          <cell r="BB222">
            <v>0.72832080462355053</v>
          </cell>
          <cell r="BC222">
            <v>0.71521103014032661</v>
          </cell>
          <cell r="BD222">
            <v>0.68803301099499414</v>
          </cell>
          <cell r="BE222">
            <v>0.64124676624733445</v>
          </cell>
          <cell r="BF222">
            <v>0.5719921154926223</v>
          </cell>
          <cell r="BG222">
            <v>0.48161736124478788</v>
          </cell>
          <cell r="BH222">
            <v>0.37662477649342402</v>
          </cell>
          <cell r="BI222">
            <v>0.26815684086331781</v>
          </cell>
        </row>
        <row r="223">
          <cell r="Y223">
            <v>1299.6451110609175</v>
          </cell>
          <cell r="Z223">
            <v>1181.0311666752646</v>
          </cell>
          <cell r="AA223">
            <v>1122.8065822122583</v>
          </cell>
          <cell r="AB223">
            <v>1059.5567876353607</v>
          </cell>
          <cell r="AC223">
            <v>976.30193173309067</v>
          </cell>
          <cell r="AD223">
            <v>892.61246302655059</v>
          </cell>
          <cell r="AE223">
            <v>809.62094849533355</v>
          </cell>
          <cell r="AF223">
            <v>725.56499258559893</v>
          </cell>
          <cell r="AG223">
            <v>623.83204159301795</v>
          </cell>
          <cell r="AH223">
            <v>510.25704013794962</v>
          </cell>
          <cell r="AI223">
            <v>393.10782025658295</v>
          </cell>
          <cell r="AJ223">
            <v>280.93971570575457</v>
          </cell>
          <cell r="AK223">
            <v>182.0301822482937</v>
          </cell>
          <cell r="AL223">
            <v>104.03780058774707</v>
          </cell>
          <cell r="AM223">
            <v>50.944501635711646</v>
          </cell>
          <cell r="AN223">
            <v>20.383325787253934</v>
          </cell>
          <cell r="AO223">
            <v>6.2220751460248751</v>
          </cell>
          <cell r="AP223">
            <v>1.2880519954853245</v>
          </cell>
          <cell r="AS223">
            <v>8.6006916200714176</v>
          </cell>
          <cell r="AT223">
            <v>8.7417119201190072</v>
          </cell>
          <cell r="AU223">
            <v>8.8850444441020642</v>
          </cell>
          <cell r="AV223">
            <v>8.8850444441020642</v>
          </cell>
          <cell r="AW223">
            <v>8.8850444441020642</v>
          </cell>
          <cell r="AX223">
            <v>8.8850444441020642</v>
          </cell>
          <cell r="AY223">
            <v>8.8672743552138602</v>
          </cell>
          <cell r="AZ223">
            <v>8.831805257793004</v>
          </cell>
          <cell r="BA223">
            <v>8.778814426246246</v>
          </cell>
          <cell r="BB223">
            <v>8.7085839108362766</v>
          </cell>
          <cell r="BC223">
            <v>8.551829400441223</v>
          </cell>
          <cell r="BD223">
            <v>8.2268598832244564</v>
          </cell>
          <cell r="BE223">
            <v>7.6674334111651925</v>
          </cell>
          <cell r="BF223">
            <v>6.8393506027593514</v>
          </cell>
          <cell r="BG223">
            <v>5.758733207523373</v>
          </cell>
          <cell r="BH223">
            <v>4.5033293682832767</v>
          </cell>
          <cell r="BI223">
            <v>3.2063705102176918</v>
          </cell>
        </row>
        <row r="224">
          <cell r="Y224">
            <v>280.44734179922801</v>
          </cell>
          <cell r="Z224">
            <v>261.852276303228</v>
          </cell>
          <cell r="AA224">
            <v>257.3278453781864</v>
          </cell>
          <cell r="AB224">
            <v>255.55598776832764</v>
          </cell>
          <cell r="AC224">
            <v>250.78968150748412</v>
          </cell>
          <cell r="AD224">
            <v>242.98428011306765</v>
          </cell>
          <cell r="AE224">
            <v>222.15404242603881</v>
          </cell>
          <cell r="AF224">
            <v>201.25588875749497</v>
          </cell>
          <cell r="AG224">
            <v>175.87831646265977</v>
          </cell>
          <cell r="AH224">
            <v>147.15513973792847</v>
          </cell>
          <cell r="AI224">
            <v>116.84718994218585</v>
          </cell>
          <cell r="AJ224">
            <v>87.517279347591852</v>
          </cell>
          <cell r="AK224">
            <v>61.173019310518093</v>
          </cell>
          <cell r="AL224">
            <v>39.358552732045297</v>
          </cell>
          <cell r="AM224">
            <v>22.990434557624255</v>
          </cell>
          <cell r="AN224">
            <v>11.865535330695376</v>
          </cell>
          <cell r="AO224">
            <v>5.1957218873427395</v>
          </cell>
          <cell r="AP224">
            <v>1.7979736945654001</v>
          </cell>
          <cell r="AS224">
            <v>1.996924142541971</v>
          </cell>
          <cell r="AT224">
            <v>2.0867857289563596</v>
          </cell>
          <cell r="AU224">
            <v>2.2188046028244122</v>
          </cell>
          <cell r="AV224">
            <v>2.3474952697882281</v>
          </cell>
          <cell r="AW224">
            <v>2.4696259927089108</v>
          </cell>
          <cell r="AX224">
            <v>2.4696259927089108</v>
          </cell>
          <cell r="AY224">
            <v>2.4696259927089108</v>
          </cell>
          <cell r="AZ224">
            <v>2.4696259927089108</v>
          </cell>
          <cell r="BA224">
            <v>2.4696259927089108</v>
          </cell>
          <cell r="BB224">
            <v>2.4696259927089108</v>
          </cell>
          <cell r="BC224">
            <v>2.4696259927089108</v>
          </cell>
          <cell r="BD224">
            <v>2.4696259927089108</v>
          </cell>
          <cell r="BE224">
            <v>2.4696259927089108</v>
          </cell>
          <cell r="BF224">
            <v>2.4696259927089108</v>
          </cell>
          <cell r="BG224">
            <v>2.4696259927089108</v>
          </cell>
          <cell r="BH224">
            <v>2.4696259927089108</v>
          </cell>
          <cell r="BI224">
            <v>2.4696259927089108</v>
          </cell>
        </row>
        <row r="240">
          <cell r="Y240">
            <v>581.24862850519014</v>
          </cell>
          <cell r="Z240">
            <v>582.99237439070566</v>
          </cell>
          <cell r="AA240">
            <v>591.73726000656609</v>
          </cell>
          <cell r="AB240">
            <v>608.85492611509119</v>
          </cell>
          <cell r="AC240">
            <v>623.40597341181262</v>
          </cell>
          <cell r="AD240">
            <v>636.4664776949752</v>
          </cell>
          <cell r="AE240">
            <v>649.16173256173249</v>
          </cell>
          <cell r="AF240">
            <v>10.269016866646844</v>
          </cell>
          <cell r="AG240">
            <v>11.661211243948237</v>
          </cell>
          <cell r="AH240">
            <v>11.845416187265004</v>
          </cell>
          <cell r="AI240">
            <v>11.341872253594167</v>
          </cell>
          <cell r="AJ240">
            <v>10.830774349221649</v>
          </cell>
          <cell r="AK240">
            <v>10.739660954282257</v>
          </cell>
          <cell r="AL240" t="e">
            <v>#REF!</v>
          </cell>
          <cell r="AM240" t="e">
            <v>#REF!</v>
          </cell>
          <cell r="AN240" t="e">
            <v>#REF!</v>
          </cell>
          <cell r="AO240" t="e">
            <v>#REF!</v>
          </cell>
          <cell r="AP240" t="e">
            <v>#REF!</v>
          </cell>
          <cell r="AR240">
            <v>0.47882842736883524</v>
          </cell>
          <cell r="AS240">
            <v>0.48840499591621195</v>
          </cell>
          <cell r="AT240">
            <v>0.49817309583453617</v>
          </cell>
          <cell r="AU240">
            <v>0.5081365577512269</v>
          </cell>
          <cell r="AV240">
            <v>0.51829928890625143</v>
          </cell>
          <cell r="AW240">
            <v>0.52866527468437652</v>
          </cell>
          <cell r="AX240">
            <v>0.53923858017806403</v>
          </cell>
          <cell r="AY240">
            <v>0.55002335178162531</v>
          </cell>
          <cell r="AZ240">
            <v>0.56102381881725782</v>
          </cell>
          <cell r="BA240">
            <v>0.57224429519360298</v>
          </cell>
          <cell r="BB240">
            <v>0.58368918109747503</v>
          </cell>
          <cell r="BC240">
            <v>0.59536296471942451</v>
          </cell>
          <cell r="BD240">
            <v>0.60727022401381303</v>
          </cell>
          <cell r="BE240">
            <v>0.61941562849408927</v>
          </cell>
          <cell r="BF240">
            <v>0.63180394106397109</v>
          </cell>
          <cell r="BG240">
            <v>0.64444001988525057</v>
          </cell>
          <cell r="BH240">
            <v>0.65732882028295558</v>
          </cell>
          <cell r="BI240">
            <v>0.67047539668861467</v>
          </cell>
        </row>
        <row r="241">
          <cell r="Y241">
            <v>1323.5183470204013</v>
          </cell>
          <cell r="Z241">
            <v>2791.3001938660263</v>
          </cell>
          <cell r="AA241">
            <v>2880.6218000697399</v>
          </cell>
          <cell r="AB241">
            <v>2961.057410910571</v>
          </cell>
          <cell r="AC241">
            <v>3019.9226628053543</v>
          </cell>
          <cell r="AD241">
            <v>3080.1650626415658</v>
          </cell>
          <cell r="AE241">
            <v>3123.087133342392</v>
          </cell>
          <cell r="AF241">
            <v>69.981057294890419</v>
          </cell>
          <cell r="AG241">
            <v>34.619280897917449</v>
          </cell>
          <cell r="AH241">
            <v>39.474164641130351</v>
          </cell>
          <cell r="AI241">
            <v>55.155430082093488</v>
          </cell>
          <cell r="AJ241">
            <v>49.597655248742072</v>
          </cell>
          <cell r="AK241">
            <v>50.254653296811227</v>
          </cell>
          <cell r="AL241" t="e">
            <v>#REF!</v>
          </cell>
          <cell r="AM241" t="e">
            <v>#REF!</v>
          </cell>
          <cell r="AN241" t="e">
            <v>#REF!</v>
          </cell>
          <cell r="AO241" t="e">
            <v>#REF!</v>
          </cell>
          <cell r="AP241" t="e">
            <v>#REF!</v>
          </cell>
          <cell r="AR241">
            <v>1.990680034736596</v>
          </cell>
          <cell r="AS241">
            <v>2.0304936354313279</v>
          </cell>
          <cell r="AT241">
            <v>2.0711035081399545</v>
          </cell>
          <cell r="AU241">
            <v>2.1125255783027534</v>
          </cell>
          <cell r="AV241">
            <v>2.1547760898688084</v>
          </cell>
          <cell r="AW241">
            <v>2.1978716116661845</v>
          </cell>
          <cell r="AX241">
            <v>2.2418290438995081</v>
          </cell>
          <cell r="AY241">
            <v>2.2866656247774984</v>
          </cell>
          <cell r="AZ241">
            <v>2.3323989372730485</v>
          </cell>
          <cell r="BA241">
            <v>2.3790469160185097</v>
          </cell>
          <cell r="BB241">
            <v>2.42662785433888</v>
          </cell>
          <cell r="BC241">
            <v>2.4751604114256578</v>
          </cell>
          <cell r="BD241">
            <v>2.524663619654171</v>
          </cell>
          <cell r="BE241">
            <v>2.5751568920472545</v>
          </cell>
          <cell r="BF241">
            <v>2.6266600298881997</v>
          </cell>
          <cell r="BG241">
            <v>2.6791932304859638</v>
          </cell>
          <cell r="BH241">
            <v>2.7327770950956833</v>
          </cell>
          <cell r="BI241">
            <v>2.7874326369975972</v>
          </cell>
        </row>
        <row r="242">
          <cell r="Y242">
            <v>496.83233250215335</v>
          </cell>
          <cell r="Z242">
            <v>510.74363781221365</v>
          </cell>
          <cell r="AA242">
            <v>516.36181782814788</v>
          </cell>
          <cell r="AB242">
            <v>528.18595677883832</v>
          </cell>
          <cell r="AC242">
            <v>536.56329077601788</v>
          </cell>
          <cell r="AD242">
            <v>554.25550255617964</v>
          </cell>
          <cell r="AE242">
            <v>573.64066824022848</v>
          </cell>
          <cell r="AF242">
            <v>3.4651109653313759</v>
          </cell>
          <cell r="AG242">
            <v>1.9828836021058813</v>
          </cell>
          <cell r="AH242">
            <v>0.88697118875496572</v>
          </cell>
          <cell r="AI242">
            <v>0.98682545709342684</v>
          </cell>
          <cell r="AJ242">
            <v>0.77124557346284106</v>
          </cell>
          <cell r="AK242">
            <v>0.78299279358203422</v>
          </cell>
          <cell r="AL242" t="e">
            <v>#REF!</v>
          </cell>
          <cell r="AM242" t="e">
            <v>#REF!</v>
          </cell>
          <cell r="AN242" t="e">
            <v>#REF!</v>
          </cell>
          <cell r="AO242" t="e">
            <v>#REF!</v>
          </cell>
          <cell r="AP242" t="e">
            <v>#REF!</v>
          </cell>
          <cell r="AR242">
            <v>7.8008447341311413</v>
          </cell>
          <cell r="AS242">
            <v>7.8008447341311413</v>
          </cell>
          <cell r="AT242">
            <v>7.8008447341311413</v>
          </cell>
          <cell r="AU242">
            <v>7.8008447341311413</v>
          </cell>
          <cell r="AV242">
            <v>7.8008447341311413</v>
          </cell>
          <cell r="AW242">
            <v>7.8008447341311413</v>
          </cell>
          <cell r="AX242">
            <v>7.8008447341311413</v>
          </cell>
          <cell r="AY242">
            <v>7.8008447341311413</v>
          </cell>
          <cell r="AZ242">
            <v>7.8008447341311413</v>
          </cell>
          <cell r="BA242">
            <v>7.8008447341311413</v>
          </cell>
          <cell r="BB242">
            <v>7.8008447341311413</v>
          </cell>
          <cell r="BC242">
            <v>7.8008447341311413</v>
          </cell>
          <cell r="BD242">
            <v>7.8008447341311413</v>
          </cell>
          <cell r="BE242">
            <v>7.8008447341311413</v>
          </cell>
          <cell r="BF242">
            <v>7.8008447341311413</v>
          </cell>
          <cell r="BG242">
            <v>7.8008447341311413</v>
          </cell>
          <cell r="BH242">
            <v>7.8008447341311413</v>
          </cell>
          <cell r="BI242">
            <v>7.8008447341311413</v>
          </cell>
        </row>
        <row r="243">
          <cell r="Y243">
            <v>169.85144597855836</v>
          </cell>
          <cell r="Z243">
            <v>179.0234240614005</v>
          </cell>
          <cell r="AA243">
            <v>182.42486911856707</v>
          </cell>
          <cell r="AB243">
            <v>188.80183855686005</v>
          </cell>
          <cell r="AC243">
            <v>196.15966405369616</v>
          </cell>
          <cell r="AD243">
            <v>203.4138173717393</v>
          </cell>
          <cell r="AE243">
            <v>208.49021726530702</v>
          </cell>
          <cell r="AF243">
            <v>19.285456611114078</v>
          </cell>
          <cell r="AG243">
            <v>7.8390813318833654</v>
          </cell>
          <cell r="AH243">
            <v>8.4412593093751802</v>
          </cell>
          <cell r="AI243">
            <v>8.8255160456766255</v>
          </cell>
          <cell r="AJ243">
            <v>9.3168389895155403</v>
          </cell>
          <cell r="AK243">
            <v>9.8108149426461857</v>
          </cell>
          <cell r="AL243" t="e">
            <v>#REF!</v>
          </cell>
          <cell r="AM243" t="e">
            <v>#REF!</v>
          </cell>
          <cell r="AN243" t="e">
            <v>#REF!</v>
          </cell>
          <cell r="AO243" t="e">
            <v>#REF!</v>
          </cell>
          <cell r="AP243" t="e">
            <v>#REF!</v>
          </cell>
          <cell r="AR243">
            <v>1.9709498469205404</v>
          </cell>
          <cell r="AS243">
            <v>2.0103688438589513</v>
          </cell>
          <cell r="AT243">
            <v>2.0505762207361302</v>
          </cell>
          <cell r="AU243">
            <v>2.0915877451508527</v>
          </cell>
          <cell r="AV243">
            <v>2.1334195000538698</v>
          </cell>
          <cell r="AW243">
            <v>2.1760878900549474</v>
          </cell>
          <cell r="AX243">
            <v>2.2196096478560463</v>
          </cell>
          <cell r="AY243">
            <v>2.2640018408131675</v>
          </cell>
          <cell r="AZ243">
            <v>2.3092818776294308</v>
          </cell>
          <cell r="BA243">
            <v>2.3554675151820197</v>
          </cell>
          <cell r="BB243">
            <v>2.4025768654856603</v>
          </cell>
          <cell r="BC243">
            <v>2.4506284027953735</v>
          </cell>
          <cell r="BD243">
            <v>2.499640970851281</v>
          </cell>
          <cell r="BE243">
            <v>2.5496337902683068</v>
          </cell>
          <cell r="BF243">
            <v>2.6006264660736731</v>
          </cell>
          <cell r="BG243">
            <v>2.6526389953951468</v>
          </cell>
          <cell r="BH243">
            <v>2.7056917753030496</v>
          </cell>
          <cell r="BI243">
            <v>2.7598056108091105</v>
          </cell>
        </row>
        <row r="244">
          <cell r="Y244">
            <v>4.2</v>
          </cell>
          <cell r="Z244">
            <v>4.6191644910206602</v>
          </cell>
          <cell r="AA244">
            <v>4.7577394257512795</v>
          </cell>
          <cell r="AB244">
            <v>4.8858091622858444</v>
          </cell>
          <cell r="AC244">
            <v>5.0271217965181112</v>
          </cell>
          <cell r="AD244">
            <v>5.1022207423223636</v>
          </cell>
          <cell r="AE244">
            <v>5.1784321160107414</v>
          </cell>
          <cell r="AF244">
            <v>0.21840925001241152</v>
          </cell>
          <cell r="AG244">
            <v>0.2382069022195609</v>
          </cell>
          <cell r="AH244">
            <v>0.2592654540991346</v>
          </cell>
          <cell r="AI244">
            <v>0.28407710642263201</v>
          </cell>
          <cell r="AJ244">
            <v>0.30818862368725297</v>
          </cell>
          <cell r="AK244">
            <v>0.33363347404264498</v>
          </cell>
          <cell r="AL244" t="e">
            <v>#REF!</v>
          </cell>
          <cell r="AM244" t="e">
            <v>#REF!</v>
          </cell>
          <cell r="AN244" t="e">
            <v>#REF!</v>
          </cell>
          <cell r="AO244" t="e">
            <v>#REF!</v>
          </cell>
          <cell r="AP244" t="e">
            <v>#REF!</v>
          </cell>
          <cell r="AR244">
            <v>0.27256702917581299</v>
          </cell>
          <cell r="AS244">
            <v>0.27801836975932925</v>
          </cell>
          <cell r="AT244">
            <v>0.28357873715451587</v>
          </cell>
          <cell r="AU244">
            <v>0.28925031189760619</v>
          </cell>
          <cell r="AV244">
            <v>0.29503531813555833</v>
          </cell>
          <cell r="AW244">
            <v>0.30093602449826951</v>
          </cell>
          <cell r="AX244">
            <v>0.30695474498823488</v>
          </cell>
          <cell r="AY244">
            <v>0.3130938398879996</v>
          </cell>
          <cell r="AZ244">
            <v>0.31935571668575963</v>
          </cell>
          <cell r="BA244">
            <v>0.32574283101947482</v>
          </cell>
          <cell r="BB244">
            <v>0.3322576876398643</v>
          </cell>
          <cell r="BC244">
            <v>0.33890284139266158</v>
          </cell>
          <cell r="BD244">
            <v>0.34568089822051484</v>
          </cell>
          <cell r="BE244">
            <v>0.35259451618492516</v>
          </cell>
          <cell r="BF244">
            <v>0.35964640650862367</v>
          </cell>
          <cell r="BG244">
            <v>0.36683933463879614</v>
          </cell>
          <cell r="BH244">
            <v>0.37417612133157208</v>
          </cell>
          <cell r="BI244">
            <v>0.38165964375820355</v>
          </cell>
        </row>
        <row r="245">
          <cell r="Y245">
            <v>558.16999553323978</v>
          </cell>
          <cell r="Z245">
            <v>586.07849530990177</v>
          </cell>
          <cell r="AA245">
            <v>600.73045769264922</v>
          </cell>
          <cell r="AB245">
            <v>617.50465599734537</v>
          </cell>
          <cell r="AC245">
            <v>636.60573751987818</v>
          </cell>
          <cell r="AD245">
            <v>656.32102123600794</v>
          </cell>
          <cell r="AE245">
            <v>677.30321526099101</v>
          </cell>
          <cell r="AF245">
            <v>44.340676445563574</v>
          </cell>
          <cell r="AG245">
            <v>30.980797043227252</v>
          </cell>
          <cell r="AH245">
            <v>29.946357860250878</v>
          </cell>
          <cell r="AI245">
            <v>30.176462736238811</v>
          </cell>
          <cell r="AJ245">
            <v>29.632721876394466</v>
          </cell>
          <cell r="AK245">
            <v>29.885129244099094</v>
          </cell>
          <cell r="AL245" t="e">
            <v>#REF!</v>
          </cell>
          <cell r="AM245" t="e">
            <v>#REF!</v>
          </cell>
          <cell r="AN245" t="e">
            <v>#REF!</v>
          </cell>
          <cell r="AO245" t="e">
            <v>#REF!</v>
          </cell>
          <cell r="AP245" t="e">
            <v>#REF!</v>
          </cell>
          <cell r="AR245">
            <v>2.5559084912343706</v>
          </cell>
          <cell r="AS245">
            <v>2.607026661059058</v>
          </cell>
          <cell r="AT245">
            <v>2.6591671942802391</v>
          </cell>
          <cell r="AU245">
            <v>2.7123505381658437</v>
          </cell>
          <cell r="AV245">
            <v>2.7665975489291608</v>
          </cell>
          <cell r="AW245">
            <v>2.821929499907744</v>
          </cell>
          <cell r="AX245">
            <v>2.8783680899058988</v>
          </cell>
          <cell r="AY245">
            <v>2.9359354517040166</v>
          </cell>
          <cell r="AZ245">
            <v>2.9946541607380968</v>
          </cell>
          <cell r="BA245">
            <v>3.0545472439528587</v>
          </cell>
          <cell r="BB245">
            <v>3.115638188831916</v>
          </cell>
          <cell r="BC245">
            <v>3.1779509526085543</v>
          </cell>
          <cell r="BD245">
            <v>3.2415099716607254</v>
          </cell>
          <cell r="BE245">
            <v>3.30634017109394</v>
          </cell>
          <cell r="BF245">
            <v>3.3724669745158189</v>
          </cell>
          <cell r="BG245">
            <v>3.4399163140061355</v>
          </cell>
          <cell r="BH245">
            <v>3.5087146402862581</v>
          </cell>
          <cell r="BI245">
            <v>3.5788889330919833</v>
          </cell>
        </row>
        <row r="246">
          <cell r="Y246">
            <v>820.30555400377796</v>
          </cell>
          <cell r="Z246">
            <v>849.83655394791401</v>
          </cell>
          <cell r="AA246">
            <v>875.33165056635153</v>
          </cell>
          <cell r="AB246">
            <v>890.97809851083503</v>
          </cell>
          <cell r="AC246">
            <v>911.37635670847237</v>
          </cell>
          <cell r="AD246">
            <v>951.47168362073614</v>
          </cell>
          <cell r="AE246">
            <v>994.28245161110522</v>
          </cell>
          <cell r="AF246">
            <v>33.51368362298669</v>
          </cell>
          <cell r="AG246">
            <v>38.759714013170054</v>
          </cell>
          <cell r="AH246">
            <v>41.99087345615547</v>
          </cell>
          <cell r="AI246">
            <v>43.830129175518579</v>
          </cell>
          <cell r="AJ246">
            <v>46.498170864621969</v>
          </cell>
          <cell r="AK246">
            <v>50.206730018871831</v>
          </cell>
          <cell r="AL246" t="e">
            <v>#REF!</v>
          </cell>
          <cell r="AM246" t="e">
            <v>#REF!</v>
          </cell>
          <cell r="AN246" t="e">
            <v>#REF!</v>
          </cell>
          <cell r="AO246" t="e">
            <v>#REF!</v>
          </cell>
          <cell r="AP246" t="e">
            <v>#REF!</v>
          </cell>
          <cell r="AR246">
            <v>3.0352589215630927</v>
          </cell>
          <cell r="AS246">
            <v>3.0959640999943545</v>
          </cell>
          <cell r="AT246">
            <v>3.1578833819942416</v>
          </cell>
          <cell r="AU246">
            <v>3.2210410496341266</v>
          </cell>
          <cell r="AV246">
            <v>3.2854618706268091</v>
          </cell>
          <cell r="AW246">
            <v>3.3511711080393454</v>
          </cell>
          <cell r="AX246">
            <v>3.4181945302001324</v>
          </cell>
          <cell r="AY246">
            <v>3.4865584208041351</v>
          </cell>
          <cell r="AZ246">
            <v>3.556289589220218</v>
          </cell>
          <cell r="BA246">
            <v>3.6274153810046226</v>
          </cell>
          <cell r="BB246">
            <v>3.6999636886247149</v>
          </cell>
          <cell r="BC246">
            <v>3.7739629623972091</v>
          </cell>
          <cell r="BD246">
            <v>3.8494422216451532</v>
          </cell>
          <cell r="BE246">
            <v>3.9264310660780564</v>
          </cell>
          <cell r="BF246">
            <v>4.0049596873996176</v>
          </cell>
          <cell r="BG246">
            <v>4.0850588811476101</v>
          </cell>
          <cell r="BH246">
            <v>4.1667600587705627</v>
          </cell>
          <cell r="BI246">
            <v>4.250095259945974</v>
          </cell>
        </row>
        <row r="247">
          <cell r="Y247">
            <v>653.6588003529464</v>
          </cell>
          <cell r="Z247">
            <v>702.02955157906445</v>
          </cell>
          <cell r="AA247">
            <v>735.72697005485952</v>
          </cell>
          <cell r="AB247">
            <v>776.230899493876</v>
          </cell>
          <cell r="AC247">
            <v>815.84106664401088</v>
          </cell>
          <cell r="AD247">
            <v>853.36819429132629</v>
          </cell>
          <cell r="AE247">
            <v>893.47486774387096</v>
          </cell>
          <cell r="AF247">
            <v>36.985554037239744</v>
          </cell>
          <cell r="AG247">
            <v>41.564283905635769</v>
          </cell>
          <cell r="AH247">
            <v>46.055063009363977</v>
          </cell>
          <cell r="AI247">
            <v>49.257843803896293</v>
          </cell>
          <cell r="AJ247">
            <v>53.198402226909636</v>
          </cell>
          <cell r="AK247">
            <v>56.964116396113674</v>
          </cell>
          <cell r="AL247" t="e">
            <v>#REF!</v>
          </cell>
          <cell r="AM247" t="e">
            <v>#REF!</v>
          </cell>
          <cell r="AN247" t="e">
            <v>#REF!</v>
          </cell>
          <cell r="AO247" t="e">
            <v>#REF!</v>
          </cell>
          <cell r="AP247" t="e">
            <v>#REF!</v>
          </cell>
          <cell r="AR247">
            <v>2.9631747768844696</v>
          </cell>
          <cell r="AS247">
            <v>3.0224382724221592</v>
          </cell>
          <cell r="AT247">
            <v>3.0828870378706026</v>
          </cell>
          <cell r="AU247">
            <v>3.1445447786280147</v>
          </cell>
          <cell r="AV247">
            <v>3.2074356742005752</v>
          </cell>
          <cell r="AW247">
            <v>3.2715843876845869</v>
          </cell>
          <cell r="AX247">
            <v>3.3370160754382789</v>
          </cell>
          <cell r="AY247">
            <v>3.4037563969470446</v>
          </cell>
          <cell r="AZ247">
            <v>3.4718315248859857</v>
          </cell>
          <cell r="BA247">
            <v>3.5412681553837055</v>
          </cell>
          <cell r="BB247">
            <v>3.6120935184913798</v>
          </cell>
          <cell r="BC247">
            <v>3.6843353888612076</v>
          </cell>
          <cell r="BD247">
            <v>3.7580220966384319</v>
          </cell>
          <cell r="BE247">
            <v>3.8331825385712004</v>
          </cell>
          <cell r="BF247">
            <v>3.9098461893426246</v>
          </cell>
          <cell r="BG247">
            <v>3.9880431131294771</v>
          </cell>
          <cell r="BH247">
            <v>4.0678039753920672</v>
          </cell>
          <cell r="BI247">
            <v>4.1491600548999088</v>
          </cell>
        </row>
        <row r="248">
          <cell r="Y248">
            <v>1806.7514390135939</v>
          </cell>
          <cell r="Z248">
            <v>2018.1413573781842</v>
          </cell>
          <cell r="AA248">
            <v>2159.4112523946574</v>
          </cell>
          <cell r="AB248">
            <v>2332.5382565568093</v>
          </cell>
          <cell r="AC248">
            <v>2533.5963257962649</v>
          </cell>
          <cell r="AD248">
            <v>2756.7516109818534</v>
          </cell>
          <cell r="AE248">
            <v>3005.0806394647925</v>
          </cell>
          <cell r="AF248">
            <v>86.964292248861128</v>
          </cell>
          <cell r="AG248">
            <v>97.683054608892789</v>
          </cell>
          <cell r="AH248">
            <v>109.43084321808868</v>
          </cell>
          <cell r="AI248">
            <v>116.56516967784086</v>
          </cell>
          <cell r="AJ248">
            <v>127.5860707105401</v>
          </cell>
          <cell r="AK248">
            <v>137.84756727670057</v>
          </cell>
          <cell r="AL248" t="e">
            <v>#REF!</v>
          </cell>
          <cell r="AM248" t="e">
            <v>#REF!</v>
          </cell>
          <cell r="AN248" t="e">
            <v>#REF!</v>
          </cell>
          <cell r="AO248" t="e">
            <v>#REF!</v>
          </cell>
          <cell r="AP248" t="e">
            <v>#REF!</v>
          </cell>
          <cell r="AR248">
            <v>3.0501431141168038</v>
          </cell>
          <cell r="AS248">
            <v>3.1111459763991398</v>
          </cell>
          <cell r="AT248">
            <v>3.1733688959271227</v>
          </cell>
          <cell r="AU248">
            <v>3.2368362738456651</v>
          </cell>
          <cell r="AV248">
            <v>3.3015729993225786</v>
          </cell>
          <cell r="AW248">
            <v>3.3676044593090304</v>
          </cell>
          <cell r="AX248">
            <v>3.4349565484952111</v>
          </cell>
          <cell r="AY248">
            <v>3.5036556794651155</v>
          </cell>
          <cell r="AZ248">
            <v>3.5737287930544177</v>
          </cell>
          <cell r="BA248">
            <v>3.6452033689155061</v>
          </cell>
          <cell r="BB248">
            <v>3.7181074362938165</v>
          </cell>
          <cell r="BC248">
            <v>3.7924695850196928</v>
          </cell>
          <cell r="BD248">
            <v>3.8683189767200865</v>
          </cell>
          <cell r="BE248">
            <v>3.9456853562544882</v>
          </cell>
          <cell r="BF248">
            <v>4.0245990633795783</v>
          </cell>
          <cell r="BG248">
            <v>4.1050910446471702</v>
          </cell>
          <cell r="BH248">
            <v>4.1871928655401138</v>
          </cell>
          <cell r="BI248">
            <v>4.2709367228509159</v>
          </cell>
        </row>
        <row r="249">
          <cell r="Y249">
            <v>396.91979598081855</v>
          </cell>
          <cell r="Z249">
            <v>408.8273898602431</v>
          </cell>
          <cell r="AA249">
            <v>425.99814023437341</v>
          </cell>
          <cell r="AB249">
            <v>449.02254019876358</v>
          </cell>
          <cell r="AC249">
            <v>475.54509274146562</v>
          </cell>
          <cell r="AD249">
            <v>504.56608527677793</v>
          </cell>
          <cell r="AE249">
            <v>535.86268911306593</v>
          </cell>
          <cell r="AF249">
            <v>20.245313016175473</v>
          </cell>
          <cell r="AG249">
            <v>22.970259489908418</v>
          </cell>
          <cell r="AH249">
            <v>25.002105498325207</v>
          </cell>
          <cell r="AI249">
            <v>27.430770536051686</v>
          </cell>
          <cell r="AJ249">
            <v>29.896285094929155</v>
          </cell>
          <cell r="AK249">
            <v>32.317807206541815</v>
          </cell>
          <cell r="AL249" t="e">
            <v>#REF!</v>
          </cell>
          <cell r="AM249" t="e">
            <v>#REF!</v>
          </cell>
          <cell r="AN249" t="e">
            <v>#REF!</v>
          </cell>
          <cell r="AO249" t="e">
            <v>#REF!</v>
          </cell>
          <cell r="AP249" t="e">
            <v>#REF!</v>
          </cell>
          <cell r="AR249">
            <v>3.1724395660395981</v>
          </cell>
          <cell r="AS249">
            <v>3.2358883573603903</v>
          </cell>
          <cell r="AT249">
            <v>3.3006061245075982</v>
          </cell>
          <cell r="AU249">
            <v>3.3666182469977501</v>
          </cell>
          <cell r="AV249">
            <v>3.4339506119377052</v>
          </cell>
          <cell r="AW249">
            <v>3.5026296241764592</v>
          </cell>
          <cell r="AX249">
            <v>3.5726822166599885</v>
          </cell>
          <cell r="AY249">
            <v>3.6441358609931882</v>
          </cell>
          <cell r="AZ249">
            <v>3.717018578213052</v>
          </cell>
          <cell r="BA249">
            <v>3.791358949777313</v>
          </cell>
          <cell r="BB249">
            <v>3.8671861287728593</v>
          </cell>
          <cell r="BC249">
            <v>3.9445298513483165</v>
          </cell>
          <cell r="BD249">
            <v>4.0234204483752825</v>
          </cell>
          <cell r="BE249">
            <v>4.1038888573427883</v>
          </cell>
          <cell r="BF249">
            <v>4.1859666344896445</v>
          </cell>
          <cell r="BG249">
            <v>4.2696859671794378</v>
          </cell>
          <cell r="BH249">
            <v>4.3550796865230268</v>
          </cell>
          <cell r="BI249">
            <v>4.4421812802534877</v>
          </cell>
        </row>
        <row r="250">
          <cell r="Y250">
            <v>324.28402483758845</v>
          </cell>
          <cell r="Z250">
            <v>341.47107815398061</v>
          </cell>
          <cell r="AA250">
            <v>355.1299212801398</v>
          </cell>
          <cell r="AB250">
            <v>376.46506053548762</v>
          </cell>
          <cell r="AC250">
            <v>403.24113796607423</v>
          </cell>
          <cell r="AD250">
            <v>433.10181951666436</v>
          </cell>
          <cell r="AE250">
            <v>465.60681496536051</v>
          </cell>
          <cell r="AF250">
            <v>35.867345054832313</v>
          </cell>
          <cell r="AG250">
            <v>42.650858915228788</v>
          </cell>
          <cell r="AH250">
            <v>46.905609969230284</v>
          </cell>
          <cell r="AI250">
            <v>53.635576764793889</v>
          </cell>
          <cell r="AJ250">
            <v>61.302348600784327</v>
          </cell>
          <cell r="AK250">
            <v>67.7184072911773</v>
          </cell>
          <cell r="AL250" t="e">
            <v>#REF!</v>
          </cell>
          <cell r="AM250" t="e">
            <v>#REF!</v>
          </cell>
          <cell r="AN250" t="e">
            <v>#REF!</v>
          </cell>
          <cell r="AO250" t="e">
            <v>#REF!</v>
          </cell>
          <cell r="AP250" t="e">
            <v>#REF!</v>
          </cell>
          <cell r="AR250">
            <v>4.2942158563236035</v>
          </cell>
          <cell r="AS250">
            <v>4.3801001734500753</v>
          </cell>
          <cell r="AT250">
            <v>4.4677021769190768</v>
          </cell>
          <cell r="AU250">
            <v>4.5570562204574587</v>
          </cell>
          <cell r="AV250">
            <v>4.6481973448666078</v>
          </cell>
          <cell r="AW250">
            <v>4.7411612917639401</v>
          </cell>
          <cell r="AX250">
            <v>4.8359845175992193</v>
          </cell>
          <cell r="AY250">
            <v>4.932704207951204</v>
          </cell>
          <cell r="AZ250">
            <v>5.0313582921102284</v>
          </cell>
          <cell r="BA250">
            <v>5.1319854579524335</v>
          </cell>
          <cell r="BB250">
            <v>5.2346251671114823</v>
          </cell>
          <cell r="BC250">
            <v>5.3393176704537124</v>
          </cell>
          <cell r="BD250">
            <v>5.4461040238627865</v>
          </cell>
          <cell r="BE250">
            <v>5.5550261043400422</v>
          </cell>
          <cell r="BF250">
            <v>5.6661266264268431</v>
          </cell>
          <cell r="BG250">
            <v>5.77944915895538</v>
          </cell>
          <cell r="BH250">
            <v>5.8950381421344877</v>
          </cell>
          <cell r="BI250">
            <v>6.0129389049771778</v>
          </cell>
        </row>
        <row r="251">
          <cell r="Y251">
            <v>256.41998245933939</v>
          </cell>
          <cell r="Z251">
            <v>237.18848377488894</v>
          </cell>
          <cell r="AA251">
            <v>232.44471409939123</v>
          </cell>
          <cell r="AB251">
            <v>231.22767921517485</v>
          </cell>
          <cell r="AC251">
            <v>234.89508360811158</v>
          </cell>
          <cell r="AD251">
            <v>242.87567217119542</v>
          </cell>
          <cell r="AE251">
            <v>251.37028363459018</v>
          </cell>
          <cell r="AF251">
            <v>4.3772141686263746</v>
          </cell>
          <cell r="AG251">
            <v>4.7632622209323046</v>
          </cell>
          <cell r="AH251">
            <v>5.2564247157068076</v>
          </cell>
          <cell r="AI251">
            <v>5.633671813658224</v>
          </cell>
          <cell r="AJ251">
            <v>6.0135007445910951</v>
          </cell>
          <cell r="AK251">
            <v>6.4062945588961826</v>
          </cell>
          <cell r="AL251" t="e">
            <v>#REF!</v>
          </cell>
          <cell r="AM251" t="e">
            <v>#REF!</v>
          </cell>
          <cell r="AN251" t="e">
            <v>#REF!</v>
          </cell>
          <cell r="AO251" t="e">
            <v>#REF!</v>
          </cell>
          <cell r="AP251" t="e">
            <v>#REF!</v>
          </cell>
          <cell r="AR251">
            <v>6.0602414813269059</v>
          </cell>
          <cell r="AS251">
            <v>6.1814463109534445</v>
          </cell>
          <cell r="AT251">
            <v>6.3050752371725132</v>
          </cell>
          <cell r="AU251">
            <v>6.4311767419159631</v>
          </cell>
          <cell r="AV251">
            <v>6.5598002767542827</v>
          </cell>
          <cell r="AW251">
            <v>6.690996282289368</v>
          </cell>
          <cell r="AX251">
            <v>6.8248162079351555</v>
          </cell>
          <cell r="AY251">
            <v>6.9613125320938591</v>
          </cell>
          <cell r="AZ251">
            <v>7.100538782735736</v>
          </cell>
          <cell r="BA251">
            <v>7.2425495583904507</v>
          </cell>
          <cell r="BB251">
            <v>7.3874005495582598</v>
          </cell>
          <cell r="BC251">
            <v>7.5351485605494251</v>
          </cell>
          <cell r="BD251">
            <v>7.6858515317604139</v>
          </cell>
          <cell r="BE251">
            <v>7.8395685623956224</v>
          </cell>
          <cell r="BF251">
            <v>7.9963599336435349</v>
          </cell>
          <cell r="BG251">
            <v>8.1562871323164057</v>
          </cell>
          <cell r="BH251">
            <v>8.3194128749627332</v>
          </cell>
          <cell r="BI251">
            <v>8.4858011324619884</v>
          </cell>
        </row>
        <row r="252">
          <cell r="Y252">
            <v>1807.5334262544441</v>
          </cell>
          <cell r="Z252">
            <v>1879.8347633046219</v>
          </cell>
          <cell r="AA252">
            <v>1977.5861709964618</v>
          </cell>
          <cell r="AB252">
            <v>2082.4838890483943</v>
          </cell>
          <cell r="AC252">
            <v>2197.1206223637987</v>
          </cell>
          <cell r="AD252">
            <v>2313.593245442351</v>
          </cell>
          <cell r="AE252">
            <v>2438.5538228749624</v>
          </cell>
          <cell r="AF252">
            <v>46.720226944240018</v>
          </cell>
          <cell r="AG252">
            <v>49.729150980236405</v>
          </cell>
          <cell r="AH252">
            <v>53.87608367379886</v>
          </cell>
          <cell r="AI252">
            <v>56.870520299716532</v>
          </cell>
          <cell r="AJ252">
            <v>58.832964017046891</v>
          </cell>
          <cell r="AK252">
            <v>61.520587436870002</v>
          </cell>
          <cell r="AL252" t="e">
            <v>#REF!</v>
          </cell>
          <cell r="AM252" t="e">
            <v>#REF!</v>
          </cell>
          <cell r="AN252" t="e">
            <v>#REF!</v>
          </cell>
          <cell r="AO252" t="e">
            <v>#REF!</v>
          </cell>
          <cell r="AP252" t="e">
            <v>#REF!</v>
          </cell>
          <cell r="AR252">
            <v>4.5218919927725576</v>
          </cell>
          <cell r="AS252">
            <v>4.6123298326280091</v>
          </cell>
          <cell r="AT252">
            <v>4.7045764292805696</v>
          </cell>
          <cell r="AU252">
            <v>4.7986679578661811</v>
          </cell>
          <cell r="AV252">
            <v>4.8946413170235044</v>
          </cell>
          <cell r="AW252">
            <v>4.9925341433639749</v>
          </cell>
          <cell r="AX252">
            <v>5.0923848262312541</v>
          </cell>
          <cell r="AY252">
            <v>5.194232522755879</v>
          </cell>
          <cell r="AZ252">
            <v>5.2981171732109971</v>
          </cell>
          <cell r="BA252">
            <v>5.4040795166752167</v>
          </cell>
          <cell r="BB252">
            <v>5.5121611070087209</v>
          </cell>
          <cell r="BC252">
            <v>5.6224043291488952</v>
          </cell>
          <cell r="BD252">
            <v>5.734852415731873</v>
          </cell>
          <cell r="BE252">
            <v>5.8495494640465102</v>
          </cell>
          <cell r="BF252">
            <v>5.9665404533274407</v>
          </cell>
          <cell r="BG252">
            <v>6.0858712623939892</v>
          </cell>
          <cell r="BH252">
            <v>6.2075886876418691</v>
          </cell>
          <cell r="BI252">
            <v>6.3317404613947064</v>
          </cell>
        </row>
        <row r="253">
          <cell r="Y253">
            <v>238.37982129321796</v>
          </cell>
          <cell r="Z253">
            <v>226.52200618219209</v>
          </cell>
          <cell r="AA253">
            <v>235.5828864294798</v>
          </cell>
          <cell r="AB253">
            <v>245.94853343237693</v>
          </cell>
          <cell r="AC253">
            <v>257.01621743683387</v>
          </cell>
          <cell r="AD253">
            <v>269.09597965636505</v>
          </cell>
          <cell r="AE253">
            <v>282.01258667987059</v>
          </cell>
          <cell r="AF253">
            <v>11.593549393993669</v>
          </cell>
          <cell r="AG253">
            <v>12.828098254318489</v>
          </cell>
          <cell r="AH253">
            <v>14.244385929886144</v>
          </cell>
          <cell r="AI253">
            <v>15.29151611781888</v>
          </cell>
          <cell r="AJ253">
            <v>16.180583199368552</v>
          </cell>
          <cell r="AK253">
            <v>17.005484060132879</v>
          </cell>
          <cell r="AL253" t="e">
            <v>#REF!</v>
          </cell>
          <cell r="AM253" t="e">
            <v>#REF!</v>
          </cell>
          <cell r="AN253" t="e">
            <v>#REF!</v>
          </cell>
          <cell r="AO253" t="e">
            <v>#REF!</v>
          </cell>
          <cell r="AP253" t="e">
            <v>#REF!</v>
          </cell>
          <cell r="AR253">
            <v>3.4680879074882145</v>
          </cell>
          <cell r="AS253">
            <v>3.537449665637979</v>
          </cell>
          <cell r="AT253">
            <v>3.6081986589507387</v>
          </cell>
          <cell r="AU253">
            <v>3.6803626321297536</v>
          </cell>
          <cell r="AV253">
            <v>3.7539698847723488</v>
          </cell>
          <cell r="AW253">
            <v>3.8290492824677957</v>
          </cell>
          <cell r="AX253">
            <v>3.9056302681171515</v>
          </cell>
          <cell r="AY253">
            <v>3.9837428734794944</v>
          </cell>
          <cell r="AZ253">
            <v>4.0634177309490846</v>
          </cell>
          <cell r="BA253">
            <v>4.1446860855680665</v>
          </cell>
          <cell r="BB253">
            <v>4.2275798072794277</v>
          </cell>
          <cell r="BC253">
            <v>4.312131403425016</v>
          </cell>
          <cell r="BD253">
            <v>4.3983740314935167</v>
          </cell>
          <cell r="BE253">
            <v>4.4863415121233867</v>
          </cell>
          <cell r="BF253">
            <v>4.5760683423658541</v>
          </cell>
          <cell r="BG253">
            <v>4.6675897092131713</v>
          </cell>
          <cell r="BH253">
            <v>4.7609415033974347</v>
          </cell>
          <cell r="BI253">
            <v>4.8561603334653833</v>
          </cell>
        </row>
        <row r="254">
          <cell r="Y254">
            <v>1454.7414738190216</v>
          </cell>
          <cell r="Z254">
            <v>1582.0343892623193</v>
          </cell>
          <cell r="AA254">
            <v>1740.2378281885517</v>
          </cell>
          <cell r="AB254">
            <v>1914.2616110074066</v>
          </cell>
          <cell r="AC254">
            <v>2086.5451559980734</v>
          </cell>
          <cell r="AD254">
            <v>2274.3342200379006</v>
          </cell>
          <cell r="AE254">
            <v>2479.0242998413119</v>
          </cell>
          <cell r="AF254">
            <v>18.612919484782907</v>
          </cell>
          <cell r="AG254">
            <v>21.379977167803851</v>
          </cell>
          <cell r="AH254">
            <v>23.906810135509318</v>
          </cell>
          <cell r="AI254">
            <v>26.391141698335225</v>
          </cell>
          <cell r="AJ254">
            <v>28.706386090864353</v>
          </cell>
          <cell r="AK254">
            <v>30.436337675044289</v>
          </cell>
          <cell r="AL254" t="e">
            <v>#REF!</v>
          </cell>
          <cell r="AM254" t="e">
            <v>#REF!</v>
          </cell>
          <cell r="AN254" t="e">
            <v>#REF!</v>
          </cell>
          <cell r="AO254" t="e">
            <v>#REF!</v>
          </cell>
          <cell r="AP254" t="e">
            <v>#REF!</v>
          </cell>
          <cell r="AR254">
            <v>5.824093989287964</v>
          </cell>
          <cell r="AS254">
            <v>5.9405758690737231</v>
          </cell>
          <cell r="AT254">
            <v>6.0593873864551977</v>
          </cell>
          <cell r="AU254">
            <v>6.180575134184302</v>
          </cell>
          <cell r="AV254">
            <v>6.3041866368679882</v>
          </cell>
          <cell r="AW254">
            <v>6.4302703696053483</v>
          </cell>
          <cell r="AX254">
            <v>6.5588757769974553</v>
          </cell>
          <cell r="AY254">
            <v>6.6900532925374048</v>
          </cell>
          <cell r="AZ254">
            <v>6.8238543583881528</v>
          </cell>
          <cell r="BA254">
            <v>6.9603314455559158</v>
          </cell>
          <cell r="BB254">
            <v>7.0995380744670342</v>
          </cell>
          <cell r="BC254">
            <v>7.241528835956375</v>
          </cell>
          <cell r="BD254">
            <v>7.3863594126755023</v>
          </cell>
          <cell r="BE254">
            <v>7.5340866009290126</v>
          </cell>
          <cell r="BF254">
            <v>7.6847683329475931</v>
          </cell>
          <cell r="BG254">
            <v>7.8384636996065451</v>
          </cell>
          <cell r="BH254">
            <v>7.995232973598676</v>
          </cell>
          <cell r="BI254">
            <v>8.15513763307065</v>
          </cell>
        </row>
        <row r="255">
          <cell r="Y255">
            <v>1106.8633126575778</v>
          </cell>
          <cell r="Z255">
            <v>1136.1966441959519</v>
          </cell>
          <cell r="AA255">
            <v>1158.9205770798712</v>
          </cell>
          <cell r="AB255">
            <v>1170.50978285067</v>
          </cell>
          <cell r="AC255">
            <v>1207.9660959018915</v>
          </cell>
          <cell r="AD255">
            <v>1247.8289770666538</v>
          </cell>
          <cell r="AE255">
            <v>1290.2551622869198</v>
          </cell>
          <cell r="AF255">
            <v>34.749449698658324</v>
          </cell>
          <cell r="AG255">
            <v>36.310176041439199</v>
          </cell>
          <cell r="AH255">
            <v>38.761816281527089</v>
          </cell>
          <cell r="AI255">
            <v>40.751392804920513</v>
          </cell>
          <cell r="AJ255">
            <v>42.497070614816352</v>
          </cell>
          <cell r="AK255">
            <v>44.678143920206672</v>
          </cell>
          <cell r="AL255" t="e">
            <v>#REF!</v>
          </cell>
          <cell r="AM255" t="e">
            <v>#REF!</v>
          </cell>
          <cell r="AN255" t="e">
            <v>#REF!</v>
          </cell>
          <cell r="AO255" t="e">
            <v>#REF!</v>
          </cell>
          <cell r="AP255" t="e">
            <v>#REF!</v>
          </cell>
          <cell r="AR255">
            <v>2.6219865812864538</v>
          </cell>
          <cell r="AS255">
            <v>2.6744263129121828</v>
          </cell>
          <cell r="AT255">
            <v>2.7279148391704267</v>
          </cell>
          <cell r="AU255">
            <v>2.7824731359538353</v>
          </cell>
          <cell r="AV255">
            <v>2.8381225986729119</v>
          </cell>
          <cell r="AW255">
            <v>2.8948850506463701</v>
          </cell>
          <cell r="AX255">
            <v>2.9527827516592975</v>
          </cell>
          <cell r="AY255">
            <v>3.0118384066924837</v>
          </cell>
          <cell r="AZ255">
            <v>3.0720751748263333</v>
          </cell>
          <cell r="BA255">
            <v>3.1335166783228598</v>
          </cell>
          <cell r="BB255">
            <v>3.1961870118893172</v>
          </cell>
          <cell r="BC255">
            <v>3.2601107521271038</v>
          </cell>
          <cell r="BD255">
            <v>3.325312967169646</v>
          </cell>
          <cell r="BE255">
            <v>3.3918192265130389</v>
          </cell>
          <cell r="BF255">
            <v>3.4596556110432997</v>
          </cell>
          <cell r="BG255">
            <v>3.5288487232641659</v>
          </cell>
          <cell r="BH255">
            <v>3.5994256977294494</v>
          </cell>
          <cell r="BI255">
            <v>3.6714142116840387</v>
          </cell>
        </row>
        <row r="256">
          <cell r="Y256">
            <v>1567.5846848129866</v>
          </cell>
          <cell r="Z256">
            <v>1717.8499667010312</v>
          </cell>
          <cell r="AA256">
            <v>1836.1616458369363</v>
          </cell>
          <cell r="AB256">
            <v>1951.8210815476132</v>
          </cell>
          <cell r="AC256">
            <v>2075.4101108515183</v>
          </cell>
          <cell r="AD256">
            <v>2207.5184093910061</v>
          </cell>
          <cell r="AE256">
            <v>2363.1356597294421</v>
          </cell>
          <cell r="AF256">
            <v>79.732248299766894</v>
          </cell>
          <cell r="AG256">
            <v>89.434125647012095</v>
          </cell>
          <cell r="AH256">
            <v>98.501548034823116</v>
          </cell>
          <cell r="AI256">
            <v>106.98771014434146</v>
          </cell>
          <cell r="AJ256">
            <v>113.67247729718603</v>
          </cell>
          <cell r="AK256">
            <v>120.81129447013593</v>
          </cell>
          <cell r="AL256" t="e">
            <v>#REF!</v>
          </cell>
          <cell r="AM256" t="e">
            <v>#REF!</v>
          </cell>
          <cell r="AN256" t="e">
            <v>#REF!</v>
          </cell>
          <cell r="AO256" t="e">
            <v>#REF!</v>
          </cell>
          <cell r="AP256" t="e">
            <v>#REF!</v>
          </cell>
          <cell r="AR256">
            <v>0.49666330878179943</v>
          </cell>
          <cell r="AS256">
            <v>0.50659657495743537</v>
          </cell>
          <cell r="AT256">
            <v>0.51672850645658408</v>
          </cell>
          <cell r="AU256">
            <v>0.52706307658571572</v>
          </cell>
          <cell r="AV256">
            <v>0.53760433811743003</v>
          </cell>
          <cell r="AW256">
            <v>0.54835642487977865</v>
          </cell>
          <cell r="AX256">
            <v>0.55932355337737427</v>
          </cell>
          <cell r="AY256">
            <v>0.57051002444492172</v>
          </cell>
          <cell r="AZ256">
            <v>0.58192022493382012</v>
          </cell>
          <cell r="BA256">
            <v>0.59355862943249649</v>
          </cell>
          <cell r="BB256">
            <v>0.60542980202114638</v>
          </cell>
          <cell r="BC256">
            <v>0.61753839806156929</v>
          </cell>
          <cell r="BD256">
            <v>0.62988916602280065</v>
          </cell>
          <cell r="BE256">
            <v>0.64248694934325667</v>
          </cell>
          <cell r="BF256">
            <v>0.65533668833012182</v>
          </cell>
          <cell r="BG256">
            <v>0.66844342209672425</v>
          </cell>
          <cell r="BH256">
            <v>0.68181229053865877</v>
          </cell>
          <cell r="BI256">
            <v>0.69544853634943193</v>
          </cell>
        </row>
        <row r="257">
          <cell r="Y257">
            <v>3920.9383887896388</v>
          </cell>
          <cell r="Z257">
            <v>4502.5562510939453</v>
          </cell>
          <cell r="AA257">
            <v>4742.1555672974764</v>
          </cell>
          <cell r="AB257">
            <v>4984.2217512032585</v>
          </cell>
          <cell r="AC257">
            <v>5241.8114997087096</v>
          </cell>
          <cell r="AD257">
            <v>5525.8922163397119</v>
          </cell>
          <cell r="AE257">
            <v>5831.7405098640966</v>
          </cell>
          <cell r="AF257">
            <v>253.92916490379869</v>
          </cell>
          <cell r="AG257">
            <v>276.6907786533061</v>
          </cell>
          <cell r="AH257">
            <v>299.65004816163275</v>
          </cell>
          <cell r="AI257">
            <v>321.43151888671656</v>
          </cell>
          <cell r="AJ257">
            <v>335.21565867000925</v>
          </cell>
          <cell r="AK257">
            <v>354.87634813294551</v>
          </cell>
          <cell r="AL257" t="e">
            <v>#REF!</v>
          </cell>
          <cell r="AM257" t="e">
            <v>#REF!</v>
          </cell>
          <cell r="AN257" t="e">
            <v>#REF!</v>
          </cell>
          <cell r="AO257" t="e">
            <v>#REF!</v>
          </cell>
          <cell r="AP257" t="e">
            <v>#REF!</v>
          </cell>
          <cell r="AR257">
            <v>32.61121292988657</v>
          </cell>
          <cell r="AS257">
            <v>33.263437188484303</v>
          </cell>
          <cell r="AT257">
            <v>33.92870593225399</v>
          </cell>
          <cell r="AU257">
            <v>34.607280050899071</v>
          </cell>
          <cell r="AV257">
            <v>35.299425651917055</v>
          </cell>
          <cell r="AW257">
            <v>36.005414164955397</v>
          </cell>
          <cell r="AX257">
            <v>36.725522448254509</v>
          </cell>
          <cell r="AY257">
            <v>37.460032897219598</v>
          </cell>
          <cell r="AZ257">
            <v>38.209233555163991</v>
          </cell>
          <cell r="BA257">
            <v>38.97341822626727</v>
          </cell>
          <cell r="BB257">
            <v>39.752886590792613</v>
          </cell>
          <cell r="BC257">
            <v>40.547944322608465</v>
          </cell>
          <cell r="BD257">
            <v>41.358903209060635</v>
          </cell>
          <cell r="BE257">
            <v>42.186081273241847</v>
          </cell>
          <cell r="BF257">
            <v>43.029802898706684</v>
          </cell>
          <cell r="BG257">
            <v>43.890398956680819</v>
          </cell>
          <cell r="BH257">
            <v>44.768206935814433</v>
          </cell>
          <cell r="BI257">
            <v>45.663571074530722</v>
          </cell>
        </row>
        <row r="258">
          <cell r="Y258">
            <v>133.66592608149202</v>
          </cell>
          <cell r="Z258">
            <v>165.20119899549024</v>
          </cell>
          <cell r="AA258">
            <v>174.12206374124662</v>
          </cell>
          <cell r="AB258">
            <v>184.56938756572151</v>
          </cell>
          <cell r="AC258">
            <v>193.79785694400758</v>
          </cell>
          <cell r="AD258">
            <v>205.42572836064807</v>
          </cell>
          <cell r="AE258">
            <v>217.75127206228692</v>
          </cell>
          <cell r="AF258">
            <v>8.1140665271678056</v>
          </cell>
          <cell r="AG258">
            <v>9.2228331234312666</v>
          </cell>
          <cell r="AH258">
            <v>10.173826674037315</v>
          </cell>
          <cell r="AI258">
            <v>11.000700603941528</v>
          </cell>
          <cell r="AJ258">
            <v>11.633360345654804</v>
          </cell>
          <cell r="AK258">
            <v>12.200477228704269</v>
          </cell>
          <cell r="AL258" t="e">
            <v>#REF!</v>
          </cell>
          <cell r="AM258" t="e">
            <v>#REF!</v>
          </cell>
          <cell r="AN258" t="e">
            <v>#REF!</v>
          </cell>
          <cell r="AO258" t="e">
            <v>#REF!</v>
          </cell>
          <cell r="AP258" t="e">
            <v>#REF!</v>
          </cell>
          <cell r="AR258">
            <v>7.2272592008065351</v>
          </cell>
          <cell r="AS258">
            <v>7.3718043848226662</v>
          </cell>
          <cell r="AT258">
            <v>7.5192404725191198</v>
          </cell>
          <cell r="AU258">
            <v>7.6696252819695019</v>
          </cell>
          <cell r="AV258">
            <v>7.823017787608892</v>
          </cell>
          <cell r="AW258">
            <v>7.97947814336107</v>
          </cell>
          <cell r="AX258">
            <v>8.1390677062282908</v>
          </cell>
          <cell r="AY258">
            <v>8.3018490603528576</v>
          </cell>
          <cell r="AZ258">
            <v>8.4678860415599146</v>
          </cell>
          <cell r="BA258">
            <v>8.6372437623911136</v>
          </cell>
          <cell r="BB258">
            <v>8.809988637638936</v>
          </cell>
          <cell r="BC258">
            <v>8.9861884103917156</v>
          </cell>
          <cell r="BD258">
            <v>9.1659121785995499</v>
          </cell>
          <cell r="BE258">
            <v>9.3492304221715408</v>
          </cell>
          <cell r="BF258">
            <v>9.5362150306149722</v>
          </cell>
          <cell r="BG258">
            <v>9.7269393312272712</v>
          </cell>
          <cell r="BH258">
            <v>9.9214781178518159</v>
          </cell>
          <cell r="BI258">
            <v>10.119907680208852</v>
          </cell>
        </row>
        <row r="259">
          <cell r="Y259">
            <v>786.25921376206281</v>
          </cell>
          <cell r="Z259">
            <v>834.00259384669255</v>
          </cell>
          <cell r="AA259">
            <v>875.70272353902726</v>
          </cell>
          <cell r="AB259">
            <v>919.48785971597886</v>
          </cell>
          <cell r="AC259">
            <v>956.26737410461794</v>
          </cell>
          <cell r="AD259">
            <v>994.51806906880267</v>
          </cell>
          <cell r="AE259">
            <v>1034.2987918315548</v>
          </cell>
          <cell r="AF259">
            <v>0.92261485771780705</v>
          </cell>
          <cell r="AG259">
            <v>1.0813860081852658</v>
          </cell>
          <cell r="AH259">
            <v>1.2280300039058003</v>
          </cell>
          <cell r="AI259">
            <v>1.32237761905423</v>
          </cell>
          <cell r="AJ259">
            <v>1.3998647969871911</v>
          </cell>
          <cell r="AK259">
            <v>1.4190295583739219</v>
          </cell>
          <cell r="AL259" t="e">
            <v>#REF!</v>
          </cell>
          <cell r="AM259" t="e">
            <v>#REF!</v>
          </cell>
          <cell r="AN259" t="e">
            <v>#REF!</v>
          </cell>
          <cell r="AO259" t="e">
            <v>#REF!</v>
          </cell>
          <cell r="AP259" t="e">
            <v>#REF!</v>
          </cell>
          <cell r="AR259">
            <v>2.9415488738358175</v>
          </cell>
          <cell r="AS259">
            <v>3.0003798513125339</v>
          </cell>
          <cell r="AT259">
            <v>3.0603874483387847</v>
          </cell>
          <cell r="AU259">
            <v>3.1215951973055605</v>
          </cell>
          <cell r="AV259">
            <v>3.1840271012516719</v>
          </cell>
          <cell r="AW259">
            <v>3.2477076432767054</v>
          </cell>
          <cell r="AX259">
            <v>3.3126617961422395</v>
          </cell>
          <cell r="AY259">
            <v>3.3789150320650845</v>
          </cell>
          <cell r="AZ259">
            <v>3.4464933327063862</v>
          </cell>
          <cell r="BA259">
            <v>3.5154231993605141</v>
          </cell>
          <cell r="BB259">
            <v>3.5857316633477243</v>
          </cell>
          <cell r="BC259">
            <v>3.6574462966146788</v>
          </cell>
          <cell r="BD259">
            <v>3.7305952225469725</v>
          </cell>
          <cell r="BE259">
            <v>3.805207126997912</v>
          </cell>
          <cell r="BF259">
            <v>3.8813112695378704</v>
          </cell>
          <cell r="BG259">
            <v>3.958937494928628</v>
          </cell>
          <cell r="BH259">
            <v>4.0381162448272008</v>
          </cell>
          <cell r="BI259">
            <v>4.1188785697237451</v>
          </cell>
        </row>
        <row r="260">
          <cell r="Y260">
            <v>422.2974887072686</v>
          </cell>
          <cell r="Z260">
            <v>414.16959864639796</v>
          </cell>
          <cell r="AA260">
            <v>447.30316653810979</v>
          </cell>
          <cell r="AB260">
            <v>483.08741986115854</v>
          </cell>
          <cell r="AC260">
            <v>516.90353925143972</v>
          </cell>
          <cell r="AD260">
            <v>553.08678699904033</v>
          </cell>
          <cell r="AE260">
            <v>591.80286208897314</v>
          </cell>
          <cell r="AF260">
            <v>9.0502947789523613</v>
          </cell>
          <cell r="AG260">
            <v>10.565851201110149</v>
          </cell>
          <cell r="AH260">
            <v>11.905018633522984</v>
          </cell>
          <cell r="AI260">
            <v>12.954963049824238</v>
          </cell>
          <cell r="AJ260">
            <v>13.729143804414356</v>
          </cell>
          <cell r="AK260">
            <v>14.278181862474327</v>
          </cell>
          <cell r="AL260" t="e">
            <v>#REF!</v>
          </cell>
          <cell r="AM260" t="e">
            <v>#REF!</v>
          </cell>
          <cell r="AN260" t="e">
            <v>#REF!</v>
          </cell>
          <cell r="AO260" t="e">
            <v>#REF!</v>
          </cell>
          <cell r="AP260" t="e">
            <v>#REF!</v>
          </cell>
          <cell r="AR260">
            <v>0.74307864342814867</v>
          </cell>
          <cell r="AS260">
            <v>0.7579402162967116</v>
          </cell>
          <cell r="AT260">
            <v>0.77309902062264579</v>
          </cell>
          <cell r="AU260">
            <v>0.78856100103509874</v>
          </cell>
          <cell r="AV260">
            <v>0.80433222105580071</v>
          </cell>
          <cell r="AW260">
            <v>0.82041886547691678</v>
          </cell>
          <cell r="AX260">
            <v>0.83682724278645515</v>
          </cell>
          <cell r="AY260">
            <v>0.85356378764218421</v>
          </cell>
          <cell r="AZ260">
            <v>0.87063506339502794</v>
          </cell>
          <cell r="BA260">
            <v>0.88804776466292856</v>
          </cell>
          <cell r="BB260">
            <v>0.90580871995618717</v>
          </cell>
          <cell r="BC260">
            <v>0.92392489435531089</v>
          </cell>
          <cell r="BD260">
            <v>0.94240339224241709</v>
          </cell>
          <cell r="BE260">
            <v>0.96125146008726547</v>
          </cell>
          <cell r="BF260">
            <v>0.98047648928901077</v>
          </cell>
          <cell r="BG260">
            <v>1.0000860190747909</v>
          </cell>
          <cell r="BH260">
            <v>1.0200877394562866</v>
          </cell>
          <cell r="BI260">
            <v>1.0404894942454124</v>
          </cell>
        </row>
        <row r="261">
          <cell r="Y261">
            <v>1299.6451110609175</v>
          </cell>
          <cell r="Z261">
            <v>1419.2393340977217</v>
          </cell>
          <cell r="AA261">
            <v>1504.3936941435848</v>
          </cell>
          <cell r="AB261">
            <v>1594.6573157922001</v>
          </cell>
          <cell r="AC261">
            <v>1674.3901815818103</v>
          </cell>
          <cell r="AD261">
            <v>1758.1096906609005</v>
          </cell>
          <cell r="AE261">
            <v>1846.0151751939457</v>
          </cell>
          <cell r="AF261">
            <v>28.366971854524596</v>
          </cell>
          <cell r="AG261">
            <v>31.165491840933402</v>
          </cell>
          <cell r="AH261">
            <v>35.302796556682409</v>
          </cell>
          <cell r="AI261">
            <v>37.871361298151321</v>
          </cell>
          <cell r="AJ261">
            <v>40.318269535206888</v>
          </cell>
          <cell r="AK261">
            <v>41.433935601558709</v>
          </cell>
          <cell r="AL261" t="e">
            <v>#REF!</v>
          </cell>
          <cell r="AM261" t="e">
            <v>#REF!</v>
          </cell>
          <cell r="AN261" t="e">
            <v>#REF!</v>
          </cell>
          <cell r="AO261" t="e">
            <v>#REF!</v>
          </cell>
          <cell r="AP261" t="e">
            <v>#REF!</v>
          </cell>
          <cell r="AR261">
            <v>8.8850444441020642</v>
          </cell>
          <cell r="AS261">
            <v>9.0627453329841057</v>
          </cell>
          <cell r="AT261">
            <v>9.2440002396437873</v>
          </cell>
          <cell r="AU261">
            <v>9.4288802444366624</v>
          </cell>
          <cell r="AV261">
            <v>9.6174578493253957</v>
          </cell>
          <cell r="AW261">
            <v>9.8098070063119032</v>
          </cell>
          <cell r="AX261">
            <v>10.006003146438141</v>
          </cell>
          <cell r="AY261">
            <v>10.206123209366904</v>
          </cell>
          <cell r="AZ261">
            <v>10.410245673554243</v>
          </cell>
          <cell r="BA261">
            <v>10.618450587025329</v>
          </cell>
          <cell r="BB261">
            <v>10.830819598765835</v>
          </cell>
          <cell r="BC261">
            <v>11.047435990741151</v>
          </cell>
          <cell r="BD261">
            <v>11.268384710555974</v>
          </cell>
          <cell r="BE261">
            <v>11.493752404767093</v>
          </cell>
          <cell r="BF261">
            <v>11.723627452862436</v>
          </cell>
          <cell r="BG261">
            <v>11.958100001919686</v>
          </cell>
          <cell r="BH261">
            <v>12.19726200195808</v>
          </cell>
          <cell r="BI261">
            <v>12.441207241997242</v>
          </cell>
        </row>
        <row r="262">
          <cell r="Y262">
            <v>280.44734179922801</v>
          </cell>
          <cell r="Z262">
            <v>283.1222986465678</v>
          </cell>
          <cell r="AA262">
            <v>302.94085955182754</v>
          </cell>
          <cell r="AB262">
            <v>324.14671972045545</v>
          </cell>
          <cell r="AC262">
            <v>343.59552290368288</v>
          </cell>
          <cell r="AD262">
            <v>364.21125427790383</v>
          </cell>
          <cell r="AE262">
            <v>386.06392953457811</v>
          </cell>
          <cell r="AF262">
            <v>20.941749802534762</v>
          </cell>
          <cell r="AG262">
            <v>23.143512817894067</v>
          </cell>
          <cell r="AH262">
            <v>26.579682757603571</v>
          </cell>
          <cell r="AI262">
            <v>28.15545314503288</v>
          </cell>
          <cell r="AJ262">
            <v>30.518894989990116</v>
          </cell>
          <cell r="AK262">
            <v>32.735101048601045</v>
          </cell>
          <cell r="AL262" t="e">
            <v>#REF!</v>
          </cell>
          <cell r="AM262" t="e">
            <v>#REF!</v>
          </cell>
          <cell r="AN262" t="e">
            <v>#REF!</v>
          </cell>
          <cell r="AO262" t="e">
            <v>#REF!</v>
          </cell>
          <cell r="AP262" t="e">
            <v>#REF!</v>
          </cell>
          <cell r="AR262">
            <v>2.4696259927089108</v>
          </cell>
          <cell r="AS262">
            <v>2.5190185125630893</v>
          </cell>
          <cell r="AT262">
            <v>2.569398882814351</v>
          </cell>
          <cell r="AU262">
            <v>2.6207868604706381</v>
          </cell>
          <cell r="AV262">
            <v>2.6732025976800511</v>
          </cell>
          <cell r="AW262">
            <v>2.726666649633652</v>
          </cell>
          <cell r="AX262">
            <v>2.7811999826263252</v>
          </cell>
          <cell r="AY262">
            <v>2.8368239822788519</v>
          </cell>
          <cell r="AZ262">
            <v>2.8935604619244288</v>
          </cell>
          <cell r="BA262">
            <v>2.9514316711629176</v>
          </cell>
          <cell r="BB262">
            <v>3.010460304586176</v>
          </cell>
          <cell r="BC262">
            <v>3.0706695106778996</v>
          </cell>
          <cell r="BD262">
            <v>3.1320829008914575</v>
          </cell>
          <cell r="BE262">
            <v>3.1947245589092867</v>
          </cell>
          <cell r="BF262">
            <v>3.2586190500874723</v>
          </cell>
          <cell r="BG262">
            <v>3.323791431089222</v>
          </cell>
          <cell r="BH262">
            <v>3.3902672597110066</v>
          </cell>
          <cell r="BI262">
            <v>3.4580726049052268</v>
          </cell>
        </row>
        <row r="263">
          <cell r="AR263">
            <v>0</v>
          </cell>
          <cell r="AS263">
            <v>2.5374561306290095</v>
          </cell>
          <cell r="AT263">
            <v>2.6072262620981528</v>
          </cell>
          <cell r="AU263">
            <v>2.5734827451661433</v>
          </cell>
          <cell r="AV263">
            <v>2.6130902071063375</v>
          </cell>
          <cell r="AW263">
            <v>2.6430580326492072</v>
          </cell>
          <cell r="AX263">
            <v>2.6530880596493307</v>
          </cell>
          <cell r="AY263">
            <v>2.4770643707219815</v>
          </cell>
          <cell r="AZ263">
            <v>2.4152257741400667</v>
          </cell>
          <cell r="BA263">
            <v>2.3295027922403362</v>
          </cell>
          <cell r="BB263">
            <v>2.213421656367772</v>
          </cell>
          <cell r="BC263">
            <v>2.0583707381436858</v>
          </cell>
          <cell r="BD263">
            <v>1.8400454863373217</v>
          </cell>
          <cell r="BE263" t="e">
            <v>#REF!</v>
          </cell>
          <cell r="BF263" t="e">
            <v>#REF!</v>
          </cell>
          <cell r="BG263" t="e">
            <v>#REF!</v>
          </cell>
          <cell r="BH263" t="e">
            <v>#REF!</v>
          </cell>
          <cell r="BI263" t="e">
            <v>#REF!</v>
          </cell>
        </row>
        <row r="277">
          <cell r="Z277">
            <v>8.5158983489470756</v>
          </cell>
          <cell r="AA277">
            <v>21.245877604589168</v>
          </cell>
          <cell r="AB277">
            <v>42.744596361507206</v>
          </cell>
          <cell r="AC277">
            <v>62.069569963655226</v>
          </cell>
          <cell r="AD277">
            <v>80.29422801652106</v>
          </cell>
          <cell r="AE277">
            <v>98.539180943280485</v>
          </cell>
          <cell r="AF277">
            <v>-534.32444589819647</v>
          </cell>
          <cell r="AG277">
            <v>-524.92473796790614</v>
          </cell>
          <cell r="AH277">
            <v>-514.50775995556648</v>
          </cell>
          <cell r="AI277">
            <v>-502.33814750475585</v>
          </cell>
          <cell r="AJ277">
            <v>-487.76146880691141</v>
          </cell>
          <cell r="AK277">
            <v>-470.27606182684156</v>
          </cell>
          <cell r="AL277" t="e">
            <v>#REF!</v>
          </cell>
          <cell r="AM277" t="e">
            <v>#REF!</v>
          </cell>
          <cell r="AN277" t="e">
            <v>#REF!</v>
          </cell>
          <cell r="AO277" t="e">
            <v>#REF!</v>
          </cell>
          <cell r="AP277" t="e">
            <v>#REF!</v>
          </cell>
        </row>
        <row r="278">
          <cell r="Z278">
            <v>1636.3606663482558</v>
          </cell>
          <cell r="AA278">
            <v>1804.6627329005378</v>
          </cell>
          <cell r="AB278">
            <v>1964.2502271976527</v>
          </cell>
          <cell r="AC278">
            <v>2101.6829383083468</v>
          </cell>
          <cell r="AD278">
            <v>2240.0700315078002</v>
          </cell>
          <cell r="AE278">
            <v>2359.8247602408019</v>
          </cell>
          <cell r="AF278">
            <v>-617.61186500296583</v>
          </cell>
          <cell r="AG278">
            <v>-566.36714361605721</v>
          </cell>
          <cell r="AH278">
            <v>-467.2098680950391</v>
          </cell>
          <cell r="AI278">
            <v>-354.14958835640641</v>
          </cell>
          <cell r="AJ278">
            <v>-265.84014855512243</v>
          </cell>
          <cell r="AK278">
            <v>-179.89094968445113</v>
          </cell>
          <cell r="AL278" t="e">
            <v>#REF!</v>
          </cell>
          <cell r="AM278" t="e">
            <v>#REF!</v>
          </cell>
          <cell r="AN278" t="e">
            <v>#REF!</v>
          </cell>
          <cell r="AO278" t="e">
            <v>#REF!</v>
          </cell>
          <cell r="AP278" t="e">
            <v>#REF!</v>
          </cell>
        </row>
        <row r="279">
          <cell r="Z279">
            <v>63.743872012651082</v>
          </cell>
          <cell r="AA279">
            <v>118.22361377343077</v>
          </cell>
          <cell r="AB279">
            <v>182.49927282764241</v>
          </cell>
          <cell r="AC279">
            <v>237.49458239765488</v>
          </cell>
          <cell r="AD279">
            <v>296.9116881913983</v>
          </cell>
          <cell r="AE279">
            <v>353.42770496361891</v>
          </cell>
          <cell r="AF279">
            <v>-183.66691812648068</v>
          </cell>
          <cell r="AG279">
            <v>-153.68301000123543</v>
          </cell>
          <cell r="AH279">
            <v>-125.36102369203969</v>
          </cell>
          <cell r="AI279">
            <v>-98.384836137838832</v>
          </cell>
          <cell r="AJ279">
            <v>-74.914292276107318</v>
          </cell>
          <cell r="AK279">
            <v>-54.709375285065128</v>
          </cell>
          <cell r="AL279" t="e">
            <v>#REF!</v>
          </cell>
          <cell r="AM279" t="e">
            <v>#REF!</v>
          </cell>
          <cell r="AN279" t="e">
            <v>#REF!</v>
          </cell>
          <cell r="AO279" t="e">
            <v>#REF!</v>
          </cell>
          <cell r="AP279" t="e">
            <v>#REF!</v>
          </cell>
        </row>
        <row r="280">
          <cell r="Z280">
            <v>27.462244593798147</v>
          </cell>
          <cell r="AA280">
            <v>40.821299656949776</v>
          </cell>
          <cell r="AB280">
            <v>57.499117702173777</v>
          </cell>
          <cell r="AC280">
            <v>75.359891156446949</v>
          </cell>
          <cell r="AD280">
            <v>93.155605625032905</v>
          </cell>
          <cell r="AE280">
            <v>108.66799999908235</v>
          </cell>
          <cell r="AF280">
            <v>-69.99002447167436</v>
          </cell>
          <cell r="AG280">
            <v>-68.699890214369091</v>
          </cell>
          <cell r="AH280">
            <v>-53.920313297183057</v>
          </cell>
          <cell r="AI280">
            <v>-38.969671137290177</v>
          </cell>
          <cell r="AJ280">
            <v>-24.610500826021429</v>
          </cell>
          <cell r="AK280">
            <v>-11.979929162039479</v>
          </cell>
          <cell r="AL280" t="e">
            <v>#REF!</v>
          </cell>
          <cell r="AM280" t="e">
            <v>#REF!</v>
          </cell>
          <cell r="AN280" t="e">
            <v>#REF!</v>
          </cell>
          <cell r="AO280" t="e">
            <v>#REF!</v>
          </cell>
          <cell r="AP280" t="e">
            <v>#REF!</v>
          </cell>
        </row>
        <row r="281">
          <cell r="Z281">
            <v>0.53433915803235266</v>
          </cell>
          <cell r="AA281">
            <v>0.73447668845091751</v>
          </cell>
          <cell r="AB281">
            <v>0.93110227128066736</v>
          </cell>
          <cell r="AC281">
            <v>1.1605488788633864</v>
          </cell>
          <cell r="AD281">
            <v>1.3296540426414163</v>
          </cell>
          <cell r="AE281">
            <v>1.5053489915630234</v>
          </cell>
          <cell r="AF281">
            <v>-3.3412526189044445</v>
          </cell>
          <cell r="AG281">
            <v>-3.1696956517310357</v>
          </cell>
          <cell r="AH281">
            <v>-2.9580161055697571</v>
          </cell>
          <cell r="AI281">
            <v>-2.7052666085266242</v>
          </cell>
          <cell r="AJ281">
            <v>-2.4006851649184595</v>
          </cell>
          <cell r="AK281">
            <v>-2.0310047067943242</v>
          </cell>
          <cell r="AL281" t="e">
            <v>#REF!</v>
          </cell>
          <cell r="AM281" t="e">
            <v>#REF!</v>
          </cell>
          <cell r="AN281" t="e">
            <v>#REF!</v>
          </cell>
          <cell r="AO281" t="e">
            <v>#REF!</v>
          </cell>
          <cell r="AP281" t="e">
            <v>#REF!</v>
          </cell>
        </row>
        <row r="282">
          <cell r="Z282">
            <v>54.158583521326591</v>
          </cell>
          <cell r="AA282">
            <v>79.589078282797004</v>
          </cell>
          <cell r="AB282">
            <v>109.14780648087071</v>
          </cell>
          <cell r="AC282">
            <v>143.21820353079528</v>
          </cell>
          <cell r="AD282">
            <v>188.30327931539256</v>
          </cell>
          <cell r="AE282">
            <v>235.61455391910977</v>
          </cell>
          <cell r="AF282">
            <v>-369.25277320626986</v>
          </cell>
          <cell r="AG282">
            <v>-346.87104211522103</v>
          </cell>
          <cell r="AH282">
            <v>-305.38655931187407</v>
          </cell>
          <cell r="AI282">
            <v>-257.51379013442204</v>
          </cell>
          <cell r="AJ282">
            <v>-206.34338712302593</v>
          </cell>
          <cell r="AK282">
            <v>-152.28109682570039</v>
          </cell>
          <cell r="AL282" t="e">
            <v>#REF!</v>
          </cell>
          <cell r="AM282" t="e">
            <v>#REF!</v>
          </cell>
          <cell r="AN282" t="e">
            <v>#REF!</v>
          </cell>
          <cell r="AO282" t="e">
            <v>#REF!</v>
          </cell>
          <cell r="AP282" t="e">
            <v>#REF!</v>
          </cell>
        </row>
        <row r="283">
          <cell r="Z283">
            <v>48.712412939348837</v>
          </cell>
          <cell r="AA283">
            <v>78.156160500046326</v>
          </cell>
          <cell r="AB283">
            <v>100.7243074092778</v>
          </cell>
          <cell r="AC283">
            <v>135.71242577791872</v>
          </cell>
          <cell r="AD283">
            <v>183.16474047181327</v>
          </cell>
          <cell r="AE283">
            <v>255.94705934640979</v>
          </cell>
          <cell r="AF283">
            <v>-671.8025215149479</v>
          </cell>
          <cell r="AG283">
            <v>-623.42612755756079</v>
          </cell>
          <cell r="AH283">
            <v>-567.30653789579583</v>
          </cell>
          <cell r="AI283">
            <v>-503.94543010797406</v>
          </cell>
          <cell r="AJ283">
            <v>-429.97547477152676</v>
          </cell>
          <cell r="AK283">
            <v>-345.37466446701063</v>
          </cell>
          <cell r="AL283" t="e">
            <v>#REF!</v>
          </cell>
          <cell r="AM283" t="e">
            <v>#REF!</v>
          </cell>
          <cell r="AN283" t="e">
            <v>#REF!</v>
          </cell>
          <cell r="AO283" t="e">
            <v>#REF!</v>
          </cell>
          <cell r="AP283" t="e">
            <v>#REF!</v>
          </cell>
        </row>
        <row r="284">
          <cell r="Z284">
            <v>66.789754708215128</v>
          </cell>
          <cell r="AA284">
            <v>107.2018415099642</v>
          </cell>
          <cell r="AB284">
            <v>158.22915439705025</v>
          </cell>
          <cell r="AC284">
            <v>214.40078802643075</v>
          </cell>
          <cell r="AD284">
            <v>271.3123526530361</v>
          </cell>
          <cell r="AE284">
            <v>336.51232648185749</v>
          </cell>
          <cell r="AF284">
            <v>-492.56720618679907</v>
          </cell>
          <cell r="AG284">
            <v>-452.42403799110696</v>
          </cell>
          <cell r="AH284">
            <v>-404.64191973272989</v>
          </cell>
          <cell r="AI284">
            <v>-351.52572225466065</v>
          </cell>
          <cell r="AJ284">
            <v>-290.68998918144513</v>
          </cell>
          <cell r="AK284">
            <v>-223.77679877034657</v>
          </cell>
          <cell r="AL284" t="e">
            <v>#REF!</v>
          </cell>
          <cell r="AM284" t="e">
            <v>#REF!</v>
          </cell>
          <cell r="AN284" t="e">
            <v>#REF!</v>
          </cell>
          <cell r="AO284" t="e">
            <v>#REF!</v>
          </cell>
          <cell r="AP284" t="e">
            <v>#REF!</v>
          </cell>
        </row>
        <row r="285">
          <cell r="Z285">
            <v>138.44842169928847</v>
          </cell>
          <cell r="AA285">
            <v>227.79977544991516</v>
          </cell>
          <cell r="AB285">
            <v>372.01844175776637</v>
          </cell>
          <cell r="AC285">
            <v>632.00978185743202</v>
          </cell>
          <cell r="AD285">
            <v>919.50464411134794</v>
          </cell>
          <cell r="AE285">
            <v>1254.0605717828794</v>
          </cell>
          <cell r="AF285">
            <v>-1570.5553858729511</v>
          </cell>
          <cell r="AG285">
            <v>-1439.2396566001958</v>
          </cell>
          <cell r="AH285">
            <v>-1281.6806902851813</v>
          </cell>
          <cell r="AI285">
            <v>-1107.815917904391</v>
          </cell>
          <cell r="AJ285">
            <v>-909.52963993932826</v>
          </cell>
          <cell r="AK285">
            <v>-695.4381175972062</v>
          </cell>
          <cell r="AL285" t="e">
            <v>#REF!</v>
          </cell>
          <cell r="AM285" t="e">
            <v>#REF!</v>
          </cell>
          <cell r="AN285" t="e">
            <v>#REF!</v>
          </cell>
          <cell r="AO285" t="e">
            <v>#REF!</v>
          </cell>
          <cell r="AP285" t="e">
            <v>#REF!</v>
          </cell>
        </row>
        <row r="286">
          <cell r="Z286">
            <v>26.462387727431235</v>
          </cell>
          <cell r="AA286">
            <v>50.227984703258812</v>
          </cell>
          <cell r="AB286">
            <v>80.909887040679052</v>
          </cell>
          <cell r="AC286">
            <v>120.36538887547215</v>
          </cell>
          <cell r="AD286">
            <v>162.99977172573028</v>
          </cell>
          <cell r="AE286">
            <v>208.49601346763018</v>
          </cell>
          <cell r="AF286">
            <v>-291.56255874533457</v>
          </cell>
          <cell r="AG286">
            <v>-268.59998220610299</v>
          </cell>
          <cell r="AH286">
            <v>-241.86590053634285</v>
          </cell>
          <cell r="AI286">
            <v>-210.86143634770414</v>
          </cell>
          <cell r="AJ286">
            <v>-175.6227272360772</v>
          </cell>
          <cell r="AK286">
            <v>-136.53087558390445</v>
          </cell>
          <cell r="AL286" t="e">
            <v>#REF!</v>
          </cell>
          <cell r="AM286" t="e">
            <v>#REF!</v>
          </cell>
          <cell r="AN286" t="e">
            <v>#REF!</v>
          </cell>
          <cell r="AO286" t="e">
            <v>#REF!</v>
          </cell>
          <cell r="AP286" t="e">
            <v>#REF!</v>
          </cell>
        </row>
        <row r="287">
          <cell r="Z287">
            <v>32.8462991980673</v>
          </cell>
          <cell r="AA287">
            <v>53.877568938997058</v>
          </cell>
          <cell r="AB287">
            <v>83.603648624701748</v>
          </cell>
          <cell r="AC287">
            <v>120.59947825421108</v>
          </cell>
          <cell r="AD287">
            <v>164.26904705714537</v>
          </cell>
          <cell r="AE287">
            <v>210.91425346679549</v>
          </cell>
          <cell r="AF287">
            <v>-203.64488491148052</v>
          </cell>
          <cell r="AG287">
            <v>-177.44695843176726</v>
          </cell>
          <cell r="AH287">
            <v>-149.94963322423393</v>
          </cell>
          <cell r="AI287">
            <v>-116.96753744783882</v>
          </cell>
          <cell r="AJ287">
            <v>-80.428196615652823</v>
          </cell>
          <cell r="AK287">
            <v>-43.444485251521471</v>
          </cell>
          <cell r="AL287" t="e">
            <v>#REF!</v>
          </cell>
          <cell r="AM287" t="e">
            <v>#REF!</v>
          </cell>
          <cell r="AN287" t="e">
            <v>#REF!</v>
          </cell>
          <cell r="AO287" t="e">
            <v>#REF!</v>
          </cell>
          <cell r="AP287" t="e">
            <v>#REF!</v>
          </cell>
        </row>
        <row r="288">
          <cell r="Z288">
            <v>-4.7898784245851687</v>
          </cell>
          <cell r="AA288">
            <v>-4.6029350772459452</v>
          </cell>
          <cell r="AB288">
            <v>3.47670755184879E-2</v>
          </cell>
          <cell r="AC288">
            <v>8.4455489891980164</v>
          </cell>
          <cell r="AD288">
            <v>27.000567937043627</v>
          </cell>
          <cell r="AE288">
            <v>47.787295001199936</v>
          </cell>
          <cell r="AF288">
            <v>-186.10357786598405</v>
          </cell>
          <cell r="AG288">
            <v>-169.06574808492047</v>
          </cell>
          <cell r="AH288">
            <v>-148.78670927593629</v>
          </cell>
          <cell r="AI288">
            <v>-126.27245416884017</v>
          </cell>
          <cell r="AJ288">
            <v>-101.92213451190447</v>
          </cell>
          <cell r="AK288">
            <v>-76.667174740452722</v>
          </cell>
          <cell r="AL288" t="e">
            <v>#REF!</v>
          </cell>
          <cell r="AM288" t="e">
            <v>#REF!</v>
          </cell>
          <cell r="AN288" t="e">
            <v>#REF!</v>
          </cell>
          <cell r="AO288" t="e">
            <v>#REF!</v>
          </cell>
          <cell r="AP288" t="e">
            <v>#REF!</v>
          </cell>
        </row>
        <row r="289">
          <cell r="Z289">
            <v>181.86496677408763</v>
          </cell>
          <cell r="AA289">
            <v>330.92709359302444</v>
          </cell>
          <cell r="AB289">
            <v>493.80126164716057</v>
          </cell>
          <cell r="AC289">
            <v>676.0112784479802</v>
          </cell>
          <cell r="AD289">
            <v>884.60118472790782</v>
          </cell>
          <cell r="AE289">
            <v>1103.8349568829608</v>
          </cell>
          <cell r="AF289">
            <v>-1188.8982614889162</v>
          </cell>
          <cell r="AG289">
            <v>-1061.5239741720195</v>
          </cell>
          <cell r="AH289">
            <v>-911.88636743718371</v>
          </cell>
          <cell r="AI289">
            <v>-749.31909106923433</v>
          </cell>
          <cell r="AJ289">
            <v>-579.91846537154447</v>
          </cell>
          <cell r="AK289">
            <v>-410.61351788251699</v>
          </cell>
          <cell r="AL289" t="e">
            <v>#REF!</v>
          </cell>
          <cell r="AM289" t="e">
            <v>#REF!</v>
          </cell>
          <cell r="AN289" t="e">
            <v>#REF!</v>
          </cell>
          <cell r="AO289" t="e">
            <v>#REF!</v>
          </cell>
          <cell r="AP289" t="e">
            <v>#REF!</v>
          </cell>
        </row>
        <row r="290">
          <cell r="Z290">
            <v>-13.230982165035044</v>
          </cell>
          <cell r="AA290">
            <v>-4.6286489514036475</v>
          </cell>
          <cell r="AB290">
            <v>8.8868199070507501</v>
          </cell>
          <cell r="AC290">
            <v>24.073783033586039</v>
          </cell>
          <cell r="AD290">
            <v>44.980698738606463</v>
          </cell>
          <cell r="AE290">
            <v>67.112887032513726</v>
          </cell>
          <cell r="AF290">
            <v>-193.19902723996196</v>
          </cell>
          <cell r="AG290">
            <v>-178.80828883277758</v>
          </cell>
          <cell r="AH290">
            <v>-161.32043330283338</v>
          </cell>
          <cell r="AI290">
            <v>-141.66335555130502</v>
          </cell>
          <cell r="AJ290">
            <v>-119.39183571586113</v>
          </cell>
          <cell r="AK290">
            <v>-94.584163584308385</v>
          </cell>
          <cell r="AL290" t="e">
            <v>#REF!</v>
          </cell>
          <cell r="AM290" t="e">
            <v>#REF!</v>
          </cell>
          <cell r="AN290" t="e">
            <v>#REF!</v>
          </cell>
          <cell r="AO290" t="e">
            <v>#REF!</v>
          </cell>
          <cell r="AP290" t="e">
            <v>#REF!</v>
          </cell>
        </row>
        <row r="291">
          <cell r="Z291">
            <v>191.78201716802278</v>
          </cell>
          <cell r="AA291">
            <v>401.26187324838725</v>
          </cell>
          <cell r="AB291">
            <v>632.30699935290977</v>
          </cell>
          <cell r="AC291">
            <v>870.67833263537545</v>
          </cell>
          <cell r="AD291">
            <v>1137.4432002761187</v>
          </cell>
          <cell r="AE291">
            <v>1427.8581702515046</v>
          </cell>
          <cell r="AF291">
            <v>-943.64929362109967</v>
          </cell>
          <cell r="AG291">
            <v>-830.73489153393609</v>
          </cell>
          <cell r="AH291">
            <v>-701.42726210981823</v>
          </cell>
          <cell r="AI291">
            <v>-562.79269129124987</v>
          </cell>
          <cell r="AJ291">
            <v>-422.13216213887392</v>
          </cell>
          <cell r="AK291">
            <v>-288.43902377424831</v>
          </cell>
          <cell r="AL291" t="e">
            <v>#REF!</v>
          </cell>
          <cell r="AM291" t="e">
            <v>#REF!</v>
          </cell>
          <cell r="AN291" t="e">
            <v>#REF!</v>
          </cell>
          <cell r="AO291" t="e">
            <v>#REF!</v>
          </cell>
          <cell r="AP291" t="e">
            <v>#REF!</v>
          </cell>
        </row>
        <row r="292">
          <cell r="Z292">
            <v>110.26607241334023</v>
          </cell>
          <cell r="AA292">
            <v>165.51016953266264</v>
          </cell>
          <cell r="AB292">
            <v>215.46833567435635</v>
          </cell>
          <cell r="AC292">
            <v>296.52261911941594</v>
          </cell>
          <cell r="AD292">
            <v>389.10348363799153</v>
          </cell>
          <cell r="AE292">
            <v>508.8938740870492</v>
          </cell>
          <cell r="AF292">
            <v>-667.95774046880103</v>
          </cell>
          <cell r="AG292">
            <v>-570.83811624053146</v>
          </cell>
          <cell r="AH292">
            <v>-461.16475719620928</v>
          </cell>
          <cell r="AI292">
            <v>-347.83401534763044</v>
          </cell>
          <cell r="AJ292">
            <v>-238.43306290269916</v>
          </cell>
          <cell r="AK292">
            <v>-140.08271905662914</v>
          </cell>
          <cell r="AL292" t="e">
            <v>#REF!</v>
          </cell>
          <cell r="AM292" t="e">
            <v>#REF!</v>
          </cell>
          <cell r="AN292" t="e">
            <v>#REF!</v>
          </cell>
          <cell r="AO292" t="e">
            <v>#REF!</v>
          </cell>
          <cell r="AP292" t="e">
            <v>#REF!</v>
          </cell>
        </row>
        <row r="293">
          <cell r="Z293">
            <v>223.82619542825682</v>
          </cell>
          <cell r="AA293">
            <v>379.38628649827479</v>
          </cell>
          <cell r="AB293">
            <v>533.31470986747513</v>
          </cell>
          <cell r="AC293">
            <v>709.60708570080487</v>
          </cell>
          <cell r="AD293">
            <v>912.80700246075435</v>
          </cell>
          <cell r="AE293">
            <v>1155.6838249536027</v>
          </cell>
          <cell r="AF293">
            <v>-1036.1840806466403</v>
          </cell>
          <cell r="AG293">
            <v>-911.83505285727881</v>
          </cell>
          <cell r="AH293">
            <v>-768.97454978119868</v>
          </cell>
          <cell r="AI293">
            <v>-614.20903960664805</v>
          </cell>
          <cell r="AJ293">
            <v>-454.78309125899267</v>
          </cell>
          <cell r="AK293">
            <v>-296.62699880100615</v>
          </cell>
          <cell r="AL293" t="e">
            <v>#REF!</v>
          </cell>
          <cell r="AM293" t="e">
            <v>#REF!</v>
          </cell>
          <cell r="AN293" t="e">
            <v>#REF!</v>
          </cell>
          <cell r="AO293" t="e">
            <v>#REF!</v>
          </cell>
          <cell r="AP293" t="e">
            <v>#REF!</v>
          </cell>
        </row>
        <row r="294">
          <cell r="Z294">
            <v>1032.479528891246</v>
          </cell>
          <cell r="AA294">
            <v>1499.4660979232035</v>
          </cell>
          <cell r="AB294">
            <v>1988.3668277658062</v>
          </cell>
          <cell r="AC294">
            <v>2567.610074708904</v>
          </cell>
          <cell r="AD294">
            <v>3164.9204977384534</v>
          </cell>
          <cell r="AE294">
            <v>3770.7152190030661</v>
          </cell>
          <cell r="AF294">
            <v>-1516.2234182850457</v>
          </cell>
          <cell r="AG294">
            <v>-1156.9168808155214</v>
          </cell>
          <cell r="AH294">
            <v>-780.47142368507195</v>
          </cell>
          <cell r="AI294">
            <v>-423.00793994394695</v>
          </cell>
          <cell r="AJ294">
            <v>-123.88570117059862</v>
          </cell>
          <cell r="AK294">
            <v>110.24192606439087</v>
          </cell>
          <cell r="AL294" t="e">
            <v>#REF!</v>
          </cell>
          <cell r="AM294" t="e">
            <v>#REF!</v>
          </cell>
          <cell r="AN294" t="e">
            <v>#REF!</v>
          </cell>
          <cell r="AO294" t="e">
            <v>#REF!</v>
          </cell>
          <cell r="AP294" t="e">
            <v>#REF!</v>
          </cell>
        </row>
        <row r="295">
          <cell r="Z295">
            <v>45.079794150043867</v>
          </cell>
          <cell r="AA295">
            <v>60.745873577401284</v>
          </cell>
          <cell r="AB295">
            <v>75.954268116543446</v>
          </cell>
          <cell r="AC295">
            <v>92.749727055062621</v>
          </cell>
          <cell r="AD295">
            <v>113.61950601986238</v>
          </cell>
          <cell r="AE295">
            <v>135.20257595692709</v>
          </cell>
          <cell r="AF295">
            <v>-65.153596689925578</v>
          </cell>
          <cell r="AG295">
            <v>-52.927954870733622</v>
          </cell>
          <cell r="AH295">
            <v>-39.736536365469753</v>
          </cell>
          <cell r="AI295">
            <v>-26.515654098364823</v>
          </cell>
          <cell r="AJ295">
            <v>-14.330142812801874</v>
          </cell>
          <cell r="AK295">
            <v>-3.9326447413962384</v>
          </cell>
          <cell r="AL295" t="e">
            <v>#REF!</v>
          </cell>
          <cell r="AM295" t="e">
            <v>#REF!</v>
          </cell>
          <cell r="AN295" t="e">
            <v>#REF!</v>
          </cell>
          <cell r="AO295" t="e">
            <v>#REF!</v>
          </cell>
          <cell r="AP295" t="e">
            <v>#REF!</v>
          </cell>
        </row>
        <row r="296">
          <cell r="Z296">
            <v>141.1039700367686</v>
          </cell>
          <cell r="AA296">
            <v>224.32321813420754</v>
          </cell>
          <cell r="AB296">
            <v>316.68404186367934</v>
          </cell>
          <cell r="AC296">
            <v>420.66922438207553</v>
          </cell>
          <cell r="AD296">
            <v>524.06330160383573</v>
          </cell>
          <cell r="AE296">
            <v>625.90708529566757</v>
          </cell>
          <cell r="AF296">
            <v>-347.65116559502542</v>
          </cell>
          <cell r="AG296">
            <v>-278.72992140657806</v>
          </cell>
          <cell r="AH296">
            <v>-207.00538987847568</v>
          </cell>
          <cell r="AI296">
            <v>-139.77515138200206</v>
          </cell>
          <cell r="AJ296">
            <v>-83.637104307170148</v>
          </cell>
          <cell r="AK296">
            <v>-42.492197962956467</v>
          </cell>
          <cell r="AL296" t="e">
            <v>#REF!</v>
          </cell>
          <cell r="AM296" t="e">
            <v>#REF!</v>
          </cell>
          <cell r="AN296" t="e">
            <v>#REF!</v>
          </cell>
          <cell r="AO296" t="e">
            <v>#REF!</v>
          </cell>
          <cell r="AP296" t="e">
            <v>#REF!</v>
          </cell>
        </row>
        <row r="297">
          <cell r="Z297">
            <v>15.738081247926175</v>
          </cell>
          <cell r="AA297">
            <v>55.549073985646999</v>
          </cell>
          <cell r="AB297">
            <v>97.999277887488347</v>
          </cell>
          <cell r="AC297">
            <v>148.70132727381525</v>
          </cell>
          <cell r="AD297">
            <v>200.89534858817944</v>
          </cell>
          <cell r="AE297">
            <v>262.6101153651075</v>
          </cell>
          <cell r="AF297">
            <v>-295.94209730880368</v>
          </cell>
          <cell r="AG297">
            <v>-264.02839725508068</v>
          </cell>
          <cell r="AH297">
            <v>-227.0864652966242</v>
          </cell>
          <cell r="AI297">
            <v>-186.92967911621503</v>
          </cell>
          <cell r="AJ297">
            <v>-145.0264421959476</v>
          </cell>
          <cell r="AK297">
            <v>-103.42562473036466</v>
          </cell>
          <cell r="AL297" t="e">
            <v>#REF!</v>
          </cell>
          <cell r="AM297" t="e">
            <v>#REF!</v>
          </cell>
          <cell r="AN297" t="e">
            <v>#REF!</v>
          </cell>
          <cell r="AO297" t="e">
            <v>#REF!</v>
          </cell>
          <cell r="AP297" t="e">
            <v>#REF!</v>
          </cell>
        </row>
        <row r="298">
          <cell r="Z298">
            <v>238.20816742245711</v>
          </cell>
          <cell r="AA298">
            <v>381.58711193132649</v>
          </cell>
          <cell r="AB298">
            <v>535.10052815683935</v>
          </cell>
          <cell r="AC298">
            <v>698.08824984871967</v>
          </cell>
          <cell r="AD298">
            <v>865.49722763434988</v>
          </cell>
          <cell r="AE298">
            <v>1036.3942266986121</v>
          </cell>
          <cell r="AF298">
            <v>-697.19802073107428</v>
          </cell>
          <cell r="AG298">
            <v>-592.66654975208451</v>
          </cell>
          <cell r="AH298">
            <v>-474.95424358126718</v>
          </cell>
          <cell r="AI298">
            <v>-355.23645895843163</v>
          </cell>
          <cell r="AJ298">
            <v>-240.62144617054767</v>
          </cell>
          <cell r="AK298">
            <v>-140.59624664673498</v>
          </cell>
          <cell r="AL298" t="e">
            <v>#REF!</v>
          </cell>
          <cell r="AM298" t="e">
            <v>#REF!</v>
          </cell>
          <cell r="AN298" t="e">
            <v>#REF!</v>
          </cell>
          <cell r="AO298" t="e">
            <v>#REF!</v>
          </cell>
          <cell r="AP298" t="e">
            <v>#REF!</v>
          </cell>
        </row>
        <row r="299">
          <cell r="Z299">
            <v>21.270022343339804</v>
          </cell>
          <cell r="AA299">
            <v>45.613014173641147</v>
          </cell>
          <cell r="AB299">
            <v>68.590731952127811</v>
          </cell>
          <cell r="AC299">
            <v>92.805841396198758</v>
          </cell>
          <cell r="AD299">
            <v>121.22697416483618</v>
          </cell>
          <cell r="AE299">
            <v>163.90988710853929</v>
          </cell>
          <cell r="AF299">
            <v>-180.31413895496021</v>
          </cell>
          <cell r="AG299">
            <v>-152.73480364476569</v>
          </cell>
          <cell r="AH299">
            <v>-120.5754569803249</v>
          </cell>
          <cell r="AI299">
            <v>-88.69173679715297</v>
          </cell>
          <cell r="AJ299">
            <v>-56.998384357601736</v>
          </cell>
          <cell r="AK299">
            <v>-28.437918261917048</v>
          </cell>
          <cell r="AL299" t="e">
            <v>#REF!</v>
          </cell>
          <cell r="AM299" t="e">
            <v>#REF!</v>
          </cell>
          <cell r="AN299" t="e">
            <v>#REF!</v>
          </cell>
          <cell r="AO299" t="e">
            <v>#REF!</v>
          </cell>
          <cell r="AP299" t="e">
            <v>#REF!</v>
          </cell>
        </row>
        <row r="305">
          <cell r="F305">
            <v>17.784863767888599</v>
          </cell>
          <cell r="G305">
            <v>17.696725104532462</v>
          </cell>
          <cell r="H305">
            <v>17.609023240922426</v>
          </cell>
          <cell r="I305">
            <v>17.52175601235561</v>
          </cell>
          <cell r="J305">
            <v>17.426261493956673</v>
          </cell>
          <cell r="K305">
            <v>17.322679128959557</v>
          </cell>
          <cell r="L305">
            <v>17.211159582908031</v>
          </cell>
          <cell r="M305">
            <v>17.09186437855135</v>
          </cell>
          <cell r="N305">
            <v>16.964965506125449</v>
          </cell>
          <cell r="O305">
            <v>16.830645010335544</v>
          </cell>
          <cell r="P305">
            <v>16.689094555427687</v>
          </cell>
          <cell r="Q305">
            <v>16.540514969803006</v>
          </cell>
          <cell r="R305">
            <v>16.385115771687776</v>
          </cell>
          <cell r="S305">
            <v>16.223114677425958</v>
          </cell>
          <cell r="T305">
            <v>16.054737094007152</v>
          </cell>
          <cell r="U305">
            <v>15.880215597482925</v>
          </cell>
          <cell r="V305">
            <v>15.699789398957215</v>
          </cell>
          <cell r="W305">
            <v>15.513703799862437</v>
          </cell>
          <cell r="X305">
            <v>0.47882842736883524</v>
          </cell>
        </row>
        <row r="306">
          <cell r="F306">
            <v>822.01088964293388</v>
          </cell>
          <cell r="G306">
            <v>793.01668092002194</v>
          </cell>
          <cell r="H306">
            <v>765.04516441452461</v>
          </cell>
          <cell r="I306">
            <v>738.06026742718109</v>
          </cell>
          <cell r="J306">
            <v>709.47492894811671</v>
          </cell>
          <cell r="K306">
            <v>679.55209440625288</v>
          </cell>
          <cell r="L306">
            <v>648.55816707615452</v>
          </cell>
          <cell r="M306">
            <v>616.75912710385933</v>
          </cell>
          <cell r="N306">
            <v>584.41682804103107</v>
          </cell>
          <cell r="O306">
            <v>551.78554046613272</v>
          </cell>
          <cell r="P306">
            <v>519.10880294951869</v>
          </cell>
          <cell r="Q306">
            <v>486.6166300737479</v>
          </cell>
          <cell r="R306">
            <v>454.52311584318915</v>
          </cell>
          <cell r="S306">
            <v>423.02445900869066</v>
          </cell>
          <cell r="T306">
            <v>392.29742498691149</v>
          </cell>
          <cell r="U306">
            <v>362.49824754117583</v>
          </cell>
          <cell r="V306">
            <v>333.7619625480063</v>
          </cell>
          <cell r="W306">
            <v>306.20215629217245</v>
          </cell>
          <cell r="X306">
            <v>1.990680034736596</v>
          </cell>
        </row>
        <row r="307">
          <cell r="F307">
            <v>8.1714063265163652</v>
          </cell>
          <cell r="G307">
            <v>7.9854225728379218</v>
          </cell>
          <cell r="H307">
            <v>7.8036718673338266</v>
          </cell>
          <cell r="I307">
            <v>7.6260578645088861</v>
          </cell>
          <cell r="J307">
            <v>7.4353480460219297</v>
          </cell>
          <cell r="K307">
            <v>7.2327360845728492</v>
          </cell>
          <cell r="L307">
            <v>7.0194655017155467</v>
          </cell>
          <cell r="M307">
            <v>6.7968170346229249</v>
          </cell>
          <cell r="N307">
            <v>6.5660959394814995</v>
          </cell>
          <cell r="O307">
            <v>6.3286194057469913</v>
          </cell>
          <cell r="P307">
            <v>6.0857042484130801</v>
          </cell>
          <cell r="Q307">
            <v>5.8386550355705946</v>
          </cell>
          <cell r="R307">
            <v>5.5887527961561378</v>
          </cell>
          <cell r="S307">
            <v>5.3372444382459108</v>
          </cell>
          <cell r="T307">
            <v>5.0853329919177552</v>
          </cell>
          <cell r="U307">
            <v>4.8341687729830367</v>
          </cell>
          <cell r="V307">
            <v>4.5848415451960829</v>
          </cell>
          <cell r="W307">
            <v>4.3383737393024377</v>
          </cell>
          <cell r="X307">
            <v>7.8008447341311413</v>
          </cell>
        </row>
        <row r="308">
          <cell r="F308">
            <v>13.933507560684925</v>
          </cell>
          <cell r="G308">
            <v>13.278510680173641</v>
          </cell>
          <cell r="H308">
            <v>12.654304389297522</v>
          </cell>
          <cell r="I308">
            <v>12.059441260689676</v>
          </cell>
          <cell r="J308">
            <v>11.437338826300632</v>
          </cell>
          <cell r="K308">
            <v>10.795224504833818</v>
          </cell>
          <cell r="L308">
            <v>10.140217284836069</v>
          </cell>
          <cell r="M308">
            <v>9.4792010517831429</v>
          </cell>
          <cell r="N308">
            <v>8.8187107691868558</v>
          </cell>
          <cell r="O308">
            <v>8.1648339066931683</v>
          </cell>
          <cell r="P308">
            <v>7.5231288633363338</v>
          </cell>
          <cell r="Q308">
            <v>6.898561466528724</v>
          </cell>
          <cell r="R308">
            <v>6.2954599662643949</v>
          </cell>
          <cell r="S308">
            <v>5.7174883163324823</v>
          </cell>
          <cell r="T308">
            <v>5.1676369634838437</v>
          </cell>
          <cell r="U308">
            <v>4.6482298704425444</v>
          </cell>
          <cell r="V308">
            <v>4.1609460933376754</v>
          </cell>
          <cell r="W308">
            <v>3.7068539271770056</v>
          </cell>
          <cell r="X308">
            <v>1.9709498469205404</v>
          </cell>
        </row>
        <row r="309">
          <cell r="F309">
            <v>1.9603954287797944</v>
          </cell>
          <cell r="G309">
            <v>1.9347202180637384</v>
          </cell>
          <cell r="H309">
            <v>1.9093812744270868</v>
          </cell>
          <cell r="I309">
            <v>1.8843741937950322</v>
          </cell>
          <cell r="J309">
            <v>1.8572445211503499</v>
          </cell>
          <cell r="K309">
            <v>1.8280937867831641</v>
          </cell>
          <cell r="L309">
            <v>1.7970299208121103</v>
          </cell>
          <cell r="M309">
            <v>1.7641665886551283</v>
          </cell>
          <cell r="N309">
            <v>1.729622499904923</v>
          </cell>
          <cell r="O309">
            <v>1.6935206964732812</v>
          </cell>
          <cell r="P309">
            <v>1.6559878259544001</v>
          </cell>
          <cell r="Q309">
            <v>1.6171534061796686</v>
          </cell>
          <cell r="R309">
            <v>1.5771490868959837</v>
          </cell>
          <cell r="S309">
            <v>1.5361079143983398</v>
          </cell>
          <cell r="T309">
            <v>1.494163604787647</v>
          </cell>
          <cell r="U309">
            <v>1.4514498313096851</v>
          </cell>
          <cell r="V309">
            <v>1.4080995309646664</v>
          </cell>
          <cell r="W309">
            <v>1.3642442352634325</v>
          </cell>
          <cell r="X309">
            <v>0.27256702917581299</v>
          </cell>
        </row>
        <row r="310">
          <cell r="F310">
            <v>21.18956281379652</v>
          </cell>
          <cell r="G310">
            <v>20.597522539873239</v>
          </cell>
          <cell r="H310">
            <v>20.022023979860112</v>
          </cell>
          <cell r="I310">
            <v>19.462604955234607</v>
          </cell>
          <cell r="J310">
            <v>18.865280069976347</v>
          </cell>
          <cell r="K310">
            <v>18.234541411048646</v>
          </cell>
          <cell r="L310">
            <v>17.575016160721233</v>
          </cell>
          <cell r="M310">
            <v>16.891410624462182</v>
          </cell>
          <cell r="N310">
            <v>16.188455105896672</v>
          </cell>
          <cell r="O310">
            <v>15.47085051566664</v>
          </cell>
          <cell r="P310">
            <v>14.743217534166451</v>
          </cell>
          <cell r="Q310">
            <v>14.010049065713206</v>
          </cell>
          <cell r="R310">
            <v>13.27566662641239</v>
          </cell>
          <cell r="S310">
            <v>12.544181202718891</v>
          </cell>
          <cell r="T310">
            <v>11.81945900553646</v>
          </cell>
          <cell r="U310">
            <v>11.105092428755915</v>
          </cell>
          <cell r="V310">
            <v>10.404376404465307</v>
          </cell>
          <cell r="W310">
            <v>9.7202902325947456</v>
          </cell>
          <cell r="X310">
            <v>2.5559084912343706</v>
          </cell>
        </row>
        <row r="311">
          <cell r="F311">
            <v>16.048849273874467</v>
          </cell>
          <cell r="G311">
            <v>15.737910963452563</v>
          </cell>
          <cell r="H311">
            <v>15.43299692500419</v>
          </cell>
          <cell r="I311">
            <v>15.13399044131698</v>
          </cell>
          <cell r="J311">
            <v>14.811769998320212</v>
          </cell>
          <cell r="K311">
            <v>14.468076032075125</v>
          </cell>
          <cell r="L311">
            <v>14.104734763737305</v>
          </cell>
          <cell r="M311">
            <v>13.723642105588784</v>
          </cell>
          <cell r="N311">
            <v>13.326747283301538</v>
          </cell>
          <cell r="O311">
            <v>12.91603637098291</v>
          </cell>
          <cell r="P311">
            <v>12.493515931611896</v>
          </cell>
          <cell r="Q311">
            <v>12.061196948674219</v>
          </cell>
          <cell r="R311">
            <v>11.621079225341825</v>
          </cell>
          <cell r="S311">
            <v>11.175136415661083</v>
          </cell>
          <cell r="T311">
            <v>10.725301838196248</v>
          </cell>
          <cell r="U311">
            <v>10.273455206733885</v>
          </cell>
          <cell r="V311">
            <v>9.8214103953279164</v>
          </cell>
          <cell r="W311">
            <v>9.3709043365078379</v>
          </cell>
          <cell r="X311">
            <v>3.0352589215630927</v>
          </cell>
        </row>
        <row r="312">
          <cell r="F312">
            <v>22.539930897508167</v>
          </cell>
          <cell r="G312">
            <v>22.057315036138611</v>
          </cell>
          <cell r="H312">
            <v>21.585032749911967</v>
          </cell>
          <cell r="I312">
            <v>21.122862780507116</v>
          </cell>
          <cell r="J312">
            <v>20.625897261348232</v>
          </cell>
          <cell r="K312">
            <v>20.097078513410985</v>
          </cell>
          <cell r="L312">
            <v>19.539480585257536</v>
          </cell>
          <cell r="M312">
            <v>18.956279649067554</v>
          </cell>
          <cell r="N312">
            <v>18.350724097943719</v>
          </cell>
          <cell r="O312">
            <v>17.726104734799176</v>
          </cell>
          <cell r="P312">
            <v>17.085725430545011</v>
          </cell>
          <cell r="Q312">
            <v>16.432874610658899</v>
          </cell>
          <cell r="R312">
            <v>15.770797905074541</v>
          </cell>
          <cell r="S312">
            <v>15.102672267327597</v>
          </cell>
          <cell r="T312">
            <v>14.431581835750638</v>
          </cell>
          <cell r="U312">
            <v>13.760495773012819</v>
          </cell>
          <cell r="V312">
            <v>13.092248281274841</v>
          </cell>
          <cell r="W312">
            <v>12.4295209495229</v>
          </cell>
          <cell r="X312">
            <v>2.9631747768844696</v>
          </cell>
        </row>
        <row r="313">
          <cell r="F313">
            <v>45.390795290396547</v>
          </cell>
          <cell r="G313">
            <v>44.33276305555701</v>
          </cell>
          <cell r="H313">
            <v>43.299392918017112</v>
          </cell>
          <cell r="I313">
            <v>42.290110019069154</v>
          </cell>
          <cell r="J313">
            <v>41.207049881511487</v>
          </cell>
          <cell r="K313">
            <v>40.057139468923651</v>
          </cell>
          <cell r="L313">
            <v>38.847586508192563</v>
          </cell>
          <cell r="M313">
            <v>37.585804732905515</v>
          </cell>
          <cell r="N313">
            <v>36.279338907644906</v>
          </cell>
          <cell r="O313">
            <v>34.935790682043887</v>
          </cell>
          <cell r="P313">
            <v>33.562746277192645</v>
          </cell>
          <cell r="Q313">
            <v>32.167706943669728</v>
          </cell>
          <cell r="R313">
            <v>30.758023051999245</v>
          </cell>
          <cell r="S313">
            <v>29.340832584876885</v>
          </cell>
          <cell r="T313">
            <v>27.923004698456346</v>
          </cell>
          <cell r="U313">
            <v>26.511088909885363</v>
          </cell>
          <cell r="V313">
            <v>25.111270352748253</v>
          </cell>
          <cell r="W313">
            <v>23.729331423742245</v>
          </cell>
          <cell r="X313">
            <v>3.0501431141168038</v>
          </cell>
        </row>
        <row r="314">
          <cell r="F314">
            <v>8.3413370614546594</v>
          </cell>
          <cell r="G314">
            <v>8.1691130161721439</v>
          </cell>
          <cell r="H314">
            <v>8.0004448902290513</v>
          </cell>
          <cell r="I314">
            <v>7.8352592643631196</v>
          </cell>
          <cell r="J314">
            <v>7.6574915912890198</v>
          </cell>
          <cell r="K314">
            <v>7.4681599155390295</v>
          </cell>
          <cell r="L314">
            <v>7.268329589861187</v>
          </cell>
          <cell r="M314">
            <v>7.0591033396809069</v>
          </cell>
          <cell r="N314">
            <v>6.8416111990160973</v>
          </cell>
          <cell r="O314">
            <v>6.6170004452913922</v>
          </cell>
          <cell r="P314">
            <v>6.386425656977698</v>
          </cell>
          <cell r="Q314">
            <v>6.1510390125324825</v>
          </cell>
          <cell r="R314">
            <v>5.9119809418921516</v>
          </cell>
          <cell r="S314">
            <v>5.6703712329596403</v>
          </cell>
          <cell r="T314">
            <v>5.4273006853538197</v>
          </cell>
          <cell r="U314">
            <v>5.1838233923782511</v>
          </cell>
          <cell r="V314">
            <v>4.9409497199758059</v>
          </cell>
          <cell r="W314">
            <v>4.6996400386213448</v>
          </cell>
          <cell r="X314">
            <v>3.1724395660395981</v>
          </cell>
        </row>
        <row r="315">
          <cell r="F315">
            <v>7.6489632326466053</v>
          </cell>
          <cell r="G315">
            <v>7.4491463730973679</v>
          </cell>
          <cell r="H315">
            <v>7.2545494075580415</v>
          </cell>
          <cell r="I315">
            <v>7.0650359746948705</v>
          </cell>
          <cell r="J315">
            <v>6.8622842870466103</v>
          </cell>
          <cell r="K315">
            <v>6.6477308481134969</v>
          </cell>
          <cell r="L315">
            <v>6.4228612858648786</v>
          </cell>
          <cell r="M315">
            <v>6.1891933656267177</v>
          </cell>
          <cell r="N315">
            <v>5.9482601378646871</v>
          </cell>
          <cell r="O315">
            <v>5.7015934786596798</v>
          </cell>
          <cell r="P315">
            <v>5.4507082645119542</v>
          </cell>
          <cell r="Q315">
            <v>5.1970874025316709</v>
          </cell>
          <cell r="R315">
            <v>4.9421679127223639</v>
          </cell>
          <cell r="S315">
            <v>4.6873282316572045</v>
          </cell>
          <cell r="T315">
            <v>4.4338768771523958</v>
          </cell>
          <cell r="U315">
            <v>4.1830425823495352</v>
          </cell>
          <cell r="V315">
            <v>3.9359659757229073</v>
          </cell>
          <cell r="W315">
            <v>3.693692851701313</v>
          </cell>
          <cell r="X315">
            <v>4.2942158563236035</v>
          </cell>
        </row>
        <row r="316">
          <cell r="F316">
            <v>0.2</v>
          </cell>
          <cell r="G316">
            <v>0.19434399285942605</v>
          </cell>
          <cell r="H316">
            <v>0.18884793780272319</v>
          </cell>
          <cell r="I316">
            <v>0.18350731137924883</v>
          </cell>
          <cell r="J316">
            <v>0.1778069000509987</v>
          </cell>
          <cell r="K316">
            <v>0.1717900321757363</v>
          </cell>
          <cell r="L316">
            <v>0.16550130562307941</v>
          </cell>
          <cell r="M316">
            <v>0.15898604287367035</v>
          </cell>
          <cell r="N316">
            <v>0.15228975510655626</v>
          </cell>
          <cell r="O316">
            <v>0.14545762397292133</v>
          </cell>
          <cell r="P316">
            <v>0.13853400907729183</v>
          </cell>
          <cell r="Q316">
            <v>0.13156198835719662</v>
          </cell>
          <cell r="R316">
            <v>0.12458293759614598</v>
          </cell>
          <cell r="S316">
            <v>0.1176361542521876</v>
          </cell>
          <cell r="T316">
            <v>0.11075852966608866</v>
          </cell>
          <cell r="U316">
            <v>0.10398427256061711</v>
          </cell>
          <cell r="V316">
            <v>9.7344685586075036E-2</v>
          </cell>
          <cell r="W316">
            <v>9.0867995536284885E-2</v>
          </cell>
          <cell r="X316">
            <v>6.0602414813269059</v>
          </cell>
        </row>
        <row r="317">
          <cell r="F317">
            <v>40.218777242969651</v>
          </cell>
          <cell r="G317">
            <v>38.900996522839385</v>
          </cell>
          <cell r="H317">
            <v>37.626393297038597</v>
          </cell>
          <cell r="I317">
            <v>36.393552841563448</v>
          </cell>
          <cell r="J317">
            <v>35.084032536252757</v>
          </cell>
          <cell r="K317">
            <v>33.70914536271988</v>
          </cell>
          <cell r="L317">
            <v>32.280419135225252</v>
          </cell>
          <cell r="M317">
            <v>30.809437877571806</v>
          </cell>
          <cell r="N317">
            <v>29.307688746759208</v>
          </cell>
          <cell r="O317">
            <v>27.786417252467121</v>
          </cell>
          <cell r="P317">
            <v>26.256493212375258</v>
          </cell>
          <cell r="Q317">
            <v>24.728289525076288</v>
          </cell>
          <cell r="R317">
            <v>23.211575447645679</v>
          </cell>
          <cell r="S317">
            <v>21.715425647100396</v>
          </cell>
          <cell r="T317">
            <v>20.248145867369399</v>
          </cell>
          <cell r="U317">
            <v>18.817215628953594</v>
          </cell>
          <cell r="V317">
            <v>17.429247969261784</v>
          </cell>
          <cell r="W317">
            <v>16.089965848531467</v>
          </cell>
          <cell r="X317">
            <v>4.5218919927725576</v>
          </cell>
        </row>
        <row r="318">
          <cell r="F318">
            <v>-3.815065395680143</v>
          </cell>
          <cell r="G318">
            <v>-3.7371525388675257</v>
          </cell>
          <cell r="H318">
            <v>-3.6608308509149694</v>
          </cell>
          <cell r="I318">
            <v>-3.586067836308322</v>
          </cell>
          <cell r="J318">
            <v>-3.5055908160787324</v>
          </cell>
          <cell r="K318">
            <v>-3.4198560663957398</v>
          </cell>
          <cell r="L318">
            <v>-3.3293412939430418</v>
          </cell>
          <cell r="M318">
            <v>-3.2345412237874331</v>
          </cell>
          <cell r="N318">
            <v>-3.1359631264895165</v>
          </cell>
          <cell r="O318">
            <v>-3.0341223405810878</v>
          </cell>
          <cell r="P318">
            <v>-2.9295378450599774</v>
          </cell>
          <cell r="Q318">
            <v>-2.8227279342341935</v>
          </cell>
          <cell r="R318">
            <v>-2.7142060441507794</v>
          </cell>
          <cell r="S318">
            <v>-2.6044767760516025</v>
          </cell>
          <cell r="T318">
            <v>-2.4940321579006794</v>
          </cell>
          <cell r="U318">
            <v>-2.3833481801269936</v>
          </cell>
          <cell r="V318">
            <v>-2.2728816364308635</v>
          </cell>
          <cell r="W318">
            <v>-2.163067294922425</v>
          </cell>
          <cell r="X318">
            <v>3.4680879074882145</v>
          </cell>
        </row>
        <row r="319">
          <cell r="F319">
            <v>32.929073177864261</v>
          </cell>
          <cell r="G319">
            <v>31.695901657354572</v>
          </cell>
          <cell r="H319">
            <v>30.508911576291478</v>
          </cell>
          <cell r="I319">
            <v>29.366373471000319</v>
          </cell>
          <cell r="J319">
            <v>28.158938644819813</v>
          </cell>
          <cell r="K319">
            <v>26.89828592201938</v>
          </cell>
          <cell r="L319">
            <v>25.596187936140698</v>
          </cell>
          <cell r="M319">
            <v>24.264331748481794</v>
          </cell>
          <cell r="N319">
            <v>22.914149400309892</v>
          </cell>
          <cell r="O319">
            <v>21.556661689241214</v>
          </cell>
          <cell r="P319">
            <v>20.202337952572911</v>
          </cell>
          <cell r="Q319">
            <v>18.860974076747084</v>
          </cell>
          <cell r="R319">
            <v>17.541590354296911</v>
          </cell>
          <cell r="S319">
            <v>16.25235019935301</v>
          </cell>
          <cell r="T319">
            <v>15.000500131028799</v>
          </cell>
          <cell r="U319">
            <v>13.792330860086111</v>
          </cell>
          <cell r="V319">
            <v>12.633158785235949</v>
          </cell>
          <cell r="W319">
            <v>11.527326735455325</v>
          </cell>
          <cell r="X319">
            <v>5.824093989287964</v>
          </cell>
        </row>
        <row r="320">
          <cell r="F320">
            <v>42.054399973030826</v>
          </cell>
          <cell r="G320">
            <v>40.172688508975639</v>
          </cell>
          <cell r="H320">
            <v>38.375173657789198</v>
          </cell>
          <cell r="I320">
            <v>36.658088067380611</v>
          </cell>
          <cell r="J320">
            <v>34.857899410434811</v>
          </cell>
          <cell r="K320">
            <v>32.994728574003666</v>
          </cell>
          <cell r="L320">
            <v>31.088506107178947</v>
          </cell>
          <cell r="M320">
            <v>29.158628481900386</v>
          </cell>
          <cell r="N320">
            <v>27.223645267150676</v>
          </cell>
          <cell r="O320">
            <v>25.300983735286493</v>
          </cell>
          <cell r="P320">
            <v>23.406715872991928</v>
          </cell>
          <cell r="Q320">
            <v>21.555371143515373</v>
          </cell>
          <cell r="R320">
            <v>19.759796710905611</v>
          </cell>
          <cell r="S320">
            <v>18.031065256189549</v>
          </cell>
          <cell r="T320">
            <v>16.378429048116278</v>
          </cell>
          <cell r="U320">
            <v>14.809317626207639</v>
          </cell>
          <cell r="V320">
            <v>13.32937534943961</v>
          </cell>
          <cell r="W320">
            <v>11.942534186091162</v>
          </cell>
          <cell r="X320">
            <v>2.6219865812864538</v>
          </cell>
        </row>
        <row r="321">
          <cell r="F321">
            <v>450.65981615845726</v>
          </cell>
          <cell r="G321">
            <v>435.57483340816873</v>
          </cell>
          <cell r="H321">
            <v>420.99479184947847</v>
          </cell>
          <cell r="I321">
            <v>406.90278953352822</v>
          </cell>
          <cell r="J321">
            <v>391.94579148595585</v>
          </cell>
          <cell r="K321">
            <v>376.25539718240628</v>
          </cell>
          <cell r="L321">
            <v>359.96548895661999</v>
          </cell>
          <cell r="M321">
            <v>343.21035869831502</v>
          </cell>
          <cell r="N321">
            <v>326.12290568896555</v>
          </cell>
          <cell r="O321">
            <v>308.83293838084069</v>
          </cell>
          <cell r="P321">
            <v>291.4656090428644</v>
          </cell>
          <cell r="Q321">
            <v>274.14000572967984</v>
          </cell>
          <cell r="R321">
            <v>256.96792113873204</v>
          </cell>
          <cell r="S321">
            <v>240.05281277120923</v>
          </cell>
          <cell r="T321">
            <v>223.48896357293052</v>
          </cell>
          <cell r="U321">
            <v>207.36084706103051</v>
          </cell>
          <cell r="V321">
            <v>191.74269599004418</v>
          </cell>
          <cell r="W321">
            <v>176.69826900882722</v>
          </cell>
          <cell r="X321">
            <v>0.49666330878179943</v>
          </cell>
        </row>
        <row r="322">
          <cell r="F322">
            <v>31.660261490765631</v>
          </cell>
          <cell r="G322">
            <v>29.662593621352094</v>
          </cell>
          <cell r="H322">
            <v>27.790972623587145</v>
          </cell>
          <cell r="I322">
            <v>26.037445316616417</v>
          </cell>
          <cell r="J322">
            <v>24.23608448590138</v>
          </cell>
          <cell r="K322">
            <v>22.412794393956236</v>
          </cell>
          <cell r="L322">
            <v>20.592023201609187</v>
          </cell>
          <cell r="M322">
            <v>18.796262135419148</v>
          </cell>
          <cell r="N322">
            <v>17.045644623701971</v>
          </cell>
          <cell r="O322">
            <v>15.35765223190899</v>
          </cell>
          <cell r="P322">
            <v>13.746929027565846</v>
          </cell>
          <cell r="Q322">
            <v>12.225201175580032</v>
          </cell>
          <cell r="R322">
            <v>10.801294340750772</v>
          </cell>
          <cell r="S322">
            <v>9.4812380311724436</v>
          </cell>
          <cell r="T322">
            <v>8.2684434642423277</v>
          </cell>
          <cell r="U322">
            <v>7.163939920609681</v>
          </cell>
          <cell r="V322">
            <v>6.1666538532800006</v>
          </cell>
          <cell r="W322">
            <v>5.2737151681992254</v>
          </cell>
          <cell r="X322">
            <v>32.61121292988657</v>
          </cell>
        </row>
        <row r="323">
          <cell r="F323">
            <v>6.2374674683057068</v>
          </cell>
          <cell r="G323">
            <v>5.9250847458648845</v>
          </cell>
          <cell r="H323">
            <v>5.6283466685906118</v>
          </cell>
          <cell r="I323">
            <v>5.3464697266892784</v>
          </cell>
          <cell r="J323">
            <v>5.0526825376832356</v>
          </cell>
          <cell r="K323">
            <v>4.7505680063494902</v>
          </cell>
          <cell r="L323">
            <v>4.4436279958770752</v>
          </cell>
          <cell r="M323">
            <v>4.1352186345533442</v>
          </cell>
          <cell r="N323">
            <v>3.8284932477871032</v>
          </cell>
          <cell r="O323">
            <v>3.5263541165199155</v>
          </cell>
          <cell r="P323">
            <v>3.2314138780681718</v>
          </cell>
          <cell r="Q323">
            <v>2.945966994929297</v>
          </cell>
          <cell r="R323">
            <v>2.671971338732293</v>
          </cell>
          <cell r="S323">
            <v>2.4110395860723433</v>
          </cell>
          <cell r="T323">
            <v>2.1644398135947229</v>
          </cell>
          <cell r="U323">
            <v>1.9331044214398792</v>
          </cell>
          <cell r="V323">
            <v>1.7176463137128213</v>
          </cell>
          <cell r="W323">
            <v>1.5183811252554558</v>
          </cell>
          <cell r="X323">
            <v>7.2272592008065351</v>
          </cell>
        </row>
        <row r="324">
          <cell r="F324">
            <v>47.969276081674352</v>
          </cell>
          <cell r="G324">
            <v>44.826348607968342</v>
          </cell>
          <cell r="H324">
            <v>41.889344465024244</v>
          </cell>
          <cell r="I324">
            <v>39.144771639899716</v>
          </cell>
          <cell r="J324">
            <v>36.332976975223858</v>
          </cell>
          <cell r="K324">
            <v>33.495404235333019</v>
          </cell>
          <cell r="L324">
            <v>30.670897395531288</v>
          </cell>
          <cell r="M324">
            <v>27.894897045194057</v>
          </cell>
          <cell r="N324">
            <v>25.198811775684948</v>
          </cell>
          <cell r="O324">
            <v>22.609574135358312</v>
          </cell>
          <cell r="P324">
            <v>20.149381601838552</v>
          </cell>
          <cell r="Q324">
            <v>17.835614689605567</v>
          </cell>
          <cell r="R324">
            <v>15.680917183136453</v>
          </cell>
          <cell r="S324">
            <v>13.693417851324657</v>
          </cell>
          <cell r="T324">
            <v>11.877069022164038</v>
          </cell>
          <cell r="U324">
            <v>10.232075119585179</v>
          </cell>
          <cell r="V324">
            <v>8.7553836167346937</v>
          </cell>
          <cell r="W324">
            <v>7.4412116777629258</v>
          </cell>
          <cell r="X324">
            <v>2.9415488738358175</v>
          </cell>
        </row>
        <row r="325">
          <cell r="F325">
            <v>21.179563411107448</v>
          </cell>
          <cell r="G325">
            <v>20.49265755610206</v>
          </cell>
          <cell r="H325">
            <v>19.828029764363702</v>
          </cell>
          <cell r="I325">
            <v>19.184957502958181</v>
          </cell>
          <cell r="J325">
            <v>18.501640958329119</v>
          </cell>
          <cell r="K325">
            <v>17.783931792992323</v>
          </cell>
          <cell r="L325">
            <v>17.03779730375312</v>
          </cell>
          <cell r="M325">
            <v>16.269238969244263</v>
          </cell>
          <cell r="N325">
            <v>15.484213731289813</v>
          </cell>
          <cell r="O325">
            <v>14.688559414519828</v>
          </cell>
          <cell r="P325">
            <v>13.88792553460291</v>
          </cell>
          <cell r="Q325">
            <v>13.087710566259076</v>
          </cell>
          <cell r="R325">
            <v>12.293006544199761</v>
          </cell>
          <cell r="S325">
            <v>11.508551659949704</v>
          </cell>
          <cell r="T325">
            <v>10.738691301818559</v>
          </cell>
          <cell r="U325">
            <v>9.987347770603364</v>
          </cell>
          <cell r="V325">
            <v>9.2579986960053109</v>
          </cell>
          <cell r="W325">
            <v>8.5536639837312851</v>
          </cell>
          <cell r="X325">
            <v>0.74307864342814867</v>
          </cell>
        </row>
        <row r="326">
          <cell r="F326">
            <v>26.810014167186395</v>
          </cell>
          <cell r="G326">
            <v>25.572005557150437</v>
          </cell>
          <cell r="H326">
            <v>24.391164590106587</v>
          </cell>
          <cell r="I326">
            <v>23.264851430290559</v>
          </cell>
          <cell r="J326">
            <v>22.085884913948224</v>
          </cell>
          <cell r="K326">
            <v>20.867772854857108</v>
          </cell>
          <cell r="L326">
            <v>19.623848006705728</v>
          </cell>
          <cell r="M326">
            <v>18.367033443800693</v>
          </cell>
          <cell r="N326">
            <v>17.109630743087703</v>
          </cell>
          <cell r="O326">
            <v>15.863135409689905</v>
          </cell>
          <cell r="P326">
            <v>14.638082845870134</v>
          </cell>
          <cell r="Q326">
            <v>13.443926973987551</v>
          </cell>
          <cell r="R326">
            <v>12.288952439301379</v>
          </cell>
          <cell r="S326">
            <v>11.18022018630095</v>
          </cell>
          <cell r="T326">
            <v>10.123545164686394</v>
          </cell>
          <cell r="U326">
            <v>9.123504012761309</v>
          </cell>
          <cell r="V326">
            <v>8.1834698127836916</v>
          </cell>
          <cell r="W326">
            <v>7.3056704315299266</v>
          </cell>
          <cell r="X326">
            <v>8.8850444441020642</v>
          </cell>
        </row>
        <row r="327">
          <cell r="F327">
            <v>8.6126492052381192</v>
          </cell>
          <cell r="G327">
            <v>8.2459510845436714</v>
          </cell>
          <cell r="H327">
            <v>7.8948657571392431</v>
          </cell>
          <cell r="I327">
            <v>7.5587284819188403</v>
          </cell>
          <cell r="J327">
            <v>7.2054837047480014</v>
          </cell>
          <cell r="K327">
            <v>6.8389264799353695</v>
          </cell>
          <cell r="L327">
            <v>6.4628359064129119</v>
          </cell>
          <cell r="M327">
            <v>6.0809120610594398</v>
          </cell>
          <cell r="N327">
            <v>5.6967179311723743</v>
          </cell>
          <cell r="O327">
            <v>5.3136275387442646</v>
          </cell>
          <cell r="P327">
            <v>4.9347811991593122</v>
          </cell>
          <cell r="Q327">
            <v>4.5630485899800162</v>
          </cell>
          <cell r="R327">
            <v>4.201000032737487</v>
          </cell>
          <cell r="S327">
            <v>3.8508861227075899</v>
          </cell>
          <cell r="T327">
            <v>3.5146255882714641</v>
          </cell>
          <cell r="U327">
            <v>3.1938010310496527</v>
          </cell>
          <cell r="V327">
            <v>2.8896619974032394</v>
          </cell>
          <cell r="W327">
            <v>2.6031346661761163</v>
          </cell>
          <cell r="X327">
            <v>2.4696259927089108</v>
          </cell>
        </row>
        <row r="335">
          <cell r="G335">
            <v>26.064391974045197</v>
          </cell>
          <cell r="H335">
            <v>25.935221422065453</v>
          </cell>
          <cell r="I335">
            <v>25.806691016670189</v>
          </cell>
          <cell r="J335">
            <v>25.678797585405288</v>
          </cell>
          <cell r="K335">
            <v>25.538846749042033</v>
          </cell>
          <cell r="L335">
            <v>25.387042866925256</v>
          </cell>
          <cell r="M335">
            <v>25.223606745120225</v>
          </cell>
          <cell r="N335">
            <v>25.048775101338371</v>
          </cell>
          <cell r="O335">
            <v>24.862799993789611</v>
          </cell>
          <cell r="P335">
            <v>24.665948215889724</v>
          </cell>
          <cell r="Q335">
            <v>24.458500658856188</v>
          </cell>
          <cell r="R335">
            <v>24.240751644323101</v>
          </cell>
          <cell r="S335">
            <v>24.013008229192714</v>
          </cell>
          <cell r="T335">
            <v>23.775589485019474</v>
          </cell>
          <cell r="U335">
            <v>23.528825754290526</v>
          </cell>
          <cell r="V335">
            <v>23.273057886025072</v>
          </cell>
          <cell r="W335">
            <v>23.008636453163046</v>
          </cell>
          <cell r="X335">
            <v>0.48840499591621195</v>
          </cell>
        </row>
        <row r="336">
          <cell r="G336">
            <v>82.887266236877608</v>
          </cell>
          <cell r="H336">
            <v>79.96364231896635</v>
          </cell>
          <cell r="I336">
            <v>77.143141319706487</v>
          </cell>
          <cell r="J336">
            <v>74.422125857324673</v>
          </cell>
          <cell r="K336">
            <v>71.53973027006586</v>
          </cell>
          <cell r="L336">
            <v>68.522468595696978</v>
          </cell>
          <cell r="M336">
            <v>65.397203543001353</v>
          </cell>
          <cell r="N336">
            <v>62.190755154701215</v>
          </cell>
          <cell r="O336">
            <v>58.929527369388254</v>
          </cell>
          <cell r="P336">
            <v>55.639159498413214</v>
          </cell>
          <cell r="Q336">
            <v>52.344208693724163</v>
          </cell>
          <cell r="R336">
            <v>49.067868419280181</v>
          </cell>
          <cell r="S336">
            <v>45.831726791447423</v>
          </cell>
          <cell r="T336">
            <v>42.655567463096894</v>
          </cell>
          <cell r="U336">
            <v>39.557214531617944</v>
          </cell>
          <cell r="V336">
            <v>36.552421790176815</v>
          </cell>
          <cell r="W336">
            <v>33.654805548228644</v>
          </cell>
          <cell r="X336">
            <v>2.0304936354313279</v>
          </cell>
        </row>
        <row r="337">
          <cell r="G337">
            <v>6.9838259339291469</v>
          </cell>
          <cell r="H337">
            <v>6.8248718799599883</v>
          </cell>
          <cell r="I337">
            <v>6.669535669779072</v>
          </cell>
          <cell r="J337">
            <v>6.517734960134689</v>
          </cell>
          <cell r="K337">
            <v>6.3547416976552382</v>
          </cell>
          <cell r="L337">
            <v>6.1815760742177384</v>
          </cell>
          <cell r="M337">
            <v>5.9993008858367931</v>
          </cell>
          <cell r="N337">
            <v>5.8090107354638745</v>
          </cell>
          <cell r="O337">
            <v>5.6118211816260635</v>
          </cell>
          <cell r="P337">
            <v>5.4088579818139566</v>
          </cell>
          <cell r="Q337">
            <v>5.201246573478044</v>
          </cell>
          <cell r="R337">
            <v>4.9901019270531881</v>
          </cell>
          <cell r="S337">
            <v>4.7765188948514714</v>
          </cell>
          <cell r="T337">
            <v>4.5615631672341168</v>
          </cell>
          <cell r="U337">
            <v>4.3462629335141028</v>
          </cell>
          <cell r="V337">
            <v>4.1316013298952381</v>
          </cell>
          <cell r="W337">
            <v>3.9185097407763889</v>
          </cell>
          <cell r="X337">
            <v>7.8008447341311413</v>
          </cell>
        </row>
        <row r="338">
          <cell r="G338">
            <v>6.6450766504660912</v>
          </cell>
          <cell r="H338">
            <v>6.3326998524590499</v>
          </cell>
          <cell r="I338">
            <v>6.0350074996534477</v>
          </cell>
          <cell r="J338">
            <v>5.7513092945231881</v>
          </cell>
          <cell r="K338">
            <v>5.4546202990959998</v>
          </cell>
          <cell r="L338">
            <v>5.1483873662953199</v>
          </cell>
          <cell r="M338">
            <v>4.8360056372484959</v>
          </cell>
          <cell r="N338">
            <v>4.5207581292747658</v>
          </cell>
          <cell r="O338">
            <v>4.2057614541285542</v>
          </cell>
          <cell r="P338">
            <v>3.8939188077372791</v>
          </cell>
          <cell r="Q338">
            <v>3.5878810651570316</v>
          </cell>
          <cell r="R338">
            <v>3.2900164960890672</v>
          </cell>
          <cell r="S338">
            <v>3.0023893010118097</v>
          </cell>
          <cell r="T338">
            <v>2.7267468686331302</v>
          </cell>
          <cell r="U338">
            <v>2.4645153831203706</v>
          </cell>
          <cell r="V338">
            <v>2.2168031734687221</v>
          </cell>
          <cell r="W338">
            <v>1.9844110040678886</v>
          </cell>
          <cell r="X338">
            <v>2.0103688438589513</v>
          </cell>
        </row>
        <row r="339">
          <cell r="G339">
            <v>0.7198716062964361</v>
          </cell>
          <cell r="H339">
            <v>0.71044348026184778</v>
          </cell>
          <cell r="I339">
            <v>0.70113883396968368</v>
          </cell>
          <cell r="J339">
            <v>0.6919560502113139</v>
          </cell>
          <cell r="K339">
            <v>0.68199383506924949</v>
          </cell>
          <cell r="L339">
            <v>0.67128947121206162</v>
          </cell>
          <cell r="M339">
            <v>0.65988259137237615</v>
          </cell>
          <cell r="N339">
            <v>0.64781493432686621</v>
          </cell>
          <cell r="O339">
            <v>0.63513009111024277</v>
          </cell>
          <cell r="P339">
            <v>0.62187324361661733</v>
          </cell>
          <cell r="Q339">
            <v>0.60809089777317682</v>
          </cell>
          <cell r="R339">
            <v>0.593830613479295</v>
          </cell>
          <cell r="S339">
            <v>0.57914073348938588</v>
          </cell>
          <cell r="T339">
            <v>0.5640701133805861</v>
          </cell>
          <cell r="U339">
            <v>0.54866785468768631</v>
          </cell>
          <cell r="V339">
            <v>0.53298304320875867</v>
          </cell>
          <cell r="W339">
            <v>0.5170644943870929</v>
          </cell>
          <cell r="X339">
            <v>0.27801836975932925</v>
          </cell>
        </row>
        <row r="340">
          <cell r="G340">
            <v>9.7545971206676221</v>
          </cell>
          <cell r="H340">
            <v>9.4820518868617061</v>
          </cell>
          <cell r="I340">
            <v>9.217121616908365</v>
          </cell>
          <cell r="J340">
            <v>8.9595935473199901</v>
          </cell>
          <cell r="K340">
            <v>8.6846155472052526</v>
          </cell>
          <cell r="L340">
            <v>8.3942555449562235</v>
          </cell>
          <cell r="M340">
            <v>8.0906436599737468</v>
          </cell>
          <cell r="N340">
            <v>7.7759464359553601</v>
          </cell>
          <cell r="O340">
            <v>7.4523414641297068</v>
          </cell>
          <cell r="P340">
            <v>7.121992804690727</v>
          </cell>
          <cell r="Q340">
            <v>6.787027583906502</v>
          </cell>
          <cell r="R340">
            <v>6.449514106437217</v>
          </cell>
          <cell r="S340">
            <v>6.1114417785264035</v>
          </cell>
          <cell r="T340">
            <v>5.7747030892729789</v>
          </cell>
          <cell r="U340">
            <v>5.4410778455602209</v>
          </cell>
          <cell r="V340">
            <v>5.1122198028436632</v>
          </cell>
          <cell r="W340">
            <v>4.7896457802923136</v>
          </cell>
          <cell r="X340">
            <v>2.607026661059058</v>
          </cell>
        </row>
        <row r="341">
          <cell r="G341">
            <v>9.5103646585408335</v>
          </cell>
          <cell r="H341">
            <v>9.3261061694766543</v>
          </cell>
          <cell r="I341">
            <v>9.1454175951330114</v>
          </cell>
          <cell r="J341">
            <v>8.968229770223811</v>
          </cell>
          <cell r="K341">
            <v>8.7772856183384587</v>
          </cell>
          <cell r="L341">
            <v>8.5736165019955202</v>
          </cell>
          <cell r="M341">
            <v>8.3583046189800481</v>
          </cell>
          <cell r="N341">
            <v>8.1324734652421267</v>
          </cell>
          <cell r="O341">
            <v>7.8972781296374066</v>
          </cell>
          <cell r="P341">
            <v>7.6538955369832014</v>
          </cell>
          <cell r="Q341">
            <v>7.4035147535679959</v>
          </cell>
          <cell r="R341">
            <v>7.1473274652220438</v>
          </cell>
          <cell r="S341">
            <v>6.8865187324494315</v>
          </cell>
          <cell r="T341">
            <v>6.6222581200812867</v>
          </cell>
          <cell r="U341">
            <v>6.3556912906030254</v>
          </cell>
          <cell r="V341">
            <v>6.0879321409214509</v>
          </cell>
          <cell r="W341">
            <v>5.8200555520702801</v>
          </cell>
          <cell r="X341">
            <v>3.0959640999943545</v>
          </cell>
        </row>
        <row r="342">
          <cell r="G342">
            <v>13.370690535017321</v>
          </cell>
          <cell r="H342">
            <v>13.08440273054244</v>
          </cell>
          <cell r="I342">
            <v>12.804244804459133</v>
          </cell>
          <cell r="J342">
            <v>12.530085506296695</v>
          </cell>
          <cell r="K342">
            <v>12.235285482576025</v>
          </cell>
          <cell r="L342">
            <v>11.92159011856025</v>
          </cell>
          <cell r="M342">
            <v>11.590822940337409</v>
          </cell>
          <cell r="N342">
            <v>11.244868053741431</v>
          </cell>
          <cell r="O342">
            <v>10.885652406069068</v>
          </cell>
          <cell r="P342">
            <v>10.515128102123285</v>
          </cell>
          <cell r="Q342">
            <v>10.135254998645461</v>
          </cell>
          <cell r="R342">
            <v>9.7479837901434614</v>
          </cell>
          <cell r="S342">
            <v>9.3552397848017748</v>
          </cell>
          <cell r="T342">
            <v>8.9589075519548178</v>
          </cell>
          <cell r="U342">
            <v>8.5608166029440245</v>
          </cell>
          <cell r="V342">
            <v>8.1627282455292924</v>
          </cell>
          <cell r="W342">
            <v>7.7663237288757925</v>
          </cell>
          <cell r="X342">
            <v>3.0224382724221592</v>
          </cell>
        </row>
        <row r="343">
          <cell r="G343">
            <v>28.719756137589698</v>
          </cell>
          <cell r="H343">
            <v>28.050315834200049</v>
          </cell>
          <cell r="I343">
            <v>27.39647978307687</v>
          </cell>
          <cell r="J343">
            <v>26.757884258451689</v>
          </cell>
          <cell r="K343">
            <v>26.072608249648614</v>
          </cell>
          <cell r="L343">
            <v>25.345034599125132</v>
          </cell>
          <cell r="M343">
            <v>24.579723794468528</v>
          </cell>
          <cell r="N343">
            <v>23.781366668243734</v>
          </cell>
          <cell r="O343">
            <v>22.95473695921288</v>
          </cell>
          <cell r="P343">
            <v>22.10464439856289</v>
          </cell>
          <cell r="Q343">
            <v>21.235888955501672</v>
          </cell>
          <cell r="R343">
            <v>20.353216836522506</v>
          </cell>
          <cell r="S343">
            <v>19.461278782984362</v>
          </cell>
          <cell r="T343">
            <v>18.564591153788264</v>
          </cell>
          <cell r="U343">
            <v>17.66750021535989</v>
          </cell>
          <cell r="V343">
            <v>16.774149991484201</v>
          </cell>
          <cell r="W343">
            <v>15.888453952438235</v>
          </cell>
          <cell r="X343">
            <v>3.1111459763991398</v>
          </cell>
        </row>
        <row r="344">
          <cell r="G344">
            <v>7.3443810018259956</v>
          </cell>
          <cell r="H344">
            <v>7.1927411631632543</v>
          </cell>
          <cell r="I344">
            <v>7.0442322405932307</v>
          </cell>
          <cell r="J344">
            <v>6.8987895899190814</v>
          </cell>
          <cell r="K344">
            <v>6.7422686974955646</v>
          </cell>
          <cell r="L344">
            <v>6.5755659312390948</v>
          </cell>
          <cell r="M344">
            <v>6.3996193130069923</v>
          </cell>
          <cell r="N344">
            <v>6.2153997705540034</v>
          </cell>
          <cell r="O344">
            <v>6.0239022763061767</v>
          </cell>
          <cell r="P344">
            <v>5.8261369851654461</v>
          </cell>
          <cell r="Q344">
            <v>5.6231204804594457</v>
          </cell>
          <cell r="R344">
            <v>5.4158672323518191</v>
          </cell>
          <cell r="S344">
            <v>5.2053813666676145</v>
          </cell>
          <cell r="T344">
            <v>4.9926488343329014</v>
          </cell>
          <cell r="U344">
            <v>4.7786300626674976</v>
          </cell>
          <cell r="V344">
            <v>4.5642531598123162</v>
          </cell>
          <cell r="W344">
            <v>4.3504077328388675</v>
          </cell>
          <cell r="X344">
            <v>3.2358883573603903</v>
          </cell>
        </row>
        <row r="345">
          <cell r="G345">
            <v>4.8015499436315512</v>
          </cell>
          <cell r="H345">
            <v>4.6761171756179305</v>
          </cell>
          <cell r="I345">
            <v>4.5539611368847011</v>
          </cell>
          <cell r="J345">
            <v>4.4349962281506947</v>
          </cell>
          <cell r="K345">
            <v>4.3077211550736525</v>
          </cell>
          <cell r="L345">
            <v>4.1730376664384492</v>
          </cell>
          <cell r="M345">
            <v>4.0318783483584593</v>
          </cell>
          <cell r="N345">
            <v>3.8851959608082933</v>
          </cell>
          <cell r="O345">
            <v>3.7339528588357052</v>
          </cell>
          <cell r="P345">
            <v>3.5791106602817218</v>
          </cell>
          <cell r="Q345">
            <v>3.4216203116933701</v>
          </cell>
          <cell r="R345">
            <v>3.2624126911955194</v>
          </cell>
          <cell r="S345">
            <v>3.1023898718021328</v>
          </cell>
          <cell r="T345">
            <v>2.9424171514429953</v>
          </cell>
          <cell r="U345">
            <v>2.7833159373409599</v>
          </cell>
          <cell r="V345">
            <v>2.6258575527940118</v>
          </cell>
          <cell r="W345">
            <v>2.4707580143941819</v>
          </cell>
          <cell r="X345">
            <v>4.3801001734500753</v>
          </cell>
        </row>
        <row r="346">
          <cell r="G346">
            <v>0.2</v>
          </cell>
          <cell r="H346">
            <v>0.19434399285942605</v>
          </cell>
          <cell r="I346">
            <v>0.18884793780272319</v>
          </cell>
          <cell r="J346">
            <v>0.18350731137924883</v>
          </cell>
          <cell r="K346">
            <v>0.1778069000509987</v>
          </cell>
          <cell r="L346">
            <v>0.1717900321757363</v>
          </cell>
          <cell r="M346">
            <v>0.16550130562307941</v>
          </cell>
          <cell r="N346">
            <v>0.15898604287367035</v>
          </cell>
          <cell r="O346">
            <v>0.15228975510655626</v>
          </cell>
          <cell r="P346">
            <v>0.14545762397292133</v>
          </cell>
          <cell r="Q346">
            <v>0.13853400907729183</v>
          </cell>
          <cell r="R346">
            <v>0.13156198835719662</v>
          </cell>
          <cell r="S346">
            <v>0.12458293759614598</v>
          </cell>
          <cell r="T346">
            <v>0.1176361542521876</v>
          </cell>
          <cell r="U346">
            <v>0.11075852966608866</v>
          </cell>
          <cell r="V346">
            <v>0.10398427256061711</v>
          </cell>
          <cell r="W346">
            <v>9.7344685586075036E-2</v>
          </cell>
          <cell r="X346">
            <v>6.1814463109534445</v>
          </cell>
        </row>
        <row r="347">
          <cell r="G347">
            <v>32.318184567907259</v>
          </cell>
          <cell r="H347">
            <v>31.25926921909107</v>
          </cell>
          <cell r="I347">
            <v>30.235049560362373</v>
          </cell>
          <cell r="J347">
            <v>29.244388776666039</v>
          </cell>
          <cell r="K347">
            <v>28.192111163480995</v>
          </cell>
          <cell r="L347">
            <v>27.08730737579123</v>
          </cell>
          <cell r="M347">
            <v>25.939240699416761</v>
          </cell>
          <cell r="N347">
            <v>24.757219587895115</v>
          </cell>
          <cell r="O347">
            <v>23.550474656514098</v>
          </cell>
          <cell r="P347">
            <v>22.328042342537625</v>
          </cell>
          <cell r="Q347">
            <v>21.098657192316274</v>
          </cell>
          <cell r="R347">
            <v>19.870654448097646</v>
          </cell>
          <cell r="S347">
            <v>18.651884290193006</v>
          </cell>
          <cell r="T347">
            <v>17.449638754403818</v>
          </cell>
          <cell r="U347">
            <v>16.270592001002239</v>
          </cell>
          <cell r="V347">
            <v>15.120754270492785</v>
          </cell>
          <cell r="W347">
            <v>14.005439532572767</v>
          </cell>
          <cell r="X347">
            <v>4.6123298326280091</v>
          </cell>
        </row>
        <row r="348">
          <cell r="G348">
            <v>2.4317895734864021</v>
          </cell>
          <cell r="H348">
            <v>2.3821265524928434</v>
          </cell>
          <cell r="I348">
            <v>2.3334777704289595</v>
          </cell>
          <cell r="J348">
            <v>2.2858225140842792</v>
          </cell>
          <cell r="K348">
            <v>2.234525050370769</v>
          </cell>
          <cell r="L348">
            <v>2.179876217718872</v>
          </cell>
          <cell r="M348">
            <v>2.1221805147445001</v>
          </cell>
          <cell r="N348">
            <v>2.0617532878793394</v>
          </cell>
          <cell r="O348">
            <v>1.9989178802727903</v>
          </cell>
          <cell r="P348">
            <v>1.93400277774055</v>
          </cell>
          <cell r="Q348">
            <v>1.8673387865951951</v>
          </cell>
          <cell r="R348">
            <v>1.7992562767160039</v>
          </cell>
          <cell r="S348">
            <v>1.7300825212415356</v>
          </cell>
          <cell r="T348">
            <v>1.6601391618506276</v>
          </cell>
          <cell r="U348">
            <v>1.5897398257943658</v>
          </cell>
          <cell r="V348">
            <v>1.5191879177178167</v>
          </cell>
          <cell r="W348">
            <v>1.4487746059346152</v>
          </cell>
          <cell r="X348">
            <v>3.537449665637979</v>
          </cell>
        </row>
        <row r="349">
          <cell r="G349">
            <v>35.262550415508343</v>
          </cell>
          <cell r="H349">
            <v>33.941991750584435</v>
          </cell>
          <cell r="I349">
            <v>32.670887114565332</v>
          </cell>
          <cell r="J349">
            <v>31.447384487514412</v>
          </cell>
          <cell r="K349">
            <v>30.154386315301899</v>
          </cell>
          <cell r="L349">
            <v>28.804399027348676</v>
          </cell>
          <cell r="M349">
            <v>27.410029510023659</v>
          </cell>
          <cell r="N349">
            <v>25.983793013482973</v>
          </cell>
          <cell r="O349">
            <v>24.537931696179143</v>
          </cell>
          <cell r="P349">
            <v>23.084247330651031</v>
          </cell>
          <cell r="Q349">
            <v>21.633951150578493</v>
          </cell>
          <cell r="R349">
            <v>20.19753321554089</v>
          </cell>
          <cell r="S349">
            <v>18.784653029724563</v>
          </cell>
          <cell r="T349">
            <v>17.404052497306061</v>
          </cell>
          <cell r="U349">
            <v>16.063491652835822</v>
          </cell>
          <cell r="V349">
            <v>14.769706990359401</v>
          </cell>
          <cell r="W349">
            <v>13.528391648476937</v>
          </cell>
          <cell r="X349">
            <v>5.9405758690737231</v>
          </cell>
        </row>
        <row r="350">
          <cell r="G350">
            <v>20.656428951735492</v>
          </cell>
          <cell r="H350">
            <v>19.732163258018574</v>
          </cell>
          <cell r="I350">
            <v>18.84925355446714</v>
          </cell>
          <cell r="J350">
            <v>18.00584937975368</v>
          </cell>
          <cell r="K350">
            <v>17.121626346830421</v>
          </cell>
          <cell r="L350">
            <v>16.206467504179795</v>
          </cell>
          <cell r="M350">
            <v>15.270162409411631</v>
          </cell>
          <cell r="N350">
            <v>14.322238290230873</v>
          </cell>
          <cell r="O350">
            <v>13.371806389551978</v>
          </cell>
          <cell r="P350">
            <v>12.427426696662375</v>
          </cell>
          <cell r="Q350">
            <v>11.496993506838324</v>
          </cell>
          <cell r="R350">
            <v>10.587643453238062</v>
          </cell>
          <cell r="S350">
            <v>9.7056868513476076</v>
          </cell>
          <cell r="T350">
            <v>8.8565624198048223</v>
          </cell>
          <cell r="U350">
            <v>8.0448147207050074</v>
          </cell>
          <cell r="V350">
            <v>7.2740930215534751</v>
          </cell>
          <cell r="W350">
            <v>6.5471697385597114</v>
          </cell>
          <cell r="X350">
            <v>2.6744263129121828</v>
          </cell>
        </row>
        <row r="351">
          <cell r="G351">
            <v>307.0689751171102</v>
          </cell>
          <cell r="H351">
            <v>296.79042347637181</v>
          </cell>
          <cell r="I351">
            <v>286.85592686037506</v>
          </cell>
          <cell r="J351">
            <v>277.25396867960558</v>
          </cell>
          <cell r="K351">
            <v>267.06262279825506</v>
          </cell>
          <cell r="L351">
            <v>256.37155799677242</v>
          </cell>
          <cell r="M351">
            <v>245.27199854129799</v>
          </cell>
          <cell r="N351">
            <v>233.85544775976047</v>
          </cell>
          <cell r="O351">
            <v>222.21246008965988</v>
          </cell>
          <cell r="P351">
            <v>210.43148395033737</v>
          </cell>
          <cell r="Q351">
            <v>198.59779514756525</v>
          </cell>
          <cell r="R351">
            <v>186.79253747445915</v>
          </cell>
          <cell r="S351">
            <v>175.09188383971707</v>
          </cell>
          <cell r="T351">
            <v>163.56632774579683</v>
          </cell>
          <cell r="U351">
            <v>152.28011136940387</v>
          </cell>
          <cell r="V351">
            <v>141.2907929737803</v>
          </cell>
          <cell r="W351">
            <v>130.64895300794299</v>
          </cell>
          <cell r="X351">
            <v>0.50659657495743537</v>
          </cell>
        </row>
        <row r="352">
          <cell r="G352">
            <v>14.039035304313854</v>
          </cell>
          <cell r="H352">
            <v>13.15321413845993</v>
          </cell>
          <cell r="I352">
            <v>12.323285640504185</v>
          </cell>
          <cell r="J352">
            <v>11.545723150162129</v>
          </cell>
          <cell r="K352">
            <v>10.746949952865805</v>
          </cell>
          <cell r="L352">
            <v>9.9384527148284789</v>
          </cell>
          <cell r="M352">
            <v>9.1310724265167877</v>
          </cell>
          <cell r="N352">
            <v>8.3347823196360391</v>
          </cell>
          <cell r="O352">
            <v>7.558510112960934</v>
          </cell>
          <cell r="P352">
            <v>6.8100076159519682</v>
          </cell>
          <cell r="Q352">
            <v>6.0957684130367786</v>
          </cell>
          <cell r="R352">
            <v>5.4209922099464265</v>
          </cell>
          <cell r="S352">
            <v>4.7895925504694397</v>
          </cell>
          <cell r="T352">
            <v>4.2042430852018278</v>
          </cell>
          <cell r="U352">
            <v>3.6664564422526511</v>
          </cell>
          <cell r="V352">
            <v>3.1766890331198754</v>
          </cell>
          <cell r="W352">
            <v>2.7344648173841537</v>
          </cell>
          <cell r="X352">
            <v>33.263437188484303</v>
          </cell>
        </row>
        <row r="353">
          <cell r="G353">
            <v>2.125134988607579</v>
          </cell>
          <cell r="H353">
            <v>2.0187047015289346</v>
          </cell>
          <cell r="I353">
            <v>1.9176046198576489</v>
          </cell>
          <cell r="J353">
            <v>1.8215677980609744</v>
          </cell>
          <cell r="K353">
            <v>1.7214730981312607</v>
          </cell>
          <cell r="L353">
            <v>1.6185412328563755</v>
          </cell>
          <cell r="M353">
            <v>1.5139653037676923</v>
          </cell>
          <cell r="N353">
            <v>1.4088887598188049</v>
          </cell>
          <cell r="O353">
            <v>1.3043859540529599</v>
          </cell>
          <cell r="P353">
            <v>1.2014457074631351</v>
          </cell>
          <cell r="Q353">
            <v>1.1009581580743895</v>
          </cell>
          <cell r="R353">
            <v>1.0037050402297241</v>
          </cell>
          <cell r="S353">
            <v>0.91035341015398263</v>
          </cell>
          <cell r="T353">
            <v>0.82145271447356394</v>
          </cell>
          <cell r="U353">
            <v>0.73743499296435489</v>
          </cell>
          <cell r="V353">
            <v>0.6586179188121345</v>
          </cell>
          <cell r="W353">
            <v>0.58521031137585466</v>
          </cell>
          <cell r="X353">
            <v>7.3718043848226662</v>
          </cell>
        </row>
        <row r="354">
          <cell r="G354">
            <v>27.736237483741995</v>
          </cell>
          <cell r="H354">
            <v>25.918970476075192</v>
          </cell>
          <cell r="I354">
            <v>24.220770064196302</v>
          </cell>
          <cell r="J354">
            <v>22.633835053139084</v>
          </cell>
          <cell r="K354">
            <v>21.008031811035078</v>
          </cell>
          <cell r="L354">
            <v>19.367323469783457</v>
          </cell>
          <cell r="M354">
            <v>17.734169941474889</v>
          </cell>
          <cell r="N354">
            <v>16.129063271930651</v>
          </cell>
          <cell r="O354">
            <v>14.570164171927534</v>
          </cell>
          <cell r="P354">
            <v>13.07304526665852</v>
          </cell>
          <cell r="Q354">
            <v>11.650541323733661</v>
          </cell>
          <cell r="R354">
            <v>10.312701902299588</v>
          </cell>
          <cell r="S354">
            <v>9.0668377445145332</v>
          </cell>
          <cell r="T354">
            <v>7.9176489726837627</v>
          </cell>
          <cell r="U354">
            <v>6.8674208559796677</v>
          </cell>
          <cell r="V354">
            <v>5.9162715940322856</v>
          </cell>
          <cell r="W354">
            <v>5.0624361902303088</v>
          </cell>
          <cell r="X354">
            <v>3.0003798513125339</v>
          </cell>
        </row>
        <row r="355">
          <cell r="G355">
            <v>52.525241281214683</v>
          </cell>
          <cell r="H355">
            <v>50.821717224967365</v>
          </cell>
          <cell r="I355">
            <v>49.173442685703257</v>
          </cell>
          <cell r="J355">
            <v>47.578625784337525</v>
          </cell>
          <cell r="K355">
            <v>45.884003204947412</v>
          </cell>
          <cell r="L355">
            <v>44.104087049580194</v>
          </cell>
          <cell r="M355">
            <v>42.253676192906369</v>
          </cell>
          <cell r="N355">
            <v>40.347654280405791</v>
          </cell>
          <cell r="O355">
            <v>38.400794506432561</v>
          </cell>
          <cell r="P355">
            <v>36.427574655126932</v>
          </cell>
          <cell r="Q355">
            <v>34.44200550508031</v>
          </cell>
          <cell r="R355">
            <v>32.457475254232158</v>
          </cell>
          <cell r="S355">
            <v>30.486612130399962</v>
          </cell>
          <cell r="T355">
            <v>28.541166831567569</v>
          </cell>
          <cell r="U355">
            <v>26.631915905154521</v>
          </cell>
          <cell r="V355">
            <v>24.768586643066847</v>
          </cell>
          <cell r="W355">
            <v>22.959803554488051</v>
          </cell>
          <cell r="X355">
            <v>0.7579402162967116</v>
          </cell>
        </row>
        <row r="356">
          <cell r="G356">
            <v>15.820696625672339</v>
          </cell>
          <cell r="H356">
            <v>15.09014279167544</v>
          </cell>
          <cell r="I356">
            <v>14.393323812533257</v>
          </cell>
          <cell r="J356">
            <v>13.728681910599423</v>
          </cell>
          <cell r="K356">
            <v>13.032969052315794</v>
          </cell>
          <cell r="L356">
            <v>12.31415625263662</v>
          </cell>
          <cell r="M356">
            <v>11.580111222857218</v>
          </cell>
          <cell r="N356">
            <v>10.838459920830536</v>
          </cell>
          <cell r="O356">
            <v>10.09646155633027</v>
          </cell>
          <cell r="P356">
            <v>9.3608996729225655</v>
          </cell>
          <cell r="Q356">
            <v>8.6379912536343753</v>
          </cell>
          <cell r="R356">
            <v>7.9333150958745433</v>
          </cell>
          <cell r="S356">
            <v>7.2517600019570141</v>
          </cell>
          <cell r="T356">
            <v>6.5974926634754532</v>
          </cell>
          <cell r="U356">
            <v>5.9739445055132494</v>
          </cell>
          <cell r="V356">
            <v>5.383816220644273</v>
          </cell>
          <cell r="W356">
            <v>4.829098278204512</v>
          </cell>
          <cell r="X356">
            <v>9.0627453329841057</v>
          </cell>
        </row>
        <row r="357">
          <cell r="G357">
            <v>9.6636811952336412</v>
          </cell>
          <cell r="H357">
            <v>9.2522336082208962</v>
          </cell>
          <cell r="I357">
            <v>8.8583040987852666</v>
          </cell>
          <cell r="J357">
            <v>8.4811468051166834</v>
          </cell>
          <cell r="K357">
            <v>8.0847943206355808</v>
          </cell>
          <cell r="L357">
            <v>7.6735048235265513</v>
          </cell>
          <cell r="M357">
            <v>7.2515185895065715</v>
          </cell>
          <cell r="N357">
            <v>6.8229872288993185</v>
          </cell>
          <cell r="O357">
            <v>6.3919085329214607</v>
          </cell>
          <cell r="P357">
            <v>5.9620682673814862</v>
          </cell>
          <cell r="Q357">
            <v>5.5369899714370057</v>
          </cell>
          <cell r="R357">
            <v>5.1198935195350401</v>
          </cell>
          <cell r="S357">
            <v>4.7136628986178186</v>
          </cell>
          <cell r="T357">
            <v>4.3208233520485821</v>
          </cell>
          <cell r="U357">
            <v>3.9435277574070069</v>
          </cell>
          <cell r="V357">
            <v>3.5835518467768632</v>
          </cell>
          <cell r="W357">
            <v>3.2422976530732761</v>
          </cell>
          <cell r="X357">
            <v>2.5190185125630893</v>
          </cell>
        </row>
        <row r="767">
          <cell r="F767">
            <v>17.784863767888599</v>
          </cell>
          <cell r="G767">
            <v>26.064391974045197</v>
          </cell>
          <cell r="H767">
            <v>43.450768264721091</v>
          </cell>
          <cell r="I767">
            <v>38.447948728462805</v>
          </cell>
          <cell r="J767">
            <v>35.763912644329672</v>
          </cell>
          <cell r="K767">
            <v>35.291369077681452</v>
          </cell>
          <cell r="L767">
            <v>-1149.6605073220665</v>
          </cell>
          <cell r="M767">
            <v>12.150673316886074</v>
          </cell>
          <cell r="N767">
            <v>13.838968858656026</v>
          </cell>
          <cell r="O767">
            <v>16.739521318340898</v>
          </cell>
          <cell r="P767">
            <v>20.116486147154053</v>
          </cell>
          <cell r="Q767">
            <v>24.210321106815552</v>
          </cell>
          <cell r="R767" t="e">
            <v>#REF!</v>
          </cell>
          <cell r="S767" t="e">
            <v>#REF!</v>
          </cell>
          <cell r="T767" t="e">
            <v>#REF!</v>
          </cell>
          <cell r="U767" t="e">
            <v>#REF!</v>
          </cell>
          <cell r="V767" t="e">
            <v>#REF!</v>
          </cell>
        </row>
        <row r="768">
          <cell r="F768">
            <v>822.01088964293388</v>
          </cell>
          <cell r="G768">
            <v>82.887266236877608</v>
          </cell>
          <cell r="H768">
            <v>134.67430518806566</v>
          </cell>
          <cell r="I768">
            <v>97.852694534627815</v>
          </cell>
          <cell r="J768">
            <v>100.98450804815491</v>
          </cell>
          <cell r="K768">
            <v>95.110241783761609</v>
          </cell>
          <cell r="L768">
            <v>-1258.7531923219831</v>
          </cell>
          <cell r="M768">
            <v>21.850831795193034</v>
          </cell>
          <cell r="N768">
            <v>44.713267055707014</v>
          </cell>
          <cell r="O768">
            <v>53.329766731723595</v>
          </cell>
          <cell r="P768">
            <v>42.254959233665723</v>
          </cell>
          <cell r="Q768">
            <v>40.166092582283277</v>
          </cell>
          <cell r="R768" t="e">
            <v>#REF!</v>
          </cell>
          <cell r="S768" t="e">
            <v>#REF!</v>
          </cell>
          <cell r="T768" t="e">
            <v>#REF!</v>
          </cell>
          <cell r="U768" t="e">
            <v>#REF!</v>
          </cell>
          <cell r="V768" t="e">
            <v>#REF!</v>
          </cell>
        </row>
        <row r="769">
          <cell r="F769">
            <v>8.1714063265163652</v>
          </cell>
          <cell r="G769">
            <v>6.9838259339291469</v>
          </cell>
          <cell r="H769">
            <v>8.7662652827014735</v>
          </cell>
          <cell r="I769">
            <v>7.5823903552214702</v>
          </cell>
          <cell r="J769">
            <v>8.3268225968953757</v>
          </cell>
          <cell r="K769">
            <v>8.1591783910449873</v>
          </cell>
          <cell r="L769">
            <v>-67.724075183699895</v>
          </cell>
          <cell r="M769">
            <v>3.4639725844390665</v>
          </cell>
          <cell r="N769">
            <v>3.4126337950264003</v>
          </cell>
          <cell r="O769">
            <v>3.4090875248212087</v>
          </cell>
          <cell r="P769">
            <v>2.9765480198527805</v>
          </cell>
          <cell r="Q769">
            <v>2.5728032314755236</v>
          </cell>
          <cell r="R769" t="e">
            <v>#REF!</v>
          </cell>
          <cell r="S769" t="e">
            <v>#REF!</v>
          </cell>
          <cell r="T769" t="e">
            <v>#REF!</v>
          </cell>
          <cell r="U769" t="e">
            <v>#REF!</v>
          </cell>
          <cell r="V769" t="e">
            <v>#REF!</v>
          </cell>
        </row>
        <row r="770">
          <cell r="F770">
            <v>13.933507560684925</v>
          </cell>
          <cell r="G770">
            <v>6.6450766504660912</v>
          </cell>
          <cell r="H770">
            <v>9.6690167972348728</v>
          </cell>
          <cell r="I770">
            <v>9.8316389511521418</v>
          </cell>
          <cell r="J770">
            <v>10.052918254885846</v>
          </cell>
          <cell r="K770">
            <v>9.2598901116097085</v>
          </cell>
          <cell r="L770">
            <v>-76.448782029588713</v>
          </cell>
          <cell r="M770">
            <v>-0.54784199728477245</v>
          </cell>
          <cell r="N770">
            <v>5.3490119457510987</v>
          </cell>
          <cell r="O770">
            <v>5.7497851174882397</v>
          </cell>
          <cell r="P770">
            <v>5.5231776240178814</v>
          </cell>
          <cell r="Q770">
            <v>4.8435252553219437</v>
          </cell>
          <cell r="R770" t="e">
            <v>#REF!</v>
          </cell>
          <cell r="S770" t="e">
            <v>#REF!</v>
          </cell>
          <cell r="T770" t="e">
            <v>#REF!</v>
          </cell>
          <cell r="U770" t="e">
            <v>#REF!</v>
          </cell>
          <cell r="V770" t="e">
            <v>#REF!</v>
          </cell>
        </row>
        <row r="771">
          <cell r="F771">
            <v>1.9603954287797944</v>
          </cell>
          <cell r="G771">
            <v>0.7198716062964361</v>
          </cell>
          <cell r="H771">
            <v>0.75164856750689235</v>
          </cell>
          <cell r="I771">
            <v>0.83540519125560253</v>
          </cell>
          <cell r="J771">
            <v>0.62695083496758075</v>
          </cell>
          <cell r="K771">
            <v>0.64689842973420997</v>
          </cell>
          <cell r="L771">
            <v>-15.408115116224229</v>
          </cell>
          <cell r="M771">
            <v>0.41299704714206048</v>
          </cell>
          <cell r="N771">
            <v>0.53980226187578617</v>
          </cell>
          <cell r="O771">
            <v>0.66644882199780864</v>
          </cell>
          <cell r="P771">
            <v>0.80325035496059749</v>
          </cell>
          <cell r="Q771">
            <v>0.97554391132961149</v>
          </cell>
          <cell r="R771" t="e">
            <v>#REF!</v>
          </cell>
          <cell r="S771" t="e">
            <v>#REF!</v>
          </cell>
          <cell r="T771" t="e">
            <v>#REF!</v>
          </cell>
          <cell r="U771" t="e">
            <v>#REF!</v>
          </cell>
          <cell r="V771" t="e">
            <v>#REF!</v>
          </cell>
        </row>
        <row r="772">
          <cell r="F772">
            <v>21.18956281379652</v>
          </cell>
          <cell r="G772">
            <v>9.7545971206676221</v>
          </cell>
          <cell r="H772">
            <v>12.505187105188773</v>
          </cell>
          <cell r="I772">
            <v>13.68554922105421</v>
          </cell>
          <cell r="J772">
            <v>17.792053689365414</v>
          </cell>
          <cell r="K772">
            <v>18.746622220075533</v>
          </cell>
          <cell r="L772">
            <v>-203.57814889603054</v>
          </cell>
          <cell r="M772">
            <v>4.3388670328136731</v>
          </cell>
          <cell r="N772">
            <v>10.854559562470893</v>
          </cell>
          <cell r="O772">
            <v>13.234841920006852</v>
          </cell>
          <cell r="P772">
            <v>14.111555072294728</v>
          </cell>
          <cell r="Q772">
            <v>14.877322446944948</v>
          </cell>
          <cell r="R772" t="e">
            <v>#REF!</v>
          </cell>
          <cell r="S772" t="e">
            <v>#REF!</v>
          </cell>
          <cell r="T772" t="e">
            <v>#REF!</v>
          </cell>
          <cell r="U772" t="e">
            <v>#REF!</v>
          </cell>
          <cell r="V772" t="e">
            <v>#REF!</v>
          </cell>
        </row>
        <row r="773">
          <cell r="F773">
            <v>16.048849273874467</v>
          </cell>
          <cell r="G773">
            <v>9.5103646585408335</v>
          </cell>
          <cell r="H773">
            <v>7.9191891807526771</v>
          </cell>
          <cell r="I773">
            <v>11.46821792744365</v>
          </cell>
          <cell r="J773">
            <v>15.270217698915012</v>
          </cell>
          <cell r="K773">
            <v>22.844679645386904</v>
          </cell>
          <cell r="L773">
            <v>-264.55585772543321</v>
          </cell>
          <cell r="M773">
            <v>10.121590585265769</v>
          </cell>
          <cell r="N773">
            <v>12.401968579874803</v>
          </cell>
          <cell r="O773">
            <v>14.52660280587228</v>
          </cell>
          <cell r="P773">
            <v>17.044227238252287</v>
          </cell>
          <cell r="Q773">
            <v>19.545967691344227</v>
          </cell>
          <cell r="R773" t="e">
            <v>#REF!</v>
          </cell>
          <cell r="S773" t="e">
            <v>#REF!</v>
          </cell>
          <cell r="T773" t="e">
            <v>#REF!</v>
          </cell>
          <cell r="U773" t="e">
            <v>#REF!</v>
          </cell>
          <cell r="V773" t="e">
            <v>#REF!</v>
          </cell>
        </row>
        <row r="774">
          <cell r="F774">
            <v>22.539930897508167</v>
          </cell>
          <cell r="G774">
            <v>13.370690535017321</v>
          </cell>
          <cell r="H774">
            <v>17.750287161837377</v>
          </cell>
          <cell r="I774">
            <v>18.940602319535586</v>
          </cell>
          <cell r="J774">
            <v>19.216178249005946</v>
          </cell>
          <cell r="K774">
            <v>21.808294892183543</v>
          </cell>
          <cell r="L774">
            <v>-241.27234144352445</v>
          </cell>
          <cell r="M774">
            <v>8.8261519412363967</v>
          </cell>
          <cell r="N774">
            <v>11.19480218706229</v>
          </cell>
          <cell r="O774">
            <v>12.904737582801785</v>
          </cell>
          <cell r="P774">
            <v>14.768840404215354</v>
          </cell>
          <cell r="Q774">
            <v>16.188078835136249</v>
          </cell>
          <cell r="R774" t="e">
            <v>#REF!</v>
          </cell>
          <cell r="S774" t="e">
            <v>#REF!</v>
          </cell>
          <cell r="T774" t="e">
            <v>#REF!</v>
          </cell>
          <cell r="U774" t="e">
            <v>#REF!</v>
          </cell>
          <cell r="V774" t="e">
            <v>#REF!</v>
          </cell>
        </row>
        <row r="775">
          <cell r="F775">
            <v>45.390795290396547</v>
          </cell>
          <cell r="G775">
            <v>28.719756137589698</v>
          </cell>
          <cell r="H775">
            <v>48.113054096893862</v>
          </cell>
          <cell r="I775">
            <v>83.001685686638112</v>
          </cell>
          <cell r="J775">
            <v>91.630086534166821</v>
          </cell>
          <cell r="K775">
            <v>105.93829162893566</v>
          </cell>
          <cell r="L775">
            <v>-797.40799876968958</v>
          </cell>
          <cell r="M775">
            <v>27.296333891401421</v>
          </cell>
          <cell r="N775">
            <v>35.312852570914941</v>
          </cell>
          <cell r="O775">
            <v>40.669494537775748</v>
          </cell>
          <cell r="P775">
            <v>46.41891705422173</v>
          </cell>
          <cell r="Q775">
            <v>49.93787949626541</v>
          </cell>
          <cell r="R775" t="e">
            <v>#REF!</v>
          </cell>
          <cell r="S775" t="e">
            <v>#REF!</v>
          </cell>
          <cell r="T775" t="e">
            <v>#REF!</v>
          </cell>
          <cell r="U775" t="e">
            <v>#REF!</v>
          </cell>
          <cell r="V775" t="e">
            <v>#REF!</v>
          </cell>
        </row>
        <row r="776">
          <cell r="F776">
            <v>8.3413370614546594</v>
          </cell>
          <cell r="G776">
            <v>7.3443810018259956</v>
          </cell>
          <cell r="H776">
            <v>9.7721601793434552</v>
          </cell>
          <cell r="I776">
            <v>12.215834914217448</v>
          </cell>
          <cell r="J776">
            <v>13.154035820043505</v>
          </cell>
          <cell r="K776">
            <v>13.991298913040293</v>
          </cell>
          <cell r="L776">
            <v>-135.96039742204076</v>
          </cell>
          <cell r="M776">
            <v>4.6973014588137376</v>
          </cell>
          <cell r="N776">
            <v>5.8030516363719249</v>
          </cell>
          <cell r="O776">
            <v>7.0325760985359853</v>
          </cell>
          <cell r="P776">
            <v>7.9782170514473405</v>
          </cell>
          <cell r="Q776">
            <v>8.824582647528711</v>
          </cell>
          <cell r="R776" t="e">
            <v>#REF!</v>
          </cell>
          <cell r="S776" t="e">
            <v>#REF!</v>
          </cell>
          <cell r="T776" t="e">
            <v>#REF!</v>
          </cell>
          <cell r="U776" t="e">
            <v>#REF!</v>
          </cell>
          <cell r="V776" t="e">
            <v>#REF!</v>
          </cell>
        </row>
        <row r="777">
          <cell r="F777">
            <v>7.6489632326466053</v>
          </cell>
          <cell r="G777">
            <v>4.8015499436315512</v>
          </cell>
          <cell r="H777">
            <v>7.1556215276489059</v>
          </cell>
          <cell r="I777">
            <v>8.5976206044099897</v>
          </cell>
          <cell r="J777">
            <v>10.089533667853528</v>
          </cell>
          <cell r="K777">
            <v>10.785967999891605</v>
          </cell>
          <cell r="L777">
            <v>-82.846321196198048</v>
          </cell>
          <cell r="M777">
            <v>4.2816255349516537</v>
          </cell>
          <cell r="N777">
            <v>4.6550348251047025</v>
          </cell>
          <cell r="O777">
            <v>5.8362134009654225</v>
          </cell>
          <cell r="P777">
            <v>6.4463833042719285</v>
          </cell>
          <cell r="Q777">
            <v>6.4890938847120507</v>
          </cell>
          <cell r="R777" t="e">
            <v>#REF!</v>
          </cell>
          <cell r="S777" t="e">
            <v>#REF!</v>
          </cell>
          <cell r="T777" t="e">
            <v>#REF!</v>
          </cell>
          <cell r="U777" t="e">
            <v>#REF!</v>
          </cell>
          <cell r="V777" t="e">
            <v>#REF!</v>
          </cell>
        </row>
        <row r="778">
          <cell r="F778">
            <v>0.2</v>
          </cell>
          <cell r="G778">
            <v>0.2</v>
          </cell>
          <cell r="H778">
            <v>0.3</v>
          </cell>
          <cell r="I778">
            <v>0.67298208532715653</v>
          </cell>
          <cell r="J778">
            <v>2.8654767313417189</v>
          </cell>
          <cell r="K778">
            <v>3.2221587362995936</v>
          </cell>
          <cell r="L778">
            <v>-33.401723432383285</v>
          </cell>
          <cell r="M778">
            <v>1.6639834857585174</v>
          </cell>
          <cell r="N778">
            <v>2.1546912849352085</v>
          </cell>
          <cell r="O778">
            <v>2.5085607808328572</v>
          </cell>
          <cell r="P778">
            <v>2.7231858695313038</v>
          </cell>
          <cell r="Q778">
            <v>2.8217559111343555</v>
          </cell>
          <cell r="R778" t="e">
            <v>#REF!</v>
          </cell>
          <cell r="S778" t="e">
            <v>#REF!</v>
          </cell>
          <cell r="T778" t="e">
            <v>#REF!</v>
          </cell>
          <cell r="U778" t="e">
            <v>#REF!</v>
          </cell>
          <cell r="V778" t="e">
            <v>#REF!</v>
          </cell>
        </row>
        <row r="779">
          <cell r="F779">
            <v>40.218777242969651</v>
          </cell>
          <cell r="G779">
            <v>32.318184567907259</v>
          </cell>
          <cell r="H779">
            <v>38.150238988136266</v>
          </cell>
          <cell r="I779">
            <v>41.342633029572866</v>
          </cell>
          <cell r="J779">
            <v>47.249432141057461</v>
          </cell>
          <cell r="K779">
            <v>50.008854557780943</v>
          </cell>
          <cell r="L779">
            <v>-433.89314885301366</v>
          </cell>
          <cell r="M779">
            <v>17.567264823705838</v>
          </cell>
          <cell r="N779">
            <v>22.547036958299351</v>
          </cell>
          <cell r="O779">
            <v>25.854952084837517</v>
          </cell>
          <cell r="P779">
            <v>26.797759549308072</v>
          </cell>
          <cell r="Q779">
            <v>26.606470368939338</v>
          </cell>
          <cell r="R779" t="e">
            <v>#REF!</v>
          </cell>
          <cell r="S779" t="e">
            <v>#REF!</v>
          </cell>
          <cell r="T779" t="e">
            <v>#REF!</v>
          </cell>
          <cell r="U779" t="e">
            <v>#REF!</v>
          </cell>
          <cell r="V779" t="e">
            <v>#REF!</v>
          </cell>
        </row>
        <row r="780">
          <cell r="F780">
            <v>-3.815065395680143</v>
          </cell>
          <cell r="G780">
            <v>2.4317895734864021</v>
          </cell>
          <cell r="H780">
            <v>3.6462100841397165</v>
          </cell>
          <cell r="I780">
            <v>4.1757986931210009</v>
          </cell>
          <cell r="J780">
            <v>5.693558900408255</v>
          </cell>
          <cell r="K780">
            <v>6.0114357370026967</v>
          </cell>
          <cell r="L780">
            <v>-65.003227596375822</v>
          </cell>
          <cell r="M780">
            <v>2.5783051204243224</v>
          </cell>
          <cell r="N780">
            <v>3.3663934392657717</v>
          </cell>
          <cell r="O780">
            <v>3.9274030824627504</v>
          </cell>
          <cell r="P780">
            <v>4.4631333965738378</v>
          </cell>
          <cell r="Q780">
            <v>4.9788365207621146</v>
          </cell>
          <cell r="R780" t="e">
            <v>#REF!</v>
          </cell>
          <cell r="S780" t="e">
            <v>#REF!</v>
          </cell>
          <cell r="T780" t="e">
            <v>#REF!</v>
          </cell>
          <cell r="U780" t="e">
            <v>#REF!</v>
          </cell>
          <cell r="V780" t="e">
            <v>#REF!</v>
          </cell>
        </row>
        <row r="781">
          <cell r="F781">
            <v>32.929073177864261</v>
          </cell>
          <cell r="G781">
            <v>35.262550415508343</v>
          </cell>
          <cell r="H781">
            <v>41.750962192217621</v>
          </cell>
          <cell r="I781">
            <v>42.399096700288844</v>
          </cell>
          <cell r="J781">
            <v>47.587160941651376</v>
          </cell>
          <cell r="K781">
            <v>52.081316275333485</v>
          </cell>
          <cell r="L781">
            <v>-345.91350681777197</v>
          </cell>
          <cell r="M781">
            <v>12.319317521647914</v>
          </cell>
          <cell r="N781">
            <v>15.520709425762059</v>
          </cell>
          <cell r="O781">
            <v>17.785715430377575</v>
          </cell>
          <cell r="P781">
            <v>17.886245556922066</v>
          </cell>
          <cell r="Q781">
            <v>16.829488498704954</v>
          </cell>
          <cell r="R781" t="e">
            <v>#REF!</v>
          </cell>
          <cell r="S781" t="e">
            <v>#REF!</v>
          </cell>
          <cell r="T781" t="e">
            <v>#REF!</v>
          </cell>
          <cell r="U781" t="e">
            <v>#REF!</v>
          </cell>
          <cell r="V781" t="e">
            <v>#REF!</v>
          </cell>
        </row>
        <row r="782">
          <cell r="F782">
            <v>42.054399973030826</v>
          </cell>
          <cell r="G782">
            <v>20.656428951735492</v>
          </cell>
          <cell r="H782">
            <v>22.756182770005289</v>
          </cell>
          <cell r="I782">
            <v>32.59522906962102</v>
          </cell>
          <cell r="J782">
            <v>37.443070106849035</v>
          </cell>
          <cell r="K782">
            <v>47.741613427012261</v>
          </cell>
          <cell r="L782">
            <v>-382.59670227432275</v>
          </cell>
          <cell r="M782">
            <v>22.786694462697277</v>
          </cell>
          <cell r="N782">
            <v>28.142492247672124</v>
          </cell>
          <cell r="O782">
            <v>30.782381895679297</v>
          </cell>
          <cell r="P782">
            <v>29.617060144479677</v>
          </cell>
          <cell r="Q782">
            <v>26.438350366263091</v>
          </cell>
          <cell r="R782" t="e">
            <v>#REF!</v>
          </cell>
          <cell r="S782" t="e">
            <v>#REF!</v>
          </cell>
          <cell r="T782" t="e">
            <v>#REF!</v>
          </cell>
          <cell r="U782" t="e">
            <v>#REF!</v>
          </cell>
          <cell r="V782" t="e">
            <v>#REF!</v>
          </cell>
        </row>
        <row r="783">
          <cell r="F783">
            <v>450.65981615845726</v>
          </cell>
          <cell r="G783">
            <v>307.0689751171102</v>
          </cell>
          <cell r="H783">
            <v>336.48043291940979</v>
          </cell>
          <cell r="I783">
            <v>368.35074023394253</v>
          </cell>
          <cell r="J783">
            <v>423.39047774449176</v>
          </cell>
          <cell r="K783">
            <v>501.8077611154269</v>
          </cell>
          <cell r="L783">
            <v>-3768.4615378539529</v>
          </cell>
          <cell r="M783">
            <v>162.98676929557664</v>
          </cell>
          <cell r="N783">
            <v>202.08992777904749</v>
          </cell>
          <cell r="O783">
            <v>230.65602515909831</v>
          </cell>
          <cell r="P783">
            <v>236.10629913453323</v>
          </cell>
          <cell r="Q783">
            <v>232.80379207567097</v>
          </cell>
          <cell r="R783" t="e">
            <v>#REF!</v>
          </cell>
          <cell r="S783" t="e">
            <v>#REF!</v>
          </cell>
          <cell r="T783" t="e">
            <v>#REF!</v>
          </cell>
          <cell r="U783" t="e">
            <v>#REF!</v>
          </cell>
          <cell r="V783" t="e">
            <v>#REF!</v>
          </cell>
        </row>
        <row r="784">
          <cell r="F784">
            <v>31.660261490765631</v>
          </cell>
          <cell r="G784">
            <v>14.039035304313854</v>
          </cell>
          <cell r="H784">
            <v>18.997140385341908</v>
          </cell>
          <cell r="I784">
            <v>20.362861502768386</v>
          </cell>
          <cell r="J784">
            <v>21.657208865639006</v>
          </cell>
          <cell r="K784">
            <v>22.702671451509886</v>
          </cell>
          <cell r="L784">
            <v>-134.22824876839152</v>
          </cell>
          <cell r="M784">
            <v>7.7295186866582828</v>
          </cell>
          <cell r="N784">
            <v>8.9248801803958742</v>
          </cell>
          <cell r="O784">
            <v>9.2287378816241432</v>
          </cell>
          <cell r="P784">
            <v>7.8223180720063095</v>
          </cell>
          <cell r="Q784">
            <v>6.2722198180718065</v>
          </cell>
          <cell r="R784" t="e">
            <v>#REF!</v>
          </cell>
          <cell r="S784" t="e">
            <v>#REF!</v>
          </cell>
          <cell r="T784" t="e">
            <v>#REF!</v>
          </cell>
          <cell r="U784" t="e">
            <v>#REF!</v>
          </cell>
          <cell r="V784" t="e">
            <v>#REF!</v>
          </cell>
        </row>
        <row r="785">
          <cell r="F785">
            <v>6.2374674683057068</v>
          </cell>
          <cell r="G785">
            <v>2.125134988607579</v>
          </cell>
          <cell r="H785">
            <v>2.7124084905635586</v>
          </cell>
          <cell r="I785">
            <v>2.6858384837963154</v>
          </cell>
          <cell r="J785">
            <v>3.2855535556345838</v>
          </cell>
          <cell r="K785">
            <v>3.4705676904006983</v>
          </cell>
          <cell r="L785">
            <v>-23.233114372347881</v>
          </cell>
          <cell r="M785">
            <v>1.1812828133584081</v>
          </cell>
          <cell r="N785">
            <v>1.3860183670064556</v>
          </cell>
          <cell r="O785">
            <v>1.4875617198791311</v>
          </cell>
          <cell r="P785">
            <v>1.3684193170690926</v>
          </cell>
          <cell r="Q785">
            <v>1.1722939827637007</v>
          </cell>
          <cell r="R785" t="e">
            <v>#REF!</v>
          </cell>
          <cell r="S785" t="e">
            <v>#REF!</v>
          </cell>
          <cell r="T785" t="e">
            <v>#REF!</v>
          </cell>
          <cell r="U785" t="e">
            <v>#REF!</v>
          </cell>
          <cell r="V785" t="e">
            <v>#REF!</v>
          </cell>
        </row>
        <row r="786">
          <cell r="F786">
            <v>47.969276081674352</v>
          </cell>
          <cell r="G786">
            <v>27.736237483741995</v>
          </cell>
          <cell r="H786">
            <v>37.804929276679765</v>
          </cell>
          <cell r="I786">
            <v>39.958477750604843</v>
          </cell>
          <cell r="J786">
            <v>41.357326741372397</v>
          </cell>
          <cell r="K786">
            <v>42.47710562990158</v>
          </cell>
          <cell r="L786">
            <v>-275.03130864672863</v>
          </cell>
          <cell r="M786">
            <v>14.865946659297629</v>
          </cell>
          <cell r="N786">
            <v>17.275974225608756</v>
          </cell>
          <cell r="O786">
            <v>17.677125533328983</v>
          </cell>
          <cell r="P786">
            <v>14.718499697171239</v>
          </cell>
          <cell r="Q786">
            <v>10.757498735621109</v>
          </cell>
          <cell r="R786" t="e">
            <v>#REF!</v>
          </cell>
          <cell r="S786" t="e">
            <v>#REF!</v>
          </cell>
          <cell r="T786" t="e">
            <v>#REF!</v>
          </cell>
          <cell r="U786" t="e">
            <v>#REF!</v>
          </cell>
          <cell r="V786" t="e">
            <v>#REF!</v>
          </cell>
        </row>
        <row r="787">
          <cell r="F787">
            <v>21.179563411107448</v>
          </cell>
          <cell r="G787">
            <v>52.525241281214683</v>
          </cell>
          <cell r="H787">
            <v>57.878315569760062</v>
          </cell>
          <cell r="I787">
            <v>68.327509658877332</v>
          </cell>
          <cell r="J787">
            <v>70.943542853160068</v>
          </cell>
          <cell r="K787">
            <v>83.411757236605169</v>
          </cell>
          <cell r="L787">
            <v>-643.84060713817428</v>
          </cell>
          <cell r="M787">
            <v>26.645376190773607</v>
          </cell>
          <cell r="N787">
            <v>33.554262634020432</v>
          </cell>
          <cell r="O787">
            <v>38.523809974304363</v>
          </cell>
          <cell r="P787">
            <v>40.02210464316304</v>
          </cell>
          <cell r="Q787">
            <v>39.457164760829208</v>
          </cell>
          <cell r="R787" t="e">
            <v>#REF!</v>
          </cell>
          <cell r="S787" t="e">
            <v>#REF!</v>
          </cell>
          <cell r="T787" t="e">
            <v>#REF!</v>
          </cell>
          <cell r="U787" t="e">
            <v>#REF!</v>
          </cell>
          <cell r="V787" t="e">
            <v>#REF!</v>
          </cell>
        </row>
        <row r="788">
          <cell r="F788">
            <v>26.810014167186395</v>
          </cell>
          <cell r="G788">
            <v>15.820696625672339</v>
          </cell>
          <cell r="H788">
            <v>19.647968505246638</v>
          </cell>
          <cell r="I788">
            <v>19.906617278547991</v>
          </cell>
          <cell r="J788">
            <v>20.855262045759915</v>
          </cell>
          <cell r="K788">
            <v>21.731757121214581</v>
          </cell>
          <cell r="L788">
            <v>-164.75155893002639</v>
          </cell>
          <cell r="M788">
            <v>7.5912965447360605</v>
          </cell>
          <cell r="N788">
            <v>9.4106209735877133</v>
          </cell>
          <cell r="O788">
            <v>10.219280159569029</v>
          </cell>
          <cell r="P788">
            <v>9.7185508554154243</v>
          </cell>
          <cell r="Q788">
            <v>8.4161664348808252</v>
          </cell>
          <cell r="R788" t="e">
            <v>#REF!</v>
          </cell>
          <cell r="S788" t="e">
            <v>#REF!</v>
          </cell>
          <cell r="T788" t="e">
            <v>#REF!</v>
          </cell>
          <cell r="U788" t="e">
            <v>#REF!</v>
          </cell>
          <cell r="V788" t="e">
            <v>#REF!</v>
          </cell>
        </row>
        <row r="789">
          <cell r="F789">
            <v>8.6126492052381192</v>
          </cell>
          <cell r="G789">
            <v>9.6636811952336412</v>
          </cell>
          <cell r="H789">
            <v>10.036128956138255</v>
          </cell>
          <cell r="I789">
            <v>10.353942316665655</v>
          </cell>
          <cell r="J789">
            <v>12.139032063705752</v>
          </cell>
          <cell r="K789">
            <v>17.633535700695386</v>
          </cell>
          <cell r="L789">
            <v>-118.71465291595604</v>
          </cell>
          <cell r="M789">
            <v>7.1482017938241906</v>
          </cell>
          <cell r="N789">
            <v>9.089992665334222</v>
          </cell>
          <cell r="O789">
            <v>9.4467258991983751</v>
          </cell>
          <cell r="P789">
            <v>9.3881168443944887</v>
          </cell>
          <cell r="Q789">
            <v>8.4270492761750582</v>
          </cell>
          <cell r="R789" t="e">
            <v>#REF!</v>
          </cell>
          <cell r="S789" t="e">
            <v>#REF!</v>
          </cell>
          <cell r="T789" t="e">
            <v>#REF!</v>
          </cell>
          <cell r="U789" t="e">
            <v>#REF!</v>
          </cell>
          <cell r="V789" t="e">
            <v>#REF!</v>
          </cell>
        </row>
        <row r="1293">
          <cell r="F1293">
            <v>28.725968283737075</v>
          </cell>
          <cell r="G1293">
            <v>42.67272676048924</v>
          </cell>
          <cell r="H1293">
            <v>73.429720522629395</v>
          </cell>
          <cell r="I1293">
            <v>62.559694257193769</v>
          </cell>
          <cell r="J1293">
            <v>56.136164826154499</v>
          </cell>
          <cell r="K1293">
            <v>54.387006937420011</v>
          </cell>
          <cell r="L1293">
            <v>-2141.8816311449054</v>
          </cell>
          <cell r="M1293">
            <v>20.640024843969513</v>
          </cell>
          <cell r="N1293">
            <v>18.475419179350865</v>
          </cell>
          <cell r="O1293">
            <v>20.091498181510815</v>
          </cell>
          <cell r="P1293">
            <v>18.563247864563891</v>
          </cell>
          <cell r="Q1293">
            <v>29.163711400822706</v>
          </cell>
          <cell r="R1293" t="e">
            <v>#REF!</v>
          </cell>
          <cell r="S1293" t="e">
            <v>#REF!</v>
          </cell>
          <cell r="T1293" t="e">
            <v>#REF!</v>
          </cell>
          <cell r="U1293" t="e">
            <v>#REF!</v>
          </cell>
          <cell r="V1293" t="e">
            <v>#REF!</v>
          </cell>
        </row>
        <row r="1294">
          <cell r="F1294">
            <v>2354.9670539783801</v>
          </cell>
          <cell r="G1294">
            <v>104.46910973732383</v>
          </cell>
          <cell r="H1294">
            <v>245.98380410009258</v>
          </cell>
          <cell r="I1294">
            <v>124.23457071736175</v>
          </cell>
          <cell r="J1294">
            <v>124.61149730970055</v>
          </cell>
          <cell r="K1294">
            <v>92.986585027062915</v>
          </cell>
          <cell r="L1294">
            <v>-3876.9554094552336</v>
          </cell>
          <cell r="M1294">
            <v>-6.6616098093409164</v>
          </cell>
          <cell r="N1294">
            <v>33.660075396939646</v>
          </cell>
          <cell r="O1294">
            <v>36.858011271988744</v>
          </cell>
          <cell r="P1294">
            <v>-7.7166988788926574</v>
          </cell>
          <cell r="Q1294">
            <v>0.66567102767805864</v>
          </cell>
          <cell r="R1294" t="e">
            <v>#REF!</v>
          </cell>
          <cell r="S1294" t="e">
            <v>#REF!</v>
          </cell>
          <cell r="T1294" t="e">
            <v>#REF!</v>
          </cell>
          <cell r="U1294" t="e">
            <v>#REF!</v>
          </cell>
          <cell r="V1294" t="e">
            <v>#REF!</v>
          </cell>
        </row>
        <row r="1295">
          <cell r="F1295">
            <v>19.521628349409582</v>
          </cell>
          <cell r="G1295">
            <v>15.690204456968573</v>
          </cell>
          <cell r="H1295">
            <v>19.722099463468467</v>
          </cell>
          <cell r="I1295">
            <v>15.930972185673809</v>
          </cell>
          <cell r="J1295">
            <v>17.273935248645074</v>
          </cell>
          <cell r="K1295">
            <v>16.154789611863279</v>
          </cell>
          <cell r="L1295">
            <v>-182.75808116336628</v>
          </cell>
          <cell r="M1295">
            <v>7.0161577022045662</v>
          </cell>
          <cell r="N1295">
            <v>5.4618983825311602</v>
          </cell>
          <cell r="O1295">
            <v>4.2411855803811989</v>
          </cell>
          <cell r="P1295">
            <v>2.400562373963453</v>
          </cell>
          <cell r="Q1295">
            <v>1.6007543958420207</v>
          </cell>
          <cell r="R1295" t="e">
            <v>#REF!</v>
          </cell>
          <cell r="S1295" t="e">
            <v>#REF!</v>
          </cell>
          <cell r="T1295" t="e">
            <v>#REF!</v>
          </cell>
          <cell r="U1295" t="e">
            <v>#REF!</v>
          </cell>
          <cell r="V1295" t="e">
            <v>#REF!</v>
          </cell>
        </row>
        <row r="1296">
          <cell r="F1296">
            <v>10.883774338164841</v>
          </cell>
          <cell r="G1296">
            <v>4.1652187330717396</v>
          </cell>
          <cell r="H1296">
            <v>6.158474135878393</v>
          </cell>
          <cell r="I1296">
            <v>5.7836137633558877</v>
          </cell>
          <cell r="J1296">
            <v>5.6135202294733944</v>
          </cell>
          <cell r="K1296">
            <v>4.5929380889781797</v>
          </cell>
          <cell r="L1296">
            <v>-65.123344165875352</v>
          </cell>
          <cell r="M1296">
            <v>-0.62964352871549067</v>
          </cell>
          <cell r="N1296">
            <v>3.4748748116666306</v>
          </cell>
          <cell r="O1296">
            <v>3.1264007790863246</v>
          </cell>
          <cell r="P1296">
            <v>1.9716323133805886</v>
          </cell>
          <cell r="Q1296">
            <v>1.6624679450727164</v>
          </cell>
          <cell r="R1296" t="e">
            <v>#REF!</v>
          </cell>
          <cell r="S1296" t="e">
            <v>#REF!</v>
          </cell>
          <cell r="T1296" t="e">
            <v>#REF!</v>
          </cell>
          <cell r="U1296" t="e">
            <v>#REF!</v>
          </cell>
          <cell r="V1296" t="e">
            <v>#REF!</v>
          </cell>
        </row>
        <row r="1297">
          <cell r="F1297">
            <v>0.47144822408087039</v>
          </cell>
          <cell r="G1297">
            <v>0.19374616969513392</v>
          </cell>
          <cell r="H1297">
            <v>0.19430353069068884</v>
          </cell>
          <cell r="I1297">
            <v>0.20607363517722055</v>
          </cell>
          <cell r="J1297">
            <v>0.16088307782946587</v>
          </cell>
          <cell r="K1297">
            <v>0.1620686492308252</v>
          </cell>
          <cell r="L1297">
            <v>-3.3065277047463155</v>
          </cell>
          <cell r="M1297">
            <v>0.15104305074254043</v>
          </cell>
          <cell r="N1297">
            <v>0.16423809087645935</v>
          </cell>
          <cell r="O1297">
            <v>0.18462470669401521</v>
          </cell>
          <cell r="P1297">
            <v>0.15747239214736242</v>
          </cell>
          <cell r="Q1297">
            <v>0.18326683892269868</v>
          </cell>
          <cell r="R1297" t="e">
            <v>#REF!</v>
          </cell>
          <cell r="S1297" t="e">
            <v>#REF!</v>
          </cell>
          <cell r="T1297" t="e">
            <v>#REF!</v>
          </cell>
          <cell r="U1297" t="e">
            <v>#REF!</v>
          </cell>
          <cell r="V1297" t="e">
            <v>#REF!</v>
          </cell>
        </row>
        <row r="1298">
          <cell r="F1298">
            <v>16.993377542132492</v>
          </cell>
          <cell r="G1298">
            <v>4.782233834788542</v>
          </cell>
          <cell r="H1298">
            <v>15.675498459228294</v>
          </cell>
          <cell r="I1298">
            <v>4.0599749836785861</v>
          </cell>
          <cell r="J1298">
            <v>6.3208510778443454</v>
          </cell>
          <cell r="K1298">
            <v>8.4683363329415755</v>
          </cell>
          <cell r="L1298">
            <v>-205.08207687113651</v>
          </cell>
          <cell r="M1298">
            <v>1.0791664085527373</v>
          </cell>
          <cell r="N1298">
            <v>4.904582680159308</v>
          </cell>
          <cell r="O1298">
            <v>5.3532612134653164</v>
          </cell>
          <cell r="P1298">
            <v>5.6531530206889329</v>
          </cell>
          <cell r="Q1298">
            <v>8.0193847963689322</v>
          </cell>
          <cell r="R1298" t="e">
            <v>#REF!</v>
          </cell>
          <cell r="S1298" t="e">
            <v>#REF!</v>
          </cell>
          <cell r="T1298" t="e">
            <v>#REF!</v>
          </cell>
          <cell r="U1298" t="e">
            <v>#REF!</v>
          </cell>
          <cell r="V1298" t="e">
            <v>#REF!</v>
          </cell>
        </row>
        <row r="1299">
          <cell r="F1299">
            <v>14.753726699400602</v>
          </cell>
          <cell r="G1299">
            <v>6.9190728605177014</v>
          </cell>
          <cell r="H1299">
            <v>4.4905383875815801</v>
          </cell>
          <cell r="I1299">
            <v>7.5736167120572304</v>
          </cell>
          <cell r="J1299">
            <v>10.937363211883557</v>
          </cell>
          <cell r="K1299">
            <v>11.263506438789513</v>
          </cell>
          <cell r="L1299">
            <v>-280.18194371387483</v>
          </cell>
          <cell r="M1299">
            <v>8.9111195194352035</v>
          </cell>
          <cell r="N1299">
            <v>8.5887244677444414</v>
          </cell>
          <cell r="O1299">
            <v>8.8152545776372904</v>
          </cell>
          <cell r="P1299">
            <v>10.116818369998015</v>
          </cell>
          <cell r="Q1299">
            <v>14.176034488939102</v>
          </cell>
          <cell r="R1299" t="e">
            <v>#REF!</v>
          </cell>
          <cell r="S1299" t="e">
            <v>#REF!</v>
          </cell>
          <cell r="T1299" t="e">
            <v>#REF!</v>
          </cell>
          <cell r="U1299" t="e">
            <v>#REF!</v>
          </cell>
          <cell r="V1299" t="e">
            <v>#REF!</v>
          </cell>
        </row>
        <row r="1300">
          <cell r="F1300">
            <v>20.745147738163439</v>
          </cell>
          <cell r="G1300">
            <v>10.575961218309658</v>
          </cell>
          <cell r="H1300">
            <v>20.23655564458744</v>
          </cell>
          <cell r="I1300">
            <v>16.657387426697369</v>
          </cell>
          <cell r="J1300">
            <v>9.2006824910854519</v>
          </cell>
          <cell r="K1300">
            <v>13.073103021558616</v>
          </cell>
          <cell r="L1300">
            <v>-248.35815799488054</v>
          </cell>
          <cell r="M1300">
            <v>7.1973307736686252</v>
          </cell>
          <cell r="N1300">
            <v>7.2809965649710477</v>
          </cell>
          <cell r="O1300">
            <v>7.3163511126178378</v>
          </cell>
          <cell r="P1300">
            <v>8.4900983701725465</v>
          </cell>
          <cell r="Q1300">
            <v>11.22900200630113</v>
          </cell>
          <cell r="R1300" t="e">
            <v>#REF!</v>
          </cell>
          <cell r="S1300" t="e">
            <v>#REF!</v>
          </cell>
          <cell r="T1300" t="e">
            <v>#REF!</v>
          </cell>
          <cell r="U1300" t="e">
            <v>#REF!</v>
          </cell>
          <cell r="V1300" t="e">
            <v>#REF!</v>
          </cell>
        </row>
        <row r="1301">
          <cell r="F1301">
            <v>30.573874192560652</v>
          </cell>
          <cell r="G1301">
            <v>12.992401425788444</v>
          </cell>
          <cell r="H1301">
            <v>34.526969645750683</v>
          </cell>
          <cell r="I1301">
            <v>21.411502084581002</v>
          </cell>
          <cell r="J1301">
            <v>29.294141191237884</v>
          </cell>
          <cell r="K1301">
            <v>35.305604926789698</v>
          </cell>
          <cell r="L1301">
            <v>-660.52615452050907</v>
          </cell>
          <cell r="M1301">
            <v>14.089845564358939</v>
          </cell>
          <cell r="N1301">
            <v>14.144964518635334</v>
          </cell>
          <cell r="O1301">
            <v>13.290667686742495</v>
          </cell>
          <cell r="P1301">
            <v>15.062582020924424</v>
          </cell>
          <cell r="Q1301">
            <v>20.137404195089616</v>
          </cell>
          <cell r="R1301" t="e">
            <v>#REF!</v>
          </cell>
          <cell r="S1301" t="e">
            <v>#REF!</v>
          </cell>
          <cell r="T1301" t="e">
            <v>#REF!</v>
          </cell>
          <cell r="U1301" t="e">
            <v>#REF!</v>
          </cell>
          <cell r="V1301" t="e">
            <v>#REF!</v>
          </cell>
        </row>
        <row r="1302">
          <cell r="F1302">
            <v>7.3302010600677363</v>
          </cell>
          <cell r="G1302">
            <v>6.336286915026335</v>
          </cell>
          <cell r="H1302">
            <v>9.6375138690165869</v>
          </cell>
          <cell r="I1302">
            <v>8.9245915127864777</v>
          </cell>
          <cell r="J1302">
            <v>9.2370161966240403</v>
          </cell>
          <cell r="K1302">
            <v>7.4696796877569014</v>
          </cell>
          <cell r="L1302">
            <v>-90.427733951854492</v>
          </cell>
          <cell r="M1302">
            <v>4.7414996862082432</v>
          </cell>
          <cell r="N1302">
            <v>4.8365684363913317</v>
          </cell>
          <cell r="O1302">
            <v>4.9854754833281163</v>
          </cell>
          <cell r="P1302">
            <v>4.297829029730849</v>
          </cell>
          <cell r="Q1302">
            <v>4.3659408304898264</v>
          </cell>
          <cell r="R1302" t="e">
            <v>#REF!</v>
          </cell>
          <cell r="S1302" t="e">
            <v>#REF!</v>
          </cell>
          <cell r="T1302" t="e">
            <v>#REF!</v>
          </cell>
          <cell r="U1302" t="e">
            <v>#REF!</v>
          </cell>
          <cell r="V1302" t="e">
            <v>#REF!</v>
          </cell>
        </row>
        <row r="1303">
          <cell r="F1303">
            <v>7.6645598718673114</v>
          </cell>
          <cell r="G1303">
            <v>4.103964403324099</v>
          </cell>
          <cell r="H1303">
            <v>6.3704145295417902</v>
          </cell>
          <cell r="I1303">
            <v>7.594397322000404</v>
          </cell>
          <cell r="J1303">
            <v>9.9000613524330099</v>
          </cell>
          <cell r="K1303">
            <v>8.2879799449629736</v>
          </cell>
          <cell r="L1303">
            <v>-93.986369812085215</v>
          </cell>
          <cell r="M1303">
            <v>4.1006039362734157</v>
          </cell>
          <cell r="N1303">
            <v>3.6085679169608795</v>
          </cell>
          <cell r="O1303">
            <v>4.310702211460665</v>
          </cell>
          <cell r="P1303">
            <v>4.3820650089251814</v>
          </cell>
          <cell r="Q1303">
            <v>5.1259592665561797</v>
          </cell>
          <cell r="R1303" t="e">
            <v>#REF!</v>
          </cell>
          <cell r="S1303" t="e">
            <v>#REF!</v>
          </cell>
          <cell r="T1303" t="e">
            <v>#REF!</v>
          </cell>
          <cell r="U1303" t="e">
            <v>#REF!</v>
          </cell>
          <cell r="V1303" t="e">
            <v>#REF!</v>
          </cell>
        </row>
        <row r="1304">
          <cell r="F1304">
            <v>0</v>
          </cell>
          <cell r="G1304">
            <v>0</v>
          </cell>
          <cell r="H1304">
            <v>0</v>
          </cell>
          <cell r="I1304">
            <v>-0.39879285088464655</v>
          </cell>
          <cell r="J1304">
            <v>2.7547750889981941</v>
          </cell>
          <cell r="K1304">
            <v>1.9392548438461503</v>
          </cell>
          <cell r="L1304">
            <v>-42.442770099150685</v>
          </cell>
          <cell r="M1304">
            <v>2.0077794413297028</v>
          </cell>
          <cell r="N1304">
            <v>2.0437116558113431</v>
          </cell>
          <cell r="O1304">
            <v>2.1313809698487418</v>
          </cell>
          <cell r="P1304">
            <v>1.9130513461247816</v>
          </cell>
          <cell r="Q1304">
            <v>2.0004475408581328</v>
          </cell>
          <cell r="R1304" t="e">
            <v>#REF!</v>
          </cell>
          <cell r="S1304" t="e">
            <v>#REF!</v>
          </cell>
          <cell r="T1304" t="e">
            <v>#REF!</v>
          </cell>
          <cell r="U1304" t="e">
            <v>#REF!</v>
          </cell>
          <cell r="V1304" t="e">
            <v>#REF!</v>
          </cell>
        </row>
        <row r="1305">
          <cell r="F1305">
            <v>17.131118035509246</v>
          </cell>
          <cell r="G1305">
            <v>11.286758605442543</v>
          </cell>
          <cell r="H1305">
            <v>14.392124078859041</v>
          </cell>
          <cell r="I1305">
            <v>13.043480514812728</v>
          </cell>
          <cell r="J1305">
            <v>16.318497671446245</v>
          </cell>
          <cell r="K1305">
            <v>16.793248609024609</v>
          </cell>
          <cell r="L1305">
            <v>-254.75307840810783</v>
          </cell>
          <cell r="M1305">
            <v>5.4588230276350203</v>
          </cell>
          <cell r="N1305">
            <v>5.2373417121975478</v>
          </cell>
          <cell r="O1305">
            <v>4.9191454898347047</v>
          </cell>
          <cell r="P1305">
            <v>4.0754788207487707</v>
          </cell>
          <cell r="Q1305">
            <v>5.8620021191792979</v>
          </cell>
          <cell r="R1305" t="e">
            <v>#REF!</v>
          </cell>
          <cell r="S1305" t="e">
            <v>#REF!</v>
          </cell>
          <cell r="T1305" t="e">
            <v>#REF!</v>
          </cell>
          <cell r="U1305" t="e">
            <v>#REF!</v>
          </cell>
          <cell r="V1305" t="e">
            <v>#REF!</v>
          </cell>
        </row>
        <row r="1306">
          <cell r="F1306">
            <v>-4.454494483719472</v>
          </cell>
          <cell r="G1306">
            <v>3.5554011676522776</v>
          </cell>
          <cell r="H1306">
            <v>6.874955030304875</v>
          </cell>
          <cell r="I1306">
            <v>3.2880965009134826</v>
          </cell>
          <cell r="J1306">
            <v>6.9415495825425531</v>
          </cell>
          <cell r="K1306">
            <v>6.882905351129974</v>
          </cell>
          <cell r="L1306">
            <v>-85.119763691946147</v>
          </cell>
          <cell r="M1306">
            <v>4.057818055460416</v>
          </cell>
          <cell r="N1306">
            <v>4.3447304320369255</v>
          </cell>
          <cell r="O1306">
            <v>4.6177529224788998</v>
          </cell>
          <cell r="P1306">
            <v>3.8775905507980326</v>
          </cell>
          <cell r="Q1306">
            <v>4.2411837156121344</v>
          </cell>
          <cell r="R1306" t="e">
            <v>#REF!</v>
          </cell>
          <cell r="S1306" t="e">
            <v>#REF!</v>
          </cell>
          <cell r="T1306" t="e">
            <v>#REF!</v>
          </cell>
          <cell r="U1306" t="e">
            <v>#REF!</v>
          </cell>
          <cell r="V1306" t="e">
            <v>#REF!</v>
          </cell>
        </row>
        <row r="1307">
          <cell r="F1307">
            <v>18.822823043747519</v>
          </cell>
          <cell r="G1307">
            <v>19.003073858920288</v>
          </cell>
          <cell r="H1307">
            <v>25.285605881105624</v>
          </cell>
          <cell r="I1307">
            <v>18.298537026445274</v>
          </cell>
          <cell r="J1307">
            <v>23.792075953350974</v>
          </cell>
          <cell r="K1307">
            <v>25.735986739634555</v>
          </cell>
          <cell r="L1307">
            <v>-264.903682015068</v>
          </cell>
          <cell r="M1307">
            <v>4.9693989896000517</v>
          </cell>
          <cell r="N1307">
            <v>4.619350701156236</v>
          </cell>
          <cell r="O1307">
            <v>4.4703044426068743</v>
          </cell>
          <cell r="P1307">
            <v>3.4105359906101853</v>
          </cell>
          <cell r="Q1307">
            <v>4.881872000958996</v>
          </cell>
          <cell r="R1307" t="e">
            <v>#REF!</v>
          </cell>
          <cell r="S1307" t="e">
            <v>#REF!</v>
          </cell>
          <cell r="T1307" t="e">
            <v>#REF!</v>
          </cell>
          <cell r="U1307" t="e">
            <v>#REF!</v>
          </cell>
          <cell r="V1307" t="e">
            <v>#REF!</v>
          </cell>
        </row>
        <row r="1308">
          <cell r="F1308">
            <v>86.463834689493979</v>
          </cell>
          <cell r="G1308">
            <v>27.253110906638767</v>
          </cell>
          <cell r="H1308">
            <v>28.805044554663255</v>
          </cell>
          <cell r="I1308">
            <v>43.362274966903783</v>
          </cell>
          <cell r="J1308">
            <v>52.724978575881607</v>
          </cell>
          <cell r="K1308">
            <v>70.927323422820564</v>
          </cell>
          <cell r="L1308">
            <v>-946.37488756503785</v>
          </cell>
          <cell r="M1308">
            <v>50.361392183290718</v>
          </cell>
          <cell r="N1308">
            <v>48.806274507807075</v>
          </cell>
          <cell r="O1308">
            <v>45.513178736721557</v>
          </cell>
          <cell r="P1308">
            <v>29.33415693909933</v>
          </cell>
          <cell r="Q1308">
            <v>26.630650940119182</v>
          </cell>
          <cell r="R1308" t="e">
            <v>#REF!</v>
          </cell>
          <cell r="S1308" t="e">
            <v>#REF!</v>
          </cell>
          <cell r="T1308" t="e">
            <v>#REF!</v>
          </cell>
          <cell r="U1308" t="e">
            <v>#REF!</v>
          </cell>
          <cell r="V1308" t="e">
            <v>#REF!</v>
          </cell>
        </row>
        <row r="1309">
          <cell r="F1309">
            <v>505.3799257562132</v>
          </cell>
          <cell r="G1309">
            <v>255.98278798097726</v>
          </cell>
          <cell r="H1309">
            <v>331.18938793477264</v>
          </cell>
          <cell r="I1309">
            <v>336.60010603598676</v>
          </cell>
          <cell r="J1309">
            <v>242.4709890836964</v>
          </cell>
          <cell r="K1309">
            <v>348.97233468351055</v>
          </cell>
          <cell r="L1309">
            <v>-5797.3804554245062</v>
          </cell>
          <cell r="M1309">
            <v>91.120544002290444</v>
          </cell>
          <cell r="N1309">
            <v>75.352399382554722</v>
          </cell>
          <cell r="O1309">
            <v>57.559331442093935</v>
          </cell>
          <cell r="P1309">
            <v>28.184945329328912</v>
          </cell>
          <cell r="Q1309">
            <v>42.097386843979308</v>
          </cell>
          <cell r="R1309" t="e">
            <v>#REF!</v>
          </cell>
          <cell r="S1309" t="e">
            <v>#REF!</v>
          </cell>
          <cell r="T1309" t="e">
            <v>#REF!</v>
          </cell>
          <cell r="U1309" t="e">
            <v>#REF!</v>
          </cell>
          <cell r="V1309" t="e">
            <v>#REF!</v>
          </cell>
        </row>
        <row r="1310">
          <cell r="F1310">
            <v>92.189040108131053</v>
          </cell>
          <cell r="G1310">
            <v>16.909265503923621</v>
          </cell>
          <cell r="H1310">
            <v>54.801297129205182</v>
          </cell>
          <cell r="I1310">
            <v>25.930734463789804</v>
          </cell>
          <cell r="J1310">
            <v>27.048040962198371</v>
          </cell>
          <cell r="K1310">
            <v>27.732650918389083</v>
          </cell>
          <cell r="L1310">
            <v>-555.88533609274396</v>
          </cell>
          <cell r="M1310">
            <v>11.782577990152276</v>
          </cell>
          <cell r="N1310">
            <v>9.3569369771275888</v>
          </cell>
          <cell r="O1310">
            <v>7.70147569419305</v>
          </cell>
          <cell r="P1310">
            <v>0.42345143729335177</v>
          </cell>
          <cell r="Q1310">
            <v>5.5092791364872014</v>
          </cell>
          <cell r="R1310" t="e">
            <v>#REF!</v>
          </cell>
          <cell r="S1310" t="e">
            <v>#REF!</v>
          </cell>
          <cell r="T1310" t="e">
            <v>#REF!</v>
          </cell>
          <cell r="U1310" t="e">
            <v>#REF!</v>
          </cell>
          <cell r="V1310" t="e">
            <v>#REF!</v>
          </cell>
        </row>
        <row r="1311">
          <cell r="F1311">
            <v>5.292617572582575</v>
          </cell>
          <cell r="G1311">
            <v>1.3884926469854868</v>
          </cell>
          <cell r="H1311">
            <v>1.7590628414898806</v>
          </cell>
          <cell r="I1311">
            <v>1.5921571861881567</v>
          </cell>
          <cell r="J1311">
            <v>2.0110613546181844</v>
          </cell>
          <cell r="K1311">
            <v>2.031061683656314</v>
          </cell>
          <cell r="L1311">
            <v>-21.210371754228124</v>
          </cell>
          <cell r="M1311">
            <v>0.95366761864704941</v>
          </cell>
          <cell r="N1311">
            <v>0.89526048559507387</v>
          </cell>
          <cell r="O1311">
            <v>0.79995887678941813</v>
          </cell>
          <cell r="P1311">
            <v>0.49838285544931793</v>
          </cell>
          <cell r="Q1311">
            <v>0.42233031818531508</v>
          </cell>
          <cell r="R1311" t="e">
            <v>#REF!</v>
          </cell>
          <cell r="S1311" t="e">
            <v>#REF!</v>
          </cell>
          <cell r="T1311" t="e">
            <v>#REF!</v>
          </cell>
          <cell r="U1311" t="e">
            <v>#REF!</v>
          </cell>
          <cell r="V1311" t="e">
            <v>#REF!</v>
          </cell>
        </row>
        <row r="1312">
          <cell r="F1312">
            <v>0</v>
          </cell>
          <cell r="G1312">
            <v>144.27194560220005</v>
          </cell>
          <cell r="H1312">
            <v>74.768274433773058</v>
          </cell>
          <cell r="I1312">
            <v>44.597205865932665</v>
          </cell>
          <cell r="J1312">
            <v>42.092703146490749</v>
          </cell>
          <cell r="K1312">
            <v>40.967709748232721</v>
          </cell>
          <cell r="L1312">
            <v>-1256.8337800104152</v>
          </cell>
          <cell r="M1312">
            <v>11.860954325716648</v>
          </cell>
          <cell r="N1312">
            <v>3.9702030019000176</v>
          </cell>
          <cell r="O1312">
            <v>-2.3848347885045769</v>
          </cell>
          <cell r="P1312">
            <v>-7.183964252296164</v>
          </cell>
          <cell r="Q1312">
            <v>1.7512109742181305</v>
          </cell>
          <cell r="R1312" t="e">
            <v>#REF!</v>
          </cell>
          <cell r="S1312" t="e">
            <v>#REF!</v>
          </cell>
          <cell r="T1312" t="e">
            <v>#REF!</v>
          </cell>
          <cell r="U1312" t="e">
            <v>#REF!</v>
          </cell>
          <cell r="V1312" t="e">
            <v>#REF!</v>
          </cell>
        </row>
        <row r="1313">
          <cell r="F1313">
            <v>30.488049470175611</v>
          </cell>
          <cell r="G1313">
            <v>399.05721920163342</v>
          </cell>
          <cell r="H1313">
            <v>444.83209094755239</v>
          </cell>
          <cell r="I1313">
            <v>498.26271169999382</v>
          </cell>
          <cell r="J1313">
            <v>510.84523945595106</v>
          </cell>
          <cell r="K1313">
            <v>542.61356996862173</v>
          </cell>
          <cell r="L1313">
            <v>-8658.356260658913</v>
          </cell>
          <cell r="M1313">
            <v>129.42294540198782</v>
          </cell>
          <cell r="N1313">
            <v>108.30946517311895</v>
          </cell>
          <cell r="O1313">
            <v>82.003768484619286</v>
          </cell>
          <cell r="P1313">
            <v>34.955896709721856</v>
          </cell>
          <cell r="Q1313">
            <v>55.048606978839075</v>
          </cell>
          <cell r="R1313" t="e">
            <v>#REF!</v>
          </cell>
          <cell r="S1313" t="e">
            <v>#REF!</v>
          </cell>
          <cell r="T1313" t="e">
            <v>#REF!</v>
          </cell>
          <cell r="U1313" t="e">
            <v>#REF!</v>
          </cell>
          <cell r="V1313" t="e">
            <v>#REF!</v>
          </cell>
        </row>
        <row r="1314">
          <cell r="F1314">
            <v>87.757148664372949</v>
          </cell>
          <cell r="G1314">
            <v>32.621343589323601</v>
          </cell>
          <cell r="H1314">
            <v>60.497552727277139</v>
          </cell>
          <cell r="I1314">
            <v>32.913648984961128</v>
          </cell>
          <cell r="J1314">
            <v>33.209976579005001</v>
          </cell>
          <cell r="K1314">
            <v>41.175877281848386</v>
          </cell>
          <cell r="L1314">
            <v>-767.66342357149415</v>
          </cell>
          <cell r="M1314">
            <v>10.472132797365475</v>
          </cell>
          <cell r="N1314">
            <v>8.2414691486928859</v>
          </cell>
          <cell r="O1314">
            <v>4.884579070868881</v>
          </cell>
          <cell r="P1314">
            <v>-1.8018059388087977</v>
          </cell>
          <cell r="Q1314">
            <v>-0.14990638010519497</v>
          </cell>
          <cell r="R1314" t="e">
            <v>#REF!</v>
          </cell>
          <cell r="S1314" t="e">
            <v>#REF!</v>
          </cell>
          <cell r="T1314" t="e">
            <v>#REF!</v>
          </cell>
          <cell r="U1314" t="e">
            <v>#REF!</v>
          </cell>
          <cell r="V1314" t="e">
            <v>#REF!</v>
          </cell>
        </row>
        <row r="1315">
          <cell r="F1315">
            <v>6.2943029771823831</v>
          </cell>
          <cell r="G1315">
            <v>6.6707804309081666</v>
          </cell>
          <cell r="H1315">
            <v>5.8790805425281292</v>
          </cell>
          <cell r="I1315">
            <v>5.1982624737518677</v>
          </cell>
          <cell r="J1315">
            <v>-5.3729778340818957</v>
          </cell>
          <cell r="K1315">
            <v>-8.2955920577363873</v>
          </cell>
          <cell r="L1315">
            <v>-220.13453864746936</v>
          </cell>
          <cell r="M1315">
            <v>5.1128929317548</v>
          </cell>
          <cell r="N1315">
            <v>4.8724224576170059</v>
          </cell>
          <cell r="O1315">
            <v>3.125155808839736</v>
          </cell>
          <cell r="P1315">
            <v>2.4860122607575477</v>
          </cell>
          <cell r="Q1315">
            <v>3.6453234225393132</v>
          </cell>
          <cell r="R1315" t="e">
            <v>#REF!</v>
          </cell>
          <cell r="S1315" t="e">
            <v>#REF!</v>
          </cell>
          <cell r="T1315" t="e">
            <v>#REF!</v>
          </cell>
          <cell r="U1315" t="e">
            <v>#REF!</v>
          </cell>
          <cell r="V1315" t="e">
            <v>#REF!</v>
          </cell>
        </row>
        <row r="1331">
          <cell r="F1331">
            <v>46.51083205162567</v>
          </cell>
          <cell r="G1331">
            <v>68.737118734534434</v>
          </cell>
          <cell r="H1331">
            <v>116.88048878735049</v>
          </cell>
          <cell r="I1331">
            <v>101.00764298565657</v>
          </cell>
          <cell r="J1331">
            <v>91.900077470484177</v>
          </cell>
          <cell r="K1331">
            <v>89.678376015101463</v>
          </cell>
          <cell r="L1331">
            <v>-3291.5421384669717</v>
          </cell>
          <cell r="M1331">
            <v>32.790698160855584</v>
          </cell>
          <cell r="N1331">
            <v>32.314388038006889</v>
          </cell>
          <cell r="O1331">
            <v>36.831019499851713</v>
          </cell>
          <cell r="P1331">
            <v>38.67973401171794</v>
          </cell>
          <cell r="Q1331">
            <v>53.374032507638262</v>
          </cell>
          <cell r="R1331" t="e">
            <v>#REF!</v>
          </cell>
          <cell r="S1331" t="e">
            <v>#REF!</v>
          </cell>
          <cell r="T1331" t="e">
            <v>#REF!</v>
          </cell>
          <cell r="U1331" t="e">
            <v>#REF!</v>
          </cell>
          <cell r="V1331" t="e">
            <v>#REF!</v>
          </cell>
        </row>
        <row r="1332">
          <cell r="F1332">
            <v>3176.9779436213139</v>
          </cell>
          <cell r="G1332">
            <v>187.35637597420146</v>
          </cell>
          <cell r="H1332">
            <v>380.65810928815824</v>
          </cell>
          <cell r="I1332">
            <v>222.08726525198955</v>
          </cell>
          <cell r="J1332">
            <v>225.59600535785546</v>
          </cell>
          <cell r="K1332">
            <v>188.09682681082452</v>
          </cell>
          <cell r="L1332">
            <v>-5135.7086017772162</v>
          </cell>
          <cell r="M1332">
            <v>15.189221985852118</v>
          </cell>
          <cell r="N1332">
            <v>78.373342452646654</v>
          </cell>
          <cell r="O1332">
            <v>90.187778003712339</v>
          </cell>
          <cell r="P1332">
            <v>34.538260354773065</v>
          </cell>
          <cell r="Q1332">
            <v>40.831763609961335</v>
          </cell>
          <cell r="R1332" t="e">
            <v>#REF!</v>
          </cell>
          <cell r="S1332" t="e">
            <v>#REF!</v>
          </cell>
          <cell r="T1332" t="e">
            <v>#REF!</v>
          </cell>
          <cell r="U1332" t="e">
            <v>#REF!</v>
          </cell>
          <cell r="V1332" t="e">
            <v>#REF!</v>
          </cell>
        </row>
        <row r="1333">
          <cell r="F1333">
            <v>27.693034675925947</v>
          </cell>
          <cell r="G1333">
            <v>22.67403039089772</v>
          </cell>
          <cell r="H1333">
            <v>28.488364746169943</v>
          </cell>
          <cell r="I1333">
            <v>23.51336254089528</v>
          </cell>
          <cell r="J1333">
            <v>25.60075784554045</v>
          </cell>
          <cell r="K1333">
            <v>24.313968002908268</v>
          </cell>
          <cell r="L1333">
            <v>-250.48215634706617</v>
          </cell>
          <cell r="M1333">
            <v>10.480130286643632</v>
          </cell>
          <cell r="N1333">
            <v>8.8745321775575601</v>
          </cell>
          <cell r="O1333">
            <v>7.6502731052024071</v>
          </cell>
          <cell r="P1333">
            <v>5.377110393816233</v>
          </cell>
          <cell r="Q1333">
            <v>4.1735576273175443</v>
          </cell>
          <cell r="R1333" t="e">
            <v>#REF!</v>
          </cell>
          <cell r="S1333" t="e">
            <v>#REF!</v>
          </cell>
          <cell r="T1333" t="e">
            <v>#REF!</v>
          </cell>
          <cell r="U1333" t="e">
            <v>#REF!</v>
          </cell>
          <cell r="V1333" t="e">
            <v>#REF!</v>
          </cell>
        </row>
        <row r="1334">
          <cell r="F1334">
            <v>24.817281898849764</v>
          </cell>
          <cell r="G1334">
            <v>10.810295383537831</v>
          </cell>
          <cell r="H1334">
            <v>15.827490933113266</v>
          </cell>
          <cell r="I1334">
            <v>15.61525271450803</v>
          </cell>
          <cell r="J1334">
            <v>15.66643848435924</v>
          </cell>
          <cell r="K1334">
            <v>13.852828200587888</v>
          </cell>
          <cell r="L1334">
            <v>-141.57212619546408</v>
          </cell>
          <cell r="M1334">
            <v>-1.1774855260002632</v>
          </cell>
          <cell r="N1334">
            <v>8.8238867574177284</v>
          </cell>
          <cell r="O1334">
            <v>8.8761858965745652</v>
          </cell>
          <cell r="P1334">
            <v>7.49480993739847</v>
          </cell>
          <cell r="Q1334">
            <v>6.5059932003946601</v>
          </cell>
          <cell r="R1334" t="e">
            <v>#REF!</v>
          </cell>
          <cell r="S1334" t="e">
            <v>#REF!</v>
          </cell>
          <cell r="T1334" t="e">
            <v>#REF!</v>
          </cell>
          <cell r="U1334" t="e">
            <v>#REF!</v>
          </cell>
          <cell r="V1334" t="e">
            <v>#REF!</v>
          </cell>
        </row>
        <row r="1335">
          <cell r="F1335">
            <v>2.4318436528606648</v>
          </cell>
          <cell r="G1335">
            <v>0.91361777599157001</v>
          </cell>
          <cell r="H1335">
            <v>0.94595209819758119</v>
          </cell>
          <cell r="I1335">
            <v>1.0414788264328232</v>
          </cell>
          <cell r="J1335">
            <v>0.78783391279704662</v>
          </cell>
          <cell r="K1335">
            <v>0.80896707896503517</v>
          </cell>
          <cell r="L1335">
            <v>-18.714642820970546</v>
          </cell>
          <cell r="M1335">
            <v>0.56404009788460097</v>
          </cell>
          <cell r="N1335">
            <v>0.70404035275224552</v>
          </cell>
          <cell r="O1335">
            <v>0.85107352869182384</v>
          </cell>
          <cell r="P1335">
            <v>0.96072274710795991</v>
          </cell>
          <cell r="Q1335">
            <v>1.1588107502523102</v>
          </cell>
          <cell r="R1335" t="e">
            <v>#REF!</v>
          </cell>
          <cell r="S1335" t="e">
            <v>#REF!</v>
          </cell>
          <cell r="T1335" t="e">
            <v>#REF!</v>
          </cell>
          <cell r="U1335" t="e">
            <v>#REF!</v>
          </cell>
          <cell r="V1335" t="e">
            <v>#REF!</v>
          </cell>
        </row>
        <row r="1336">
          <cell r="F1336">
            <v>38.182940355929013</v>
          </cell>
          <cell r="G1336">
            <v>14.536830955456164</v>
          </cell>
          <cell r="H1336">
            <v>28.180685564417068</v>
          </cell>
          <cell r="I1336">
            <v>17.745524204732796</v>
          </cell>
          <cell r="J1336">
            <v>24.112904767209759</v>
          </cell>
          <cell r="K1336">
            <v>27.214958553017109</v>
          </cell>
          <cell r="L1336">
            <v>-408.66022576716705</v>
          </cell>
          <cell r="M1336">
            <v>5.4180334413664104</v>
          </cell>
          <cell r="N1336">
            <v>15.759142242630201</v>
          </cell>
          <cell r="O1336">
            <v>18.588103133472167</v>
          </cell>
          <cell r="P1336">
            <v>19.76470809298366</v>
          </cell>
          <cell r="Q1336">
            <v>22.89670724331388</v>
          </cell>
          <cell r="R1336" t="e">
            <v>#REF!</v>
          </cell>
          <cell r="S1336" t="e">
            <v>#REF!</v>
          </cell>
          <cell r="T1336" t="e">
            <v>#REF!</v>
          </cell>
          <cell r="U1336" t="e">
            <v>#REF!</v>
          </cell>
          <cell r="V1336" t="e">
            <v>#REF!</v>
          </cell>
        </row>
        <row r="1337">
          <cell r="F1337">
            <v>30.802575973275069</v>
          </cell>
          <cell r="G1337">
            <v>16.429437519058535</v>
          </cell>
          <cell r="H1337">
            <v>12.409727568334258</v>
          </cell>
          <cell r="I1337">
            <v>19.04183463950088</v>
          </cell>
          <cell r="J1337">
            <v>26.207580910798569</v>
          </cell>
          <cell r="K1337">
            <v>34.108186084176417</v>
          </cell>
          <cell r="L1337">
            <v>-544.73780143930799</v>
          </cell>
          <cell r="M1337">
            <v>19.032710104700975</v>
          </cell>
          <cell r="N1337">
            <v>20.990693047619246</v>
          </cell>
          <cell r="O1337">
            <v>23.34185738350957</v>
          </cell>
          <cell r="P1337">
            <v>27.161045608250301</v>
          </cell>
          <cell r="Q1337">
            <v>33.722002180283326</v>
          </cell>
          <cell r="R1337" t="e">
            <v>#REF!</v>
          </cell>
          <cell r="S1337" t="e">
            <v>#REF!</v>
          </cell>
          <cell r="T1337" t="e">
            <v>#REF!</v>
          </cell>
          <cell r="U1337" t="e">
            <v>#REF!</v>
          </cell>
          <cell r="V1337" t="e">
            <v>#REF!</v>
          </cell>
        </row>
        <row r="1338">
          <cell r="F1338">
            <v>43.28507863567161</v>
          </cell>
          <cell r="G1338">
            <v>23.946651753326979</v>
          </cell>
          <cell r="H1338">
            <v>37.986842806424818</v>
          </cell>
          <cell r="I1338">
            <v>35.597989746232955</v>
          </cell>
          <cell r="J1338">
            <v>28.416860740091398</v>
          </cell>
          <cell r="K1338">
            <v>34.881397913742163</v>
          </cell>
          <cell r="L1338">
            <v>-489.63049943840497</v>
          </cell>
          <cell r="M1338">
            <v>16.023482714905022</v>
          </cell>
          <cell r="N1338">
            <v>18.475798752033338</v>
          </cell>
          <cell r="O1338">
            <v>20.221088695419624</v>
          </cell>
          <cell r="P1338">
            <v>23.2589387743879</v>
          </cell>
          <cell r="Q1338">
            <v>27.417080841437379</v>
          </cell>
          <cell r="R1338" t="e">
            <v>#REF!</v>
          </cell>
          <cell r="S1338" t="e">
            <v>#REF!</v>
          </cell>
          <cell r="T1338" t="e">
            <v>#REF!</v>
          </cell>
          <cell r="U1338" t="e">
            <v>#REF!</v>
          </cell>
          <cell r="V1338" t="e">
            <v>#REF!</v>
          </cell>
        </row>
        <row r="1339">
          <cell r="F1339">
            <v>75.964669482957191</v>
          </cell>
          <cell r="G1339">
            <v>41.712157563378142</v>
          </cell>
          <cell r="H1339">
            <v>82.640023742644544</v>
          </cell>
          <cell r="I1339">
            <v>104.41318777121911</v>
          </cell>
          <cell r="J1339">
            <v>120.92422772540471</v>
          </cell>
          <cell r="K1339">
            <v>141.24389655572537</v>
          </cell>
          <cell r="L1339">
            <v>-1457.9341532901985</v>
          </cell>
          <cell r="M1339">
            <v>41.386179455760356</v>
          </cell>
          <cell r="N1339">
            <v>49.457817089550275</v>
          </cell>
          <cell r="O1339">
            <v>53.960162224518243</v>
          </cell>
          <cell r="P1339">
            <v>61.481499075146154</v>
          </cell>
          <cell r="Q1339">
            <v>70.075283691355025</v>
          </cell>
          <cell r="R1339" t="e">
            <v>#REF!</v>
          </cell>
          <cell r="S1339" t="e">
            <v>#REF!</v>
          </cell>
          <cell r="T1339" t="e">
            <v>#REF!</v>
          </cell>
          <cell r="U1339" t="e">
            <v>#REF!</v>
          </cell>
          <cell r="V1339" t="e">
            <v>#REF!</v>
          </cell>
        </row>
        <row r="1340">
          <cell r="F1340">
            <v>15.671538121522396</v>
          </cell>
          <cell r="G1340">
            <v>13.680667916852331</v>
          </cell>
          <cell r="H1340">
            <v>19.409674048360042</v>
          </cell>
          <cell r="I1340">
            <v>21.140426427003923</v>
          </cell>
          <cell r="J1340">
            <v>22.391052016667544</v>
          </cell>
          <cell r="K1340">
            <v>21.460978600797194</v>
          </cell>
          <cell r="L1340">
            <v>-226.38813137389525</v>
          </cell>
          <cell r="M1340">
            <v>9.43880114502198</v>
          </cell>
          <cell r="N1340">
            <v>10.639620072763257</v>
          </cell>
          <cell r="O1340">
            <v>12.018051581864102</v>
          </cell>
          <cell r="P1340">
            <v>12.27604608117819</v>
          </cell>
          <cell r="Q1340">
            <v>13.190523478018537</v>
          </cell>
          <cell r="R1340" t="e">
            <v>#REF!</v>
          </cell>
          <cell r="S1340" t="e">
            <v>#REF!</v>
          </cell>
          <cell r="T1340" t="e">
            <v>#REF!</v>
          </cell>
          <cell r="U1340" t="e">
            <v>#REF!</v>
          </cell>
          <cell r="V1340" t="e">
            <v>#REF!</v>
          </cell>
        </row>
        <row r="1341">
          <cell r="F1341">
            <v>15.313523104513916</v>
          </cell>
          <cell r="G1341">
            <v>8.9055143469556501</v>
          </cell>
          <cell r="H1341">
            <v>13.526036057190696</v>
          </cell>
          <cell r="I1341">
            <v>16.192017926410394</v>
          </cell>
          <cell r="J1341">
            <v>19.989595020286536</v>
          </cell>
          <cell r="K1341">
            <v>19.073947944854581</v>
          </cell>
          <cell r="L1341">
            <v>-176.83269100828326</v>
          </cell>
          <cell r="M1341">
            <v>8.3822294712250702</v>
          </cell>
          <cell r="N1341">
            <v>8.2636027420655829</v>
          </cell>
          <cell r="O1341">
            <v>10.146915612426088</v>
          </cell>
          <cell r="P1341">
            <v>10.828448313197111</v>
          </cell>
          <cell r="Q1341">
            <v>11.615053151268231</v>
          </cell>
          <cell r="R1341" t="e">
            <v>#REF!</v>
          </cell>
          <cell r="S1341" t="e">
            <v>#REF!</v>
          </cell>
          <cell r="T1341" t="e">
            <v>#REF!</v>
          </cell>
          <cell r="U1341" t="e">
            <v>#REF!</v>
          </cell>
          <cell r="V1341" t="e">
            <v>#REF!</v>
          </cell>
        </row>
        <row r="1342">
          <cell r="F1342">
            <v>0.2</v>
          </cell>
          <cell r="G1342">
            <v>0.2</v>
          </cell>
          <cell r="H1342">
            <v>0.3</v>
          </cell>
          <cell r="I1342">
            <v>0.27418923444250998</v>
          </cell>
          <cell r="J1342">
            <v>5.620251820339913</v>
          </cell>
          <cell r="K1342">
            <v>5.1614135801457444</v>
          </cell>
          <cell r="L1342">
            <v>-75.844493531533971</v>
          </cell>
          <cell r="M1342">
            <v>3.6717629270882202</v>
          </cell>
          <cell r="N1342">
            <v>4.1984029407465515</v>
          </cell>
          <cell r="O1342">
            <v>4.639941750681599</v>
          </cell>
          <cell r="P1342">
            <v>4.6362372156560854</v>
          </cell>
          <cell r="Q1342">
            <v>4.8222034519924879</v>
          </cell>
          <cell r="R1342" t="e">
            <v>#REF!</v>
          </cell>
          <cell r="S1342" t="e">
            <v>#REF!</v>
          </cell>
          <cell r="T1342" t="e">
            <v>#REF!</v>
          </cell>
          <cell r="U1342" t="e">
            <v>#REF!</v>
          </cell>
          <cell r="V1342" t="e">
            <v>#REF!</v>
          </cell>
        </row>
        <row r="1343">
          <cell r="F1343">
            <v>57.349895278478897</v>
          </cell>
          <cell r="G1343">
            <v>43.604943173349803</v>
          </cell>
          <cell r="H1343">
            <v>52.542363066995307</v>
          </cell>
          <cell r="I1343">
            <v>54.386113544385594</v>
          </cell>
          <cell r="J1343">
            <v>63.567929812503706</v>
          </cell>
          <cell r="K1343">
            <v>66.802103166805551</v>
          </cell>
          <cell r="L1343">
            <v>-688.64622726112145</v>
          </cell>
          <cell r="M1343">
            <v>23.026087851340858</v>
          </cell>
          <cell r="N1343">
            <v>27.784378670496899</v>
          </cell>
          <cell r="O1343">
            <v>30.774097574672222</v>
          </cell>
          <cell r="P1343">
            <v>30.873238370056843</v>
          </cell>
          <cell r="Q1343">
            <v>32.468472488118636</v>
          </cell>
          <cell r="R1343" t="e">
            <v>#REF!</v>
          </cell>
          <cell r="S1343" t="e">
            <v>#REF!</v>
          </cell>
          <cell r="T1343" t="e">
            <v>#REF!</v>
          </cell>
          <cell r="U1343" t="e">
            <v>#REF!</v>
          </cell>
          <cell r="V1343" t="e">
            <v>#REF!</v>
          </cell>
        </row>
        <row r="1344">
          <cell r="F1344">
            <v>-8.2695598793996155</v>
          </cell>
          <cell r="G1344">
            <v>5.9871907411386793</v>
          </cell>
          <cell r="H1344">
            <v>10.521165114444592</v>
          </cell>
          <cell r="I1344">
            <v>7.4638951940344835</v>
          </cell>
          <cell r="J1344">
            <v>12.635108482950809</v>
          </cell>
          <cell r="K1344">
            <v>12.89434108813267</v>
          </cell>
          <cell r="L1344">
            <v>-150.12299128832197</v>
          </cell>
          <cell r="M1344">
            <v>6.6361231758847383</v>
          </cell>
          <cell r="N1344">
            <v>7.7111238713026973</v>
          </cell>
          <cell r="O1344">
            <v>8.5451560049416493</v>
          </cell>
          <cell r="P1344">
            <v>8.3407239473718704</v>
          </cell>
          <cell r="Q1344">
            <v>9.2200202363742498</v>
          </cell>
          <cell r="R1344" t="e">
            <v>#REF!</v>
          </cell>
          <cell r="S1344" t="e">
            <v>#REF!</v>
          </cell>
          <cell r="T1344" t="e">
            <v>#REF!</v>
          </cell>
          <cell r="U1344" t="e">
            <v>#REF!</v>
          </cell>
          <cell r="V1344" t="e">
            <v>#REF!</v>
          </cell>
        </row>
        <row r="1345">
          <cell r="F1345">
            <v>51.75189622161178</v>
          </cell>
          <cell r="G1345">
            <v>54.265624274428632</v>
          </cell>
          <cell r="H1345">
            <v>67.036568073323252</v>
          </cell>
          <cell r="I1345">
            <v>60.697633726734118</v>
          </cell>
          <cell r="J1345">
            <v>71.37923689500235</v>
          </cell>
          <cell r="K1345">
            <v>77.817303014968047</v>
          </cell>
          <cell r="L1345">
            <v>-610.81718883283997</v>
          </cell>
          <cell r="M1345">
            <v>17.288716511247966</v>
          </cell>
          <cell r="N1345">
            <v>20.140060126918293</v>
          </cell>
          <cell r="O1345">
            <v>22.256019872984449</v>
          </cell>
          <cell r="P1345">
            <v>21.296781547532252</v>
          </cell>
          <cell r="Q1345">
            <v>21.71136049966395</v>
          </cell>
          <cell r="R1345" t="e">
            <v>#REF!</v>
          </cell>
          <cell r="S1345" t="e">
            <v>#REF!</v>
          </cell>
          <cell r="T1345" t="e">
            <v>#REF!</v>
          </cell>
          <cell r="U1345" t="e">
            <v>#REF!</v>
          </cell>
          <cell r="V1345" t="e">
            <v>#REF!</v>
          </cell>
        </row>
        <row r="1346">
          <cell r="F1346">
            <v>128.5182346625248</v>
          </cell>
          <cell r="G1346">
            <v>47.909539858374259</v>
          </cell>
          <cell r="H1346">
            <v>51.561227324668543</v>
          </cell>
          <cell r="I1346">
            <v>75.957504036524796</v>
          </cell>
          <cell r="J1346">
            <v>90.168048682730642</v>
          </cell>
          <cell r="K1346">
            <v>118.66893684983282</v>
          </cell>
          <cell r="L1346">
            <v>-1328.9715898393606</v>
          </cell>
          <cell r="M1346">
            <v>73.148086645988002</v>
          </cell>
          <cell r="N1346">
            <v>76.948766755479198</v>
          </cell>
          <cell r="O1346">
            <v>76.29556063240085</v>
          </cell>
          <cell r="P1346">
            <v>58.95121708357901</v>
          </cell>
          <cell r="Q1346">
            <v>53.069001306382276</v>
          </cell>
          <cell r="R1346" t="e">
            <v>#REF!</v>
          </cell>
          <cell r="S1346" t="e">
            <v>#REF!</v>
          </cell>
          <cell r="T1346" t="e">
            <v>#REF!</v>
          </cell>
          <cell r="U1346" t="e">
            <v>#REF!</v>
          </cell>
          <cell r="V1346" t="e">
            <v>#REF!</v>
          </cell>
        </row>
        <row r="1347">
          <cell r="F1347">
            <v>956.03974191467046</v>
          </cell>
          <cell r="G1347">
            <v>563.05176309808746</v>
          </cell>
          <cell r="H1347">
            <v>667.66982085418249</v>
          </cell>
          <cell r="I1347">
            <v>704.95084626992934</v>
          </cell>
          <cell r="J1347">
            <v>665.86146682818821</v>
          </cell>
          <cell r="K1347">
            <v>850.78009579893751</v>
          </cell>
          <cell r="L1347">
            <v>-9565.84199327846</v>
          </cell>
          <cell r="M1347">
            <v>254.10731329786708</v>
          </cell>
          <cell r="N1347">
            <v>277.44232716160218</v>
          </cell>
          <cell r="O1347">
            <v>288.21535660119224</v>
          </cell>
          <cell r="P1347">
            <v>264.29124446386214</v>
          </cell>
          <cell r="Q1347">
            <v>274.90117891965031</v>
          </cell>
          <cell r="R1347" t="e">
            <v>#REF!</v>
          </cell>
          <cell r="S1347" t="e">
            <v>#REF!</v>
          </cell>
          <cell r="T1347" t="e">
            <v>#REF!</v>
          </cell>
          <cell r="U1347" t="e">
            <v>#REF!</v>
          </cell>
          <cell r="V1347" t="e">
            <v>#REF!</v>
          </cell>
        </row>
        <row r="1348">
          <cell r="F1348">
            <v>123.84930159889669</v>
          </cell>
          <cell r="G1348">
            <v>30.948300808237477</v>
          </cell>
          <cell r="H1348">
            <v>73.798437514547089</v>
          </cell>
          <cell r="I1348">
            <v>46.293595966558186</v>
          </cell>
          <cell r="J1348">
            <v>48.705249827837378</v>
          </cell>
          <cell r="K1348">
            <v>50.435322369898969</v>
          </cell>
          <cell r="L1348">
            <v>-690.11358486113545</v>
          </cell>
          <cell r="M1348">
            <v>19.512096676810557</v>
          </cell>
          <cell r="N1348">
            <v>18.281817157523463</v>
          </cell>
          <cell r="O1348">
            <v>16.930213575817191</v>
          </cell>
          <cell r="P1348">
            <v>8.2457695092996612</v>
          </cell>
          <cell r="Q1348">
            <v>11.781498954559009</v>
          </cell>
          <cell r="R1348" t="e">
            <v>#REF!</v>
          </cell>
          <cell r="S1348" t="e">
            <v>#REF!</v>
          </cell>
          <cell r="T1348" t="e">
            <v>#REF!</v>
          </cell>
          <cell r="U1348" t="e">
            <v>#REF!</v>
          </cell>
          <cell r="V1348" t="e">
            <v>#REF!</v>
          </cell>
        </row>
        <row r="1349">
          <cell r="F1349">
            <v>11.530085040888281</v>
          </cell>
          <cell r="G1349">
            <v>3.5136276355930658</v>
          </cell>
          <cell r="H1349">
            <v>4.4714713320534392</v>
          </cell>
          <cell r="I1349">
            <v>4.2779956699844721</v>
          </cell>
          <cell r="J1349">
            <v>5.2966149102527682</v>
          </cell>
          <cell r="K1349">
            <v>5.5016293740570124</v>
          </cell>
          <cell r="L1349">
            <v>-44.443486126576005</v>
          </cell>
          <cell r="M1349">
            <v>2.1349504320054575</v>
          </cell>
          <cell r="N1349">
            <v>2.2812788526015293</v>
          </cell>
          <cell r="O1349">
            <v>2.287520596668549</v>
          </cell>
          <cell r="P1349">
            <v>1.8668021725184105</v>
          </cell>
          <cell r="Q1349">
            <v>1.5946243009490157</v>
          </cell>
          <cell r="R1349" t="e">
            <v>#REF!</v>
          </cell>
          <cell r="S1349" t="e">
            <v>#REF!</v>
          </cell>
          <cell r="T1349" t="e">
            <v>#REF!</v>
          </cell>
          <cell r="U1349" t="e">
            <v>#REF!</v>
          </cell>
          <cell r="V1349" t="e">
            <v>#REF!</v>
          </cell>
        </row>
        <row r="1350">
          <cell r="F1350">
            <v>47.969276081674352</v>
          </cell>
          <cell r="G1350">
            <v>172.00818308594205</v>
          </cell>
          <cell r="H1350">
            <v>112.57320371045282</v>
          </cell>
          <cell r="I1350">
            <v>84.555683616537507</v>
          </cell>
          <cell r="J1350">
            <v>83.450029887863138</v>
          </cell>
          <cell r="K1350">
            <v>83.444815378134308</v>
          </cell>
          <cell r="L1350">
            <v>-1531.8650886571438</v>
          </cell>
          <cell r="M1350">
            <v>26.726900985014275</v>
          </cell>
          <cell r="N1350">
            <v>21.246177227508774</v>
          </cell>
          <cell r="O1350">
            <v>15.292290744824406</v>
          </cell>
          <cell r="P1350">
            <v>7.5345354448750754</v>
          </cell>
          <cell r="Q1350">
            <v>12.508709709839239</v>
          </cell>
          <cell r="R1350" t="e">
            <v>#REF!</v>
          </cell>
          <cell r="S1350" t="e">
            <v>#REF!</v>
          </cell>
          <cell r="T1350" t="e">
            <v>#REF!</v>
          </cell>
          <cell r="U1350" t="e">
            <v>#REF!</v>
          </cell>
          <cell r="V1350" t="e">
            <v>#REF!</v>
          </cell>
        </row>
        <row r="1351">
          <cell r="F1351">
            <v>51.667612881283063</v>
          </cell>
          <cell r="G1351">
            <v>451.58246048284809</v>
          </cell>
          <cell r="H1351">
            <v>502.71040651731244</v>
          </cell>
          <cell r="I1351">
            <v>566.59022135887119</v>
          </cell>
          <cell r="J1351">
            <v>581.78878230911118</v>
          </cell>
          <cell r="K1351">
            <v>626.02532720522686</v>
          </cell>
          <cell r="L1351">
            <v>-9302.1968677970872</v>
          </cell>
          <cell r="M1351">
            <v>156.06832159276144</v>
          </cell>
          <cell r="N1351">
            <v>141.86372780713938</v>
          </cell>
          <cell r="O1351">
            <v>120.52757845892364</v>
          </cell>
          <cell r="P1351">
            <v>74.978001352884888</v>
          </cell>
          <cell r="Q1351">
            <v>94.50577173966829</v>
          </cell>
          <cell r="R1351" t="e">
            <v>#REF!</v>
          </cell>
          <cell r="S1351" t="e">
            <v>#REF!</v>
          </cell>
          <cell r="T1351" t="e">
            <v>#REF!</v>
          </cell>
          <cell r="U1351" t="e">
            <v>#REF!</v>
          </cell>
          <cell r="V1351" t="e">
            <v>#REF!</v>
          </cell>
        </row>
        <row r="1352">
          <cell r="F1352">
            <v>114.56716283155934</v>
          </cell>
          <cell r="G1352">
            <v>48.442040214995941</v>
          </cell>
          <cell r="H1352">
            <v>80.145521232523777</v>
          </cell>
          <cell r="I1352">
            <v>52.820266263509119</v>
          </cell>
          <cell r="J1352">
            <v>54.065238624764916</v>
          </cell>
          <cell r="K1352">
            <v>62.907634403062971</v>
          </cell>
          <cell r="L1352">
            <v>-932.41498250152051</v>
          </cell>
          <cell r="M1352">
            <v>18.063429342101536</v>
          </cell>
          <cell r="N1352">
            <v>17.652090122280597</v>
          </cell>
          <cell r="O1352">
            <v>15.10385923043791</v>
          </cell>
          <cell r="P1352">
            <v>7.9167449166066266</v>
          </cell>
          <cell r="Q1352">
            <v>8.2662600547756302</v>
          </cell>
          <cell r="R1352" t="e">
            <v>#REF!</v>
          </cell>
          <cell r="S1352" t="e">
            <v>#REF!</v>
          </cell>
          <cell r="T1352" t="e">
            <v>#REF!</v>
          </cell>
          <cell r="U1352" t="e">
            <v>#REF!</v>
          </cell>
          <cell r="V1352" t="e">
            <v>#REF!</v>
          </cell>
        </row>
        <row r="1353">
          <cell r="F1353">
            <v>14.906952182420502</v>
          </cell>
          <cell r="G1353">
            <v>16.33446162614181</v>
          </cell>
          <cell r="H1353">
            <v>15.915209498666384</v>
          </cell>
          <cell r="I1353">
            <v>15.552204790417523</v>
          </cell>
          <cell r="J1353">
            <v>6.7660542296238564</v>
          </cell>
          <cell r="K1353">
            <v>9.337943642958999</v>
          </cell>
          <cell r="L1353">
            <v>-338.84919156342539</v>
          </cell>
          <cell r="M1353">
            <v>12.261094725578991</v>
          </cell>
          <cell r="N1353">
            <v>13.962415122951228</v>
          </cell>
          <cell r="O1353">
            <v>12.571881708038111</v>
          </cell>
          <cell r="P1353">
            <v>11.874129105152036</v>
          </cell>
          <cell r="Q1353">
            <v>12.072372698714371</v>
          </cell>
          <cell r="R1353" t="e">
            <v>#REF!</v>
          </cell>
          <cell r="S1353" t="e">
            <v>#REF!</v>
          </cell>
          <cell r="T1353" t="e">
            <v>#REF!</v>
          </cell>
          <cell r="U1353" t="e">
            <v>#REF!</v>
          </cell>
          <cell r="V1353" t="e">
            <v>#REF!</v>
          </cell>
        </row>
      </sheetData>
      <sheetData sheetId="23">
        <row r="4">
          <cell r="Y4">
            <v>1</v>
          </cell>
          <cell r="Z4" t="e">
            <v>#REF!</v>
          </cell>
          <cell r="AA4" t="e">
            <v>#REF!</v>
          </cell>
          <cell r="AB4" t="e">
            <v>#REF!</v>
          </cell>
          <cell r="AC4" t="e">
            <v>#REF!</v>
          </cell>
          <cell r="AD4" t="e">
            <v>#REF!</v>
          </cell>
          <cell r="AE4" t="e">
            <v>#REF!</v>
          </cell>
          <cell r="AF4" t="e">
            <v>#REF!</v>
          </cell>
          <cell r="AG4" t="e">
            <v>#REF!</v>
          </cell>
          <cell r="AH4" t="e">
            <v>#REF!</v>
          </cell>
          <cell r="AI4" t="e">
            <v>#REF!</v>
          </cell>
          <cell r="AJ4" t="e">
            <v>#REF!</v>
          </cell>
          <cell r="AK4" t="e">
            <v>#REF!</v>
          </cell>
          <cell r="AL4" t="e">
            <v>#REF!</v>
          </cell>
          <cell r="AM4" t="e">
            <v>#REF!</v>
          </cell>
          <cell r="AN4" t="e">
            <v>#REF!</v>
          </cell>
          <cell r="AO4" t="e">
            <v>#REF!</v>
          </cell>
          <cell r="AP4" t="e">
            <v>#REF!</v>
          </cell>
        </row>
        <row r="5">
          <cell r="Y5">
            <v>1</v>
          </cell>
          <cell r="Z5" t="e">
            <v>#REF!</v>
          </cell>
          <cell r="AA5" t="e">
            <v>#REF!</v>
          </cell>
          <cell r="AB5" t="e">
            <v>#REF!</v>
          </cell>
          <cell r="AC5" t="e">
            <v>#REF!</v>
          </cell>
          <cell r="AD5" t="e">
            <v>#REF!</v>
          </cell>
          <cell r="AE5" t="e">
            <v>#REF!</v>
          </cell>
          <cell r="AF5" t="e">
            <v>#REF!</v>
          </cell>
          <cell r="AG5" t="e">
            <v>#REF!</v>
          </cell>
          <cell r="AH5" t="e">
            <v>#REF!</v>
          </cell>
          <cell r="AI5" t="e">
            <v>#REF!</v>
          </cell>
          <cell r="AJ5" t="e">
            <v>#REF!</v>
          </cell>
          <cell r="AK5" t="e">
            <v>#REF!</v>
          </cell>
          <cell r="AL5" t="e">
            <v>#REF!</v>
          </cell>
          <cell r="AM5" t="e">
            <v>#REF!</v>
          </cell>
          <cell r="AN5" t="e">
            <v>#REF!</v>
          </cell>
          <cell r="AO5" t="e">
            <v>#REF!</v>
          </cell>
          <cell r="AP5" t="e">
            <v>#REF!</v>
          </cell>
        </row>
        <row r="6">
          <cell r="Y6">
            <v>1</v>
          </cell>
          <cell r="Z6" t="e">
            <v>#REF!</v>
          </cell>
          <cell r="AA6" t="e">
            <v>#REF!</v>
          </cell>
          <cell r="AB6" t="e">
            <v>#REF!</v>
          </cell>
          <cell r="AC6" t="e">
            <v>#REF!</v>
          </cell>
          <cell r="AD6" t="e">
            <v>#REF!</v>
          </cell>
          <cell r="AE6" t="e">
            <v>#REF!</v>
          </cell>
          <cell r="AF6" t="e">
            <v>#REF!</v>
          </cell>
          <cell r="AG6" t="e">
            <v>#REF!</v>
          </cell>
          <cell r="AH6" t="e">
            <v>#REF!</v>
          </cell>
          <cell r="AI6" t="e">
            <v>#REF!</v>
          </cell>
          <cell r="AJ6" t="e">
            <v>#REF!</v>
          </cell>
          <cell r="AK6" t="e">
            <v>#REF!</v>
          </cell>
          <cell r="AL6" t="e">
            <v>#REF!</v>
          </cell>
          <cell r="AM6" t="e">
            <v>#REF!</v>
          </cell>
          <cell r="AN6" t="e">
            <v>#REF!</v>
          </cell>
          <cell r="AO6" t="e">
            <v>#REF!</v>
          </cell>
          <cell r="AP6" t="e">
            <v>#REF!</v>
          </cell>
        </row>
        <row r="7">
          <cell r="Y7">
            <v>1</v>
          </cell>
          <cell r="Z7" t="e">
            <v>#REF!</v>
          </cell>
          <cell r="AA7" t="e">
            <v>#REF!</v>
          </cell>
          <cell r="AB7" t="e">
            <v>#REF!</v>
          </cell>
          <cell r="AC7" t="e">
            <v>#REF!</v>
          </cell>
          <cell r="AD7" t="e">
            <v>#REF!</v>
          </cell>
          <cell r="AE7" t="e">
            <v>#REF!</v>
          </cell>
          <cell r="AF7" t="e">
            <v>#REF!</v>
          </cell>
          <cell r="AG7" t="e">
            <v>#REF!</v>
          </cell>
          <cell r="AH7" t="e">
            <v>#REF!</v>
          </cell>
          <cell r="AI7" t="e">
            <v>#REF!</v>
          </cell>
          <cell r="AJ7" t="e">
            <v>#REF!</v>
          </cell>
          <cell r="AK7" t="e">
            <v>#REF!</v>
          </cell>
          <cell r="AL7" t="e">
            <v>#REF!</v>
          </cell>
          <cell r="AM7" t="e">
            <v>#REF!</v>
          </cell>
          <cell r="AN7" t="e">
            <v>#REF!</v>
          </cell>
          <cell r="AO7" t="e">
            <v>#REF!</v>
          </cell>
          <cell r="AP7" t="e">
            <v>#REF!</v>
          </cell>
        </row>
        <row r="8">
          <cell r="Y8">
            <v>1</v>
          </cell>
          <cell r="Z8" t="e">
            <v>#REF!</v>
          </cell>
          <cell r="AA8" t="e">
            <v>#REF!</v>
          </cell>
          <cell r="AB8" t="e">
            <v>#REF!</v>
          </cell>
          <cell r="AC8" t="e">
            <v>#REF!</v>
          </cell>
          <cell r="AD8" t="e">
            <v>#REF!</v>
          </cell>
          <cell r="AE8" t="e">
            <v>#REF!</v>
          </cell>
          <cell r="AF8" t="e">
            <v>#REF!</v>
          </cell>
          <cell r="AG8" t="e">
            <v>#REF!</v>
          </cell>
          <cell r="AH8" t="e">
            <v>#REF!</v>
          </cell>
          <cell r="AI8" t="e">
            <v>#REF!</v>
          </cell>
          <cell r="AJ8" t="e">
            <v>#REF!</v>
          </cell>
          <cell r="AK8" t="e">
            <v>#REF!</v>
          </cell>
          <cell r="AL8" t="e">
            <v>#REF!</v>
          </cell>
          <cell r="AM8" t="e">
            <v>#REF!</v>
          </cell>
          <cell r="AN8" t="e">
            <v>#REF!</v>
          </cell>
          <cell r="AO8" t="e">
            <v>#REF!</v>
          </cell>
          <cell r="AP8" t="e">
            <v>#REF!</v>
          </cell>
        </row>
        <row r="9">
          <cell r="Y9">
            <v>1</v>
          </cell>
          <cell r="Z9" t="e">
            <v>#REF!</v>
          </cell>
          <cell r="AA9" t="e">
            <v>#REF!</v>
          </cell>
          <cell r="AB9" t="e">
            <v>#REF!</v>
          </cell>
          <cell r="AC9" t="e">
            <v>#REF!</v>
          </cell>
          <cell r="AD9" t="e">
            <v>#REF!</v>
          </cell>
          <cell r="AE9" t="e">
            <v>#REF!</v>
          </cell>
          <cell r="AF9" t="e">
            <v>#REF!</v>
          </cell>
          <cell r="AG9" t="e">
            <v>#REF!</v>
          </cell>
          <cell r="AH9" t="e">
            <v>#REF!</v>
          </cell>
          <cell r="AI9" t="e">
            <v>#REF!</v>
          </cell>
          <cell r="AJ9" t="e">
            <v>#REF!</v>
          </cell>
          <cell r="AK9" t="e">
            <v>#REF!</v>
          </cell>
          <cell r="AL9" t="e">
            <v>#REF!</v>
          </cell>
          <cell r="AM9" t="e">
            <v>#REF!</v>
          </cell>
          <cell r="AN9" t="e">
            <v>#REF!</v>
          </cell>
          <cell r="AO9" t="e">
            <v>#REF!</v>
          </cell>
          <cell r="AP9" t="e">
            <v>#REF!</v>
          </cell>
        </row>
        <row r="10">
          <cell r="Y10">
            <v>1</v>
          </cell>
          <cell r="Z10" t="e">
            <v>#REF!</v>
          </cell>
          <cell r="AA10" t="e">
            <v>#REF!</v>
          </cell>
          <cell r="AB10" t="e">
            <v>#REF!</v>
          </cell>
          <cell r="AC10" t="e">
            <v>#REF!</v>
          </cell>
          <cell r="AD10" t="e">
            <v>#REF!</v>
          </cell>
          <cell r="AE10" t="e">
            <v>#REF!</v>
          </cell>
          <cell r="AF10" t="e">
            <v>#REF!</v>
          </cell>
          <cell r="AG10" t="e">
            <v>#REF!</v>
          </cell>
          <cell r="AH10" t="e">
            <v>#REF!</v>
          </cell>
          <cell r="AI10" t="e">
            <v>#REF!</v>
          </cell>
          <cell r="AJ10" t="e">
            <v>#REF!</v>
          </cell>
          <cell r="AK10" t="e">
            <v>#REF!</v>
          </cell>
          <cell r="AL10" t="e">
            <v>#REF!</v>
          </cell>
          <cell r="AM10" t="e">
            <v>#REF!</v>
          </cell>
          <cell r="AN10" t="e">
            <v>#REF!</v>
          </cell>
          <cell r="AO10" t="e">
            <v>#REF!</v>
          </cell>
          <cell r="AP10" t="e">
            <v>#REF!</v>
          </cell>
        </row>
        <row r="11">
          <cell r="Y11">
            <v>1</v>
          </cell>
          <cell r="Z11" t="e">
            <v>#REF!</v>
          </cell>
          <cell r="AA11" t="e">
            <v>#REF!</v>
          </cell>
          <cell r="AB11" t="e">
            <v>#REF!</v>
          </cell>
          <cell r="AC11" t="e">
            <v>#REF!</v>
          </cell>
          <cell r="AD11" t="e">
            <v>#REF!</v>
          </cell>
          <cell r="AE11" t="e">
            <v>#REF!</v>
          </cell>
          <cell r="AF11" t="e">
            <v>#REF!</v>
          </cell>
          <cell r="AG11" t="e">
            <v>#REF!</v>
          </cell>
          <cell r="AH11" t="e">
            <v>#REF!</v>
          </cell>
          <cell r="AI11" t="e">
            <v>#REF!</v>
          </cell>
          <cell r="AJ11" t="e">
            <v>#REF!</v>
          </cell>
          <cell r="AK11" t="e">
            <v>#REF!</v>
          </cell>
          <cell r="AL11" t="e">
            <v>#REF!</v>
          </cell>
          <cell r="AM11" t="e">
            <v>#REF!</v>
          </cell>
          <cell r="AN11" t="e">
            <v>#REF!</v>
          </cell>
          <cell r="AO11" t="e">
            <v>#REF!</v>
          </cell>
          <cell r="AP11" t="e">
            <v>#REF!</v>
          </cell>
        </row>
        <row r="12">
          <cell r="Y12">
            <v>1</v>
          </cell>
          <cell r="Z12" t="e">
            <v>#REF!</v>
          </cell>
          <cell r="AA12" t="e">
            <v>#REF!</v>
          </cell>
          <cell r="AB12" t="e">
            <v>#REF!</v>
          </cell>
          <cell r="AC12" t="e">
            <v>#REF!</v>
          </cell>
          <cell r="AD12" t="e">
            <v>#REF!</v>
          </cell>
          <cell r="AE12" t="e">
            <v>#REF!</v>
          </cell>
          <cell r="AF12" t="e">
            <v>#REF!</v>
          </cell>
          <cell r="AG12" t="e">
            <v>#REF!</v>
          </cell>
          <cell r="AH12" t="e">
            <v>#REF!</v>
          </cell>
          <cell r="AI12" t="e">
            <v>#REF!</v>
          </cell>
          <cell r="AJ12" t="e">
            <v>#REF!</v>
          </cell>
          <cell r="AK12" t="e">
            <v>#REF!</v>
          </cell>
          <cell r="AL12" t="e">
            <v>#REF!</v>
          </cell>
          <cell r="AM12" t="e">
            <v>#REF!</v>
          </cell>
          <cell r="AN12" t="e">
            <v>#REF!</v>
          </cell>
          <cell r="AO12" t="e">
            <v>#REF!</v>
          </cell>
          <cell r="AP12" t="e">
            <v>#REF!</v>
          </cell>
        </row>
        <row r="13">
          <cell r="Y13">
            <v>1</v>
          </cell>
          <cell r="Z13" t="e">
            <v>#REF!</v>
          </cell>
          <cell r="AA13" t="e">
            <v>#REF!</v>
          </cell>
          <cell r="AB13" t="e">
            <v>#REF!</v>
          </cell>
          <cell r="AC13" t="e">
            <v>#REF!</v>
          </cell>
          <cell r="AD13" t="e">
            <v>#REF!</v>
          </cell>
          <cell r="AE13" t="e">
            <v>#REF!</v>
          </cell>
          <cell r="AF13" t="e">
            <v>#REF!</v>
          </cell>
          <cell r="AG13" t="e">
            <v>#REF!</v>
          </cell>
          <cell r="AH13" t="e">
            <v>#REF!</v>
          </cell>
          <cell r="AI13" t="e">
            <v>#REF!</v>
          </cell>
          <cell r="AJ13" t="e">
            <v>#REF!</v>
          </cell>
          <cell r="AK13" t="e">
            <v>#REF!</v>
          </cell>
          <cell r="AL13" t="e">
            <v>#REF!</v>
          </cell>
          <cell r="AM13" t="e">
            <v>#REF!</v>
          </cell>
          <cell r="AN13" t="e">
            <v>#REF!</v>
          </cell>
          <cell r="AO13" t="e">
            <v>#REF!</v>
          </cell>
          <cell r="AP13" t="e">
            <v>#REF!</v>
          </cell>
        </row>
        <row r="14">
          <cell r="Y14">
            <v>1</v>
          </cell>
          <cell r="Z14" t="e">
            <v>#REF!</v>
          </cell>
          <cell r="AA14" t="e">
            <v>#REF!</v>
          </cell>
          <cell r="AB14" t="e">
            <v>#REF!</v>
          </cell>
          <cell r="AC14" t="e">
            <v>#REF!</v>
          </cell>
          <cell r="AD14" t="e">
            <v>#REF!</v>
          </cell>
          <cell r="AE14" t="e">
            <v>#REF!</v>
          </cell>
          <cell r="AF14" t="e">
            <v>#REF!</v>
          </cell>
          <cell r="AG14" t="e">
            <v>#REF!</v>
          </cell>
          <cell r="AH14" t="e">
            <v>#REF!</v>
          </cell>
          <cell r="AI14" t="e">
            <v>#REF!</v>
          </cell>
          <cell r="AJ14" t="e">
            <v>#REF!</v>
          </cell>
          <cell r="AK14" t="e">
            <v>#REF!</v>
          </cell>
          <cell r="AL14" t="e">
            <v>#REF!</v>
          </cell>
          <cell r="AM14" t="e">
            <v>#REF!</v>
          </cell>
          <cell r="AN14" t="e">
            <v>#REF!</v>
          </cell>
          <cell r="AO14" t="e">
            <v>#REF!</v>
          </cell>
          <cell r="AP14" t="e">
            <v>#REF!</v>
          </cell>
        </row>
        <row r="15">
          <cell r="Y15">
            <v>1</v>
          </cell>
          <cell r="Z15" t="e">
            <v>#REF!</v>
          </cell>
          <cell r="AA15" t="e">
            <v>#REF!</v>
          </cell>
          <cell r="AB15" t="e">
            <v>#REF!</v>
          </cell>
          <cell r="AC15" t="e">
            <v>#REF!</v>
          </cell>
          <cell r="AD15" t="e">
            <v>#REF!</v>
          </cell>
          <cell r="AE15" t="e">
            <v>#REF!</v>
          </cell>
          <cell r="AF15" t="e">
            <v>#REF!</v>
          </cell>
          <cell r="AG15" t="e">
            <v>#REF!</v>
          </cell>
          <cell r="AH15" t="e">
            <v>#REF!</v>
          </cell>
          <cell r="AI15" t="e">
            <v>#REF!</v>
          </cell>
          <cell r="AJ15" t="e">
            <v>#REF!</v>
          </cell>
          <cell r="AK15" t="e">
            <v>#REF!</v>
          </cell>
          <cell r="AL15" t="e">
            <v>#REF!</v>
          </cell>
          <cell r="AM15" t="e">
            <v>#REF!</v>
          </cell>
          <cell r="AN15" t="e">
            <v>#REF!</v>
          </cell>
          <cell r="AO15" t="e">
            <v>#REF!</v>
          </cell>
          <cell r="AP15" t="e">
            <v>#REF!</v>
          </cell>
        </row>
        <row r="16">
          <cell r="Y16">
            <v>1</v>
          </cell>
          <cell r="Z16" t="e">
            <v>#REF!</v>
          </cell>
          <cell r="AA16" t="e">
            <v>#REF!</v>
          </cell>
          <cell r="AB16" t="e">
            <v>#REF!</v>
          </cell>
          <cell r="AC16" t="e">
            <v>#REF!</v>
          </cell>
          <cell r="AD16" t="e">
            <v>#REF!</v>
          </cell>
          <cell r="AE16" t="e">
            <v>#REF!</v>
          </cell>
          <cell r="AF16" t="e">
            <v>#REF!</v>
          </cell>
          <cell r="AG16" t="e">
            <v>#REF!</v>
          </cell>
          <cell r="AH16" t="e">
            <v>#REF!</v>
          </cell>
          <cell r="AI16" t="e">
            <v>#REF!</v>
          </cell>
          <cell r="AJ16" t="e">
            <v>#REF!</v>
          </cell>
          <cell r="AK16" t="e">
            <v>#REF!</v>
          </cell>
          <cell r="AL16" t="e">
            <v>#REF!</v>
          </cell>
          <cell r="AM16" t="e">
            <v>#REF!</v>
          </cell>
          <cell r="AN16" t="e">
            <v>#REF!</v>
          </cell>
          <cell r="AO16" t="e">
            <v>#REF!</v>
          </cell>
          <cell r="AP16" t="e">
            <v>#REF!</v>
          </cell>
        </row>
        <row r="17">
          <cell r="Y17">
            <v>1</v>
          </cell>
          <cell r="Z17" t="e">
            <v>#REF!</v>
          </cell>
          <cell r="AA17" t="e">
            <v>#REF!</v>
          </cell>
          <cell r="AB17" t="e">
            <v>#REF!</v>
          </cell>
          <cell r="AC17" t="e">
            <v>#REF!</v>
          </cell>
          <cell r="AD17" t="e">
            <v>#REF!</v>
          </cell>
          <cell r="AE17" t="e">
            <v>#REF!</v>
          </cell>
          <cell r="AF17" t="e">
            <v>#REF!</v>
          </cell>
          <cell r="AG17" t="e">
            <v>#REF!</v>
          </cell>
          <cell r="AH17" t="e">
            <v>#REF!</v>
          </cell>
          <cell r="AI17" t="e">
            <v>#REF!</v>
          </cell>
          <cell r="AJ17" t="e">
            <v>#REF!</v>
          </cell>
          <cell r="AK17" t="e">
            <v>#REF!</v>
          </cell>
          <cell r="AL17" t="e">
            <v>#REF!</v>
          </cell>
          <cell r="AM17" t="e">
            <v>#REF!</v>
          </cell>
          <cell r="AN17" t="e">
            <v>#REF!</v>
          </cell>
          <cell r="AO17" t="e">
            <v>#REF!</v>
          </cell>
          <cell r="AP17" t="e">
            <v>#REF!</v>
          </cell>
        </row>
        <row r="18">
          <cell r="Y18">
            <v>1</v>
          </cell>
          <cell r="Z18" t="e">
            <v>#REF!</v>
          </cell>
          <cell r="AA18" t="e">
            <v>#REF!</v>
          </cell>
          <cell r="AB18" t="e">
            <v>#REF!</v>
          </cell>
          <cell r="AC18" t="e">
            <v>#REF!</v>
          </cell>
          <cell r="AD18" t="e">
            <v>#REF!</v>
          </cell>
          <cell r="AE18" t="e">
            <v>#REF!</v>
          </cell>
          <cell r="AF18" t="e">
            <v>#REF!</v>
          </cell>
          <cell r="AG18" t="e">
            <v>#REF!</v>
          </cell>
          <cell r="AH18" t="e">
            <v>#REF!</v>
          </cell>
          <cell r="AI18" t="e">
            <v>#REF!</v>
          </cell>
          <cell r="AJ18" t="e">
            <v>#REF!</v>
          </cell>
          <cell r="AK18" t="e">
            <v>#REF!</v>
          </cell>
          <cell r="AL18" t="e">
            <v>#REF!</v>
          </cell>
          <cell r="AM18" t="e">
            <v>#REF!</v>
          </cell>
          <cell r="AN18" t="e">
            <v>#REF!</v>
          </cell>
          <cell r="AO18" t="e">
            <v>#REF!</v>
          </cell>
          <cell r="AP18" t="e">
            <v>#REF!</v>
          </cell>
        </row>
        <row r="19">
          <cell r="Y19">
            <v>1</v>
          </cell>
          <cell r="Z19" t="e">
            <v>#REF!</v>
          </cell>
          <cell r="AA19" t="e">
            <v>#REF!</v>
          </cell>
          <cell r="AB19" t="e">
            <v>#REF!</v>
          </cell>
          <cell r="AC19" t="e">
            <v>#REF!</v>
          </cell>
          <cell r="AD19" t="e">
            <v>#REF!</v>
          </cell>
          <cell r="AE19" t="e">
            <v>#REF!</v>
          </cell>
          <cell r="AF19" t="e">
            <v>#REF!</v>
          </cell>
          <cell r="AG19" t="e">
            <v>#REF!</v>
          </cell>
          <cell r="AH19" t="e">
            <v>#REF!</v>
          </cell>
          <cell r="AI19" t="e">
            <v>#REF!</v>
          </cell>
          <cell r="AJ19" t="e">
            <v>#REF!</v>
          </cell>
          <cell r="AK19" t="e">
            <v>#REF!</v>
          </cell>
          <cell r="AL19" t="e">
            <v>#REF!</v>
          </cell>
          <cell r="AM19" t="e">
            <v>#REF!</v>
          </cell>
          <cell r="AN19" t="e">
            <v>#REF!</v>
          </cell>
          <cell r="AO19" t="e">
            <v>#REF!</v>
          </cell>
          <cell r="AP19" t="e">
            <v>#REF!</v>
          </cell>
        </row>
        <row r="20">
          <cell r="Y20">
            <v>1</v>
          </cell>
          <cell r="Z20" t="e">
            <v>#REF!</v>
          </cell>
          <cell r="AA20" t="e">
            <v>#REF!</v>
          </cell>
          <cell r="AB20" t="e">
            <v>#REF!</v>
          </cell>
          <cell r="AC20" t="e">
            <v>#REF!</v>
          </cell>
          <cell r="AD20" t="e">
            <v>#REF!</v>
          </cell>
          <cell r="AE20" t="e">
            <v>#REF!</v>
          </cell>
          <cell r="AF20" t="e">
            <v>#REF!</v>
          </cell>
          <cell r="AG20" t="e">
            <v>#REF!</v>
          </cell>
          <cell r="AH20" t="e">
            <v>#REF!</v>
          </cell>
          <cell r="AI20" t="e">
            <v>#REF!</v>
          </cell>
          <cell r="AJ20" t="e">
            <v>#REF!</v>
          </cell>
          <cell r="AK20" t="e">
            <v>#REF!</v>
          </cell>
          <cell r="AL20" t="e">
            <v>#REF!</v>
          </cell>
          <cell r="AM20" t="e">
            <v>#REF!</v>
          </cell>
          <cell r="AN20" t="e">
            <v>#REF!</v>
          </cell>
          <cell r="AO20" t="e">
            <v>#REF!</v>
          </cell>
          <cell r="AP20" t="e">
            <v>#REF!</v>
          </cell>
        </row>
        <row r="21">
          <cell r="Y21">
            <v>1</v>
          </cell>
          <cell r="Z21" t="e">
            <v>#REF!</v>
          </cell>
          <cell r="AA21" t="e">
            <v>#REF!</v>
          </cell>
          <cell r="AB21" t="e">
            <v>#REF!</v>
          </cell>
          <cell r="AC21" t="e">
            <v>#REF!</v>
          </cell>
          <cell r="AD21" t="e">
            <v>#REF!</v>
          </cell>
          <cell r="AE21" t="e">
            <v>#REF!</v>
          </cell>
          <cell r="AF21" t="e">
            <v>#REF!</v>
          </cell>
          <cell r="AG21" t="e">
            <v>#REF!</v>
          </cell>
          <cell r="AH21" t="e">
            <v>#REF!</v>
          </cell>
          <cell r="AI21" t="e">
            <v>#REF!</v>
          </cell>
          <cell r="AJ21" t="e">
            <v>#REF!</v>
          </cell>
          <cell r="AK21" t="e">
            <v>#REF!</v>
          </cell>
          <cell r="AL21" t="e">
            <v>#REF!</v>
          </cell>
          <cell r="AM21" t="e">
            <v>#REF!</v>
          </cell>
          <cell r="AN21" t="e">
            <v>#REF!</v>
          </cell>
          <cell r="AO21" t="e">
            <v>#REF!</v>
          </cell>
          <cell r="AP21" t="e">
            <v>#REF!</v>
          </cell>
        </row>
        <row r="22">
          <cell r="Y22">
            <v>1</v>
          </cell>
          <cell r="Z22" t="e">
            <v>#REF!</v>
          </cell>
          <cell r="AA22" t="e">
            <v>#REF!</v>
          </cell>
          <cell r="AB22" t="e">
            <v>#REF!</v>
          </cell>
          <cell r="AC22" t="e">
            <v>#REF!</v>
          </cell>
          <cell r="AD22" t="e">
            <v>#REF!</v>
          </cell>
          <cell r="AE22" t="e">
            <v>#REF!</v>
          </cell>
          <cell r="AF22" t="e">
            <v>#REF!</v>
          </cell>
          <cell r="AG22" t="e">
            <v>#REF!</v>
          </cell>
          <cell r="AH22" t="e">
            <v>#REF!</v>
          </cell>
          <cell r="AI22" t="e">
            <v>#REF!</v>
          </cell>
          <cell r="AJ22" t="e">
            <v>#REF!</v>
          </cell>
          <cell r="AK22" t="e">
            <v>#REF!</v>
          </cell>
          <cell r="AL22" t="e">
            <v>#REF!</v>
          </cell>
          <cell r="AM22" t="e">
            <v>#REF!</v>
          </cell>
          <cell r="AN22" t="e">
            <v>#REF!</v>
          </cell>
          <cell r="AO22" t="e">
            <v>#REF!</v>
          </cell>
          <cell r="AP22" t="e">
            <v>#REF!</v>
          </cell>
        </row>
        <row r="23">
          <cell r="Y23">
            <v>1</v>
          </cell>
          <cell r="Z23" t="e">
            <v>#REF!</v>
          </cell>
          <cell r="AA23" t="e">
            <v>#REF!</v>
          </cell>
          <cell r="AB23" t="e">
            <v>#REF!</v>
          </cell>
          <cell r="AC23" t="e">
            <v>#REF!</v>
          </cell>
          <cell r="AD23" t="e">
            <v>#REF!</v>
          </cell>
          <cell r="AE23" t="e">
            <v>#REF!</v>
          </cell>
          <cell r="AF23" t="e">
            <v>#REF!</v>
          </cell>
          <cell r="AG23" t="e">
            <v>#REF!</v>
          </cell>
          <cell r="AH23" t="e">
            <v>#REF!</v>
          </cell>
          <cell r="AI23" t="e">
            <v>#REF!</v>
          </cell>
          <cell r="AJ23" t="e">
            <v>#REF!</v>
          </cell>
          <cell r="AK23" t="e">
            <v>#REF!</v>
          </cell>
          <cell r="AL23" t="e">
            <v>#REF!</v>
          </cell>
          <cell r="AM23" t="e">
            <v>#REF!</v>
          </cell>
          <cell r="AN23" t="e">
            <v>#REF!</v>
          </cell>
          <cell r="AO23" t="e">
            <v>#REF!</v>
          </cell>
          <cell r="AP23" t="e">
            <v>#REF!</v>
          </cell>
        </row>
        <row r="24">
          <cell r="Y24">
            <v>1</v>
          </cell>
          <cell r="Z24" t="e">
            <v>#REF!</v>
          </cell>
          <cell r="AA24" t="e">
            <v>#REF!</v>
          </cell>
          <cell r="AB24" t="e">
            <v>#REF!</v>
          </cell>
          <cell r="AC24" t="e">
            <v>#REF!</v>
          </cell>
          <cell r="AD24" t="e">
            <v>#REF!</v>
          </cell>
          <cell r="AE24" t="e">
            <v>#REF!</v>
          </cell>
          <cell r="AF24" t="e">
            <v>#REF!</v>
          </cell>
          <cell r="AG24" t="e">
            <v>#REF!</v>
          </cell>
          <cell r="AH24" t="e">
            <v>#REF!</v>
          </cell>
          <cell r="AI24" t="e">
            <v>#REF!</v>
          </cell>
          <cell r="AJ24" t="e">
            <v>#REF!</v>
          </cell>
          <cell r="AK24" t="e">
            <v>#REF!</v>
          </cell>
          <cell r="AL24" t="e">
            <v>#REF!</v>
          </cell>
          <cell r="AM24" t="e">
            <v>#REF!</v>
          </cell>
          <cell r="AN24" t="e">
            <v>#REF!</v>
          </cell>
          <cell r="AO24" t="e">
            <v>#REF!</v>
          </cell>
          <cell r="AP24" t="e">
            <v>#REF!</v>
          </cell>
        </row>
        <row r="25">
          <cell r="Y25">
            <v>1</v>
          </cell>
          <cell r="Z25" t="e">
            <v>#REF!</v>
          </cell>
          <cell r="AA25" t="e">
            <v>#REF!</v>
          </cell>
          <cell r="AB25" t="e">
            <v>#REF!</v>
          </cell>
          <cell r="AC25" t="e">
            <v>#REF!</v>
          </cell>
          <cell r="AD25" t="e">
            <v>#REF!</v>
          </cell>
          <cell r="AE25" t="e">
            <v>#REF!</v>
          </cell>
          <cell r="AF25" t="e">
            <v>#REF!</v>
          </cell>
          <cell r="AG25" t="e">
            <v>#REF!</v>
          </cell>
          <cell r="AH25" t="e">
            <v>#REF!</v>
          </cell>
          <cell r="AI25" t="e">
            <v>#REF!</v>
          </cell>
          <cell r="AJ25" t="e">
            <v>#REF!</v>
          </cell>
          <cell r="AK25" t="e">
            <v>#REF!</v>
          </cell>
          <cell r="AL25" t="e">
            <v>#REF!</v>
          </cell>
          <cell r="AM25" t="e">
            <v>#REF!</v>
          </cell>
          <cell r="AN25" t="e">
            <v>#REF!</v>
          </cell>
          <cell r="AO25" t="e">
            <v>#REF!</v>
          </cell>
          <cell r="AP25" t="e">
            <v>#REF!</v>
          </cell>
        </row>
        <row r="26">
          <cell r="Y26">
            <v>1</v>
          </cell>
          <cell r="Z26" t="e">
            <v>#REF!</v>
          </cell>
          <cell r="AA26" t="e">
            <v>#REF!</v>
          </cell>
          <cell r="AB26" t="e">
            <v>#REF!</v>
          </cell>
          <cell r="AC26" t="e">
            <v>#REF!</v>
          </cell>
          <cell r="AD26" t="e">
            <v>#REF!</v>
          </cell>
          <cell r="AE26" t="e">
            <v>#REF!</v>
          </cell>
          <cell r="AF26" t="e">
            <v>#REF!</v>
          </cell>
          <cell r="AG26" t="e">
            <v>#REF!</v>
          </cell>
          <cell r="AH26" t="e">
            <v>#REF!</v>
          </cell>
          <cell r="AI26" t="e">
            <v>#REF!</v>
          </cell>
          <cell r="AJ26" t="e">
            <v>#REF!</v>
          </cell>
          <cell r="AK26" t="e">
            <v>#REF!</v>
          </cell>
          <cell r="AL26" t="e">
            <v>#REF!</v>
          </cell>
          <cell r="AM26" t="e">
            <v>#REF!</v>
          </cell>
          <cell r="AN26" t="e">
            <v>#REF!</v>
          </cell>
          <cell r="AO26" t="e">
            <v>#REF!</v>
          </cell>
          <cell r="AP26" t="e">
            <v>#REF!</v>
          </cell>
        </row>
        <row r="27">
          <cell r="Y27">
            <v>1</v>
          </cell>
          <cell r="Z27" t="e">
            <v>#REF!</v>
          </cell>
          <cell r="AA27" t="e">
            <v>#REF!</v>
          </cell>
          <cell r="AB27" t="e">
            <v>#REF!</v>
          </cell>
          <cell r="AC27" t="e">
            <v>#REF!</v>
          </cell>
          <cell r="AD27" t="e">
            <v>#REF!</v>
          </cell>
          <cell r="AE27" t="e">
            <v>#REF!</v>
          </cell>
          <cell r="AF27" t="e">
            <v>#REF!</v>
          </cell>
          <cell r="AG27" t="e">
            <v>#REF!</v>
          </cell>
          <cell r="AH27" t="e">
            <v>#REF!</v>
          </cell>
          <cell r="AI27" t="e">
            <v>#REF!</v>
          </cell>
          <cell r="AJ27" t="e">
            <v>#REF!</v>
          </cell>
          <cell r="AK27" t="e">
            <v>#REF!</v>
          </cell>
          <cell r="AL27" t="e">
            <v>#REF!</v>
          </cell>
          <cell r="AM27" t="e">
            <v>#REF!</v>
          </cell>
          <cell r="AN27" t="e">
            <v>#REF!</v>
          </cell>
          <cell r="AO27" t="e">
            <v>#REF!</v>
          </cell>
          <cell r="AP27" t="e">
            <v>#REF!</v>
          </cell>
        </row>
        <row r="36">
          <cell r="Y36">
            <v>1</v>
          </cell>
          <cell r="Z36">
            <v>1</v>
          </cell>
          <cell r="AA36" t="e">
            <v>#REF!</v>
          </cell>
          <cell r="AB36" t="e">
            <v>#REF!</v>
          </cell>
          <cell r="AC36" t="e">
            <v>#REF!</v>
          </cell>
          <cell r="AD36" t="e">
            <v>#REF!</v>
          </cell>
          <cell r="AE36" t="e">
            <v>#REF!</v>
          </cell>
          <cell r="AF36" t="e">
            <v>#REF!</v>
          </cell>
          <cell r="AG36" t="e">
            <v>#REF!</v>
          </cell>
          <cell r="AH36" t="e">
            <v>#REF!</v>
          </cell>
          <cell r="AI36" t="e">
            <v>#REF!</v>
          </cell>
          <cell r="AJ36" t="e">
            <v>#REF!</v>
          </cell>
          <cell r="AK36" t="e">
            <v>#REF!</v>
          </cell>
          <cell r="AL36" t="e">
            <v>#REF!</v>
          </cell>
          <cell r="AM36" t="e">
            <v>#REF!</v>
          </cell>
          <cell r="AN36" t="e">
            <v>#REF!</v>
          </cell>
          <cell r="AO36" t="e">
            <v>#REF!</v>
          </cell>
          <cell r="AP36" t="e">
            <v>#REF!</v>
          </cell>
        </row>
        <row r="37">
          <cell r="Y37">
            <v>1</v>
          </cell>
          <cell r="Z37">
            <v>1</v>
          </cell>
          <cell r="AA37" t="e">
            <v>#REF!</v>
          </cell>
          <cell r="AB37" t="e">
            <v>#REF!</v>
          </cell>
          <cell r="AC37" t="e">
            <v>#REF!</v>
          </cell>
          <cell r="AD37" t="e">
            <v>#REF!</v>
          </cell>
          <cell r="AE37" t="e">
            <v>#REF!</v>
          </cell>
          <cell r="AF37" t="e">
            <v>#REF!</v>
          </cell>
          <cell r="AG37" t="e">
            <v>#REF!</v>
          </cell>
          <cell r="AH37" t="e">
            <v>#REF!</v>
          </cell>
          <cell r="AI37" t="e">
            <v>#REF!</v>
          </cell>
          <cell r="AJ37" t="e">
            <v>#REF!</v>
          </cell>
          <cell r="AK37" t="e">
            <v>#REF!</v>
          </cell>
          <cell r="AL37" t="e">
            <v>#REF!</v>
          </cell>
          <cell r="AM37" t="e">
            <v>#REF!</v>
          </cell>
          <cell r="AN37" t="e">
            <v>#REF!</v>
          </cell>
          <cell r="AO37" t="e">
            <v>#REF!</v>
          </cell>
          <cell r="AP37" t="e">
            <v>#REF!</v>
          </cell>
        </row>
        <row r="38">
          <cell r="Y38">
            <v>1</v>
          </cell>
          <cell r="Z38">
            <v>1</v>
          </cell>
          <cell r="AA38" t="e">
            <v>#REF!</v>
          </cell>
          <cell r="AB38" t="e">
            <v>#REF!</v>
          </cell>
          <cell r="AC38" t="e">
            <v>#REF!</v>
          </cell>
          <cell r="AD38" t="e">
            <v>#REF!</v>
          </cell>
          <cell r="AE38" t="e">
            <v>#REF!</v>
          </cell>
          <cell r="AF38" t="e">
            <v>#REF!</v>
          </cell>
          <cell r="AG38" t="e">
            <v>#REF!</v>
          </cell>
          <cell r="AH38" t="e">
            <v>#REF!</v>
          </cell>
          <cell r="AI38" t="e">
            <v>#REF!</v>
          </cell>
          <cell r="AJ38" t="e">
            <v>#REF!</v>
          </cell>
          <cell r="AK38" t="e">
            <v>#REF!</v>
          </cell>
          <cell r="AL38" t="e">
            <v>#REF!</v>
          </cell>
          <cell r="AM38" t="e">
            <v>#REF!</v>
          </cell>
          <cell r="AN38" t="e">
            <v>#REF!</v>
          </cell>
          <cell r="AO38" t="e">
            <v>#REF!</v>
          </cell>
          <cell r="AP38" t="e">
            <v>#REF!</v>
          </cell>
        </row>
        <row r="39">
          <cell r="Y39">
            <v>1</v>
          </cell>
          <cell r="Z39">
            <v>1</v>
          </cell>
          <cell r="AA39" t="e">
            <v>#REF!</v>
          </cell>
          <cell r="AB39" t="e">
            <v>#REF!</v>
          </cell>
          <cell r="AC39" t="e">
            <v>#REF!</v>
          </cell>
          <cell r="AD39" t="e">
            <v>#REF!</v>
          </cell>
          <cell r="AE39" t="e">
            <v>#REF!</v>
          </cell>
          <cell r="AF39" t="e">
            <v>#REF!</v>
          </cell>
          <cell r="AG39" t="e">
            <v>#REF!</v>
          </cell>
          <cell r="AH39" t="e">
            <v>#REF!</v>
          </cell>
          <cell r="AI39" t="e">
            <v>#REF!</v>
          </cell>
          <cell r="AJ39" t="e">
            <v>#REF!</v>
          </cell>
          <cell r="AK39" t="e">
            <v>#REF!</v>
          </cell>
          <cell r="AL39" t="e">
            <v>#REF!</v>
          </cell>
          <cell r="AM39" t="e">
            <v>#REF!</v>
          </cell>
          <cell r="AN39" t="e">
            <v>#REF!</v>
          </cell>
          <cell r="AO39" t="e">
            <v>#REF!</v>
          </cell>
          <cell r="AP39" t="e">
            <v>#REF!</v>
          </cell>
        </row>
        <row r="40">
          <cell r="Y40">
            <v>1</v>
          </cell>
          <cell r="Z40">
            <v>1</v>
          </cell>
          <cell r="AA40" t="e">
            <v>#REF!</v>
          </cell>
          <cell r="AB40" t="e">
            <v>#REF!</v>
          </cell>
          <cell r="AC40" t="e">
            <v>#REF!</v>
          </cell>
          <cell r="AD40" t="e">
            <v>#REF!</v>
          </cell>
          <cell r="AE40" t="e">
            <v>#REF!</v>
          </cell>
          <cell r="AF40" t="e">
            <v>#REF!</v>
          </cell>
          <cell r="AG40" t="e">
            <v>#REF!</v>
          </cell>
          <cell r="AH40" t="e">
            <v>#REF!</v>
          </cell>
          <cell r="AI40" t="e">
            <v>#REF!</v>
          </cell>
          <cell r="AJ40" t="e">
            <v>#REF!</v>
          </cell>
          <cell r="AK40" t="e">
            <v>#REF!</v>
          </cell>
          <cell r="AL40" t="e">
            <v>#REF!</v>
          </cell>
          <cell r="AM40" t="e">
            <v>#REF!</v>
          </cell>
          <cell r="AN40" t="e">
            <v>#REF!</v>
          </cell>
          <cell r="AO40" t="e">
            <v>#REF!</v>
          </cell>
          <cell r="AP40" t="e">
            <v>#REF!</v>
          </cell>
        </row>
        <row r="41">
          <cell r="Y41">
            <v>1</v>
          </cell>
          <cell r="Z41">
            <v>1</v>
          </cell>
          <cell r="AA41" t="e">
            <v>#REF!</v>
          </cell>
          <cell r="AB41" t="e">
            <v>#REF!</v>
          </cell>
          <cell r="AC41" t="e">
            <v>#REF!</v>
          </cell>
          <cell r="AD41" t="e">
            <v>#REF!</v>
          </cell>
          <cell r="AE41" t="e">
            <v>#REF!</v>
          </cell>
          <cell r="AF41" t="e">
            <v>#REF!</v>
          </cell>
          <cell r="AG41" t="e">
            <v>#REF!</v>
          </cell>
          <cell r="AH41" t="e">
            <v>#REF!</v>
          </cell>
          <cell r="AI41" t="e">
            <v>#REF!</v>
          </cell>
          <cell r="AJ41" t="e">
            <v>#REF!</v>
          </cell>
          <cell r="AK41" t="e">
            <v>#REF!</v>
          </cell>
          <cell r="AL41" t="e">
            <v>#REF!</v>
          </cell>
          <cell r="AM41" t="e">
            <v>#REF!</v>
          </cell>
          <cell r="AN41" t="e">
            <v>#REF!</v>
          </cell>
          <cell r="AO41" t="e">
            <v>#REF!</v>
          </cell>
          <cell r="AP41" t="e">
            <v>#REF!</v>
          </cell>
        </row>
        <row r="42">
          <cell r="Y42">
            <v>1</v>
          </cell>
          <cell r="Z42">
            <v>1</v>
          </cell>
          <cell r="AA42" t="e">
            <v>#REF!</v>
          </cell>
          <cell r="AB42" t="e">
            <v>#REF!</v>
          </cell>
          <cell r="AC42" t="e">
            <v>#REF!</v>
          </cell>
          <cell r="AD42" t="e">
            <v>#REF!</v>
          </cell>
          <cell r="AE42" t="e">
            <v>#REF!</v>
          </cell>
          <cell r="AF42" t="e">
            <v>#REF!</v>
          </cell>
          <cell r="AG42" t="e">
            <v>#REF!</v>
          </cell>
          <cell r="AH42" t="e">
            <v>#REF!</v>
          </cell>
          <cell r="AI42" t="e">
            <v>#REF!</v>
          </cell>
          <cell r="AJ42" t="e">
            <v>#REF!</v>
          </cell>
          <cell r="AK42" t="e">
            <v>#REF!</v>
          </cell>
          <cell r="AL42" t="e">
            <v>#REF!</v>
          </cell>
          <cell r="AM42" t="e">
            <v>#REF!</v>
          </cell>
          <cell r="AN42" t="e">
            <v>#REF!</v>
          </cell>
          <cell r="AO42" t="e">
            <v>#REF!</v>
          </cell>
          <cell r="AP42" t="e">
            <v>#REF!</v>
          </cell>
        </row>
        <row r="43">
          <cell r="Y43">
            <v>1</v>
          </cell>
          <cell r="Z43">
            <v>1</v>
          </cell>
          <cell r="AA43" t="e">
            <v>#REF!</v>
          </cell>
          <cell r="AB43" t="e">
            <v>#REF!</v>
          </cell>
          <cell r="AC43" t="e">
            <v>#REF!</v>
          </cell>
          <cell r="AD43" t="e">
            <v>#REF!</v>
          </cell>
          <cell r="AE43" t="e">
            <v>#REF!</v>
          </cell>
          <cell r="AF43" t="e">
            <v>#REF!</v>
          </cell>
          <cell r="AG43" t="e">
            <v>#REF!</v>
          </cell>
          <cell r="AH43" t="e">
            <v>#REF!</v>
          </cell>
          <cell r="AI43" t="e">
            <v>#REF!</v>
          </cell>
          <cell r="AJ43" t="e">
            <v>#REF!</v>
          </cell>
          <cell r="AK43" t="e">
            <v>#REF!</v>
          </cell>
          <cell r="AL43" t="e">
            <v>#REF!</v>
          </cell>
          <cell r="AM43" t="e">
            <v>#REF!</v>
          </cell>
          <cell r="AN43" t="e">
            <v>#REF!</v>
          </cell>
          <cell r="AO43" t="e">
            <v>#REF!</v>
          </cell>
          <cell r="AP43" t="e">
            <v>#REF!</v>
          </cell>
        </row>
        <row r="44">
          <cell r="Y44">
            <v>1</v>
          </cell>
          <cell r="Z44">
            <v>1</v>
          </cell>
          <cell r="AA44" t="e">
            <v>#REF!</v>
          </cell>
          <cell r="AB44" t="e">
            <v>#REF!</v>
          </cell>
          <cell r="AC44" t="e">
            <v>#REF!</v>
          </cell>
          <cell r="AD44" t="e">
            <v>#REF!</v>
          </cell>
          <cell r="AE44" t="e">
            <v>#REF!</v>
          </cell>
          <cell r="AF44" t="e">
            <v>#REF!</v>
          </cell>
          <cell r="AG44" t="e">
            <v>#REF!</v>
          </cell>
          <cell r="AH44" t="e">
            <v>#REF!</v>
          </cell>
          <cell r="AI44" t="e">
            <v>#REF!</v>
          </cell>
          <cell r="AJ44" t="e">
            <v>#REF!</v>
          </cell>
          <cell r="AK44" t="e">
            <v>#REF!</v>
          </cell>
          <cell r="AL44" t="e">
            <v>#REF!</v>
          </cell>
          <cell r="AM44" t="e">
            <v>#REF!</v>
          </cell>
          <cell r="AN44" t="e">
            <v>#REF!</v>
          </cell>
          <cell r="AO44" t="e">
            <v>#REF!</v>
          </cell>
          <cell r="AP44" t="e">
            <v>#REF!</v>
          </cell>
        </row>
        <row r="45">
          <cell r="Y45">
            <v>1</v>
          </cell>
          <cell r="Z45">
            <v>1</v>
          </cell>
          <cell r="AA45" t="e">
            <v>#REF!</v>
          </cell>
          <cell r="AB45" t="e">
            <v>#REF!</v>
          </cell>
          <cell r="AC45" t="e">
            <v>#REF!</v>
          </cell>
          <cell r="AD45" t="e">
            <v>#REF!</v>
          </cell>
          <cell r="AE45" t="e">
            <v>#REF!</v>
          </cell>
          <cell r="AF45" t="e">
            <v>#REF!</v>
          </cell>
          <cell r="AG45" t="e">
            <v>#REF!</v>
          </cell>
          <cell r="AH45" t="e">
            <v>#REF!</v>
          </cell>
          <cell r="AI45" t="e">
            <v>#REF!</v>
          </cell>
          <cell r="AJ45" t="e">
            <v>#REF!</v>
          </cell>
          <cell r="AK45" t="e">
            <v>#REF!</v>
          </cell>
          <cell r="AL45" t="e">
            <v>#REF!</v>
          </cell>
          <cell r="AM45" t="e">
            <v>#REF!</v>
          </cell>
          <cell r="AN45" t="e">
            <v>#REF!</v>
          </cell>
          <cell r="AO45" t="e">
            <v>#REF!</v>
          </cell>
          <cell r="AP45" t="e">
            <v>#REF!</v>
          </cell>
        </row>
        <row r="46">
          <cell r="Y46">
            <v>1</v>
          </cell>
          <cell r="Z46">
            <v>1</v>
          </cell>
          <cell r="AA46" t="e">
            <v>#REF!</v>
          </cell>
          <cell r="AB46" t="e">
            <v>#REF!</v>
          </cell>
          <cell r="AC46" t="e">
            <v>#REF!</v>
          </cell>
          <cell r="AD46" t="e">
            <v>#REF!</v>
          </cell>
          <cell r="AE46" t="e">
            <v>#REF!</v>
          </cell>
          <cell r="AF46" t="e">
            <v>#REF!</v>
          </cell>
          <cell r="AG46" t="e">
            <v>#REF!</v>
          </cell>
          <cell r="AH46" t="e">
            <v>#REF!</v>
          </cell>
          <cell r="AI46" t="e">
            <v>#REF!</v>
          </cell>
          <cell r="AJ46" t="e">
            <v>#REF!</v>
          </cell>
          <cell r="AK46" t="e">
            <v>#REF!</v>
          </cell>
          <cell r="AL46" t="e">
            <v>#REF!</v>
          </cell>
          <cell r="AM46" t="e">
            <v>#REF!</v>
          </cell>
          <cell r="AN46" t="e">
            <v>#REF!</v>
          </cell>
          <cell r="AO46" t="e">
            <v>#REF!</v>
          </cell>
          <cell r="AP46" t="e">
            <v>#REF!</v>
          </cell>
        </row>
        <row r="47">
          <cell r="Y47">
            <v>1</v>
          </cell>
          <cell r="Z47">
            <v>1</v>
          </cell>
          <cell r="AA47" t="e">
            <v>#REF!</v>
          </cell>
          <cell r="AB47" t="e">
            <v>#REF!</v>
          </cell>
          <cell r="AC47" t="e">
            <v>#REF!</v>
          </cell>
          <cell r="AD47" t="e">
            <v>#REF!</v>
          </cell>
          <cell r="AE47" t="e">
            <v>#REF!</v>
          </cell>
          <cell r="AF47" t="e">
            <v>#REF!</v>
          </cell>
          <cell r="AG47" t="e">
            <v>#REF!</v>
          </cell>
          <cell r="AH47" t="e">
            <v>#REF!</v>
          </cell>
          <cell r="AI47" t="e">
            <v>#REF!</v>
          </cell>
          <cell r="AJ47" t="e">
            <v>#REF!</v>
          </cell>
          <cell r="AK47" t="e">
            <v>#REF!</v>
          </cell>
          <cell r="AL47" t="e">
            <v>#REF!</v>
          </cell>
          <cell r="AM47" t="e">
            <v>#REF!</v>
          </cell>
          <cell r="AN47" t="e">
            <v>#REF!</v>
          </cell>
          <cell r="AO47" t="e">
            <v>#REF!</v>
          </cell>
          <cell r="AP47" t="e">
            <v>#REF!</v>
          </cell>
        </row>
        <row r="48">
          <cell r="Y48">
            <v>1</v>
          </cell>
          <cell r="Z48">
            <v>1</v>
          </cell>
          <cell r="AA48" t="e">
            <v>#REF!</v>
          </cell>
          <cell r="AB48" t="e">
            <v>#REF!</v>
          </cell>
          <cell r="AC48" t="e">
            <v>#REF!</v>
          </cell>
          <cell r="AD48" t="e">
            <v>#REF!</v>
          </cell>
          <cell r="AE48" t="e">
            <v>#REF!</v>
          </cell>
          <cell r="AF48" t="e">
            <v>#REF!</v>
          </cell>
          <cell r="AG48" t="e">
            <v>#REF!</v>
          </cell>
          <cell r="AH48" t="e">
            <v>#REF!</v>
          </cell>
          <cell r="AI48" t="e">
            <v>#REF!</v>
          </cell>
          <cell r="AJ48" t="e">
            <v>#REF!</v>
          </cell>
          <cell r="AK48" t="e">
            <v>#REF!</v>
          </cell>
          <cell r="AL48" t="e">
            <v>#REF!</v>
          </cell>
          <cell r="AM48" t="e">
            <v>#REF!</v>
          </cell>
          <cell r="AN48" t="e">
            <v>#REF!</v>
          </cell>
          <cell r="AO48" t="e">
            <v>#REF!</v>
          </cell>
          <cell r="AP48" t="e">
            <v>#REF!</v>
          </cell>
        </row>
        <row r="49">
          <cell r="Y49">
            <v>1</v>
          </cell>
          <cell r="Z49">
            <v>1</v>
          </cell>
          <cell r="AA49" t="e">
            <v>#REF!</v>
          </cell>
          <cell r="AB49" t="e">
            <v>#REF!</v>
          </cell>
          <cell r="AC49" t="e">
            <v>#REF!</v>
          </cell>
          <cell r="AD49" t="e">
            <v>#REF!</v>
          </cell>
          <cell r="AE49" t="e">
            <v>#REF!</v>
          </cell>
          <cell r="AF49" t="e">
            <v>#REF!</v>
          </cell>
          <cell r="AG49" t="e">
            <v>#REF!</v>
          </cell>
          <cell r="AH49" t="e">
            <v>#REF!</v>
          </cell>
          <cell r="AI49" t="e">
            <v>#REF!</v>
          </cell>
          <cell r="AJ49" t="e">
            <v>#REF!</v>
          </cell>
          <cell r="AK49" t="e">
            <v>#REF!</v>
          </cell>
          <cell r="AL49" t="e">
            <v>#REF!</v>
          </cell>
          <cell r="AM49" t="e">
            <v>#REF!</v>
          </cell>
          <cell r="AN49" t="e">
            <v>#REF!</v>
          </cell>
          <cell r="AO49" t="e">
            <v>#REF!</v>
          </cell>
          <cell r="AP49" t="e">
            <v>#REF!</v>
          </cell>
        </row>
        <row r="50">
          <cell r="Y50">
            <v>1</v>
          </cell>
          <cell r="Z50">
            <v>1</v>
          </cell>
          <cell r="AA50" t="e">
            <v>#REF!</v>
          </cell>
          <cell r="AB50" t="e">
            <v>#REF!</v>
          </cell>
          <cell r="AC50" t="e">
            <v>#REF!</v>
          </cell>
          <cell r="AD50" t="e">
            <v>#REF!</v>
          </cell>
          <cell r="AE50" t="e">
            <v>#REF!</v>
          </cell>
          <cell r="AF50" t="e">
            <v>#REF!</v>
          </cell>
          <cell r="AG50" t="e">
            <v>#REF!</v>
          </cell>
          <cell r="AH50" t="e">
            <v>#REF!</v>
          </cell>
          <cell r="AI50" t="e">
            <v>#REF!</v>
          </cell>
          <cell r="AJ50" t="e">
            <v>#REF!</v>
          </cell>
          <cell r="AK50" t="e">
            <v>#REF!</v>
          </cell>
          <cell r="AL50" t="e">
            <v>#REF!</v>
          </cell>
          <cell r="AM50" t="e">
            <v>#REF!</v>
          </cell>
          <cell r="AN50" t="e">
            <v>#REF!</v>
          </cell>
          <cell r="AO50" t="e">
            <v>#REF!</v>
          </cell>
          <cell r="AP50" t="e">
            <v>#REF!</v>
          </cell>
        </row>
        <row r="51">
          <cell r="Y51">
            <v>1</v>
          </cell>
          <cell r="Z51">
            <v>1</v>
          </cell>
          <cell r="AA51" t="e">
            <v>#REF!</v>
          </cell>
          <cell r="AB51" t="e">
            <v>#REF!</v>
          </cell>
          <cell r="AC51" t="e">
            <v>#REF!</v>
          </cell>
          <cell r="AD51" t="e">
            <v>#REF!</v>
          </cell>
          <cell r="AE51" t="e">
            <v>#REF!</v>
          </cell>
          <cell r="AF51" t="e">
            <v>#REF!</v>
          </cell>
          <cell r="AG51" t="e">
            <v>#REF!</v>
          </cell>
          <cell r="AH51" t="e">
            <v>#REF!</v>
          </cell>
          <cell r="AI51" t="e">
            <v>#REF!</v>
          </cell>
          <cell r="AJ51" t="e">
            <v>#REF!</v>
          </cell>
          <cell r="AK51" t="e">
            <v>#REF!</v>
          </cell>
          <cell r="AL51" t="e">
            <v>#REF!</v>
          </cell>
          <cell r="AM51" t="e">
            <v>#REF!</v>
          </cell>
          <cell r="AN51" t="e">
            <v>#REF!</v>
          </cell>
          <cell r="AO51" t="e">
            <v>#REF!</v>
          </cell>
          <cell r="AP51" t="e">
            <v>#REF!</v>
          </cell>
        </row>
        <row r="52">
          <cell r="Y52">
            <v>1</v>
          </cell>
          <cell r="Z52">
            <v>1</v>
          </cell>
          <cell r="AA52" t="e">
            <v>#REF!</v>
          </cell>
          <cell r="AB52" t="e">
            <v>#REF!</v>
          </cell>
          <cell r="AC52" t="e">
            <v>#REF!</v>
          </cell>
          <cell r="AD52" t="e">
            <v>#REF!</v>
          </cell>
          <cell r="AE52" t="e">
            <v>#REF!</v>
          </cell>
          <cell r="AF52" t="e">
            <v>#REF!</v>
          </cell>
          <cell r="AG52" t="e">
            <v>#REF!</v>
          </cell>
          <cell r="AH52" t="e">
            <v>#REF!</v>
          </cell>
          <cell r="AI52" t="e">
            <v>#REF!</v>
          </cell>
          <cell r="AJ52" t="e">
            <v>#REF!</v>
          </cell>
          <cell r="AK52" t="e">
            <v>#REF!</v>
          </cell>
          <cell r="AL52" t="e">
            <v>#REF!</v>
          </cell>
          <cell r="AM52" t="e">
            <v>#REF!</v>
          </cell>
          <cell r="AN52" t="e">
            <v>#REF!</v>
          </cell>
          <cell r="AO52" t="e">
            <v>#REF!</v>
          </cell>
          <cell r="AP52" t="e">
            <v>#REF!</v>
          </cell>
        </row>
        <row r="53">
          <cell r="Y53">
            <v>1</v>
          </cell>
          <cell r="Z53">
            <v>1</v>
          </cell>
          <cell r="AA53" t="e">
            <v>#REF!</v>
          </cell>
          <cell r="AB53" t="e">
            <v>#REF!</v>
          </cell>
          <cell r="AC53" t="e">
            <v>#REF!</v>
          </cell>
          <cell r="AD53" t="e">
            <v>#REF!</v>
          </cell>
          <cell r="AE53" t="e">
            <v>#REF!</v>
          </cell>
          <cell r="AF53" t="e">
            <v>#REF!</v>
          </cell>
          <cell r="AG53" t="e">
            <v>#REF!</v>
          </cell>
          <cell r="AH53" t="e">
            <v>#REF!</v>
          </cell>
          <cell r="AI53" t="e">
            <v>#REF!</v>
          </cell>
          <cell r="AJ53" t="e">
            <v>#REF!</v>
          </cell>
          <cell r="AK53" t="e">
            <v>#REF!</v>
          </cell>
          <cell r="AL53" t="e">
            <v>#REF!</v>
          </cell>
          <cell r="AM53" t="e">
            <v>#REF!</v>
          </cell>
          <cell r="AN53" t="e">
            <v>#REF!</v>
          </cell>
          <cell r="AO53" t="e">
            <v>#REF!</v>
          </cell>
          <cell r="AP53" t="e">
            <v>#REF!</v>
          </cell>
        </row>
        <row r="54">
          <cell r="Y54">
            <v>1</v>
          </cell>
          <cell r="Z54">
            <v>1</v>
          </cell>
          <cell r="AA54" t="e">
            <v>#REF!</v>
          </cell>
          <cell r="AB54" t="e">
            <v>#REF!</v>
          </cell>
          <cell r="AC54" t="e">
            <v>#REF!</v>
          </cell>
          <cell r="AD54" t="e">
            <v>#REF!</v>
          </cell>
          <cell r="AE54" t="e">
            <v>#REF!</v>
          </cell>
          <cell r="AF54" t="e">
            <v>#REF!</v>
          </cell>
          <cell r="AG54" t="e">
            <v>#REF!</v>
          </cell>
          <cell r="AH54" t="e">
            <v>#REF!</v>
          </cell>
          <cell r="AI54" t="e">
            <v>#REF!</v>
          </cell>
          <cell r="AJ54" t="e">
            <v>#REF!</v>
          </cell>
          <cell r="AK54" t="e">
            <v>#REF!</v>
          </cell>
          <cell r="AL54" t="e">
            <v>#REF!</v>
          </cell>
          <cell r="AM54" t="e">
            <v>#REF!</v>
          </cell>
          <cell r="AN54" t="e">
            <v>#REF!</v>
          </cell>
          <cell r="AO54" t="e">
            <v>#REF!</v>
          </cell>
          <cell r="AP54" t="e">
            <v>#REF!</v>
          </cell>
        </row>
        <row r="55">
          <cell r="Y55">
            <v>1</v>
          </cell>
          <cell r="Z55">
            <v>1</v>
          </cell>
          <cell r="AA55" t="e">
            <v>#REF!</v>
          </cell>
          <cell r="AB55" t="e">
            <v>#REF!</v>
          </cell>
          <cell r="AC55" t="e">
            <v>#REF!</v>
          </cell>
          <cell r="AD55" t="e">
            <v>#REF!</v>
          </cell>
          <cell r="AE55" t="e">
            <v>#REF!</v>
          </cell>
          <cell r="AF55" t="e">
            <v>#REF!</v>
          </cell>
          <cell r="AG55" t="e">
            <v>#REF!</v>
          </cell>
          <cell r="AH55" t="e">
            <v>#REF!</v>
          </cell>
          <cell r="AI55" t="e">
            <v>#REF!</v>
          </cell>
          <cell r="AJ55" t="e">
            <v>#REF!</v>
          </cell>
          <cell r="AK55" t="e">
            <v>#REF!</v>
          </cell>
          <cell r="AL55" t="e">
            <v>#REF!</v>
          </cell>
          <cell r="AM55" t="e">
            <v>#REF!</v>
          </cell>
          <cell r="AN55" t="e">
            <v>#REF!</v>
          </cell>
          <cell r="AO55" t="e">
            <v>#REF!</v>
          </cell>
          <cell r="AP55" t="e">
            <v>#REF!</v>
          </cell>
        </row>
        <row r="56">
          <cell r="Y56">
            <v>1</v>
          </cell>
          <cell r="Z56">
            <v>1</v>
          </cell>
          <cell r="AA56" t="e">
            <v>#REF!</v>
          </cell>
          <cell r="AB56" t="e">
            <v>#REF!</v>
          </cell>
          <cell r="AC56" t="e">
            <v>#REF!</v>
          </cell>
          <cell r="AD56" t="e">
            <v>#REF!</v>
          </cell>
          <cell r="AE56" t="e">
            <v>#REF!</v>
          </cell>
          <cell r="AF56" t="e">
            <v>#REF!</v>
          </cell>
          <cell r="AG56" t="e">
            <v>#REF!</v>
          </cell>
          <cell r="AH56" t="e">
            <v>#REF!</v>
          </cell>
          <cell r="AI56" t="e">
            <v>#REF!</v>
          </cell>
          <cell r="AJ56" t="e">
            <v>#REF!</v>
          </cell>
          <cell r="AK56" t="e">
            <v>#REF!</v>
          </cell>
          <cell r="AL56" t="e">
            <v>#REF!</v>
          </cell>
          <cell r="AM56" t="e">
            <v>#REF!</v>
          </cell>
          <cell r="AN56" t="e">
            <v>#REF!</v>
          </cell>
          <cell r="AO56" t="e">
            <v>#REF!</v>
          </cell>
          <cell r="AP56" t="e">
            <v>#REF!</v>
          </cell>
        </row>
        <row r="57">
          <cell r="Y57">
            <v>1</v>
          </cell>
          <cell r="Z57">
            <v>1</v>
          </cell>
          <cell r="AA57" t="e">
            <v>#REF!</v>
          </cell>
          <cell r="AB57" t="e">
            <v>#REF!</v>
          </cell>
          <cell r="AC57" t="e">
            <v>#REF!</v>
          </cell>
          <cell r="AD57" t="e">
            <v>#REF!</v>
          </cell>
          <cell r="AE57" t="e">
            <v>#REF!</v>
          </cell>
          <cell r="AF57" t="e">
            <v>#REF!</v>
          </cell>
          <cell r="AG57" t="e">
            <v>#REF!</v>
          </cell>
          <cell r="AH57" t="e">
            <v>#REF!</v>
          </cell>
          <cell r="AI57" t="e">
            <v>#REF!</v>
          </cell>
          <cell r="AJ57" t="e">
            <v>#REF!</v>
          </cell>
          <cell r="AK57" t="e">
            <v>#REF!</v>
          </cell>
          <cell r="AL57" t="e">
            <v>#REF!</v>
          </cell>
          <cell r="AM57" t="e">
            <v>#REF!</v>
          </cell>
          <cell r="AN57" t="e">
            <v>#REF!</v>
          </cell>
          <cell r="AO57" t="e">
            <v>#REF!</v>
          </cell>
          <cell r="AP57" t="e">
            <v>#REF!</v>
          </cell>
        </row>
        <row r="58">
          <cell r="Y58">
            <v>1</v>
          </cell>
          <cell r="Z58">
            <v>1</v>
          </cell>
          <cell r="AA58" t="e">
            <v>#REF!</v>
          </cell>
          <cell r="AB58" t="e">
            <v>#REF!</v>
          </cell>
          <cell r="AC58" t="e">
            <v>#REF!</v>
          </cell>
          <cell r="AD58" t="e">
            <v>#REF!</v>
          </cell>
          <cell r="AE58" t="e">
            <v>#REF!</v>
          </cell>
          <cell r="AF58" t="e">
            <v>#REF!</v>
          </cell>
          <cell r="AG58" t="e">
            <v>#REF!</v>
          </cell>
          <cell r="AH58" t="e">
            <v>#REF!</v>
          </cell>
          <cell r="AI58" t="e">
            <v>#REF!</v>
          </cell>
          <cell r="AJ58" t="e">
            <v>#REF!</v>
          </cell>
          <cell r="AK58" t="e">
            <v>#REF!</v>
          </cell>
          <cell r="AL58" t="e">
            <v>#REF!</v>
          </cell>
          <cell r="AM58" t="e">
            <v>#REF!</v>
          </cell>
          <cell r="AN58" t="e">
            <v>#REF!</v>
          </cell>
          <cell r="AO58" t="e">
            <v>#REF!</v>
          </cell>
          <cell r="AP58" t="e">
            <v>#REF!</v>
          </cell>
        </row>
      </sheetData>
      <sheetData sheetId="24"/>
      <sheetData sheetId="25"/>
      <sheetData sheetId="26"/>
      <sheetData sheetId="27"/>
      <sheetData sheetId="28">
        <row r="2">
          <cell r="B2" t="str">
            <v>Выпуски</v>
          </cell>
        </row>
        <row r="3">
          <cell r="B3" t="str">
            <v>Годовые индексы изменения физического объема выпусков</v>
          </cell>
        </row>
        <row r="4">
          <cell r="B4" t="str">
            <v>Отраслевая структура выпусков по годам в прогнозируемом периоде</v>
          </cell>
        </row>
        <row r="5">
          <cell r="B5" t="str">
            <v xml:space="preserve">Объем отраслевых ресурсов отечественного производства </v>
          </cell>
        </row>
        <row r="6">
          <cell r="B6" t="str">
            <v xml:space="preserve">Динамика отраслевых ресурсов отечественного производства </v>
          </cell>
        </row>
        <row r="7">
          <cell r="B7" t="str">
            <v xml:space="preserve">Отраслевая структура ресурсов отечественного производства </v>
          </cell>
        </row>
        <row r="8">
          <cell r="B8" t="str">
            <v>Объем отраслевых ресурсов отечественного производства в конечном использовании</v>
          </cell>
        </row>
        <row r="9">
          <cell r="B9" t="str">
            <v>Динамика отраслевых ресурсов отечественного производства в конечном использовании</v>
          </cell>
        </row>
        <row r="10">
          <cell r="B10" t="str">
            <v>Отраслевая структура ресурсов отечественного производства в конечном использовании</v>
          </cell>
        </row>
        <row r="11">
          <cell r="B11" t="str">
            <v>Конечное потребление домашних хозяйств</v>
          </cell>
        </row>
        <row r="12">
          <cell r="B12" t="str">
            <v>Динамика конечного потребления домашних хозяйств</v>
          </cell>
        </row>
        <row r="13">
          <cell r="B13" t="str">
            <v>Отраслевая структура конечного потребления домашних хозяйств</v>
          </cell>
        </row>
        <row r="14">
          <cell r="B14" t="str">
            <v>Конечное потребление ОГУ</v>
          </cell>
        </row>
        <row r="15">
          <cell r="B15" t="str">
            <v>Динамика конечного потребления ОГУ</v>
          </cell>
        </row>
        <row r="16">
          <cell r="B16" t="str">
            <v>Отраслевая структура конечного потребления ОГУ</v>
          </cell>
        </row>
        <row r="17">
          <cell r="B17" t="str">
            <v>Изменение запасов материальных оборотных средств</v>
          </cell>
        </row>
        <row r="18">
          <cell r="B18" t="str">
            <v>Динамика изменения запасов материальных оборотных средств</v>
          </cell>
        </row>
        <row r="19">
          <cell r="B19" t="str">
            <v>Отраслевая структура изменения запасов материальных оборотных средств</v>
          </cell>
        </row>
        <row r="20">
          <cell r="B20" t="str">
            <v>Экспорт</v>
          </cell>
        </row>
        <row r="21">
          <cell r="B21" t="str">
            <v>Динамика экспорта</v>
          </cell>
        </row>
        <row r="22">
          <cell r="B22" t="str">
            <v>Отраслевая структура экспорта</v>
          </cell>
        </row>
        <row r="23">
          <cell r="B23" t="str">
            <v>Импорт</v>
          </cell>
        </row>
        <row r="24">
          <cell r="B24" t="str">
            <v>Динамика импорта</v>
          </cell>
        </row>
        <row r="25">
          <cell r="B25" t="str">
            <v>Отраслевая структура импорта</v>
          </cell>
        </row>
        <row r="26">
          <cell r="B26" t="str">
            <v>Сальдо</v>
          </cell>
        </row>
        <row r="27">
          <cell r="B27" t="str">
            <v>Динамика отраслевой потребности в инвестициях</v>
          </cell>
        </row>
        <row r="28">
          <cell r="B28" t="str">
            <v>Динамика основных фондов</v>
          </cell>
        </row>
        <row r="29">
          <cell r="B29" t="str">
            <v>Коэффициенты выбытия основных фондов</v>
          </cell>
        </row>
        <row r="30">
          <cell r="B30" t="str">
            <v>Коэффициенты обновления основных фондов</v>
          </cell>
        </row>
        <row r="31">
          <cell r="B31" t="str">
            <v>Динамика фондоотдачи</v>
          </cell>
        </row>
      </sheetData>
      <sheetData sheetId="29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одержание"/>
      <sheetName val="CFGU02"/>
    </sheet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р1(98_00)"/>
      <sheetName val="Гр1(99_00)"/>
      <sheetName val="Гр2"/>
      <sheetName val="Гр2(06)"/>
      <sheetName val="Гр3"/>
      <sheetName val="Прод(Непр)"/>
      <sheetName val="Гр4"/>
      <sheetName val="Гр4(06)"/>
      <sheetName val="Гр5(о)"/>
      <sheetName val="Гр6"/>
      <sheetName val="ПРОГНОЗ_1"/>
      <sheetName val="Огл. Графиков"/>
      <sheetName val="рабочий"/>
      <sheetName val="Текущие цены"/>
      <sheetName val="окраска"/>
      <sheetName val="Управление"/>
      <sheetName val="multilat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ОГНОЗ_1"/>
      <sheetName val="Гр5(о)"/>
    </sheetNames>
    <sheetDataSet>
      <sheetData sheetId="0"/>
      <sheetData sheetId="1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одержание"/>
      <sheetName val="TEHSHEET"/>
    </sheetNames>
    <sheetDataSet>
      <sheetData sheetId="0"/>
      <sheetData sheetId="1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ОГНОЗ_1"/>
    </sheetNames>
    <sheetDataSet>
      <sheetData sheetId="0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р5(о)"/>
      <sheetName val="Гр1(98_00)"/>
      <sheetName val="Гр1(99_00)"/>
      <sheetName val="Гр2"/>
      <sheetName val="Гр2(06)"/>
      <sheetName val="Гр3"/>
      <sheetName val="Прод(Непр)"/>
      <sheetName val="Гр4"/>
      <sheetName val="Гр4(06)"/>
      <sheetName val="Гр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одержание"/>
      <sheetName val="Форма1"/>
    </sheetNames>
    <sheetDataSet>
      <sheetData sheetId="0"/>
      <sheetData sheetId="1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ARTA"/>
      <sheetName val="TEHSHEET"/>
    </sheetNames>
    <sheetDataSet>
      <sheetData sheetId="0" refreshError="1">
        <row r="1">
          <cell r="A1" t="str">
            <v>PODKRT</v>
          </cell>
          <cell r="B1" t="str">
            <v>MOLKRT</v>
          </cell>
          <cell r="C1" t="str">
            <v>INVKRT</v>
          </cell>
          <cell r="D1" t="str">
            <v>NA1KRT</v>
          </cell>
          <cell r="E1" t="str">
            <v>NA2KRT</v>
          </cell>
          <cell r="F1" t="str">
            <v>NA3KRT</v>
          </cell>
          <cell r="G1" t="str">
            <v>OPRKRT</v>
          </cell>
          <cell r="H1" t="str">
            <v>PSTKRT</v>
          </cell>
          <cell r="I1" t="str">
            <v>IZPKRT</v>
          </cell>
          <cell r="J1" t="str">
            <v>STOKRT</v>
          </cell>
          <cell r="K1" t="str">
            <v>KOEFKRT</v>
          </cell>
          <cell r="L1" t="str">
            <v>ZATKRT</v>
          </cell>
          <cell r="M1" t="str">
            <v>OTHKRT</v>
          </cell>
          <cell r="N1" t="str">
            <v>KODKRT</v>
          </cell>
          <cell r="O1" t="str">
            <v>GRIKRT</v>
          </cell>
          <cell r="P1" t="str">
            <v>NOVKRT</v>
          </cell>
          <cell r="Q1" t="str">
            <v>NOKKRT</v>
          </cell>
          <cell r="R1" t="str">
            <v>OTRKRT</v>
          </cell>
          <cell r="S1" t="str">
            <v>VIDKRT</v>
          </cell>
          <cell r="T1" t="str">
            <v>DTVKRT</v>
          </cell>
          <cell r="U1" t="str">
            <v>DVMKRT</v>
          </cell>
          <cell r="V1" t="str">
            <v>DVGKRT</v>
          </cell>
          <cell r="W1" t="str">
            <v>DPMKRT</v>
          </cell>
          <cell r="X1" t="str">
            <v>DPGKRT</v>
          </cell>
          <cell r="Y1" t="str">
            <v>DIMKRT</v>
          </cell>
          <cell r="Z1" t="str">
            <v>DIGKRT</v>
          </cell>
          <cell r="AA1" t="str">
            <v>PRUKRT</v>
          </cell>
          <cell r="AB1" t="str">
            <v>OPUKRT</v>
          </cell>
          <cell r="AC1" t="str">
            <v>MUBKRT</v>
          </cell>
          <cell r="AD1" t="str">
            <v>PRZKRT</v>
          </cell>
          <cell r="AE1" t="str">
            <v>PDMKRT</v>
          </cell>
          <cell r="AF1" t="str">
            <v>UCHKRT</v>
          </cell>
          <cell r="AG1" t="str">
            <v>ST0197</v>
          </cell>
          <cell r="AH1" t="str">
            <v>KOEFG</v>
          </cell>
          <cell r="AI1" t="str">
            <v>SUM5KRT</v>
          </cell>
          <cell r="AJ1" t="str">
            <v>IZN5KRT</v>
          </cell>
        </row>
        <row r="2">
          <cell r="A2" t="str">
            <v>16</v>
          </cell>
          <cell r="B2" t="str">
            <v>06</v>
          </cell>
          <cell r="C2" t="str">
            <v>11</v>
          </cell>
          <cell r="D2" t="str">
            <v>Емкость под ГСМ</v>
          </cell>
          <cell r="E2" t="str">
            <v>металлич. 25 м куб</v>
          </cell>
          <cell r="G2" t="str">
            <v>01</v>
          </cell>
          <cell r="H2">
            <v>9532.26</v>
          </cell>
          <cell r="I2">
            <v>4003.59</v>
          </cell>
          <cell r="J2">
            <v>0</v>
          </cell>
          <cell r="K2">
            <v>1.27</v>
          </cell>
          <cell r="L2" t="str">
            <v>88/1</v>
          </cell>
          <cell r="M2" t="str">
            <v>20236</v>
          </cell>
          <cell r="N2" t="str">
            <v>14 2918512</v>
          </cell>
          <cell r="O2" t="str">
            <v>03</v>
          </cell>
          <cell r="P2">
            <v>2.8</v>
          </cell>
          <cell r="Q2">
            <v>0</v>
          </cell>
          <cell r="R2" t="str">
            <v>1</v>
          </cell>
          <cell r="S2" t="str">
            <v>20</v>
          </cell>
          <cell r="T2">
            <v>79</v>
          </cell>
          <cell r="U2">
            <v>12</v>
          </cell>
          <cell r="V2">
            <v>79</v>
          </cell>
          <cell r="W2">
            <v>12</v>
          </cell>
          <cell r="X2">
            <v>79</v>
          </cell>
          <cell r="AF2" t="str">
            <v>16</v>
          </cell>
          <cell r="AI2">
            <v>7505716</v>
          </cell>
          <cell r="AJ2">
            <v>3782917.14</v>
          </cell>
        </row>
        <row r="3">
          <cell r="A3" t="str">
            <v>16</v>
          </cell>
          <cell r="B3" t="str">
            <v>06</v>
          </cell>
          <cell r="C3" t="str">
            <v>17</v>
          </cell>
          <cell r="D3" t="str">
            <v>ЛЭП воздушная</v>
          </cell>
          <cell r="E3" t="str">
            <v>350 м</v>
          </cell>
          <cell r="G3" t="str">
            <v>01</v>
          </cell>
          <cell r="H3">
            <v>54370</v>
          </cell>
          <cell r="I3">
            <v>23650.95</v>
          </cell>
          <cell r="J3">
            <v>0</v>
          </cell>
          <cell r="K3">
            <v>1.22</v>
          </cell>
          <cell r="L3" t="str">
            <v>88/1</v>
          </cell>
          <cell r="M3" t="str">
            <v>30006</v>
          </cell>
          <cell r="N3" t="str">
            <v>14 3131101</v>
          </cell>
          <cell r="O3" t="str">
            <v>05</v>
          </cell>
          <cell r="P3">
            <v>3</v>
          </cell>
          <cell r="Q3">
            <v>0</v>
          </cell>
          <cell r="R3" t="str">
            <v>1</v>
          </cell>
          <cell r="S3" t="str">
            <v>30</v>
          </cell>
          <cell r="T3">
            <v>80</v>
          </cell>
          <cell r="U3">
            <v>6</v>
          </cell>
          <cell r="V3">
            <v>80</v>
          </cell>
          <cell r="W3">
            <v>6</v>
          </cell>
          <cell r="X3">
            <v>80</v>
          </cell>
          <cell r="AF3" t="str">
            <v>16</v>
          </cell>
          <cell r="AI3">
            <v>44550272</v>
          </cell>
          <cell r="AJ3">
            <v>23388892.800000001</v>
          </cell>
        </row>
        <row r="4">
          <cell r="A4" t="str">
            <v>02</v>
          </cell>
          <cell r="B4" t="str">
            <v>05</v>
          </cell>
          <cell r="C4" t="str">
            <v>42</v>
          </cell>
          <cell r="D4" t="str">
            <v>Трактор Т-170</v>
          </cell>
          <cell r="G4" t="str">
            <v>01</v>
          </cell>
          <cell r="H4">
            <v>141183</v>
          </cell>
          <cell r="I4">
            <v>71826.850000000006</v>
          </cell>
          <cell r="J4">
            <v>0</v>
          </cell>
          <cell r="K4">
            <v>1.26</v>
          </cell>
          <cell r="L4" t="str">
            <v>20</v>
          </cell>
          <cell r="M4" t="str">
            <v>40611</v>
          </cell>
          <cell r="N4" t="str">
            <v>14 2918103</v>
          </cell>
          <cell r="O4" t="str">
            <v>067</v>
          </cell>
          <cell r="P4">
            <v>11.1</v>
          </cell>
          <cell r="Q4">
            <v>0</v>
          </cell>
          <cell r="R4" t="str">
            <v>1</v>
          </cell>
          <cell r="S4" t="str">
            <v>40</v>
          </cell>
          <cell r="T4">
            <v>0</v>
          </cell>
          <cell r="U4">
            <v>5</v>
          </cell>
          <cell r="V4">
            <v>90</v>
          </cell>
          <cell r="W4">
            <v>5</v>
          </cell>
          <cell r="X4">
            <v>90</v>
          </cell>
          <cell r="AB4" t="str">
            <v>14</v>
          </cell>
          <cell r="AC4">
            <v>10</v>
          </cell>
          <cell r="AF4" t="str">
            <v>00</v>
          </cell>
          <cell r="AI4">
            <v>111934156</v>
          </cell>
          <cell r="AJ4">
            <v>94220575.599999994</v>
          </cell>
        </row>
        <row r="5">
          <cell r="A5" t="str">
            <v>16</v>
          </cell>
          <cell r="B5" t="str">
            <v>06</v>
          </cell>
          <cell r="C5" t="str">
            <v>44</v>
          </cell>
          <cell r="D5" t="str">
            <v>Домик дачный деревян</v>
          </cell>
          <cell r="E5" t="str">
            <v>ный 5 х 4</v>
          </cell>
          <cell r="F5" t="str">
            <v>3-х местный</v>
          </cell>
          <cell r="G5" t="str">
            <v>01</v>
          </cell>
          <cell r="H5">
            <v>16176.06</v>
          </cell>
          <cell r="I5">
            <v>16176.06</v>
          </cell>
          <cell r="J5">
            <v>0</v>
          </cell>
          <cell r="K5">
            <v>1.1299999999999999</v>
          </cell>
          <cell r="L5" t="str">
            <v>88/1</v>
          </cell>
          <cell r="M5" t="str">
            <v>10007</v>
          </cell>
          <cell r="N5" t="str">
            <v>13 2022231</v>
          </cell>
          <cell r="O5" t="str">
            <v>01</v>
          </cell>
          <cell r="P5">
            <v>9.8000000000000007</v>
          </cell>
          <cell r="Q5">
            <v>0</v>
          </cell>
          <cell r="R5" t="str">
            <v>1</v>
          </cell>
          <cell r="S5" t="str">
            <v>10</v>
          </cell>
          <cell r="T5">
            <v>79</v>
          </cell>
          <cell r="U5">
            <v>7</v>
          </cell>
          <cell r="V5">
            <v>79</v>
          </cell>
          <cell r="W5">
            <v>7</v>
          </cell>
          <cell r="X5">
            <v>79</v>
          </cell>
          <cell r="AA5" t="str">
            <v>1</v>
          </cell>
          <cell r="AB5" t="str">
            <v>15</v>
          </cell>
          <cell r="AC5">
            <v>7</v>
          </cell>
          <cell r="AF5" t="str">
            <v>16</v>
          </cell>
          <cell r="AI5">
            <v>14308764</v>
          </cell>
          <cell r="AJ5">
            <v>14308764</v>
          </cell>
        </row>
        <row r="6">
          <cell r="A6" t="str">
            <v>16</v>
          </cell>
          <cell r="B6" t="str">
            <v>06</v>
          </cell>
          <cell r="C6" t="str">
            <v>45</v>
          </cell>
          <cell r="D6" t="str">
            <v>Домик з-х местный</v>
          </cell>
          <cell r="E6" t="str">
            <v>деревянный 5 х 4</v>
          </cell>
          <cell r="G6" t="str">
            <v>01</v>
          </cell>
          <cell r="H6">
            <v>23540</v>
          </cell>
          <cell r="I6">
            <v>23540</v>
          </cell>
          <cell r="J6">
            <v>0</v>
          </cell>
          <cell r="K6">
            <v>1.1299999999999999</v>
          </cell>
          <cell r="L6" t="str">
            <v>88/1</v>
          </cell>
          <cell r="M6" t="str">
            <v>10007</v>
          </cell>
          <cell r="N6" t="str">
            <v>13 2022231</v>
          </cell>
          <cell r="O6" t="str">
            <v>01</v>
          </cell>
          <cell r="P6">
            <v>9.8000000000000007</v>
          </cell>
          <cell r="Q6">
            <v>0</v>
          </cell>
          <cell r="R6" t="str">
            <v>1</v>
          </cell>
          <cell r="S6" t="str">
            <v>10</v>
          </cell>
          <cell r="T6">
            <v>81</v>
          </cell>
          <cell r="U6">
            <v>6</v>
          </cell>
          <cell r="V6">
            <v>81</v>
          </cell>
          <cell r="W6">
            <v>6</v>
          </cell>
          <cell r="X6">
            <v>81</v>
          </cell>
          <cell r="AA6" t="str">
            <v>1</v>
          </cell>
          <cell r="AB6" t="str">
            <v>15</v>
          </cell>
          <cell r="AC6">
            <v>7</v>
          </cell>
          <cell r="AF6" t="str">
            <v>16</v>
          </cell>
          <cell r="AI6">
            <v>20812138</v>
          </cell>
          <cell r="AJ6">
            <v>20812138</v>
          </cell>
        </row>
        <row r="7">
          <cell r="A7" t="str">
            <v>16</v>
          </cell>
          <cell r="B7" t="str">
            <v>06</v>
          </cell>
          <cell r="C7" t="str">
            <v>46</v>
          </cell>
          <cell r="D7" t="str">
            <v>Домик з-х местный</v>
          </cell>
          <cell r="E7" t="str">
            <v>деревянный 5 х 4</v>
          </cell>
          <cell r="G7" t="str">
            <v>01</v>
          </cell>
          <cell r="H7">
            <v>23540</v>
          </cell>
          <cell r="I7">
            <v>23540</v>
          </cell>
          <cell r="J7">
            <v>0</v>
          </cell>
          <cell r="K7">
            <v>1.1299999999999999</v>
          </cell>
          <cell r="L7" t="str">
            <v>88/1</v>
          </cell>
          <cell r="M7" t="str">
            <v>10007</v>
          </cell>
          <cell r="N7" t="str">
            <v>13 2022231</v>
          </cell>
          <cell r="O7" t="str">
            <v>01</v>
          </cell>
          <cell r="P7">
            <v>9.8000000000000007</v>
          </cell>
          <cell r="Q7">
            <v>0</v>
          </cell>
          <cell r="R7" t="str">
            <v>1</v>
          </cell>
          <cell r="S7" t="str">
            <v>10</v>
          </cell>
          <cell r="T7">
            <v>81</v>
          </cell>
          <cell r="U7">
            <v>6</v>
          </cell>
          <cell r="V7">
            <v>81</v>
          </cell>
          <cell r="W7">
            <v>6</v>
          </cell>
          <cell r="X7">
            <v>81</v>
          </cell>
          <cell r="AA7" t="str">
            <v>1</v>
          </cell>
          <cell r="AB7" t="str">
            <v>15</v>
          </cell>
          <cell r="AC7">
            <v>7</v>
          </cell>
          <cell r="AF7" t="str">
            <v>16</v>
          </cell>
          <cell r="AI7">
            <v>20812138</v>
          </cell>
          <cell r="AJ7">
            <v>20812138</v>
          </cell>
        </row>
        <row r="8">
          <cell r="A8" t="str">
            <v>16</v>
          </cell>
          <cell r="B8" t="str">
            <v>06</v>
          </cell>
          <cell r="C8" t="str">
            <v>47/1</v>
          </cell>
          <cell r="D8" t="str">
            <v>Домик з-х местный</v>
          </cell>
          <cell r="E8" t="str">
            <v>деревянный 5 х 4</v>
          </cell>
          <cell r="G8" t="str">
            <v>01</v>
          </cell>
          <cell r="H8">
            <v>23540</v>
          </cell>
          <cell r="I8">
            <v>23540</v>
          </cell>
          <cell r="J8">
            <v>0</v>
          </cell>
          <cell r="K8">
            <v>1.1299999999999999</v>
          </cell>
          <cell r="L8" t="str">
            <v>88/1</v>
          </cell>
          <cell r="M8" t="str">
            <v>10007</v>
          </cell>
          <cell r="N8" t="str">
            <v>13 2022231</v>
          </cell>
          <cell r="O8" t="str">
            <v>01</v>
          </cell>
          <cell r="P8">
            <v>9.8000000000000007</v>
          </cell>
          <cell r="Q8">
            <v>0</v>
          </cell>
          <cell r="R8" t="str">
            <v>1</v>
          </cell>
          <cell r="S8" t="str">
            <v>10</v>
          </cell>
          <cell r="T8">
            <v>81</v>
          </cell>
          <cell r="U8">
            <v>6</v>
          </cell>
          <cell r="V8">
            <v>81</v>
          </cell>
          <cell r="W8">
            <v>6</v>
          </cell>
          <cell r="X8">
            <v>81</v>
          </cell>
          <cell r="AA8" t="str">
            <v>1</v>
          </cell>
          <cell r="AB8" t="str">
            <v>15</v>
          </cell>
          <cell r="AC8">
            <v>7</v>
          </cell>
          <cell r="AF8" t="str">
            <v>16</v>
          </cell>
          <cell r="AI8">
            <v>20812138</v>
          </cell>
          <cell r="AJ8">
            <v>20812138</v>
          </cell>
        </row>
        <row r="9">
          <cell r="A9" t="str">
            <v>16</v>
          </cell>
          <cell r="B9" t="str">
            <v>06</v>
          </cell>
          <cell r="C9" t="str">
            <v>48</v>
          </cell>
          <cell r="D9" t="str">
            <v>Домик з-х местный</v>
          </cell>
          <cell r="E9" t="str">
            <v>деревянный 5 х 4</v>
          </cell>
          <cell r="G9" t="str">
            <v>01</v>
          </cell>
          <cell r="H9">
            <v>23540</v>
          </cell>
          <cell r="I9">
            <v>23540</v>
          </cell>
          <cell r="J9">
            <v>0</v>
          </cell>
          <cell r="K9">
            <v>1.1299999999999999</v>
          </cell>
          <cell r="L9" t="str">
            <v>88/1</v>
          </cell>
          <cell r="M9" t="str">
            <v>10007</v>
          </cell>
          <cell r="N9" t="str">
            <v>13 2022231</v>
          </cell>
          <cell r="O9" t="str">
            <v>01</v>
          </cell>
          <cell r="P9">
            <v>9.8000000000000007</v>
          </cell>
          <cell r="Q9">
            <v>0</v>
          </cell>
          <cell r="R9" t="str">
            <v>1</v>
          </cell>
          <cell r="S9" t="str">
            <v>10</v>
          </cell>
          <cell r="T9">
            <v>81</v>
          </cell>
          <cell r="U9">
            <v>6</v>
          </cell>
          <cell r="V9">
            <v>81</v>
          </cell>
          <cell r="W9">
            <v>6</v>
          </cell>
          <cell r="X9">
            <v>81</v>
          </cell>
          <cell r="AA9" t="str">
            <v>1</v>
          </cell>
          <cell r="AB9" t="str">
            <v>15</v>
          </cell>
          <cell r="AC9">
            <v>7</v>
          </cell>
          <cell r="AF9" t="str">
            <v>16</v>
          </cell>
          <cell r="AI9">
            <v>20812138</v>
          </cell>
          <cell r="AJ9">
            <v>20812138</v>
          </cell>
        </row>
        <row r="10">
          <cell r="A10" t="str">
            <v>16</v>
          </cell>
          <cell r="B10" t="str">
            <v>06</v>
          </cell>
          <cell r="C10" t="str">
            <v>49/1</v>
          </cell>
          <cell r="D10" t="str">
            <v>Домик з-х местный</v>
          </cell>
          <cell r="E10" t="str">
            <v>деревянный 5 х 4</v>
          </cell>
          <cell r="G10" t="str">
            <v>01</v>
          </cell>
          <cell r="H10">
            <v>23540</v>
          </cell>
          <cell r="I10">
            <v>23540</v>
          </cell>
          <cell r="J10">
            <v>0</v>
          </cell>
          <cell r="K10">
            <v>1.1299999999999999</v>
          </cell>
          <cell r="L10" t="str">
            <v>88/1</v>
          </cell>
          <cell r="M10" t="str">
            <v>10007</v>
          </cell>
          <cell r="N10" t="str">
            <v>13 2022231</v>
          </cell>
          <cell r="O10" t="str">
            <v>01</v>
          </cell>
          <cell r="P10">
            <v>9.8000000000000007</v>
          </cell>
          <cell r="Q10">
            <v>0</v>
          </cell>
          <cell r="R10" t="str">
            <v>1</v>
          </cell>
          <cell r="S10" t="str">
            <v>10</v>
          </cell>
          <cell r="T10">
            <v>81</v>
          </cell>
          <cell r="U10">
            <v>6</v>
          </cell>
          <cell r="V10">
            <v>81</v>
          </cell>
          <cell r="W10">
            <v>6</v>
          </cell>
          <cell r="X10">
            <v>81</v>
          </cell>
          <cell r="AA10" t="str">
            <v>1</v>
          </cell>
          <cell r="AB10" t="str">
            <v>15</v>
          </cell>
          <cell r="AC10">
            <v>7</v>
          </cell>
          <cell r="AF10" t="str">
            <v>16</v>
          </cell>
          <cell r="AI10">
            <v>20812138</v>
          </cell>
          <cell r="AJ10">
            <v>20812138</v>
          </cell>
        </row>
        <row r="11">
          <cell r="A11" t="str">
            <v>16</v>
          </cell>
          <cell r="B11" t="str">
            <v>06</v>
          </cell>
          <cell r="C11" t="str">
            <v>50</v>
          </cell>
          <cell r="D11" t="str">
            <v>Домик з-х местный</v>
          </cell>
          <cell r="E11" t="str">
            <v>деревянный 5 х 4</v>
          </cell>
          <cell r="G11" t="str">
            <v>01</v>
          </cell>
          <cell r="H11">
            <v>23540</v>
          </cell>
          <cell r="I11">
            <v>23540</v>
          </cell>
          <cell r="J11">
            <v>0</v>
          </cell>
          <cell r="K11">
            <v>1.1299999999999999</v>
          </cell>
          <cell r="L11" t="str">
            <v>88/1</v>
          </cell>
          <cell r="M11" t="str">
            <v>10007</v>
          </cell>
          <cell r="N11" t="str">
            <v>13 2022231</v>
          </cell>
          <cell r="O11" t="str">
            <v>01</v>
          </cell>
          <cell r="P11">
            <v>9.8000000000000007</v>
          </cell>
          <cell r="Q11">
            <v>0</v>
          </cell>
          <cell r="R11" t="str">
            <v>1</v>
          </cell>
          <cell r="S11" t="str">
            <v>10</v>
          </cell>
          <cell r="T11">
            <v>81</v>
          </cell>
          <cell r="U11">
            <v>6</v>
          </cell>
          <cell r="V11">
            <v>81</v>
          </cell>
          <cell r="W11">
            <v>6</v>
          </cell>
          <cell r="X11">
            <v>81</v>
          </cell>
          <cell r="AA11" t="str">
            <v>1</v>
          </cell>
          <cell r="AB11" t="str">
            <v>15</v>
          </cell>
          <cell r="AC11">
            <v>7</v>
          </cell>
          <cell r="AF11" t="str">
            <v>16</v>
          </cell>
          <cell r="AI11">
            <v>20812138</v>
          </cell>
          <cell r="AJ11">
            <v>20812138</v>
          </cell>
        </row>
        <row r="12">
          <cell r="A12" t="str">
            <v>16</v>
          </cell>
          <cell r="B12" t="str">
            <v>06</v>
          </cell>
          <cell r="C12" t="str">
            <v>51</v>
          </cell>
          <cell r="D12" t="str">
            <v>Домик з-х местный</v>
          </cell>
          <cell r="E12" t="str">
            <v>деревянный 5 х 4</v>
          </cell>
          <cell r="G12" t="str">
            <v>01</v>
          </cell>
          <cell r="H12">
            <v>23540</v>
          </cell>
          <cell r="I12">
            <v>23540</v>
          </cell>
          <cell r="J12">
            <v>0</v>
          </cell>
          <cell r="K12">
            <v>1.1299999999999999</v>
          </cell>
          <cell r="L12" t="str">
            <v>88/1</v>
          </cell>
          <cell r="M12" t="str">
            <v>10007</v>
          </cell>
          <cell r="N12" t="str">
            <v>13 2022231</v>
          </cell>
          <cell r="O12" t="str">
            <v>01</v>
          </cell>
          <cell r="P12">
            <v>9.8000000000000007</v>
          </cell>
          <cell r="Q12">
            <v>0</v>
          </cell>
          <cell r="R12" t="str">
            <v>1</v>
          </cell>
          <cell r="S12" t="str">
            <v>10</v>
          </cell>
          <cell r="T12">
            <v>81</v>
          </cell>
          <cell r="U12">
            <v>6</v>
          </cell>
          <cell r="V12">
            <v>81</v>
          </cell>
          <cell r="W12">
            <v>6</v>
          </cell>
          <cell r="X12">
            <v>81</v>
          </cell>
          <cell r="AA12" t="str">
            <v>1</v>
          </cell>
          <cell r="AB12" t="str">
            <v>15</v>
          </cell>
          <cell r="AC12">
            <v>7</v>
          </cell>
          <cell r="AF12" t="str">
            <v>16</v>
          </cell>
          <cell r="AI12">
            <v>20812138</v>
          </cell>
          <cell r="AJ12">
            <v>20812138</v>
          </cell>
        </row>
        <row r="13">
          <cell r="A13" t="str">
            <v>16</v>
          </cell>
          <cell r="B13" t="str">
            <v>06</v>
          </cell>
          <cell r="C13" t="str">
            <v>52/1</v>
          </cell>
          <cell r="D13" t="str">
            <v>Домик з-х местный</v>
          </cell>
          <cell r="E13" t="str">
            <v>деревянный 5 х 4</v>
          </cell>
          <cell r="G13" t="str">
            <v>01</v>
          </cell>
          <cell r="H13">
            <v>23540</v>
          </cell>
          <cell r="I13">
            <v>23540</v>
          </cell>
          <cell r="J13">
            <v>0</v>
          </cell>
          <cell r="K13">
            <v>1.1299999999999999</v>
          </cell>
          <cell r="L13" t="str">
            <v>88/1</v>
          </cell>
          <cell r="M13" t="str">
            <v>10007</v>
          </cell>
          <cell r="N13" t="str">
            <v>13 2022231</v>
          </cell>
          <cell r="O13" t="str">
            <v>01</v>
          </cell>
          <cell r="P13">
            <v>9.8000000000000007</v>
          </cell>
          <cell r="Q13">
            <v>0</v>
          </cell>
          <cell r="R13" t="str">
            <v>1</v>
          </cell>
          <cell r="S13" t="str">
            <v>10</v>
          </cell>
          <cell r="T13">
            <v>81</v>
          </cell>
          <cell r="U13">
            <v>6</v>
          </cell>
          <cell r="V13">
            <v>81</v>
          </cell>
          <cell r="W13">
            <v>6</v>
          </cell>
          <cell r="X13">
            <v>81</v>
          </cell>
          <cell r="AF13" t="str">
            <v>16</v>
          </cell>
          <cell r="AI13">
            <v>20812138</v>
          </cell>
          <cell r="AJ13">
            <v>20812138</v>
          </cell>
        </row>
        <row r="14">
          <cell r="A14" t="str">
            <v>16</v>
          </cell>
          <cell r="B14" t="str">
            <v>06</v>
          </cell>
          <cell r="C14" t="str">
            <v>53</v>
          </cell>
          <cell r="D14" t="str">
            <v>Домик з-х местный</v>
          </cell>
          <cell r="E14" t="str">
            <v>деревянный 5 х 4</v>
          </cell>
          <cell r="G14" t="str">
            <v>01</v>
          </cell>
          <cell r="H14">
            <v>23540</v>
          </cell>
          <cell r="I14">
            <v>23540</v>
          </cell>
          <cell r="J14">
            <v>0</v>
          </cell>
          <cell r="K14">
            <v>1.1299999999999999</v>
          </cell>
          <cell r="L14" t="str">
            <v>88/1</v>
          </cell>
          <cell r="M14" t="str">
            <v>10007</v>
          </cell>
          <cell r="N14" t="str">
            <v>13 2022231</v>
          </cell>
          <cell r="O14" t="str">
            <v>01</v>
          </cell>
          <cell r="P14">
            <v>9.8000000000000007</v>
          </cell>
          <cell r="Q14">
            <v>0</v>
          </cell>
          <cell r="R14" t="str">
            <v>1</v>
          </cell>
          <cell r="S14" t="str">
            <v>10</v>
          </cell>
          <cell r="T14">
            <v>81</v>
          </cell>
          <cell r="U14">
            <v>6</v>
          </cell>
          <cell r="V14">
            <v>81</v>
          </cell>
          <cell r="W14">
            <v>6</v>
          </cell>
          <cell r="X14">
            <v>81</v>
          </cell>
          <cell r="AA14" t="str">
            <v>1</v>
          </cell>
          <cell r="AB14" t="str">
            <v>15</v>
          </cell>
          <cell r="AC14">
            <v>7</v>
          </cell>
          <cell r="AF14" t="str">
            <v>16</v>
          </cell>
          <cell r="AI14">
            <v>20812138</v>
          </cell>
          <cell r="AJ14">
            <v>20812138</v>
          </cell>
        </row>
        <row r="15">
          <cell r="A15" t="str">
            <v>16</v>
          </cell>
          <cell r="B15" t="str">
            <v>06</v>
          </cell>
          <cell r="C15" t="str">
            <v>54/1</v>
          </cell>
          <cell r="D15" t="str">
            <v>Домик з-х местный</v>
          </cell>
          <cell r="E15" t="str">
            <v>деревянный 5 х 4</v>
          </cell>
          <cell r="G15" t="str">
            <v>01</v>
          </cell>
          <cell r="H15">
            <v>23540</v>
          </cell>
          <cell r="I15">
            <v>23540</v>
          </cell>
          <cell r="J15">
            <v>0</v>
          </cell>
          <cell r="K15">
            <v>1.1299999999999999</v>
          </cell>
          <cell r="L15" t="str">
            <v>88/1</v>
          </cell>
          <cell r="M15" t="str">
            <v>10007</v>
          </cell>
          <cell r="N15" t="str">
            <v>13 2022231</v>
          </cell>
          <cell r="O15" t="str">
            <v>01</v>
          </cell>
          <cell r="P15">
            <v>9.8000000000000007</v>
          </cell>
          <cell r="Q15">
            <v>0</v>
          </cell>
          <cell r="R15" t="str">
            <v>1</v>
          </cell>
          <cell r="S15" t="str">
            <v>10</v>
          </cell>
          <cell r="T15">
            <v>81</v>
          </cell>
          <cell r="U15">
            <v>6</v>
          </cell>
          <cell r="V15">
            <v>81</v>
          </cell>
          <cell r="W15">
            <v>6</v>
          </cell>
          <cell r="X15">
            <v>81</v>
          </cell>
          <cell r="AA15" t="str">
            <v>1</v>
          </cell>
          <cell r="AB15" t="str">
            <v>15</v>
          </cell>
          <cell r="AC15">
            <v>7</v>
          </cell>
          <cell r="AF15" t="str">
            <v>16</v>
          </cell>
          <cell r="AI15">
            <v>20812138</v>
          </cell>
          <cell r="AJ15">
            <v>20812138</v>
          </cell>
        </row>
        <row r="16">
          <cell r="A16" t="str">
            <v>16</v>
          </cell>
          <cell r="B16" t="str">
            <v>06</v>
          </cell>
          <cell r="C16" t="str">
            <v>55/1</v>
          </cell>
          <cell r="D16" t="str">
            <v>Домик з-х местный</v>
          </cell>
          <cell r="E16" t="str">
            <v>деревянный 5 х 4</v>
          </cell>
          <cell r="G16" t="str">
            <v>01</v>
          </cell>
          <cell r="H16">
            <v>23540</v>
          </cell>
          <cell r="I16">
            <v>23540</v>
          </cell>
          <cell r="J16">
            <v>0</v>
          </cell>
          <cell r="K16">
            <v>1.1299999999999999</v>
          </cell>
          <cell r="L16" t="str">
            <v>88/1</v>
          </cell>
          <cell r="M16" t="str">
            <v>10007</v>
          </cell>
          <cell r="N16" t="str">
            <v>13 2022231</v>
          </cell>
          <cell r="O16" t="str">
            <v>01</v>
          </cell>
          <cell r="P16">
            <v>9.8000000000000007</v>
          </cell>
          <cell r="Q16">
            <v>0</v>
          </cell>
          <cell r="R16" t="str">
            <v>1</v>
          </cell>
          <cell r="S16" t="str">
            <v>10</v>
          </cell>
          <cell r="T16">
            <v>81</v>
          </cell>
          <cell r="U16">
            <v>6</v>
          </cell>
          <cell r="V16">
            <v>81</v>
          </cell>
          <cell r="W16">
            <v>6</v>
          </cell>
          <cell r="X16">
            <v>81</v>
          </cell>
          <cell r="AA16" t="str">
            <v>1</v>
          </cell>
          <cell r="AB16" t="str">
            <v>15</v>
          </cell>
          <cell r="AC16">
            <v>7</v>
          </cell>
          <cell r="AF16" t="str">
            <v>16</v>
          </cell>
          <cell r="AI16">
            <v>20812138</v>
          </cell>
          <cell r="AJ16">
            <v>20812138</v>
          </cell>
        </row>
        <row r="17">
          <cell r="A17" t="str">
            <v>02</v>
          </cell>
          <cell r="B17" t="str">
            <v>23</v>
          </cell>
          <cell r="C17" t="str">
            <v>56</v>
          </cell>
          <cell r="D17" t="str">
            <v>Радиоустановка ИШИМ-</v>
          </cell>
          <cell r="E17" t="str">
            <v>003</v>
          </cell>
          <cell r="G17" t="str">
            <v>01</v>
          </cell>
          <cell r="H17">
            <v>1514</v>
          </cell>
          <cell r="I17">
            <v>1483.72</v>
          </cell>
          <cell r="J17">
            <v>0</v>
          </cell>
          <cell r="K17">
            <v>0.39</v>
          </cell>
          <cell r="L17" t="str">
            <v>23</v>
          </cell>
          <cell r="M17" t="str">
            <v>45620</v>
          </cell>
          <cell r="N17" t="str">
            <v>14 3222110</v>
          </cell>
          <cell r="O17" t="str">
            <v>067</v>
          </cell>
          <cell r="P17">
            <v>12.5</v>
          </cell>
          <cell r="Q17">
            <v>0</v>
          </cell>
          <cell r="R17" t="str">
            <v>1</v>
          </cell>
          <cell r="S17" t="str">
            <v>45</v>
          </cell>
          <cell r="T17">
            <v>0</v>
          </cell>
          <cell r="U17">
            <v>12</v>
          </cell>
          <cell r="V17">
            <v>84</v>
          </cell>
          <cell r="W17">
            <v>12</v>
          </cell>
          <cell r="X17">
            <v>84</v>
          </cell>
          <cell r="AF17" t="str">
            <v>00</v>
          </cell>
          <cell r="AI17">
            <v>3891888</v>
          </cell>
          <cell r="AJ17">
            <v>3891888</v>
          </cell>
        </row>
        <row r="18">
          <cell r="A18" t="str">
            <v>16</v>
          </cell>
          <cell r="B18" t="str">
            <v>06</v>
          </cell>
          <cell r="C18" t="str">
            <v>56/1</v>
          </cell>
          <cell r="D18" t="str">
            <v>Домик з-х местный</v>
          </cell>
          <cell r="E18" t="str">
            <v>деревянный 5 х 4</v>
          </cell>
          <cell r="G18" t="str">
            <v>01</v>
          </cell>
          <cell r="H18">
            <v>23540</v>
          </cell>
          <cell r="I18">
            <v>23540</v>
          </cell>
          <cell r="J18">
            <v>0</v>
          </cell>
          <cell r="K18">
            <v>1.1299999999999999</v>
          </cell>
          <cell r="L18" t="str">
            <v>88/1</v>
          </cell>
          <cell r="M18" t="str">
            <v>10007</v>
          </cell>
          <cell r="N18" t="str">
            <v>13 2022231</v>
          </cell>
          <cell r="O18" t="str">
            <v>01</v>
          </cell>
          <cell r="P18">
            <v>9.8000000000000007</v>
          </cell>
          <cell r="Q18">
            <v>0</v>
          </cell>
          <cell r="R18" t="str">
            <v>1</v>
          </cell>
          <cell r="S18" t="str">
            <v>10</v>
          </cell>
          <cell r="T18">
            <v>81</v>
          </cell>
          <cell r="U18">
            <v>6</v>
          </cell>
          <cell r="V18">
            <v>81</v>
          </cell>
          <cell r="W18">
            <v>6</v>
          </cell>
          <cell r="X18">
            <v>81</v>
          </cell>
          <cell r="AA18" t="str">
            <v>1</v>
          </cell>
          <cell r="AB18" t="str">
            <v>15</v>
          </cell>
          <cell r="AC18">
            <v>7</v>
          </cell>
          <cell r="AF18" t="str">
            <v>16</v>
          </cell>
          <cell r="AI18">
            <v>20812138</v>
          </cell>
          <cell r="AJ18">
            <v>20812138</v>
          </cell>
        </row>
        <row r="19">
          <cell r="A19" t="str">
            <v>16</v>
          </cell>
          <cell r="B19" t="str">
            <v>06</v>
          </cell>
          <cell r="C19" t="str">
            <v>57</v>
          </cell>
          <cell r="D19" t="str">
            <v>Домик з-х местный</v>
          </cell>
          <cell r="E19" t="str">
            <v>деревянный 5 х 4</v>
          </cell>
          <cell r="G19" t="str">
            <v>01</v>
          </cell>
          <cell r="H19">
            <v>23540</v>
          </cell>
          <cell r="I19">
            <v>23540</v>
          </cell>
          <cell r="J19">
            <v>0</v>
          </cell>
          <cell r="K19">
            <v>1.1299999999999999</v>
          </cell>
          <cell r="L19" t="str">
            <v>88/1</v>
          </cell>
          <cell r="M19" t="str">
            <v>10007</v>
          </cell>
          <cell r="N19" t="str">
            <v>13 2022231</v>
          </cell>
          <cell r="O19" t="str">
            <v>01</v>
          </cell>
          <cell r="P19">
            <v>9.8000000000000007</v>
          </cell>
          <cell r="Q19">
            <v>0</v>
          </cell>
          <cell r="R19" t="str">
            <v>1</v>
          </cell>
          <cell r="S19" t="str">
            <v>10</v>
          </cell>
          <cell r="T19">
            <v>81</v>
          </cell>
          <cell r="U19">
            <v>6</v>
          </cell>
          <cell r="V19">
            <v>81</v>
          </cell>
          <cell r="W19">
            <v>6</v>
          </cell>
          <cell r="X19">
            <v>81</v>
          </cell>
          <cell r="AA19" t="str">
            <v>1</v>
          </cell>
          <cell r="AB19" t="str">
            <v>15</v>
          </cell>
          <cell r="AC19">
            <v>7</v>
          </cell>
          <cell r="AF19" t="str">
            <v>16</v>
          </cell>
          <cell r="AI19">
            <v>20812138</v>
          </cell>
          <cell r="AJ19">
            <v>20812138</v>
          </cell>
        </row>
        <row r="20">
          <cell r="A20" t="str">
            <v>16</v>
          </cell>
          <cell r="B20" t="str">
            <v>06</v>
          </cell>
          <cell r="C20" t="str">
            <v>58</v>
          </cell>
          <cell r="D20" t="str">
            <v>Домик з-х местный</v>
          </cell>
          <cell r="E20" t="str">
            <v>деревянный 5 х 4</v>
          </cell>
          <cell r="G20" t="str">
            <v>01</v>
          </cell>
          <cell r="H20">
            <v>23540</v>
          </cell>
          <cell r="I20">
            <v>23540</v>
          </cell>
          <cell r="J20">
            <v>0</v>
          </cell>
          <cell r="K20">
            <v>1.1299999999999999</v>
          </cell>
          <cell r="L20" t="str">
            <v>88/1</v>
          </cell>
          <cell r="M20" t="str">
            <v>10007</v>
          </cell>
          <cell r="N20" t="str">
            <v>13 2022231</v>
          </cell>
          <cell r="O20" t="str">
            <v>01</v>
          </cell>
          <cell r="P20">
            <v>9.8000000000000007</v>
          </cell>
          <cell r="Q20">
            <v>0</v>
          </cell>
          <cell r="R20" t="str">
            <v>1</v>
          </cell>
          <cell r="S20" t="str">
            <v>10</v>
          </cell>
          <cell r="T20">
            <v>81</v>
          </cell>
          <cell r="U20">
            <v>6</v>
          </cell>
          <cell r="V20">
            <v>81</v>
          </cell>
          <cell r="W20">
            <v>6</v>
          </cell>
          <cell r="X20">
            <v>81</v>
          </cell>
          <cell r="AA20" t="str">
            <v>1</v>
          </cell>
          <cell r="AB20" t="str">
            <v>15</v>
          </cell>
          <cell r="AC20">
            <v>7</v>
          </cell>
          <cell r="AF20" t="str">
            <v>16</v>
          </cell>
          <cell r="AI20">
            <v>20812138</v>
          </cell>
          <cell r="AJ20">
            <v>20812138</v>
          </cell>
        </row>
        <row r="21">
          <cell r="A21" t="str">
            <v>16</v>
          </cell>
          <cell r="B21" t="str">
            <v>06</v>
          </cell>
          <cell r="C21" t="str">
            <v>59</v>
          </cell>
          <cell r="D21" t="str">
            <v>Домик з-х местный</v>
          </cell>
          <cell r="E21" t="str">
            <v>деревянный 5 х 4</v>
          </cell>
          <cell r="G21" t="str">
            <v>01</v>
          </cell>
          <cell r="H21">
            <v>23540</v>
          </cell>
          <cell r="I21">
            <v>23540</v>
          </cell>
          <cell r="J21">
            <v>0</v>
          </cell>
          <cell r="K21">
            <v>1.1299999999999999</v>
          </cell>
          <cell r="L21" t="str">
            <v>88/1</v>
          </cell>
          <cell r="M21" t="str">
            <v>10007</v>
          </cell>
          <cell r="N21" t="str">
            <v>13 2022231</v>
          </cell>
          <cell r="O21" t="str">
            <v>01</v>
          </cell>
          <cell r="P21">
            <v>9.8000000000000007</v>
          </cell>
          <cell r="Q21">
            <v>0</v>
          </cell>
          <cell r="R21" t="str">
            <v>1</v>
          </cell>
          <cell r="S21" t="str">
            <v>10</v>
          </cell>
          <cell r="T21">
            <v>81</v>
          </cell>
          <cell r="U21">
            <v>6</v>
          </cell>
          <cell r="V21">
            <v>81</v>
          </cell>
          <cell r="W21">
            <v>6</v>
          </cell>
          <cell r="X21">
            <v>81</v>
          </cell>
          <cell r="AA21" t="str">
            <v>1</v>
          </cell>
          <cell r="AB21" t="str">
            <v>15</v>
          </cell>
          <cell r="AC21">
            <v>7</v>
          </cell>
          <cell r="AF21" t="str">
            <v>16</v>
          </cell>
          <cell r="AI21">
            <v>20812138</v>
          </cell>
          <cell r="AJ21">
            <v>20812138</v>
          </cell>
        </row>
        <row r="22">
          <cell r="A22" t="str">
            <v>02</v>
          </cell>
          <cell r="B22" t="str">
            <v>23</v>
          </cell>
          <cell r="C22" t="str">
            <v>59/1</v>
          </cell>
          <cell r="D22" t="str">
            <v>Станок ЦК6 -Р 105</v>
          </cell>
          <cell r="E22" t="str">
            <v>для проверки стартер</v>
          </cell>
          <cell r="F22" t="str">
            <v>ов</v>
          </cell>
          <cell r="G22" t="str">
            <v>01</v>
          </cell>
          <cell r="H22">
            <v>4852.04</v>
          </cell>
          <cell r="I22">
            <v>2745.45</v>
          </cell>
          <cell r="J22">
            <v>0</v>
          </cell>
          <cell r="K22">
            <v>1.1200000000000001</v>
          </cell>
          <cell r="L22" t="str">
            <v>23</v>
          </cell>
          <cell r="M22" t="str">
            <v>41000</v>
          </cell>
          <cell r="N22" t="str">
            <v>14 2922172</v>
          </cell>
          <cell r="O22" t="str">
            <v>067</v>
          </cell>
          <cell r="P22">
            <v>3.5</v>
          </cell>
          <cell r="Q22">
            <v>0</v>
          </cell>
          <cell r="R22" t="str">
            <v>1</v>
          </cell>
          <cell r="S22" t="str">
            <v>41</v>
          </cell>
          <cell r="T22">
            <v>78</v>
          </cell>
          <cell r="U22">
            <v>10</v>
          </cell>
          <cell r="V22">
            <v>78</v>
          </cell>
          <cell r="W22">
            <v>10</v>
          </cell>
          <cell r="X22">
            <v>78</v>
          </cell>
          <cell r="AF22" t="str">
            <v>00</v>
          </cell>
          <cell r="AI22">
            <v>4332182</v>
          </cell>
          <cell r="AJ22">
            <v>2906171.91</v>
          </cell>
        </row>
        <row r="23">
          <cell r="A23" t="str">
            <v>16</v>
          </cell>
          <cell r="B23" t="str">
            <v>06</v>
          </cell>
          <cell r="C23" t="str">
            <v>60</v>
          </cell>
          <cell r="D23" t="str">
            <v>Домик з-х местный</v>
          </cell>
          <cell r="E23" t="str">
            <v>деревянный 5 х 4</v>
          </cell>
          <cell r="G23" t="str">
            <v>01</v>
          </cell>
          <cell r="H23">
            <v>23540</v>
          </cell>
          <cell r="I23">
            <v>23540</v>
          </cell>
          <cell r="J23">
            <v>0</v>
          </cell>
          <cell r="K23">
            <v>1.1299999999999999</v>
          </cell>
          <cell r="L23" t="str">
            <v>88/4</v>
          </cell>
          <cell r="M23" t="str">
            <v>10007</v>
          </cell>
          <cell r="N23" t="str">
            <v>13 2022231</v>
          </cell>
          <cell r="O23" t="str">
            <v>01</v>
          </cell>
          <cell r="P23">
            <v>9.8000000000000007</v>
          </cell>
          <cell r="Q23">
            <v>0</v>
          </cell>
          <cell r="R23" t="str">
            <v>1</v>
          </cell>
          <cell r="S23" t="str">
            <v>10</v>
          </cell>
          <cell r="T23">
            <v>8</v>
          </cell>
          <cell r="U23">
            <v>6</v>
          </cell>
          <cell r="V23">
            <v>81</v>
          </cell>
          <cell r="W23">
            <v>6</v>
          </cell>
          <cell r="X23">
            <v>81</v>
          </cell>
          <cell r="AA23" t="str">
            <v>1</v>
          </cell>
          <cell r="AB23" t="str">
            <v>15</v>
          </cell>
          <cell r="AC23">
            <v>7</v>
          </cell>
          <cell r="AF23" t="str">
            <v>16</v>
          </cell>
          <cell r="AI23">
            <v>20812138</v>
          </cell>
          <cell r="AJ23">
            <v>20812138</v>
          </cell>
        </row>
        <row r="24">
          <cell r="A24" t="str">
            <v>02</v>
          </cell>
          <cell r="B24" t="str">
            <v>23</v>
          </cell>
          <cell r="C24" t="str">
            <v>60/1</v>
          </cell>
          <cell r="D24" t="str">
            <v>Станок ЦК 6Р 108</v>
          </cell>
          <cell r="E24" t="str">
            <v>для моторной расточк</v>
          </cell>
          <cell r="F24" t="str">
            <v>и клапанов</v>
          </cell>
          <cell r="G24" t="str">
            <v>01</v>
          </cell>
          <cell r="H24">
            <v>4687.88</v>
          </cell>
          <cell r="I24">
            <v>2652.56</v>
          </cell>
          <cell r="J24">
            <v>0</v>
          </cell>
          <cell r="K24">
            <v>1.1200000000000001</v>
          </cell>
          <cell r="L24" t="str">
            <v>23</v>
          </cell>
          <cell r="M24" t="str">
            <v>41000</v>
          </cell>
          <cell r="N24" t="str">
            <v>14 2922169</v>
          </cell>
          <cell r="O24" t="str">
            <v>067</v>
          </cell>
          <cell r="P24">
            <v>3.5</v>
          </cell>
          <cell r="Q24">
            <v>0</v>
          </cell>
          <cell r="R24" t="str">
            <v>1</v>
          </cell>
          <cell r="S24" t="str">
            <v>41</v>
          </cell>
          <cell r="T24">
            <v>78</v>
          </cell>
          <cell r="U24">
            <v>10</v>
          </cell>
          <cell r="V24">
            <v>78</v>
          </cell>
          <cell r="W24">
            <v>10</v>
          </cell>
          <cell r="X24">
            <v>78</v>
          </cell>
          <cell r="AF24" t="str">
            <v>00</v>
          </cell>
          <cell r="AI24">
            <v>4185605</v>
          </cell>
          <cell r="AJ24">
            <v>2807842.39</v>
          </cell>
        </row>
        <row r="25">
          <cell r="A25" t="str">
            <v>02</v>
          </cell>
          <cell r="B25" t="str">
            <v>23</v>
          </cell>
          <cell r="C25" t="str">
            <v>61</v>
          </cell>
          <cell r="D25" t="str">
            <v>Устройство для мойки</v>
          </cell>
          <cell r="E25" t="str">
            <v xml:space="preserve"> детелей 77-400 N7</v>
          </cell>
          <cell r="F25" t="str">
            <v>Польша</v>
          </cell>
          <cell r="G25" t="str">
            <v>01</v>
          </cell>
          <cell r="H25">
            <v>3860</v>
          </cell>
          <cell r="I25">
            <v>3281</v>
          </cell>
          <cell r="J25">
            <v>0</v>
          </cell>
          <cell r="K25">
            <v>0.2</v>
          </cell>
          <cell r="L25" t="str">
            <v>23</v>
          </cell>
          <cell r="M25" t="str">
            <v>46115</v>
          </cell>
          <cell r="N25" t="str">
            <v>14 3440102</v>
          </cell>
          <cell r="O25" t="str">
            <v>067</v>
          </cell>
          <cell r="P25">
            <v>14.3</v>
          </cell>
          <cell r="Q25">
            <v>0</v>
          </cell>
          <cell r="R25" t="str">
            <v>1</v>
          </cell>
          <cell r="S25" t="str">
            <v>46</v>
          </cell>
          <cell r="T25">
            <v>0</v>
          </cell>
          <cell r="U25">
            <v>3</v>
          </cell>
          <cell r="V25">
            <v>89</v>
          </cell>
          <cell r="W25">
            <v>3</v>
          </cell>
          <cell r="X25">
            <v>89</v>
          </cell>
          <cell r="AF25" t="str">
            <v>00</v>
          </cell>
          <cell r="AI25">
            <v>19028805</v>
          </cell>
          <cell r="AJ25">
            <v>19028805</v>
          </cell>
        </row>
        <row r="26">
          <cell r="A26" t="str">
            <v>02</v>
          </cell>
          <cell r="B26" t="str">
            <v>23</v>
          </cell>
          <cell r="C26" t="str">
            <v>62</v>
          </cell>
          <cell r="D26" t="str">
            <v>Прибор ППС-1 РС-1</v>
          </cell>
          <cell r="G26" t="str">
            <v>01</v>
          </cell>
          <cell r="H26">
            <v>5763</v>
          </cell>
          <cell r="I26">
            <v>2996.76</v>
          </cell>
          <cell r="J26">
            <v>0</v>
          </cell>
          <cell r="K26">
            <v>0.47</v>
          </cell>
          <cell r="L26" t="str">
            <v>23</v>
          </cell>
          <cell r="M26" t="str">
            <v>47024</v>
          </cell>
          <cell r="N26" t="str">
            <v>14 3311226</v>
          </cell>
          <cell r="O26" t="str">
            <v>063</v>
          </cell>
          <cell r="P26">
            <v>10.4</v>
          </cell>
          <cell r="Q26">
            <v>0</v>
          </cell>
          <cell r="R26" t="str">
            <v>1</v>
          </cell>
          <cell r="S26" t="str">
            <v>47</v>
          </cell>
          <cell r="T26">
            <v>0</v>
          </cell>
          <cell r="U26">
            <v>12</v>
          </cell>
          <cell r="V26">
            <v>89</v>
          </cell>
          <cell r="W26">
            <v>12</v>
          </cell>
          <cell r="X26">
            <v>89</v>
          </cell>
          <cell r="AF26" t="str">
            <v>00</v>
          </cell>
          <cell r="AI26">
            <v>12134042</v>
          </cell>
          <cell r="AJ26">
            <v>10095523.15</v>
          </cell>
        </row>
        <row r="27">
          <cell r="A27" t="str">
            <v>16</v>
          </cell>
          <cell r="B27" t="str">
            <v>06</v>
          </cell>
          <cell r="C27" t="str">
            <v>63</v>
          </cell>
          <cell r="D27" t="str">
            <v>Вагон-домик металлич</v>
          </cell>
          <cell r="E27" t="str">
            <v>12 х 3м</v>
          </cell>
          <cell r="G27" t="str">
            <v>01</v>
          </cell>
          <cell r="H27">
            <v>20349.72</v>
          </cell>
          <cell r="I27">
            <v>20349.72</v>
          </cell>
          <cell r="J27">
            <v>0</v>
          </cell>
          <cell r="K27">
            <v>1.1299999999999999</v>
          </cell>
          <cell r="L27" t="str">
            <v>88/1</v>
          </cell>
          <cell r="M27" t="str">
            <v>10010</v>
          </cell>
          <cell r="N27" t="str">
            <v>13 3420175</v>
          </cell>
          <cell r="O27" t="str">
            <v>01</v>
          </cell>
          <cell r="P27">
            <v>12.5</v>
          </cell>
          <cell r="Q27">
            <v>0</v>
          </cell>
          <cell r="R27" t="str">
            <v>1</v>
          </cell>
          <cell r="S27" t="str">
            <v>10</v>
          </cell>
          <cell r="T27">
            <v>79</v>
          </cell>
          <cell r="U27">
            <v>8</v>
          </cell>
          <cell r="V27">
            <v>79</v>
          </cell>
          <cell r="W27">
            <v>8</v>
          </cell>
          <cell r="X27">
            <v>79</v>
          </cell>
          <cell r="AF27" t="str">
            <v>16</v>
          </cell>
          <cell r="AI27">
            <v>18000640</v>
          </cell>
          <cell r="AJ27">
            <v>18000640</v>
          </cell>
        </row>
        <row r="28">
          <cell r="A28" t="str">
            <v>16</v>
          </cell>
          <cell r="B28" t="str">
            <v>06</v>
          </cell>
          <cell r="C28" t="str">
            <v>64</v>
          </cell>
          <cell r="D28" t="str">
            <v>Вагон-домик металлич</v>
          </cell>
          <cell r="E28" t="str">
            <v>12 х 3</v>
          </cell>
          <cell r="G28" t="str">
            <v>01</v>
          </cell>
          <cell r="H28">
            <v>20349.72</v>
          </cell>
          <cell r="I28">
            <v>20349.72</v>
          </cell>
          <cell r="J28">
            <v>0</v>
          </cell>
          <cell r="K28">
            <v>1.1299999999999999</v>
          </cell>
          <cell r="L28" t="str">
            <v>88/1</v>
          </cell>
          <cell r="M28" t="str">
            <v>10010</v>
          </cell>
          <cell r="N28" t="str">
            <v>13 3420175</v>
          </cell>
          <cell r="O28" t="str">
            <v>01</v>
          </cell>
          <cell r="P28">
            <v>12.5</v>
          </cell>
          <cell r="Q28">
            <v>0</v>
          </cell>
          <cell r="R28" t="str">
            <v>1</v>
          </cell>
          <cell r="S28" t="str">
            <v>10</v>
          </cell>
          <cell r="T28">
            <v>79</v>
          </cell>
          <cell r="U28">
            <v>8</v>
          </cell>
          <cell r="V28">
            <v>79</v>
          </cell>
          <cell r="W28">
            <v>8</v>
          </cell>
          <cell r="X28">
            <v>79</v>
          </cell>
          <cell r="AF28" t="str">
            <v>16</v>
          </cell>
          <cell r="AI28">
            <v>18000640</v>
          </cell>
          <cell r="AJ28">
            <v>18000640</v>
          </cell>
        </row>
        <row r="29">
          <cell r="A29" t="str">
            <v>16</v>
          </cell>
          <cell r="B29" t="str">
            <v>06</v>
          </cell>
          <cell r="C29" t="str">
            <v>65</v>
          </cell>
          <cell r="D29" t="str">
            <v>Домик дачный 3-х мес</v>
          </cell>
          <cell r="E29" t="str">
            <v>тный деревянный 5х4</v>
          </cell>
          <cell r="G29" t="str">
            <v>01</v>
          </cell>
          <cell r="H29">
            <v>16176.06</v>
          </cell>
          <cell r="I29">
            <v>16176.06</v>
          </cell>
          <cell r="J29">
            <v>0</v>
          </cell>
          <cell r="K29">
            <v>1.1299999999999999</v>
          </cell>
          <cell r="L29" t="str">
            <v>88/1</v>
          </cell>
          <cell r="M29" t="str">
            <v>10007</v>
          </cell>
          <cell r="N29" t="str">
            <v>13 2022231</v>
          </cell>
          <cell r="O29" t="str">
            <v>01</v>
          </cell>
          <cell r="P29">
            <v>9.8000000000000007</v>
          </cell>
          <cell r="Q29">
            <v>0</v>
          </cell>
          <cell r="R29" t="str">
            <v>1</v>
          </cell>
          <cell r="S29" t="str">
            <v>10</v>
          </cell>
          <cell r="T29">
            <v>79</v>
          </cell>
          <cell r="U29">
            <v>7</v>
          </cell>
          <cell r="V29">
            <v>79</v>
          </cell>
          <cell r="W29">
            <v>7</v>
          </cell>
          <cell r="X29">
            <v>79</v>
          </cell>
          <cell r="AF29" t="str">
            <v>16</v>
          </cell>
          <cell r="AI29">
            <v>14308764</v>
          </cell>
          <cell r="AJ29">
            <v>14308764</v>
          </cell>
        </row>
        <row r="30">
          <cell r="A30" t="str">
            <v>16</v>
          </cell>
          <cell r="B30" t="str">
            <v>06</v>
          </cell>
          <cell r="C30" t="str">
            <v>66</v>
          </cell>
          <cell r="D30" t="str">
            <v>Домик дачный 3-хмест</v>
          </cell>
          <cell r="E30" t="str">
            <v>ный деревянный 5х4</v>
          </cell>
          <cell r="G30" t="str">
            <v>01</v>
          </cell>
          <cell r="H30">
            <v>16176.06</v>
          </cell>
          <cell r="I30">
            <v>16176.06</v>
          </cell>
          <cell r="J30">
            <v>0</v>
          </cell>
          <cell r="K30">
            <v>1.1299999999999999</v>
          </cell>
          <cell r="L30" t="str">
            <v>88/1</v>
          </cell>
          <cell r="M30" t="str">
            <v>10007</v>
          </cell>
          <cell r="N30" t="str">
            <v>13 2022231</v>
          </cell>
          <cell r="O30" t="str">
            <v>01</v>
          </cell>
          <cell r="P30">
            <v>9.8000000000000007</v>
          </cell>
          <cell r="Q30">
            <v>0</v>
          </cell>
          <cell r="R30" t="str">
            <v>1</v>
          </cell>
          <cell r="S30" t="str">
            <v>10</v>
          </cell>
          <cell r="T30">
            <v>79</v>
          </cell>
          <cell r="U30">
            <v>7</v>
          </cell>
          <cell r="V30">
            <v>79</v>
          </cell>
          <cell r="W30">
            <v>7</v>
          </cell>
          <cell r="X30">
            <v>79</v>
          </cell>
          <cell r="AF30" t="str">
            <v>16</v>
          </cell>
          <cell r="AI30">
            <v>14308764</v>
          </cell>
          <cell r="AJ30">
            <v>14308764</v>
          </cell>
        </row>
        <row r="31">
          <cell r="A31" t="str">
            <v>16</v>
          </cell>
          <cell r="B31" t="str">
            <v>06</v>
          </cell>
          <cell r="C31" t="str">
            <v>67</v>
          </cell>
          <cell r="D31" t="str">
            <v>Домик дачный 3-х мес</v>
          </cell>
          <cell r="E31" t="str">
            <v>тный деревянный 5х4</v>
          </cell>
          <cell r="G31" t="str">
            <v>01</v>
          </cell>
          <cell r="H31">
            <v>16176.06</v>
          </cell>
          <cell r="I31">
            <v>16176.06</v>
          </cell>
          <cell r="J31">
            <v>0</v>
          </cell>
          <cell r="K31">
            <v>1.1299999999999999</v>
          </cell>
          <cell r="L31" t="str">
            <v>88/1</v>
          </cell>
          <cell r="M31" t="str">
            <v>10007</v>
          </cell>
          <cell r="N31" t="str">
            <v>13 2022231</v>
          </cell>
          <cell r="O31" t="str">
            <v>01</v>
          </cell>
          <cell r="P31">
            <v>9.8000000000000007</v>
          </cell>
          <cell r="Q31">
            <v>0</v>
          </cell>
          <cell r="R31" t="str">
            <v>1</v>
          </cell>
          <cell r="S31" t="str">
            <v>10</v>
          </cell>
          <cell r="T31">
            <v>79</v>
          </cell>
          <cell r="U31">
            <v>7</v>
          </cell>
          <cell r="V31">
            <v>79</v>
          </cell>
          <cell r="W31">
            <v>7</v>
          </cell>
          <cell r="X31">
            <v>79</v>
          </cell>
          <cell r="AF31" t="str">
            <v>16</v>
          </cell>
          <cell r="AI31">
            <v>14308764</v>
          </cell>
          <cell r="AJ31">
            <v>14308764</v>
          </cell>
        </row>
        <row r="32">
          <cell r="A32" t="str">
            <v>02</v>
          </cell>
          <cell r="B32" t="str">
            <v>71</v>
          </cell>
          <cell r="C32" t="str">
            <v>68</v>
          </cell>
          <cell r="D32" t="str">
            <v>Склад хранилище</v>
          </cell>
          <cell r="G32" t="str">
            <v>01</v>
          </cell>
          <cell r="H32">
            <v>98280</v>
          </cell>
          <cell r="I32">
            <v>49549.5</v>
          </cell>
          <cell r="J32">
            <v>0</v>
          </cell>
          <cell r="K32">
            <v>1.1200000000000001</v>
          </cell>
          <cell r="L32" t="str">
            <v>23</v>
          </cell>
          <cell r="M32" t="str">
            <v>10004</v>
          </cell>
          <cell r="N32" t="str">
            <v>11 4527204</v>
          </cell>
          <cell r="O32" t="str">
            <v>01</v>
          </cell>
          <cell r="P32">
            <v>2.5</v>
          </cell>
          <cell r="Q32">
            <v>0</v>
          </cell>
          <cell r="R32" t="str">
            <v>1</v>
          </cell>
          <cell r="S32" t="str">
            <v>10</v>
          </cell>
          <cell r="T32">
            <v>74</v>
          </cell>
          <cell r="U32">
            <v>10</v>
          </cell>
          <cell r="V32">
            <v>74</v>
          </cell>
          <cell r="W32">
            <v>10</v>
          </cell>
          <cell r="X32">
            <v>74</v>
          </cell>
          <cell r="AF32" t="str">
            <v>00</v>
          </cell>
          <cell r="AI32">
            <v>87490549</v>
          </cell>
          <cell r="AJ32">
            <v>50671610.390000001</v>
          </cell>
        </row>
        <row r="33">
          <cell r="A33" t="str">
            <v>16</v>
          </cell>
          <cell r="B33" t="str">
            <v>06</v>
          </cell>
          <cell r="C33" t="str">
            <v>69</v>
          </cell>
          <cell r="D33" t="str">
            <v>Домик дачный 3-х мес</v>
          </cell>
          <cell r="E33" t="str">
            <v>тный деревянный 5х4</v>
          </cell>
          <cell r="G33" t="str">
            <v>01</v>
          </cell>
          <cell r="H33">
            <v>16176.06</v>
          </cell>
          <cell r="I33">
            <v>16176.06</v>
          </cell>
          <cell r="J33">
            <v>0</v>
          </cell>
          <cell r="K33">
            <v>1.1299999999999999</v>
          </cell>
          <cell r="L33" t="str">
            <v>88/1</v>
          </cell>
          <cell r="M33" t="str">
            <v>10007</v>
          </cell>
          <cell r="N33" t="str">
            <v>13 2022231</v>
          </cell>
          <cell r="O33" t="str">
            <v>01</v>
          </cell>
          <cell r="P33">
            <v>9.8000000000000007</v>
          </cell>
          <cell r="Q33">
            <v>0</v>
          </cell>
          <cell r="R33" t="str">
            <v>1</v>
          </cell>
          <cell r="S33" t="str">
            <v>10</v>
          </cell>
          <cell r="T33">
            <v>79</v>
          </cell>
          <cell r="U33">
            <v>7</v>
          </cell>
          <cell r="V33">
            <v>79</v>
          </cell>
          <cell r="W33">
            <v>7</v>
          </cell>
          <cell r="X33">
            <v>79</v>
          </cell>
          <cell r="AF33" t="str">
            <v>16</v>
          </cell>
          <cell r="AI33">
            <v>14308764</v>
          </cell>
          <cell r="AJ33">
            <v>14308764</v>
          </cell>
        </row>
        <row r="34">
          <cell r="A34" t="str">
            <v>16</v>
          </cell>
          <cell r="B34" t="str">
            <v>06</v>
          </cell>
          <cell r="C34" t="str">
            <v>70</v>
          </cell>
          <cell r="D34" t="str">
            <v>Домик дачный 3-х мес</v>
          </cell>
          <cell r="E34" t="str">
            <v>тный деревянный 5х4</v>
          </cell>
          <cell r="G34" t="str">
            <v>01</v>
          </cell>
          <cell r="H34">
            <v>16176.06</v>
          </cell>
          <cell r="I34">
            <v>16176.06</v>
          </cell>
          <cell r="J34">
            <v>0</v>
          </cell>
          <cell r="K34">
            <v>1.1299999999999999</v>
          </cell>
          <cell r="L34" t="str">
            <v>88/1</v>
          </cell>
          <cell r="M34" t="str">
            <v>10007</v>
          </cell>
          <cell r="N34" t="str">
            <v>13 2022231</v>
          </cell>
          <cell r="O34" t="str">
            <v>01</v>
          </cell>
          <cell r="P34">
            <v>9.8000000000000007</v>
          </cell>
          <cell r="Q34">
            <v>0</v>
          </cell>
          <cell r="R34" t="str">
            <v>1</v>
          </cell>
          <cell r="S34" t="str">
            <v>10</v>
          </cell>
          <cell r="T34">
            <v>79</v>
          </cell>
          <cell r="U34">
            <v>7</v>
          </cell>
          <cell r="V34">
            <v>79</v>
          </cell>
          <cell r="W34">
            <v>7</v>
          </cell>
          <cell r="X34">
            <v>79</v>
          </cell>
          <cell r="AF34" t="str">
            <v>16</v>
          </cell>
          <cell r="AI34">
            <v>14308764</v>
          </cell>
          <cell r="AJ34">
            <v>14308764</v>
          </cell>
        </row>
        <row r="35">
          <cell r="A35" t="str">
            <v>16</v>
          </cell>
          <cell r="B35" t="str">
            <v>06</v>
          </cell>
          <cell r="C35" t="str">
            <v>71</v>
          </cell>
          <cell r="D35" t="str">
            <v>Домик дачный 3-х мес</v>
          </cell>
          <cell r="E35" t="str">
            <v>тный деревянный 5х4</v>
          </cell>
          <cell r="G35" t="str">
            <v>01</v>
          </cell>
          <cell r="H35">
            <v>16176.06</v>
          </cell>
          <cell r="I35">
            <v>16176.06</v>
          </cell>
          <cell r="J35">
            <v>0</v>
          </cell>
          <cell r="K35">
            <v>1.1299999999999999</v>
          </cell>
          <cell r="L35" t="str">
            <v>88/1</v>
          </cell>
          <cell r="M35" t="str">
            <v>10007</v>
          </cell>
          <cell r="N35" t="str">
            <v>13 2022231</v>
          </cell>
          <cell r="O35" t="str">
            <v>01</v>
          </cell>
          <cell r="P35">
            <v>9.8000000000000007</v>
          </cell>
          <cell r="Q35">
            <v>0</v>
          </cell>
          <cell r="R35" t="str">
            <v>1</v>
          </cell>
          <cell r="S35" t="str">
            <v>10</v>
          </cell>
          <cell r="T35">
            <v>79</v>
          </cell>
          <cell r="U35">
            <v>7</v>
          </cell>
          <cell r="V35">
            <v>79</v>
          </cell>
          <cell r="W35">
            <v>7</v>
          </cell>
          <cell r="X35">
            <v>79</v>
          </cell>
          <cell r="AF35" t="str">
            <v>16</v>
          </cell>
          <cell r="AI35">
            <v>14308764</v>
          </cell>
          <cell r="AJ35">
            <v>14308764</v>
          </cell>
        </row>
        <row r="36">
          <cell r="A36" t="str">
            <v>16</v>
          </cell>
          <cell r="B36" t="str">
            <v>06</v>
          </cell>
          <cell r="C36" t="str">
            <v>72</v>
          </cell>
          <cell r="D36" t="str">
            <v>Домик дачный 3-х мес</v>
          </cell>
          <cell r="E36" t="str">
            <v>тный деревянный 5х4</v>
          </cell>
          <cell r="G36" t="str">
            <v>01</v>
          </cell>
          <cell r="H36">
            <v>16176.06</v>
          </cell>
          <cell r="I36">
            <v>16176.06</v>
          </cell>
          <cell r="J36">
            <v>0</v>
          </cell>
          <cell r="K36">
            <v>1.1299999999999999</v>
          </cell>
          <cell r="L36" t="str">
            <v>88/1</v>
          </cell>
          <cell r="M36" t="str">
            <v>10007</v>
          </cell>
          <cell r="N36" t="str">
            <v>13 2022231</v>
          </cell>
          <cell r="O36" t="str">
            <v>01</v>
          </cell>
          <cell r="P36">
            <v>9.8000000000000007</v>
          </cell>
          <cell r="Q36">
            <v>0</v>
          </cell>
          <cell r="R36" t="str">
            <v>1</v>
          </cell>
          <cell r="S36" t="str">
            <v>10</v>
          </cell>
          <cell r="T36">
            <v>79</v>
          </cell>
          <cell r="U36">
            <v>7</v>
          </cell>
          <cell r="V36">
            <v>79</v>
          </cell>
          <cell r="W36">
            <v>7</v>
          </cell>
          <cell r="X36">
            <v>79</v>
          </cell>
          <cell r="AF36" t="str">
            <v>16</v>
          </cell>
          <cell r="AI36">
            <v>14308764</v>
          </cell>
          <cell r="AJ36">
            <v>14308764</v>
          </cell>
        </row>
        <row r="37">
          <cell r="A37" t="str">
            <v>16</v>
          </cell>
          <cell r="B37" t="str">
            <v>06</v>
          </cell>
          <cell r="C37" t="str">
            <v>73</v>
          </cell>
          <cell r="D37" t="str">
            <v>Дом каркасный деревя</v>
          </cell>
          <cell r="E37" t="str">
            <v>нный 12 х 6 /фиброли</v>
          </cell>
          <cell r="F37" t="str">
            <v>товый/</v>
          </cell>
          <cell r="G37" t="str">
            <v>01</v>
          </cell>
          <cell r="H37">
            <v>53500</v>
          </cell>
          <cell r="I37">
            <v>18725</v>
          </cell>
          <cell r="J37">
            <v>0</v>
          </cell>
          <cell r="K37">
            <v>1.02</v>
          </cell>
          <cell r="L37" t="str">
            <v>88/1</v>
          </cell>
          <cell r="M37" t="str">
            <v>10004</v>
          </cell>
          <cell r="N37" t="str">
            <v>13 2022231</v>
          </cell>
          <cell r="O37" t="str">
            <v>01</v>
          </cell>
          <cell r="P37">
            <v>2.5</v>
          </cell>
          <cell r="Q37">
            <v>0</v>
          </cell>
          <cell r="R37" t="str">
            <v>1</v>
          </cell>
          <cell r="S37" t="str">
            <v>10</v>
          </cell>
          <cell r="T37">
            <v>80</v>
          </cell>
          <cell r="U37">
            <v>12</v>
          </cell>
          <cell r="V37">
            <v>80</v>
          </cell>
          <cell r="W37">
            <v>12</v>
          </cell>
          <cell r="X37">
            <v>80</v>
          </cell>
          <cell r="AF37" t="str">
            <v>16</v>
          </cell>
          <cell r="AI37">
            <v>52262838</v>
          </cell>
          <cell r="AJ37">
            <v>22211705.68</v>
          </cell>
        </row>
        <row r="38">
          <cell r="A38" t="str">
            <v>02</v>
          </cell>
          <cell r="B38" t="str">
            <v>71</v>
          </cell>
          <cell r="C38" t="str">
            <v>74</v>
          </cell>
          <cell r="D38" t="str">
            <v>Металлический склад</v>
          </cell>
          <cell r="G38" t="str">
            <v>01</v>
          </cell>
          <cell r="H38">
            <v>114480</v>
          </cell>
          <cell r="I38">
            <v>54378</v>
          </cell>
          <cell r="J38">
            <v>0</v>
          </cell>
          <cell r="K38">
            <v>0.66</v>
          </cell>
          <cell r="L38" t="str">
            <v>23</v>
          </cell>
          <cell r="M38" t="str">
            <v>10004</v>
          </cell>
          <cell r="N38" t="str">
            <v>11 4527204</v>
          </cell>
          <cell r="O38" t="str">
            <v>01</v>
          </cell>
          <cell r="P38">
            <v>2.5</v>
          </cell>
          <cell r="Q38">
            <v>0</v>
          </cell>
          <cell r="R38" t="str">
            <v>1</v>
          </cell>
          <cell r="S38" t="str">
            <v>10</v>
          </cell>
          <cell r="T38">
            <v>75</v>
          </cell>
          <cell r="U38">
            <v>12</v>
          </cell>
          <cell r="V38">
            <v>75</v>
          </cell>
          <cell r="W38">
            <v>12</v>
          </cell>
          <cell r="X38">
            <v>75</v>
          </cell>
          <cell r="AF38" t="str">
            <v>00</v>
          </cell>
          <cell r="AI38">
            <v>173691573</v>
          </cell>
          <cell r="AJ38">
            <v>95530365.150000006</v>
          </cell>
        </row>
        <row r="39">
          <cell r="A39" t="str">
            <v>02</v>
          </cell>
          <cell r="B39" t="str">
            <v>71</v>
          </cell>
          <cell r="C39" t="str">
            <v>75</v>
          </cell>
          <cell r="D39" t="str">
            <v>Бытовое помещение на</v>
          </cell>
          <cell r="E39" t="str">
            <v xml:space="preserve"> ИТБ</v>
          </cell>
          <cell r="G39" t="str">
            <v>01</v>
          </cell>
          <cell r="H39">
            <v>387790</v>
          </cell>
          <cell r="I39">
            <v>88416.12</v>
          </cell>
          <cell r="J39">
            <v>0</v>
          </cell>
          <cell r="K39">
            <v>0.45</v>
          </cell>
          <cell r="L39" t="str">
            <v>23</v>
          </cell>
          <cell r="M39" t="str">
            <v>10002</v>
          </cell>
          <cell r="N39" t="str">
            <v>11 4529020</v>
          </cell>
          <cell r="O39" t="str">
            <v>01</v>
          </cell>
          <cell r="P39">
            <v>1.2</v>
          </cell>
          <cell r="Q39">
            <v>0</v>
          </cell>
          <cell r="R39" t="str">
            <v>1</v>
          </cell>
          <cell r="S39" t="str">
            <v>10</v>
          </cell>
          <cell r="T39">
            <v>0</v>
          </cell>
          <cell r="U39">
            <v>12</v>
          </cell>
          <cell r="V39">
            <v>75</v>
          </cell>
          <cell r="W39">
            <v>12</v>
          </cell>
          <cell r="X39">
            <v>75</v>
          </cell>
          <cell r="AF39" t="str">
            <v>00</v>
          </cell>
          <cell r="AI39">
            <v>864434816</v>
          </cell>
          <cell r="AJ39">
            <v>228210792.41</v>
          </cell>
        </row>
        <row r="40">
          <cell r="A40" t="str">
            <v>16</v>
          </cell>
          <cell r="B40" t="str">
            <v>06</v>
          </cell>
          <cell r="C40" t="str">
            <v>76</v>
          </cell>
          <cell r="D40" t="str">
            <v>Павильон "Смоленск"</v>
          </cell>
          <cell r="E40" t="str">
            <v>12 х 7м</v>
          </cell>
          <cell r="G40" t="str">
            <v>01</v>
          </cell>
          <cell r="H40">
            <v>30270</v>
          </cell>
          <cell r="I40">
            <v>23640.87</v>
          </cell>
          <cell r="J40">
            <v>0</v>
          </cell>
          <cell r="K40">
            <v>1.02</v>
          </cell>
          <cell r="L40" t="str">
            <v>88/1</v>
          </cell>
          <cell r="M40" t="str">
            <v>10005</v>
          </cell>
          <cell r="N40" t="str">
            <v>13 2022315</v>
          </cell>
          <cell r="O40" t="str">
            <v>02</v>
          </cell>
          <cell r="P40">
            <v>6.6</v>
          </cell>
          <cell r="Q40">
            <v>0</v>
          </cell>
          <cell r="R40" t="str">
            <v>1</v>
          </cell>
          <cell r="S40" t="str">
            <v>10</v>
          </cell>
          <cell r="T40">
            <v>83</v>
          </cell>
          <cell r="U40">
            <v>2</v>
          </cell>
          <cell r="V40">
            <v>83</v>
          </cell>
          <cell r="W40">
            <v>2</v>
          </cell>
          <cell r="X40">
            <v>83</v>
          </cell>
          <cell r="AF40" t="str">
            <v>16</v>
          </cell>
          <cell r="AI40">
            <v>29549520</v>
          </cell>
          <cell r="AJ40">
            <v>28928980.079999998</v>
          </cell>
        </row>
        <row r="41">
          <cell r="A41" t="str">
            <v>16</v>
          </cell>
          <cell r="B41" t="str">
            <v>06</v>
          </cell>
          <cell r="C41" t="str">
            <v>77</v>
          </cell>
          <cell r="D41" t="str">
            <v>Домик-комплекс "Чехо</v>
          </cell>
          <cell r="E41" t="str">
            <v>словакия"дерево-мета</v>
          </cell>
          <cell r="F41" t="str">
            <v>ллич. 24 х 12м</v>
          </cell>
          <cell r="G41" t="str">
            <v>01</v>
          </cell>
          <cell r="H41">
            <v>312500</v>
          </cell>
          <cell r="I41">
            <v>197916.67</v>
          </cell>
          <cell r="J41">
            <v>0</v>
          </cell>
          <cell r="K41">
            <v>1.1100000000000001</v>
          </cell>
          <cell r="L41" t="str">
            <v>88/1</v>
          </cell>
          <cell r="M41" t="str">
            <v>10008</v>
          </cell>
          <cell r="N41" t="str">
            <v>13 2022231</v>
          </cell>
          <cell r="O41" t="str">
            <v>01</v>
          </cell>
          <cell r="P41">
            <v>5</v>
          </cell>
          <cell r="Q41">
            <v>0</v>
          </cell>
          <cell r="R41" t="str">
            <v>1</v>
          </cell>
          <cell r="S41" t="str">
            <v>10</v>
          </cell>
          <cell r="T41">
            <v>82</v>
          </cell>
          <cell r="U41">
            <v>4</v>
          </cell>
          <cell r="V41">
            <v>82</v>
          </cell>
          <cell r="W41">
            <v>4</v>
          </cell>
          <cell r="X41">
            <v>82</v>
          </cell>
          <cell r="AF41" t="str">
            <v>16</v>
          </cell>
          <cell r="AG41">
            <v>280500000</v>
          </cell>
          <cell r="AI41">
            <v>280500000</v>
          </cell>
          <cell r="AJ41">
            <v>219725000</v>
          </cell>
        </row>
        <row r="42">
          <cell r="A42" t="str">
            <v>16</v>
          </cell>
          <cell r="B42" t="str">
            <v>06</v>
          </cell>
          <cell r="C42" t="str">
            <v>79</v>
          </cell>
          <cell r="D42" t="str">
            <v>Сарай хозяйств. с по</v>
          </cell>
          <cell r="E42" t="str">
            <v>гребом металлический</v>
          </cell>
          <cell r="F42" t="str">
            <v>10 х 5м</v>
          </cell>
          <cell r="G42" t="str">
            <v>01</v>
          </cell>
          <cell r="H42">
            <v>18320</v>
          </cell>
          <cell r="I42">
            <v>8976.77</v>
          </cell>
          <cell r="J42">
            <v>0</v>
          </cell>
          <cell r="K42">
            <v>0.75</v>
          </cell>
          <cell r="L42" t="str">
            <v>88/1</v>
          </cell>
          <cell r="M42" t="str">
            <v>10013</v>
          </cell>
          <cell r="N42" t="str">
            <v>11 4527143</v>
          </cell>
          <cell r="O42" t="str">
            <v>01</v>
          </cell>
          <cell r="P42">
            <v>3.5</v>
          </cell>
          <cell r="Q42">
            <v>0</v>
          </cell>
          <cell r="R42" t="str">
            <v>1</v>
          </cell>
          <cell r="S42" t="str">
            <v>10</v>
          </cell>
          <cell r="T42">
            <v>80</v>
          </cell>
          <cell r="U42">
            <v>12</v>
          </cell>
          <cell r="V42">
            <v>80</v>
          </cell>
          <cell r="W42">
            <v>12</v>
          </cell>
          <cell r="X42">
            <v>80</v>
          </cell>
          <cell r="AF42" t="str">
            <v>16</v>
          </cell>
          <cell r="AI42">
            <v>24538179</v>
          </cell>
          <cell r="AJ42">
            <v>14600179.800000001</v>
          </cell>
        </row>
        <row r="43">
          <cell r="A43" t="str">
            <v>16</v>
          </cell>
          <cell r="B43" t="str">
            <v>06</v>
          </cell>
          <cell r="C43" t="str">
            <v>81</v>
          </cell>
          <cell r="D43" t="str">
            <v>Столовая 18 х 15м</v>
          </cell>
          <cell r="E43" t="str">
            <v>кирпичная</v>
          </cell>
          <cell r="G43" t="str">
            <v>01</v>
          </cell>
          <cell r="H43">
            <v>243620</v>
          </cell>
          <cell r="I43">
            <v>74608.600000000006</v>
          </cell>
          <cell r="J43">
            <v>0</v>
          </cell>
          <cell r="K43">
            <v>1.29</v>
          </cell>
          <cell r="L43" t="str">
            <v>88/1</v>
          </cell>
          <cell r="M43" t="str">
            <v>10004</v>
          </cell>
          <cell r="N43" t="str">
            <v>11 4527133</v>
          </cell>
          <cell r="O43" t="str">
            <v>01</v>
          </cell>
          <cell r="P43">
            <v>2.5</v>
          </cell>
          <cell r="Q43">
            <v>0</v>
          </cell>
          <cell r="R43" t="str">
            <v>1</v>
          </cell>
          <cell r="S43" t="str">
            <v>10</v>
          </cell>
          <cell r="T43">
            <v>82</v>
          </cell>
          <cell r="U43">
            <v>9</v>
          </cell>
          <cell r="V43">
            <v>82</v>
          </cell>
          <cell r="W43">
            <v>9</v>
          </cell>
          <cell r="X43">
            <v>82</v>
          </cell>
          <cell r="AF43" t="str">
            <v>16</v>
          </cell>
          <cell r="AI43">
            <v>188914880</v>
          </cell>
          <cell r="AJ43">
            <v>72023775</v>
          </cell>
        </row>
        <row r="44">
          <cell r="A44" t="str">
            <v>16</v>
          </cell>
          <cell r="B44" t="str">
            <v>06</v>
          </cell>
          <cell r="C44" t="str">
            <v>82</v>
          </cell>
          <cell r="D44" t="str">
            <v>Кинобудка 5 х 4м</v>
          </cell>
          <cell r="E44" t="str">
            <v>кирпичная</v>
          </cell>
          <cell r="G44" t="str">
            <v>01</v>
          </cell>
          <cell r="H44">
            <v>28350</v>
          </cell>
          <cell r="I44">
            <v>9922.5</v>
          </cell>
          <cell r="J44">
            <v>0</v>
          </cell>
          <cell r="K44">
            <v>0.5</v>
          </cell>
          <cell r="L44" t="str">
            <v>88/1</v>
          </cell>
          <cell r="M44" t="str">
            <v>10004</v>
          </cell>
          <cell r="N44" t="str">
            <v>13 2022315</v>
          </cell>
          <cell r="O44" t="str">
            <v>01</v>
          </cell>
          <cell r="P44">
            <v>2.5</v>
          </cell>
          <cell r="Q44">
            <v>0</v>
          </cell>
          <cell r="R44" t="str">
            <v>1</v>
          </cell>
          <cell r="S44" t="str">
            <v>10</v>
          </cell>
          <cell r="T44">
            <v>80</v>
          </cell>
          <cell r="U44">
            <v>12</v>
          </cell>
          <cell r="V44">
            <v>80</v>
          </cell>
          <cell r="W44">
            <v>12</v>
          </cell>
          <cell r="X44">
            <v>80</v>
          </cell>
          <cell r="AF44" t="str">
            <v>16</v>
          </cell>
          <cell r="AI44">
            <v>57116031</v>
          </cell>
          <cell r="AJ44">
            <v>24274312.949999999</v>
          </cell>
        </row>
        <row r="45">
          <cell r="A45" t="str">
            <v>02</v>
          </cell>
          <cell r="B45" t="str">
            <v>90</v>
          </cell>
          <cell r="C45" t="str">
            <v>83</v>
          </cell>
          <cell r="D45" t="str">
            <v>Циркульная пила ЦП-</v>
          </cell>
          <cell r="E45" t="str">
            <v>9128</v>
          </cell>
          <cell r="G45" t="str">
            <v>01</v>
          </cell>
          <cell r="H45">
            <v>1475</v>
          </cell>
          <cell r="I45">
            <v>1475</v>
          </cell>
          <cell r="J45">
            <v>0</v>
          </cell>
          <cell r="K45">
            <v>0.79</v>
          </cell>
          <cell r="L45" t="str">
            <v>23</v>
          </cell>
          <cell r="M45" t="str">
            <v>41000</v>
          </cell>
          <cell r="N45" t="str">
            <v>14 2941134</v>
          </cell>
          <cell r="O45" t="str">
            <v>067</v>
          </cell>
          <cell r="P45">
            <v>3.5</v>
          </cell>
          <cell r="Q45">
            <v>0</v>
          </cell>
          <cell r="R45" t="str">
            <v>1</v>
          </cell>
          <cell r="S45" t="str">
            <v>41</v>
          </cell>
          <cell r="T45">
            <v>73</v>
          </cell>
          <cell r="U45">
            <v>11</v>
          </cell>
          <cell r="V45">
            <v>73</v>
          </cell>
          <cell r="W45">
            <v>11</v>
          </cell>
          <cell r="X45">
            <v>73</v>
          </cell>
          <cell r="AF45" t="str">
            <v>00</v>
          </cell>
          <cell r="AI45">
            <v>1866421</v>
          </cell>
          <cell r="AJ45">
            <v>1866421</v>
          </cell>
        </row>
        <row r="46">
          <cell r="A46" t="str">
            <v>16</v>
          </cell>
          <cell r="B46" t="str">
            <v>06</v>
          </cell>
          <cell r="C46" t="str">
            <v>83/1</v>
          </cell>
          <cell r="D46" t="str">
            <v>Домик ГПП-деревянный</v>
          </cell>
          <cell r="E46" t="str">
            <v>8 х 5</v>
          </cell>
          <cell r="G46" t="str">
            <v>01</v>
          </cell>
          <cell r="H46">
            <v>53500</v>
          </cell>
          <cell r="I46">
            <v>53500</v>
          </cell>
          <cell r="J46">
            <v>0</v>
          </cell>
          <cell r="K46">
            <v>1.1299999999999999</v>
          </cell>
          <cell r="L46" t="str">
            <v>88/1</v>
          </cell>
          <cell r="M46" t="str">
            <v>10010</v>
          </cell>
          <cell r="N46" t="str">
            <v>13 2022231</v>
          </cell>
          <cell r="O46" t="str">
            <v>01</v>
          </cell>
          <cell r="P46">
            <v>12.5</v>
          </cell>
          <cell r="Q46">
            <v>0</v>
          </cell>
          <cell r="R46" t="str">
            <v>1</v>
          </cell>
          <cell r="S46" t="str">
            <v>10</v>
          </cell>
          <cell r="T46">
            <v>79</v>
          </cell>
          <cell r="U46">
            <v>12</v>
          </cell>
          <cell r="V46">
            <v>79</v>
          </cell>
          <cell r="W46">
            <v>12</v>
          </cell>
          <cell r="X46">
            <v>79</v>
          </cell>
          <cell r="AF46" t="str">
            <v>16</v>
          </cell>
          <cell r="AI46">
            <v>47342877</v>
          </cell>
          <cell r="AJ46">
            <v>47342877</v>
          </cell>
        </row>
        <row r="47">
          <cell r="A47" t="str">
            <v>02</v>
          </cell>
          <cell r="B47" t="str">
            <v>90</v>
          </cell>
          <cell r="C47" t="str">
            <v>84</v>
          </cell>
          <cell r="D47" t="str">
            <v>Станов токарно-винто</v>
          </cell>
          <cell r="E47" t="str">
            <v>-резный 16903 П</v>
          </cell>
          <cell r="G47" t="str">
            <v>01</v>
          </cell>
          <cell r="H47">
            <v>4520</v>
          </cell>
          <cell r="I47">
            <v>2069.7800000000002</v>
          </cell>
          <cell r="J47">
            <v>0</v>
          </cell>
          <cell r="K47">
            <v>1.1200000000000001</v>
          </cell>
          <cell r="L47" t="str">
            <v>23</v>
          </cell>
          <cell r="M47" t="str">
            <v>41000</v>
          </cell>
          <cell r="N47" t="str">
            <v>14 2922105</v>
          </cell>
          <cell r="O47" t="str">
            <v>067</v>
          </cell>
          <cell r="P47">
            <v>3.5</v>
          </cell>
          <cell r="Q47">
            <v>0</v>
          </cell>
          <cell r="R47" t="str">
            <v>1</v>
          </cell>
          <cell r="S47" t="str">
            <v>41</v>
          </cell>
          <cell r="T47">
            <v>0</v>
          </cell>
          <cell r="U47">
            <v>11</v>
          </cell>
          <cell r="V47">
            <v>81</v>
          </cell>
          <cell r="W47">
            <v>11</v>
          </cell>
          <cell r="X47">
            <v>81</v>
          </cell>
          <cell r="AF47" t="str">
            <v>00</v>
          </cell>
          <cell r="AI47">
            <v>4030884</v>
          </cell>
          <cell r="AJ47">
            <v>2269052.5699999998</v>
          </cell>
        </row>
        <row r="48">
          <cell r="A48" t="str">
            <v>16</v>
          </cell>
          <cell r="B48" t="str">
            <v>06</v>
          </cell>
          <cell r="C48" t="str">
            <v>84/1</v>
          </cell>
          <cell r="D48" t="str">
            <v>Вагон-домик деревян.</v>
          </cell>
          <cell r="E48" t="str">
            <v>5 х 4</v>
          </cell>
          <cell r="G48" t="str">
            <v>01</v>
          </cell>
          <cell r="H48">
            <v>20349.72</v>
          </cell>
          <cell r="I48">
            <v>20349.72</v>
          </cell>
          <cell r="J48">
            <v>0</v>
          </cell>
          <cell r="K48">
            <v>1.1299999999999999</v>
          </cell>
          <cell r="L48" t="str">
            <v>88/1</v>
          </cell>
          <cell r="M48" t="str">
            <v>10010</v>
          </cell>
          <cell r="N48" t="str">
            <v>13 3420175</v>
          </cell>
          <cell r="O48" t="str">
            <v>01</v>
          </cell>
          <cell r="P48">
            <v>12.5</v>
          </cell>
          <cell r="Q48">
            <v>0</v>
          </cell>
          <cell r="R48" t="str">
            <v>1</v>
          </cell>
          <cell r="S48" t="str">
            <v>10</v>
          </cell>
          <cell r="T48">
            <v>79</v>
          </cell>
          <cell r="U48">
            <v>8</v>
          </cell>
          <cell r="V48">
            <v>79</v>
          </cell>
          <cell r="W48">
            <v>8</v>
          </cell>
          <cell r="X48">
            <v>79</v>
          </cell>
          <cell r="AF48" t="str">
            <v>16</v>
          </cell>
          <cell r="AI48">
            <v>18000640</v>
          </cell>
          <cell r="AJ48">
            <v>18000640</v>
          </cell>
        </row>
        <row r="49">
          <cell r="A49" t="str">
            <v>02</v>
          </cell>
          <cell r="B49" t="str">
            <v>90</v>
          </cell>
          <cell r="C49" t="str">
            <v>85</v>
          </cell>
          <cell r="D49" t="str">
            <v>Фрезерный станок ФС-</v>
          </cell>
          <cell r="E49" t="str">
            <v>SA</v>
          </cell>
          <cell r="G49" t="str">
            <v>01</v>
          </cell>
          <cell r="H49">
            <v>3486</v>
          </cell>
          <cell r="I49">
            <v>3486.6</v>
          </cell>
          <cell r="J49">
            <v>0</v>
          </cell>
          <cell r="K49">
            <v>0.93</v>
          </cell>
          <cell r="L49" t="str">
            <v>23</v>
          </cell>
          <cell r="M49" t="str">
            <v>41000</v>
          </cell>
          <cell r="N49" t="str">
            <v>14 2922150</v>
          </cell>
          <cell r="O49" t="str">
            <v>067</v>
          </cell>
          <cell r="P49">
            <v>3.5</v>
          </cell>
          <cell r="Q49">
            <v>0</v>
          </cell>
          <cell r="R49" t="str">
            <v>1</v>
          </cell>
          <cell r="S49" t="str">
            <v>41</v>
          </cell>
          <cell r="T49">
            <v>73</v>
          </cell>
          <cell r="U49">
            <v>11</v>
          </cell>
          <cell r="V49">
            <v>73</v>
          </cell>
          <cell r="W49">
            <v>11</v>
          </cell>
          <cell r="X49">
            <v>73</v>
          </cell>
          <cell r="AF49" t="str">
            <v>00</v>
          </cell>
          <cell r="AI49">
            <v>3754996</v>
          </cell>
          <cell r="AJ49">
            <v>3754996</v>
          </cell>
        </row>
        <row r="50">
          <cell r="A50" t="str">
            <v>16</v>
          </cell>
          <cell r="B50" t="str">
            <v>06</v>
          </cell>
          <cell r="C50" t="str">
            <v>85/1</v>
          </cell>
          <cell r="D50" t="str">
            <v>Домик для турбазы</v>
          </cell>
          <cell r="E50" t="str">
            <v>деревянный 5 х 4</v>
          </cell>
          <cell r="F50" t="str">
            <v>4-х местный</v>
          </cell>
          <cell r="G50" t="str">
            <v>01</v>
          </cell>
          <cell r="H50">
            <v>23540</v>
          </cell>
          <cell r="I50">
            <v>19993.310000000001</v>
          </cell>
          <cell r="J50">
            <v>0</v>
          </cell>
          <cell r="K50">
            <v>0.92</v>
          </cell>
          <cell r="L50" t="str">
            <v>88/1</v>
          </cell>
          <cell r="M50" t="str">
            <v>10007</v>
          </cell>
          <cell r="N50" t="str">
            <v>13 2022231</v>
          </cell>
          <cell r="O50" t="str">
            <v>01</v>
          </cell>
          <cell r="P50">
            <v>9.8000000000000007</v>
          </cell>
          <cell r="Q50">
            <v>0</v>
          </cell>
          <cell r="R50" t="str">
            <v>1</v>
          </cell>
          <cell r="S50" t="str">
            <v>10</v>
          </cell>
          <cell r="T50">
            <v>86</v>
          </cell>
          <cell r="U50">
            <v>4</v>
          </cell>
          <cell r="V50">
            <v>86</v>
          </cell>
          <cell r="W50">
            <v>4</v>
          </cell>
          <cell r="X50">
            <v>86</v>
          </cell>
          <cell r="AA50" t="str">
            <v>1</v>
          </cell>
          <cell r="AB50" t="str">
            <v>15</v>
          </cell>
          <cell r="AC50">
            <v>7</v>
          </cell>
          <cell r="AF50" t="str">
            <v>16</v>
          </cell>
          <cell r="AI50">
            <v>25571195</v>
          </cell>
          <cell r="AJ50">
            <v>25571195</v>
          </cell>
        </row>
        <row r="51">
          <cell r="A51" t="str">
            <v>02</v>
          </cell>
          <cell r="B51" t="str">
            <v>90</v>
          </cell>
          <cell r="C51" t="str">
            <v>86</v>
          </cell>
          <cell r="D51" t="str">
            <v>Станок рейсмусный</v>
          </cell>
          <cell r="E51" t="str">
            <v>CР-9БС</v>
          </cell>
          <cell r="G51" t="str">
            <v>01</v>
          </cell>
          <cell r="H51">
            <v>7285.09</v>
          </cell>
          <cell r="I51">
            <v>7285.09</v>
          </cell>
          <cell r="J51">
            <v>0</v>
          </cell>
          <cell r="K51">
            <v>1.1200000000000001</v>
          </cell>
          <cell r="L51" t="str">
            <v>23</v>
          </cell>
          <cell r="M51" t="str">
            <v>44501</v>
          </cell>
          <cell r="N51" t="str">
            <v>14 2922625</v>
          </cell>
          <cell r="O51" t="str">
            <v>067</v>
          </cell>
          <cell r="P51">
            <v>12.5</v>
          </cell>
          <cell r="Q51">
            <v>0</v>
          </cell>
          <cell r="R51" t="str">
            <v>1</v>
          </cell>
          <cell r="S51" t="str">
            <v>44</v>
          </cell>
          <cell r="T51">
            <v>75</v>
          </cell>
          <cell r="U51">
            <v>12</v>
          </cell>
          <cell r="V51">
            <v>75</v>
          </cell>
          <cell r="W51">
            <v>12</v>
          </cell>
          <cell r="X51">
            <v>75</v>
          </cell>
          <cell r="AF51" t="str">
            <v>00</v>
          </cell>
          <cell r="AI51">
            <v>6504546</v>
          </cell>
          <cell r="AJ51">
            <v>6504546</v>
          </cell>
        </row>
        <row r="52">
          <cell r="A52" t="str">
            <v>16</v>
          </cell>
          <cell r="B52" t="str">
            <v>06</v>
          </cell>
          <cell r="C52" t="str">
            <v>86/1</v>
          </cell>
          <cell r="D52" t="str">
            <v>Домик для турбазы</v>
          </cell>
          <cell r="E52" t="str">
            <v>деревянный 5 х 4</v>
          </cell>
          <cell r="F52" t="str">
            <v>4-х местный</v>
          </cell>
          <cell r="G52" t="str">
            <v>01</v>
          </cell>
          <cell r="H52">
            <v>23540</v>
          </cell>
          <cell r="I52">
            <v>19993.310000000001</v>
          </cell>
          <cell r="J52">
            <v>0</v>
          </cell>
          <cell r="K52">
            <v>0.92</v>
          </cell>
          <cell r="L52" t="str">
            <v>88/1</v>
          </cell>
          <cell r="M52" t="str">
            <v>10007</v>
          </cell>
          <cell r="N52" t="str">
            <v>13 2022231</v>
          </cell>
          <cell r="O52" t="str">
            <v>01</v>
          </cell>
          <cell r="P52">
            <v>9.8000000000000007</v>
          </cell>
          <cell r="Q52">
            <v>0</v>
          </cell>
          <cell r="R52" t="str">
            <v>1</v>
          </cell>
          <cell r="S52" t="str">
            <v>10</v>
          </cell>
          <cell r="T52">
            <v>86</v>
          </cell>
          <cell r="U52">
            <v>4</v>
          </cell>
          <cell r="V52">
            <v>86</v>
          </cell>
          <cell r="W52">
            <v>4</v>
          </cell>
          <cell r="X52">
            <v>86</v>
          </cell>
          <cell r="AF52" t="str">
            <v>16</v>
          </cell>
          <cell r="AI52">
            <v>25571195</v>
          </cell>
          <cell r="AJ52">
            <v>25571195</v>
          </cell>
        </row>
        <row r="53">
          <cell r="A53" t="str">
            <v>02</v>
          </cell>
          <cell r="B53" t="str">
            <v>90</v>
          </cell>
          <cell r="C53" t="str">
            <v>87</v>
          </cell>
          <cell r="D53" t="str">
            <v>Станок фуговальный</v>
          </cell>
          <cell r="E53" t="str">
            <v>СФ-1828</v>
          </cell>
          <cell r="G53" t="str">
            <v>01</v>
          </cell>
          <cell r="H53">
            <v>1680.42</v>
          </cell>
          <cell r="I53">
            <v>1680.42</v>
          </cell>
          <cell r="J53">
            <v>0</v>
          </cell>
          <cell r="K53">
            <v>1.05</v>
          </cell>
          <cell r="L53" t="str">
            <v>23</v>
          </cell>
          <cell r="M53" t="str">
            <v>44501</v>
          </cell>
          <cell r="N53" t="str">
            <v>14 2922629</v>
          </cell>
          <cell r="O53" t="str">
            <v>067</v>
          </cell>
          <cell r="P53">
            <v>2.5</v>
          </cell>
          <cell r="Q53">
            <v>0</v>
          </cell>
          <cell r="R53" t="str">
            <v>1</v>
          </cell>
          <cell r="S53" t="str">
            <v>44</v>
          </cell>
          <cell r="T53">
            <v>75</v>
          </cell>
          <cell r="U53">
            <v>6</v>
          </cell>
          <cell r="V53">
            <v>75</v>
          </cell>
          <cell r="W53">
            <v>6</v>
          </cell>
          <cell r="X53">
            <v>75</v>
          </cell>
          <cell r="AF53" t="str">
            <v>00</v>
          </cell>
          <cell r="AI53">
            <v>1600402</v>
          </cell>
          <cell r="AJ53">
            <v>1600402</v>
          </cell>
        </row>
        <row r="54">
          <cell r="A54" t="str">
            <v>16</v>
          </cell>
          <cell r="B54" t="str">
            <v>06</v>
          </cell>
          <cell r="C54" t="str">
            <v>87/1</v>
          </cell>
          <cell r="D54" t="str">
            <v>Домик для турбазы</v>
          </cell>
          <cell r="E54" t="str">
            <v>деревянный 5 х 4</v>
          </cell>
          <cell r="F54" t="str">
            <v>4-х местный</v>
          </cell>
          <cell r="G54" t="str">
            <v>01</v>
          </cell>
          <cell r="H54">
            <v>23540</v>
          </cell>
          <cell r="I54">
            <v>19993.310000000001</v>
          </cell>
          <cell r="J54">
            <v>0</v>
          </cell>
          <cell r="K54">
            <v>0.92</v>
          </cell>
          <cell r="L54" t="str">
            <v>88/1</v>
          </cell>
          <cell r="M54" t="str">
            <v>10007</v>
          </cell>
          <cell r="N54" t="str">
            <v>13 2022231</v>
          </cell>
          <cell r="O54" t="str">
            <v>01</v>
          </cell>
          <cell r="P54">
            <v>9.8000000000000007</v>
          </cell>
          <cell r="Q54">
            <v>0</v>
          </cell>
          <cell r="R54" t="str">
            <v>1</v>
          </cell>
          <cell r="S54" t="str">
            <v>10</v>
          </cell>
          <cell r="T54">
            <v>86</v>
          </cell>
          <cell r="U54">
            <v>4</v>
          </cell>
          <cell r="V54">
            <v>86</v>
          </cell>
          <cell r="W54">
            <v>4</v>
          </cell>
          <cell r="X54">
            <v>86</v>
          </cell>
          <cell r="AF54" t="str">
            <v>16</v>
          </cell>
          <cell r="AI54">
            <v>25571195</v>
          </cell>
          <cell r="AJ54">
            <v>25571195</v>
          </cell>
        </row>
        <row r="55">
          <cell r="A55" t="str">
            <v>16</v>
          </cell>
          <cell r="B55" t="str">
            <v>06</v>
          </cell>
          <cell r="C55" t="str">
            <v>88/1</v>
          </cell>
          <cell r="D55" t="str">
            <v>Домик для турбазы</v>
          </cell>
          <cell r="E55" t="str">
            <v>деревянный 5 х 4</v>
          </cell>
          <cell r="F55" t="str">
            <v>4-х местный</v>
          </cell>
          <cell r="G55" t="str">
            <v>01</v>
          </cell>
          <cell r="H55">
            <v>23540</v>
          </cell>
          <cell r="I55">
            <v>19993.310000000001</v>
          </cell>
          <cell r="J55">
            <v>0</v>
          </cell>
          <cell r="K55">
            <v>0.92</v>
          </cell>
          <cell r="L55" t="str">
            <v>88/1</v>
          </cell>
          <cell r="M55" t="str">
            <v>10007</v>
          </cell>
          <cell r="N55" t="str">
            <v>13 2022231</v>
          </cell>
          <cell r="O55" t="str">
            <v>01</v>
          </cell>
          <cell r="P55">
            <v>9.8000000000000007</v>
          </cell>
          <cell r="Q55">
            <v>0</v>
          </cell>
          <cell r="R55" t="str">
            <v>1</v>
          </cell>
          <cell r="S55" t="str">
            <v>10</v>
          </cell>
          <cell r="T55">
            <v>86</v>
          </cell>
          <cell r="U55">
            <v>4</v>
          </cell>
          <cell r="V55">
            <v>86</v>
          </cell>
          <cell r="W55">
            <v>4</v>
          </cell>
          <cell r="X55">
            <v>86</v>
          </cell>
          <cell r="AF55" t="str">
            <v>16</v>
          </cell>
          <cell r="AI55">
            <v>25571195</v>
          </cell>
          <cell r="AJ55">
            <v>25571195</v>
          </cell>
        </row>
        <row r="56">
          <cell r="A56" t="str">
            <v>16</v>
          </cell>
          <cell r="B56" t="str">
            <v>06</v>
          </cell>
          <cell r="C56" t="str">
            <v>89</v>
          </cell>
          <cell r="D56" t="str">
            <v>Домик для турбазы</v>
          </cell>
          <cell r="E56" t="str">
            <v>деревянный 5 х 4</v>
          </cell>
          <cell r="F56" t="str">
            <v>4-х местный</v>
          </cell>
          <cell r="G56" t="str">
            <v>01</v>
          </cell>
          <cell r="H56">
            <v>23540</v>
          </cell>
          <cell r="I56">
            <v>19993.330000000002</v>
          </cell>
          <cell r="J56">
            <v>0</v>
          </cell>
          <cell r="K56">
            <v>0.92</v>
          </cell>
          <cell r="L56" t="str">
            <v>88/1</v>
          </cell>
          <cell r="M56" t="str">
            <v>10007</v>
          </cell>
          <cell r="N56" t="str">
            <v>13 2022231</v>
          </cell>
          <cell r="O56" t="str">
            <v>01</v>
          </cell>
          <cell r="P56">
            <v>9.8000000000000007</v>
          </cell>
          <cell r="Q56">
            <v>0</v>
          </cell>
          <cell r="R56" t="str">
            <v>1</v>
          </cell>
          <cell r="S56" t="str">
            <v>10</v>
          </cell>
          <cell r="T56">
            <v>86</v>
          </cell>
          <cell r="U56">
            <v>4</v>
          </cell>
          <cell r="V56">
            <v>86</v>
          </cell>
          <cell r="W56">
            <v>4</v>
          </cell>
          <cell r="X56">
            <v>86</v>
          </cell>
          <cell r="AF56" t="str">
            <v>16</v>
          </cell>
          <cell r="AI56">
            <v>25571195</v>
          </cell>
          <cell r="AJ56">
            <v>25571195</v>
          </cell>
        </row>
        <row r="57">
          <cell r="A57" t="str">
            <v>16</v>
          </cell>
          <cell r="B57" t="str">
            <v>06</v>
          </cell>
          <cell r="C57" t="str">
            <v>92</v>
          </cell>
          <cell r="D57" t="str">
            <v>Вагон-домик деревян.</v>
          </cell>
          <cell r="E57" t="str">
            <v>5 х 4  4-х местный</v>
          </cell>
          <cell r="G57" t="str">
            <v>01</v>
          </cell>
          <cell r="H57">
            <v>25600</v>
          </cell>
          <cell r="I57">
            <v>18400</v>
          </cell>
          <cell r="J57">
            <v>0</v>
          </cell>
          <cell r="K57">
            <v>1.1299999999999999</v>
          </cell>
          <cell r="L57" t="str">
            <v>88/1</v>
          </cell>
          <cell r="M57" t="str">
            <v>10010</v>
          </cell>
          <cell r="N57" t="str">
            <v>13 3420175</v>
          </cell>
          <cell r="O57" t="str">
            <v>01</v>
          </cell>
          <cell r="P57">
            <v>12.5</v>
          </cell>
          <cell r="Q57">
            <v>0</v>
          </cell>
          <cell r="R57" t="str">
            <v>1</v>
          </cell>
          <cell r="S57" t="str">
            <v>10</v>
          </cell>
          <cell r="T57">
            <v>89</v>
          </cell>
          <cell r="U57">
            <v>3</v>
          </cell>
          <cell r="V57">
            <v>89</v>
          </cell>
          <cell r="W57">
            <v>3</v>
          </cell>
          <cell r="X57">
            <v>89</v>
          </cell>
          <cell r="AF57" t="str">
            <v>16</v>
          </cell>
          <cell r="AG57">
            <v>22750000</v>
          </cell>
          <cell r="AI57">
            <v>22750000</v>
          </cell>
          <cell r="AJ57">
            <v>22750000</v>
          </cell>
        </row>
        <row r="58">
          <cell r="A58" t="str">
            <v>16</v>
          </cell>
          <cell r="B58" t="str">
            <v>06</v>
          </cell>
          <cell r="C58" t="str">
            <v>93/1</v>
          </cell>
          <cell r="D58" t="str">
            <v>Домик ГДП деревян.</v>
          </cell>
          <cell r="E58" t="str">
            <v>8 х 5</v>
          </cell>
          <cell r="G58" t="str">
            <v>01</v>
          </cell>
          <cell r="H58">
            <v>48300</v>
          </cell>
          <cell r="I58">
            <v>48300</v>
          </cell>
          <cell r="J58">
            <v>0</v>
          </cell>
          <cell r="K58">
            <v>1.17</v>
          </cell>
          <cell r="L58" t="str">
            <v>88/1</v>
          </cell>
          <cell r="M58" t="str">
            <v>10010</v>
          </cell>
          <cell r="N58" t="str">
            <v>13 2022231</v>
          </cell>
          <cell r="O58" t="str">
            <v>01</v>
          </cell>
          <cell r="P58">
            <v>12.5</v>
          </cell>
          <cell r="Q58">
            <v>0</v>
          </cell>
          <cell r="R58" t="str">
            <v>1</v>
          </cell>
          <cell r="S58" t="str">
            <v>10</v>
          </cell>
          <cell r="T58">
            <v>83</v>
          </cell>
          <cell r="U58">
            <v>9</v>
          </cell>
          <cell r="V58">
            <v>83</v>
          </cell>
          <cell r="W58">
            <v>9</v>
          </cell>
          <cell r="X58">
            <v>83</v>
          </cell>
          <cell r="AF58" t="str">
            <v>16</v>
          </cell>
          <cell r="AI58">
            <v>41328000</v>
          </cell>
          <cell r="AJ58">
            <v>41328000</v>
          </cell>
        </row>
        <row r="59">
          <cell r="A59" t="str">
            <v>16</v>
          </cell>
          <cell r="B59" t="str">
            <v>06</v>
          </cell>
          <cell r="C59" t="str">
            <v>94</v>
          </cell>
          <cell r="D59" t="str">
            <v>Домик ГДП  деревян.</v>
          </cell>
          <cell r="E59" t="str">
            <v>8 х 5</v>
          </cell>
          <cell r="G59" t="str">
            <v>01</v>
          </cell>
          <cell r="H59">
            <v>48300</v>
          </cell>
          <cell r="I59">
            <v>48300</v>
          </cell>
          <cell r="J59">
            <v>0</v>
          </cell>
          <cell r="K59">
            <v>1.17</v>
          </cell>
          <cell r="L59" t="str">
            <v>88/1</v>
          </cell>
          <cell r="M59" t="str">
            <v>10010</v>
          </cell>
          <cell r="N59" t="str">
            <v>13 2022231</v>
          </cell>
          <cell r="O59" t="str">
            <v>01</v>
          </cell>
          <cell r="P59">
            <v>12.5</v>
          </cell>
          <cell r="Q59">
            <v>0</v>
          </cell>
          <cell r="R59" t="str">
            <v>1</v>
          </cell>
          <cell r="S59" t="str">
            <v>10</v>
          </cell>
          <cell r="T59">
            <v>83</v>
          </cell>
          <cell r="U59">
            <v>9</v>
          </cell>
          <cell r="V59">
            <v>83</v>
          </cell>
          <cell r="W59">
            <v>9</v>
          </cell>
          <cell r="X59">
            <v>83</v>
          </cell>
          <cell r="AF59" t="str">
            <v>16</v>
          </cell>
          <cell r="AI59">
            <v>41328000</v>
          </cell>
          <cell r="AJ59">
            <v>41328000</v>
          </cell>
        </row>
        <row r="60">
          <cell r="A60" t="str">
            <v>02</v>
          </cell>
          <cell r="B60" t="str">
            <v>02</v>
          </cell>
          <cell r="C60" t="str">
            <v>101</v>
          </cell>
          <cell r="D60" t="str">
            <v>Вагон жилой</v>
          </cell>
          <cell r="E60" t="str">
            <v>дерево-мет. 3 х 6</v>
          </cell>
          <cell r="G60" t="str">
            <v>01</v>
          </cell>
          <cell r="H60">
            <v>28800</v>
          </cell>
          <cell r="I60">
            <v>19800</v>
          </cell>
          <cell r="J60">
            <v>0</v>
          </cell>
          <cell r="K60">
            <v>0.39</v>
          </cell>
          <cell r="L60" t="str">
            <v>20</v>
          </cell>
          <cell r="M60" t="str">
            <v>10010</v>
          </cell>
          <cell r="N60" t="str">
            <v>13 2022261</v>
          </cell>
          <cell r="O60" t="str">
            <v>01</v>
          </cell>
          <cell r="P60">
            <v>12.5</v>
          </cell>
          <cell r="Q60">
            <v>0</v>
          </cell>
          <cell r="R60" t="str">
            <v>1</v>
          </cell>
          <cell r="S60" t="str">
            <v>10</v>
          </cell>
          <cell r="T60">
            <v>89</v>
          </cell>
          <cell r="U60">
            <v>6</v>
          </cell>
          <cell r="V60">
            <v>89</v>
          </cell>
          <cell r="W60">
            <v>6</v>
          </cell>
          <cell r="X60">
            <v>89</v>
          </cell>
          <cell r="AB60" t="str">
            <v>14</v>
          </cell>
          <cell r="AC60">
            <v>2</v>
          </cell>
          <cell r="AF60" t="str">
            <v>00</v>
          </cell>
          <cell r="AI60">
            <v>73472000</v>
          </cell>
          <cell r="AJ60">
            <v>73472000</v>
          </cell>
        </row>
        <row r="61">
          <cell r="A61" t="str">
            <v>02</v>
          </cell>
          <cell r="B61" t="str">
            <v>99</v>
          </cell>
          <cell r="C61" t="str">
            <v>109</v>
          </cell>
          <cell r="D61" t="str">
            <v>Емкость под ГСМ 10м</v>
          </cell>
          <cell r="E61" t="str">
            <v>куб    металлическая</v>
          </cell>
          <cell r="G61" t="str">
            <v>01</v>
          </cell>
          <cell r="H61">
            <v>8500</v>
          </cell>
          <cell r="I61">
            <v>5298.33</v>
          </cell>
          <cell r="J61">
            <v>0</v>
          </cell>
          <cell r="K61">
            <v>0.43</v>
          </cell>
          <cell r="L61" t="str">
            <v>20</v>
          </cell>
          <cell r="M61" t="str">
            <v>42906</v>
          </cell>
          <cell r="N61" t="str">
            <v>14 2918512</v>
          </cell>
          <cell r="O61" t="str">
            <v>067</v>
          </cell>
          <cell r="P61">
            <v>11</v>
          </cell>
          <cell r="Q61">
            <v>0</v>
          </cell>
          <cell r="R61" t="str">
            <v>1</v>
          </cell>
          <cell r="S61" t="str">
            <v>42</v>
          </cell>
          <cell r="T61">
            <v>0</v>
          </cell>
          <cell r="U61">
            <v>4</v>
          </cell>
          <cell r="V61">
            <v>89</v>
          </cell>
          <cell r="W61">
            <v>4</v>
          </cell>
          <cell r="X61">
            <v>89</v>
          </cell>
          <cell r="AF61" t="str">
            <v>00</v>
          </cell>
          <cell r="AI61">
            <v>19886031</v>
          </cell>
          <cell r="AJ61">
            <v>18958016.43</v>
          </cell>
        </row>
        <row r="62">
          <cell r="A62" t="str">
            <v>02</v>
          </cell>
          <cell r="B62" t="str">
            <v>99</v>
          </cell>
          <cell r="C62" t="str">
            <v>110</v>
          </cell>
          <cell r="D62" t="str">
            <v>Емкость под ГСМ</v>
          </cell>
          <cell r="E62" t="str">
            <v>металлическая 10м ку</v>
          </cell>
          <cell r="F62" t="str">
            <v>б</v>
          </cell>
          <cell r="G62" t="str">
            <v>01</v>
          </cell>
          <cell r="H62">
            <v>8500</v>
          </cell>
          <cell r="I62">
            <v>5298.33</v>
          </cell>
          <cell r="J62">
            <v>0</v>
          </cell>
          <cell r="K62">
            <v>0.65</v>
          </cell>
          <cell r="L62" t="str">
            <v>20</v>
          </cell>
          <cell r="M62" t="str">
            <v>42906</v>
          </cell>
          <cell r="N62" t="str">
            <v>14 2918512</v>
          </cell>
          <cell r="O62" t="str">
            <v>067</v>
          </cell>
          <cell r="P62">
            <v>11</v>
          </cell>
          <cell r="Q62">
            <v>0</v>
          </cell>
          <cell r="R62" t="str">
            <v>1</v>
          </cell>
          <cell r="S62" t="str">
            <v>42</v>
          </cell>
          <cell r="T62">
            <v>0</v>
          </cell>
          <cell r="U62">
            <v>4</v>
          </cell>
          <cell r="V62">
            <v>89</v>
          </cell>
          <cell r="W62">
            <v>4</v>
          </cell>
          <cell r="X62">
            <v>89</v>
          </cell>
          <cell r="AF62" t="str">
            <v>00</v>
          </cell>
          <cell r="AI62">
            <v>13076744</v>
          </cell>
          <cell r="AJ62">
            <v>12466495.66</v>
          </cell>
        </row>
        <row r="63">
          <cell r="A63" t="str">
            <v>02</v>
          </cell>
          <cell r="B63" t="str">
            <v>70</v>
          </cell>
          <cell r="C63" t="str">
            <v>111</v>
          </cell>
          <cell r="D63" t="str">
            <v>Вагон-общежитие</v>
          </cell>
          <cell r="E63" t="str">
            <v>дерево-мет. 3 х 8</v>
          </cell>
          <cell r="G63" t="str">
            <v>01</v>
          </cell>
          <cell r="H63">
            <v>38200</v>
          </cell>
          <cell r="I63">
            <v>27456.25</v>
          </cell>
          <cell r="J63">
            <v>0</v>
          </cell>
          <cell r="K63">
            <v>0.52</v>
          </cell>
          <cell r="L63" t="str">
            <v>20</v>
          </cell>
          <cell r="M63" t="str">
            <v>10010</v>
          </cell>
          <cell r="N63" t="str">
            <v>13 2022261</v>
          </cell>
          <cell r="O63" t="str">
            <v>01</v>
          </cell>
          <cell r="P63">
            <v>12.5</v>
          </cell>
          <cell r="Q63">
            <v>0</v>
          </cell>
          <cell r="R63" t="str">
            <v>1</v>
          </cell>
          <cell r="S63" t="str">
            <v>10</v>
          </cell>
          <cell r="T63">
            <v>0</v>
          </cell>
          <cell r="U63">
            <v>3</v>
          </cell>
          <cell r="V63">
            <v>89</v>
          </cell>
          <cell r="W63">
            <v>3</v>
          </cell>
          <cell r="X63">
            <v>89</v>
          </cell>
          <cell r="AF63" t="str">
            <v>00</v>
          </cell>
          <cell r="AI63">
            <v>73472000</v>
          </cell>
          <cell r="AJ63">
            <v>73472000</v>
          </cell>
        </row>
        <row r="64">
          <cell r="A64" t="str">
            <v>02</v>
          </cell>
          <cell r="B64" t="str">
            <v>70</v>
          </cell>
          <cell r="C64" t="str">
            <v>112</v>
          </cell>
          <cell r="D64" t="str">
            <v>Вагон-общежитие</v>
          </cell>
          <cell r="E64" t="str">
            <v>дерево-мет. 3 х 8</v>
          </cell>
          <cell r="G64" t="str">
            <v>01</v>
          </cell>
          <cell r="H64">
            <v>38200</v>
          </cell>
          <cell r="I64">
            <v>27456.25</v>
          </cell>
          <cell r="J64">
            <v>0</v>
          </cell>
          <cell r="K64">
            <v>0.52</v>
          </cell>
          <cell r="L64" t="str">
            <v>20</v>
          </cell>
          <cell r="M64" t="str">
            <v>10010</v>
          </cell>
          <cell r="N64" t="str">
            <v>13 2022261</v>
          </cell>
          <cell r="O64" t="str">
            <v>01</v>
          </cell>
          <cell r="P64">
            <v>12.5</v>
          </cell>
          <cell r="Q64">
            <v>0</v>
          </cell>
          <cell r="R64" t="str">
            <v>1</v>
          </cell>
          <cell r="S64" t="str">
            <v>10</v>
          </cell>
          <cell r="T64">
            <v>89</v>
          </cell>
          <cell r="U64">
            <v>3</v>
          </cell>
          <cell r="V64">
            <v>89</v>
          </cell>
          <cell r="W64">
            <v>3</v>
          </cell>
          <cell r="X64">
            <v>89</v>
          </cell>
          <cell r="AF64" t="str">
            <v>00</v>
          </cell>
          <cell r="AI64">
            <v>73472000</v>
          </cell>
          <cell r="AJ64">
            <v>73472000</v>
          </cell>
        </row>
        <row r="65">
          <cell r="A65" t="str">
            <v>02</v>
          </cell>
          <cell r="B65" t="str">
            <v>02</v>
          </cell>
          <cell r="C65" t="str">
            <v>163</v>
          </cell>
          <cell r="D65" t="str">
            <v>Трубоукладчик ТГ-124</v>
          </cell>
          <cell r="E65" t="str">
            <v xml:space="preserve"> А</v>
          </cell>
          <cell r="G65" t="str">
            <v>01</v>
          </cell>
          <cell r="H65">
            <v>314280</v>
          </cell>
          <cell r="I65">
            <v>149283</v>
          </cell>
          <cell r="J65">
            <v>0</v>
          </cell>
          <cell r="K65">
            <v>1.1599999999999999</v>
          </cell>
          <cell r="L65" t="str">
            <v>20</v>
          </cell>
          <cell r="M65" t="str">
            <v>41723</v>
          </cell>
          <cell r="N65" t="str">
            <v>14 2915246</v>
          </cell>
          <cell r="O65" t="str">
            <v>067</v>
          </cell>
          <cell r="P65">
            <v>10</v>
          </cell>
          <cell r="Q65">
            <v>0</v>
          </cell>
          <cell r="R65" t="str">
            <v>1</v>
          </cell>
          <cell r="S65" t="str">
            <v>41</v>
          </cell>
          <cell r="T65">
            <v>0</v>
          </cell>
          <cell r="U65">
            <v>3</v>
          </cell>
          <cell r="V65">
            <v>90</v>
          </cell>
          <cell r="W65">
            <v>3</v>
          </cell>
          <cell r="X65">
            <v>90</v>
          </cell>
          <cell r="AB65" t="str">
            <v>14</v>
          </cell>
          <cell r="AC65">
            <v>6</v>
          </cell>
          <cell r="AF65" t="str">
            <v>00</v>
          </cell>
          <cell r="AI65">
            <v>271111111</v>
          </cell>
          <cell r="AJ65">
            <v>210111111.15000001</v>
          </cell>
        </row>
        <row r="66">
          <cell r="A66" t="str">
            <v>02</v>
          </cell>
          <cell r="B66" t="str">
            <v>03</v>
          </cell>
          <cell r="C66" t="str">
            <v>187</v>
          </cell>
          <cell r="D66" t="str">
            <v>Картина "Весенний ра</v>
          </cell>
          <cell r="E66" t="str">
            <v>злив"</v>
          </cell>
          <cell r="G66" t="str">
            <v>01</v>
          </cell>
          <cell r="H66">
            <v>2918.42</v>
          </cell>
          <cell r="I66">
            <v>642.04999999999995</v>
          </cell>
          <cell r="J66">
            <v>0</v>
          </cell>
          <cell r="K66">
            <v>1.19</v>
          </cell>
          <cell r="L66" t="str">
            <v>26</v>
          </cell>
          <cell r="M66" t="str">
            <v>70007</v>
          </cell>
          <cell r="N66" t="str">
            <v>19 0001031</v>
          </cell>
          <cell r="O66" t="str">
            <v>08</v>
          </cell>
          <cell r="P66">
            <v>2</v>
          </cell>
          <cell r="Q66">
            <v>0</v>
          </cell>
          <cell r="R66" t="str">
            <v>1</v>
          </cell>
          <cell r="S66" t="str">
            <v>70</v>
          </cell>
          <cell r="T66">
            <v>83</v>
          </cell>
          <cell r="U66">
            <v>12</v>
          </cell>
          <cell r="V66">
            <v>83</v>
          </cell>
          <cell r="W66">
            <v>12</v>
          </cell>
          <cell r="X66">
            <v>83</v>
          </cell>
          <cell r="Y66">
            <v>0</v>
          </cell>
          <cell r="Z66">
            <v>0</v>
          </cell>
          <cell r="AB66" t="str">
            <v>14</v>
          </cell>
          <cell r="AC66">
            <v>8</v>
          </cell>
          <cell r="AF66" t="str">
            <v>00</v>
          </cell>
          <cell r="AI66">
            <v>2452452</v>
          </cell>
          <cell r="AJ66">
            <v>686686.56</v>
          </cell>
        </row>
        <row r="67">
          <cell r="A67" t="str">
            <v>02</v>
          </cell>
          <cell r="B67" t="str">
            <v>03</v>
          </cell>
          <cell r="C67" t="str">
            <v>188</v>
          </cell>
          <cell r="D67" t="str">
            <v>Картина "На Воложке"</v>
          </cell>
          <cell r="G67" t="str">
            <v>01</v>
          </cell>
          <cell r="H67">
            <v>2918.42</v>
          </cell>
          <cell r="I67">
            <v>642.04999999999995</v>
          </cell>
          <cell r="J67">
            <v>0</v>
          </cell>
          <cell r="K67">
            <v>1.19</v>
          </cell>
          <cell r="L67" t="str">
            <v>26</v>
          </cell>
          <cell r="M67" t="str">
            <v>70007</v>
          </cell>
          <cell r="N67" t="str">
            <v>19 0001031</v>
          </cell>
          <cell r="O67" t="str">
            <v>08</v>
          </cell>
          <cell r="P67">
            <v>2</v>
          </cell>
          <cell r="Q67">
            <v>0</v>
          </cell>
          <cell r="R67" t="str">
            <v>1</v>
          </cell>
          <cell r="S67" t="str">
            <v>70</v>
          </cell>
          <cell r="T67">
            <v>83</v>
          </cell>
          <cell r="U67">
            <v>12</v>
          </cell>
          <cell r="V67">
            <v>83</v>
          </cell>
          <cell r="W67">
            <v>12</v>
          </cell>
          <cell r="X67">
            <v>83</v>
          </cell>
          <cell r="AB67" t="str">
            <v>14</v>
          </cell>
          <cell r="AC67">
            <v>8</v>
          </cell>
          <cell r="AF67" t="str">
            <v>00</v>
          </cell>
          <cell r="AI67">
            <v>2452452</v>
          </cell>
          <cell r="AJ67">
            <v>686686.56</v>
          </cell>
        </row>
        <row r="68">
          <cell r="A68" t="str">
            <v>02</v>
          </cell>
          <cell r="B68" t="str">
            <v>03</v>
          </cell>
          <cell r="C68" t="str">
            <v>189</v>
          </cell>
          <cell r="D68" t="str">
            <v>Картина "Большая вод</v>
          </cell>
          <cell r="E68" t="str">
            <v>а"</v>
          </cell>
          <cell r="G68" t="str">
            <v>01</v>
          </cell>
          <cell r="H68">
            <v>3850.76</v>
          </cell>
          <cell r="I68">
            <v>879.26</v>
          </cell>
          <cell r="J68">
            <v>0</v>
          </cell>
          <cell r="K68">
            <v>1.19</v>
          </cell>
          <cell r="L68" t="str">
            <v>26</v>
          </cell>
          <cell r="M68" t="str">
            <v>70007</v>
          </cell>
          <cell r="N68" t="str">
            <v>19 0001031</v>
          </cell>
          <cell r="O68" t="str">
            <v>08</v>
          </cell>
          <cell r="P68">
            <v>2</v>
          </cell>
          <cell r="Q68">
            <v>0</v>
          </cell>
          <cell r="R68" t="str">
            <v>1</v>
          </cell>
          <cell r="S68" t="str">
            <v>70</v>
          </cell>
          <cell r="T68">
            <v>83</v>
          </cell>
          <cell r="U68">
            <v>7</v>
          </cell>
          <cell r="V68">
            <v>83</v>
          </cell>
          <cell r="W68">
            <v>7</v>
          </cell>
          <cell r="X68">
            <v>83</v>
          </cell>
          <cell r="AB68" t="str">
            <v>14</v>
          </cell>
          <cell r="AC68">
            <v>8</v>
          </cell>
          <cell r="AF68" t="str">
            <v>00</v>
          </cell>
          <cell r="AI68">
            <v>3235932</v>
          </cell>
          <cell r="AJ68">
            <v>933027.06</v>
          </cell>
        </row>
        <row r="69">
          <cell r="A69" t="str">
            <v>16</v>
          </cell>
          <cell r="B69" t="str">
            <v>06</v>
          </cell>
          <cell r="C69" t="str">
            <v>269</v>
          </cell>
          <cell r="D69" t="str">
            <v>Емкость металлич.</v>
          </cell>
          <cell r="E69" t="str">
            <v>25 м куб</v>
          </cell>
          <cell r="G69" t="str">
            <v>01</v>
          </cell>
          <cell r="H69">
            <v>15146.63</v>
          </cell>
          <cell r="I69">
            <v>4276.3999999999996</v>
          </cell>
          <cell r="J69">
            <v>0</v>
          </cell>
          <cell r="K69">
            <v>1.35</v>
          </cell>
          <cell r="L69" t="str">
            <v>88/1</v>
          </cell>
          <cell r="M69" t="str">
            <v>20236</v>
          </cell>
          <cell r="N69" t="str">
            <v>14 2918512</v>
          </cell>
          <cell r="O69" t="str">
            <v>03</v>
          </cell>
          <cell r="P69">
            <v>2.8</v>
          </cell>
          <cell r="Q69">
            <v>0</v>
          </cell>
          <cell r="R69" t="str">
            <v>1</v>
          </cell>
          <cell r="S69" t="str">
            <v>20</v>
          </cell>
          <cell r="T69">
            <v>84</v>
          </cell>
          <cell r="U69">
            <v>11</v>
          </cell>
          <cell r="V69">
            <v>84</v>
          </cell>
          <cell r="W69">
            <v>11</v>
          </cell>
          <cell r="X69">
            <v>84</v>
          </cell>
          <cell r="AF69" t="str">
            <v>16</v>
          </cell>
          <cell r="AI69">
            <v>11219725</v>
          </cell>
          <cell r="AJ69">
            <v>4110159.49</v>
          </cell>
        </row>
        <row r="70">
          <cell r="A70" t="str">
            <v>16</v>
          </cell>
          <cell r="B70" t="str">
            <v>06</v>
          </cell>
          <cell r="C70" t="str">
            <v>270</v>
          </cell>
          <cell r="D70" t="str">
            <v>Емкость металлич.</v>
          </cell>
          <cell r="E70" t="str">
            <v>25 м куб</v>
          </cell>
          <cell r="G70" t="str">
            <v>01</v>
          </cell>
          <cell r="H70">
            <v>15146.63</v>
          </cell>
          <cell r="I70">
            <v>4276.3999999999996</v>
          </cell>
          <cell r="J70">
            <v>0</v>
          </cell>
          <cell r="K70">
            <v>1.35</v>
          </cell>
          <cell r="L70" t="str">
            <v>88/1</v>
          </cell>
          <cell r="M70" t="str">
            <v>20236</v>
          </cell>
          <cell r="N70" t="str">
            <v>14 2918512</v>
          </cell>
          <cell r="O70" t="str">
            <v>03</v>
          </cell>
          <cell r="P70">
            <v>2.8</v>
          </cell>
          <cell r="Q70">
            <v>0</v>
          </cell>
          <cell r="R70" t="str">
            <v>1</v>
          </cell>
          <cell r="S70" t="str">
            <v>20</v>
          </cell>
          <cell r="T70">
            <v>84</v>
          </cell>
          <cell r="U70">
            <v>11</v>
          </cell>
          <cell r="V70">
            <v>84</v>
          </cell>
          <cell r="W70">
            <v>11</v>
          </cell>
          <cell r="X70">
            <v>84</v>
          </cell>
          <cell r="AF70" t="str">
            <v>16</v>
          </cell>
          <cell r="AI70">
            <v>11219725</v>
          </cell>
          <cell r="AJ70">
            <v>4110159.49</v>
          </cell>
        </row>
        <row r="71">
          <cell r="A71" t="str">
            <v>16</v>
          </cell>
          <cell r="B71" t="str">
            <v>06</v>
          </cell>
          <cell r="C71" t="str">
            <v>390</v>
          </cell>
          <cell r="D71" t="str">
            <v>Сруб хвойных пород 6</v>
          </cell>
          <cell r="E71" t="str">
            <v>х4х2.5</v>
          </cell>
          <cell r="G71" t="str">
            <v>01</v>
          </cell>
          <cell r="H71">
            <v>15200</v>
          </cell>
          <cell r="I71">
            <v>2470</v>
          </cell>
          <cell r="J71">
            <v>0</v>
          </cell>
          <cell r="K71">
            <v>1.38</v>
          </cell>
          <cell r="L71" t="str">
            <v>88/1</v>
          </cell>
          <cell r="M71" t="str">
            <v>10004</v>
          </cell>
          <cell r="N71" t="str">
            <v>11 4527401</v>
          </cell>
          <cell r="O71" t="str">
            <v>01</v>
          </cell>
          <cell r="P71">
            <v>2.5</v>
          </cell>
          <cell r="Q71">
            <v>0</v>
          </cell>
          <cell r="R71" t="str">
            <v>1</v>
          </cell>
          <cell r="S71" t="str">
            <v>10</v>
          </cell>
          <cell r="T71">
            <v>88</v>
          </cell>
          <cell r="U71">
            <v>6</v>
          </cell>
          <cell r="V71">
            <v>88</v>
          </cell>
          <cell r="W71">
            <v>6</v>
          </cell>
          <cell r="X71">
            <v>88</v>
          </cell>
          <cell r="AF71" t="str">
            <v>16</v>
          </cell>
          <cell r="AI71">
            <v>11020800</v>
          </cell>
          <cell r="AJ71">
            <v>2617440</v>
          </cell>
        </row>
        <row r="72">
          <cell r="A72" t="str">
            <v>02</v>
          </cell>
          <cell r="B72" t="str">
            <v>05</v>
          </cell>
          <cell r="C72" t="str">
            <v>923</v>
          </cell>
          <cell r="D72" t="str">
            <v>Двигатель М-8</v>
          </cell>
          <cell r="G72" t="str">
            <v>01</v>
          </cell>
          <cell r="H72">
            <v>11106</v>
          </cell>
          <cell r="I72">
            <v>621.94000000000005</v>
          </cell>
          <cell r="J72">
            <v>0</v>
          </cell>
          <cell r="K72">
            <v>0.96</v>
          </cell>
          <cell r="L72" t="str">
            <v>20</v>
          </cell>
          <cell r="M72" t="str">
            <v>40201</v>
          </cell>
          <cell r="N72" t="str">
            <v>14 2911100</v>
          </cell>
          <cell r="O72" t="str">
            <v>063</v>
          </cell>
          <cell r="P72">
            <v>5.6</v>
          </cell>
          <cell r="Q72">
            <v>0</v>
          </cell>
          <cell r="R72" t="str">
            <v>1</v>
          </cell>
          <cell r="S72" t="str">
            <v>40</v>
          </cell>
          <cell r="T72">
            <v>93</v>
          </cell>
          <cell r="U72">
            <v>12</v>
          </cell>
          <cell r="V72">
            <v>93</v>
          </cell>
          <cell r="W72">
            <v>12</v>
          </cell>
          <cell r="X72">
            <v>93</v>
          </cell>
          <cell r="AF72" t="str">
            <v>00</v>
          </cell>
          <cell r="AI72">
            <v>11621882</v>
          </cell>
          <cell r="AJ72">
            <v>2603301.1800000002</v>
          </cell>
        </row>
        <row r="73">
          <cell r="A73" t="str">
            <v>02</v>
          </cell>
          <cell r="B73" t="str">
            <v>23</v>
          </cell>
          <cell r="C73" t="str">
            <v>1096</v>
          </cell>
          <cell r="D73" t="str">
            <v>ЗИЛ-131 фургон</v>
          </cell>
          <cell r="E73" t="str">
            <v>Nо В 849 ОВ</v>
          </cell>
          <cell r="F73" t="str">
            <v>дв659680 ш487962</v>
          </cell>
          <cell r="G73" t="str">
            <v>01</v>
          </cell>
          <cell r="H73">
            <v>85880</v>
          </cell>
          <cell r="I73">
            <v>104150.7</v>
          </cell>
          <cell r="J73">
            <v>0</v>
          </cell>
          <cell r="K73">
            <v>0.97</v>
          </cell>
          <cell r="L73" t="str">
            <v>23</v>
          </cell>
          <cell r="M73" t="str">
            <v>50402</v>
          </cell>
          <cell r="N73" t="str">
            <v>15 3410194</v>
          </cell>
          <cell r="O73" t="str">
            <v>075</v>
          </cell>
          <cell r="P73">
            <v>0.37</v>
          </cell>
          <cell r="Q73">
            <v>0</v>
          </cell>
          <cell r="R73" t="str">
            <v>1</v>
          </cell>
          <cell r="S73" t="str">
            <v>50</v>
          </cell>
          <cell r="T73">
            <v>85</v>
          </cell>
          <cell r="U73">
            <v>11</v>
          </cell>
          <cell r="V73">
            <v>85</v>
          </cell>
          <cell r="W73">
            <v>11</v>
          </cell>
          <cell r="X73">
            <v>85</v>
          </cell>
          <cell r="AF73" t="str">
            <v>00</v>
          </cell>
          <cell r="AI73">
            <v>88493827</v>
          </cell>
          <cell r="AJ73">
            <v>88493827</v>
          </cell>
        </row>
        <row r="74">
          <cell r="A74" t="str">
            <v>02</v>
          </cell>
          <cell r="B74" t="str">
            <v>23</v>
          </cell>
          <cell r="C74" t="str">
            <v>1101</v>
          </cell>
          <cell r="D74" t="str">
            <v>УРАЛ-4320 NoВ861РА</v>
          </cell>
          <cell r="E74" t="str">
            <v>бортовой</v>
          </cell>
          <cell r="F74" t="str">
            <v>дв278802 ш100535</v>
          </cell>
          <cell r="G74" t="str">
            <v>01</v>
          </cell>
          <cell r="H74">
            <v>87980</v>
          </cell>
          <cell r="I74">
            <v>57355.08</v>
          </cell>
          <cell r="J74">
            <v>0</v>
          </cell>
          <cell r="K74">
            <v>0.78</v>
          </cell>
          <cell r="L74" t="str">
            <v>23</v>
          </cell>
          <cell r="M74" t="str">
            <v>50402</v>
          </cell>
          <cell r="N74" t="str">
            <v>15 3410195</v>
          </cell>
          <cell r="O74" t="str">
            <v>075</v>
          </cell>
          <cell r="P74">
            <v>0.37</v>
          </cell>
          <cell r="Q74">
            <v>0</v>
          </cell>
          <cell r="R74" t="str">
            <v>1</v>
          </cell>
          <cell r="S74" t="str">
            <v>50</v>
          </cell>
          <cell r="T74">
            <v>88</v>
          </cell>
          <cell r="U74">
            <v>6</v>
          </cell>
          <cell r="V74">
            <v>88</v>
          </cell>
          <cell r="W74">
            <v>6</v>
          </cell>
          <cell r="X74">
            <v>88</v>
          </cell>
          <cell r="AF74" t="str">
            <v>00</v>
          </cell>
          <cell r="AI74">
            <v>113382716</v>
          </cell>
          <cell r="AJ74">
            <v>113382716</v>
          </cell>
        </row>
        <row r="75">
          <cell r="A75" t="str">
            <v>02</v>
          </cell>
          <cell r="B75" t="str">
            <v>23</v>
          </cell>
          <cell r="C75" t="str">
            <v>1102</v>
          </cell>
          <cell r="D75" t="str">
            <v>КАМАЗ-4310 No 95-86</v>
          </cell>
          <cell r="E75" t="str">
            <v>КШР груз.трубовоз</v>
          </cell>
          <cell r="F75" t="str">
            <v>дв221817 ш41584</v>
          </cell>
          <cell r="G75" t="str">
            <v>01</v>
          </cell>
          <cell r="H75">
            <v>128820</v>
          </cell>
          <cell r="I75">
            <v>156542.22</v>
          </cell>
          <cell r="J75">
            <v>0</v>
          </cell>
          <cell r="K75">
            <v>1.08</v>
          </cell>
          <cell r="L75" t="str">
            <v>23</v>
          </cell>
          <cell r="M75" t="str">
            <v>50402</v>
          </cell>
          <cell r="N75" t="str">
            <v>14 2928262</v>
          </cell>
          <cell r="O75" t="str">
            <v>075</v>
          </cell>
          <cell r="P75">
            <v>0.37</v>
          </cell>
          <cell r="Q75">
            <v>0</v>
          </cell>
          <cell r="R75" t="str">
            <v>1</v>
          </cell>
          <cell r="S75" t="str">
            <v>50</v>
          </cell>
          <cell r="T75">
            <v>88</v>
          </cell>
          <cell r="U75">
            <v>6</v>
          </cell>
          <cell r="V75">
            <v>88</v>
          </cell>
          <cell r="W75">
            <v>6</v>
          </cell>
          <cell r="X75">
            <v>88</v>
          </cell>
          <cell r="AF75" t="str">
            <v>00</v>
          </cell>
          <cell r="AI75">
            <v>118913518</v>
          </cell>
          <cell r="AJ75">
            <v>118913518</v>
          </cell>
        </row>
        <row r="76">
          <cell r="A76" t="str">
            <v>02</v>
          </cell>
          <cell r="B76" t="str">
            <v>23</v>
          </cell>
          <cell r="C76" t="str">
            <v>1104</v>
          </cell>
          <cell r="D76" t="str">
            <v>КАМАЗ 4310 No Т681СС</v>
          </cell>
          <cell r="E76" t="str">
            <v>грузовой</v>
          </cell>
          <cell r="F76" t="str">
            <v>дв164886 ш42548</v>
          </cell>
          <cell r="G76" t="str">
            <v>01</v>
          </cell>
          <cell r="H76">
            <v>128820</v>
          </cell>
          <cell r="I76">
            <v>156085.13</v>
          </cell>
          <cell r="J76">
            <v>0</v>
          </cell>
          <cell r="K76">
            <v>0.91</v>
          </cell>
          <cell r="L76" t="str">
            <v>23</v>
          </cell>
          <cell r="M76" t="str">
            <v>50402</v>
          </cell>
          <cell r="N76" t="str">
            <v>14 2928262</v>
          </cell>
          <cell r="O76" t="str">
            <v>075</v>
          </cell>
          <cell r="P76">
            <v>0.37</v>
          </cell>
          <cell r="Q76">
            <v>0</v>
          </cell>
          <cell r="R76" t="str">
            <v>1</v>
          </cell>
          <cell r="S76" t="str">
            <v>50</v>
          </cell>
          <cell r="T76">
            <v>88</v>
          </cell>
          <cell r="U76">
            <v>12</v>
          </cell>
          <cell r="V76">
            <v>88</v>
          </cell>
          <cell r="W76">
            <v>12</v>
          </cell>
          <cell r="X76">
            <v>88</v>
          </cell>
          <cell r="AF76" t="str">
            <v>00</v>
          </cell>
          <cell r="AI76">
            <v>142222222</v>
          </cell>
          <cell r="AJ76">
            <v>142222222</v>
          </cell>
        </row>
        <row r="77">
          <cell r="A77" t="str">
            <v>02</v>
          </cell>
          <cell r="B77" t="str">
            <v>23</v>
          </cell>
          <cell r="C77" t="str">
            <v>1106</v>
          </cell>
          <cell r="D77" t="str">
            <v>ЗИЛ ММЗ-4502 No В949</v>
          </cell>
          <cell r="E77" t="str">
            <v>РА груз.самосвал</v>
          </cell>
          <cell r="F77" t="str">
            <v>дв411175 ш б/н</v>
          </cell>
          <cell r="G77" t="str">
            <v>01</v>
          </cell>
          <cell r="H77">
            <v>65540</v>
          </cell>
          <cell r="I77">
            <v>134209.44</v>
          </cell>
          <cell r="J77">
            <v>0</v>
          </cell>
          <cell r="K77">
            <v>0.79</v>
          </cell>
          <cell r="L77" t="str">
            <v>23</v>
          </cell>
          <cell r="M77" t="str">
            <v>50402</v>
          </cell>
          <cell r="N77" t="str">
            <v>15 3410222</v>
          </cell>
          <cell r="O77" t="str">
            <v>075</v>
          </cell>
          <cell r="P77">
            <v>0.37</v>
          </cell>
          <cell r="Q77">
            <v>0</v>
          </cell>
          <cell r="R77" t="str">
            <v>1</v>
          </cell>
          <cell r="S77" t="str">
            <v>50</v>
          </cell>
          <cell r="T77">
            <v>77</v>
          </cell>
          <cell r="U77">
            <v>12</v>
          </cell>
          <cell r="V77">
            <v>77</v>
          </cell>
          <cell r="W77">
            <v>12</v>
          </cell>
          <cell r="X77">
            <v>77</v>
          </cell>
          <cell r="AF77" t="str">
            <v>00</v>
          </cell>
          <cell r="AI77">
            <v>82962963</v>
          </cell>
          <cell r="AJ77">
            <v>82962963</v>
          </cell>
        </row>
        <row r="78">
          <cell r="A78" t="str">
            <v>02</v>
          </cell>
          <cell r="B78" t="str">
            <v>23</v>
          </cell>
          <cell r="C78" t="str">
            <v>1107</v>
          </cell>
          <cell r="D78" t="str">
            <v>КРАЗ-250 бортовой</v>
          </cell>
          <cell r="E78" t="str">
            <v>Nо В 830 КТ</v>
          </cell>
          <cell r="F78" t="str">
            <v>дв8813467 ш620327</v>
          </cell>
          <cell r="G78" t="str">
            <v>01</v>
          </cell>
          <cell r="H78">
            <v>111079</v>
          </cell>
          <cell r="I78">
            <v>35166.559999999998</v>
          </cell>
          <cell r="J78">
            <v>0</v>
          </cell>
          <cell r="K78">
            <v>0.38</v>
          </cell>
          <cell r="L78" t="str">
            <v>23</v>
          </cell>
          <cell r="M78" t="str">
            <v>50402</v>
          </cell>
          <cell r="N78" t="str">
            <v>15 3410196</v>
          </cell>
          <cell r="O78" t="str">
            <v>075</v>
          </cell>
          <cell r="P78">
            <v>0.37</v>
          </cell>
          <cell r="Q78">
            <v>0</v>
          </cell>
          <cell r="R78" t="str">
            <v>1</v>
          </cell>
          <cell r="S78" t="str">
            <v>50</v>
          </cell>
          <cell r="T78">
            <v>88</v>
          </cell>
          <cell r="U78">
            <v>11</v>
          </cell>
          <cell r="V78">
            <v>88</v>
          </cell>
          <cell r="W78">
            <v>11</v>
          </cell>
          <cell r="X78">
            <v>88</v>
          </cell>
          <cell r="AF78" t="str">
            <v>00</v>
          </cell>
          <cell r="AI78">
            <v>288888888</v>
          </cell>
          <cell r="AJ78">
            <v>152770943.97999999</v>
          </cell>
        </row>
        <row r="79">
          <cell r="A79" t="str">
            <v>02</v>
          </cell>
          <cell r="B79" t="str">
            <v>23</v>
          </cell>
          <cell r="C79" t="str">
            <v>1114</v>
          </cell>
          <cell r="D79" t="str">
            <v>КАМАЗ 4310 No 818 КТ</v>
          </cell>
          <cell r="E79" t="str">
            <v>бур.с уст-кой развед</v>
          </cell>
          <cell r="F79" t="str">
            <v>оборуд УРБ дв298383</v>
          </cell>
          <cell r="G79" t="str">
            <v>01</v>
          </cell>
          <cell r="H79">
            <v>300000</v>
          </cell>
          <cell r="I79">
            <v>286300</v>
          </cell>
          <cell r="J79">
            <v>0</v>
          </cell>
          <cell r="K79">
            <v>1.18</v>
          </cell>
          <cell r="L79" t="str">
            <v>23</v>
          </cell>
          <cell r="M79" t="str">
            <v>43413</v>
          </cell>
          <cell r="N79" t="str">
            <v>14 2924452</v>
          </cell>
          <cell r="O79" t="str">
            <v>064</v>
          </cell>
          <cell r="P79">
            <v>14.3</v>
          </cell>
          <cell r="Q79">
            <v>0</v>
          </cell>
          <cell r="R79" t="str">
            <v>1</v>
          </cell>
          <cell r="S79" t="str">
            <v>43</v>
          </cell>
          <cell r="T79">
            <v>88</v>
          </cell>
          <cell r="U79">
            <v>11</v>
          </cell>
          <cell r="V79">
            <v>88</v>
          </cell>
          <cell r="W79">
            <v>11</v>
          </cell>
          <cell r="X79">
            <v>88</v>
          </cell>
          <cell r="AF79" t="str">
            <v>00</v>
          </cell>
          <cell r="AI79">
            <v>253333333</v>
          </cell>
          <cell r="AJ79">
            <v>253333333</v>
          </cell>
        </row>
        <row r="80">
          <cell r="A80" t="str">
            <v>02</v>
          </cell>
          <cell r="B80" t="str">
            <v>23</v>
          </cell>
          <cell r="C80" t="str">
            <v>1115</v>
          </cell>
          <cell r="D80" t="str">
            <v>УАЗ-31512 No В923ОВ</v>
          </cell>
          <cell r="E80" t="str">
            <v>ШО спец.ПЭЛХЗМ</v>
          </cell>
          <cell r="F80" t="str">
            <v>дв00906773ш0286845</v>
          </cell>
          <cell r="G80" t="str">
            <v>01</v>
          </cell>
          <cell r="H80">
            <v>30623</v>
          </cell>
          <cell r="I80">
            <v>13879.87</v>
          </cell>
          <cell r="J80">
            <v>0</v>
          </cell>
          <cell r="K80">
            <v>0.86</v>
          </cell>
          <cell r="L80" t="str">
            <v>23</v>
          </cell>
          <cell r="M80" t="str">
            <v>50418</v>
          </cell>
          <cell r="N80" t="str">
            <v>15 3410160</v>
          </cell>
          <cell r="O80" t="str">
            <v>071</v>
          </cell>
          <cell r="P80">
            <v>11.1</v>
          </cell>
          <cell r="Q80">
            <v>0</v>
          </cell>
          <cell r="R80" t="str">
            <v>1</v>
          </cell>
          <cell r="S80" t="str">
            <v>50</v>
          </cell>
          <cell r="T80">
            <v>90</v>
          </cell>
          <cell r="U80">
            <v>11</v>
          </cell>
          <cell r="V80">
            <v>90</v>
          </cell>
          <cell r="W80">
            <v>11</v>
          </cell>
          <cell r="X80">
            <v>90</v>
          </cell>
          <cell r="AF80" t="str">
            <v>00</v>
          </cell>
          <cell r="AI80">
            <v>35555556</v>
          </cell>
          <cell r="AJ80">
            <v>27955555.710000001</v>
          </cell>
        </row>
        <row r="81">
          <cell r="A81" t="str">
            <v>02</v>
          </cell>
          <cell r="B81" t="str">
            <v>23</v>
          </cell>
          <cell r="C81" t="str">
            <v>1116</v>
          </cell>
          <cell r="D81" t="str">
            <v>ЗИЛ-131 No В 796 АН</v>
          </cell>
          <cell r="E81" t="str">
            <v>фургон</v>
          </cell>
          <cell r="F81" t="str">
            <v>дв445859 ш251920</v>
          </cell>
          <cell r="G81" t="str">
            <v>01</v>
          </cell>
          <cell r="H81">
            <v>85880</v>
          </cell>
          <cell r="I81">
            <v>109877.92</v>
          </cell>
          <cell r="J81">
            <v>0</v>
          </cell>
          <cell r="K81">
            <v>0.97</v>
          </cell>
          <cell r="L81" t="str">
            <v>23</v>
          </cell>
          <cell r="M81" t="str">
            <v>50402</v>
          </cell>
          <cell r="N81" t="str">
            <v>15 3410349</v>
          </cell>
          <cell r="O81" t="str">
            <v>075</v>
          </cell>
          <cell r="P81">
            <v>0.37</v>
          </cell>
          <cell r="Q81">
            <v>0</v>
          </cell>
          <cell r="R81" t="str">
            <v>1</v>
          </cell>
          <cell r="S81" t="str">
            <v>50</v>
          </cell>
          <cell r="T81">
            <v>77</v>
          </cell>
          <cell r="U81">
            <v>6</v>
          </cell>
          <cell r="V81">
            <v>77</v>
          </cell>
          <cell r="W81">
            <v>6</v>
          </cell>
          <cell r="X81">
            <v>77</v>
          </cell>
          <cell r="AF81" t="str">
            <v>00</v>
          </cell>
          <cell r="AI81">
            <v>88493827</v>
          </cell>
          <cell r="AJ81">
            <v>88493827</v>
          </cell>
        </row>
        <row r="82">
          <cell r="A82" t="str">
            <v>02</v>
          </cell>
          <cell r="B82" t="str">
            <v>23</v>
          </cell>
          <cell r="C82" t="str">
            <v>1120</v>
          </cell>
          <cell r="D82" t="str">
            <v>ЗИЛ 131 No 96-32 кшр</v>
          </cell>
          <cell r="E82" t="str">
            <v>фургон д/перевозки л</v>
          </cell>
          <cell r="F82" t="str">
            <v>юдей д061832 ш783305</v>
          </cell>
          <cell r="G82" t="str">
            <v>01</v>
          </cell>
          <cell r="H82">
            <v>109000</v>
          </cell>
          <cell r="I82">
            <v>109000</v>
          </cell>
          <cell r="J82">
            <v>0</v>
          </cell>
          <cell r="K82">
            <v>0.85</v>
          </cell>
          <cell r="L82" t="str">
            <v>23</v>
          </cell>
          <cell r="M82" t="str">
            <v>50401</v>
          </cell>
          <cell r="N82" t="str">
            <v>15 3410359</v>
          </cell>
          <cell r="O82" t="str">
            <v>075</v>
          </cell>
          <cell r="P82">
            <v>14.3</v>
          </cell>
          <cell r="Q82">
            <v>0</v>
          </cell>
          <cell r="R82" t="str">
            <v>1</v>
          </cell>
          <cell r="S82" t="str">
            <v>50</v>
          </cell>
          <cell r="T82">
            <v>88</v>
          </cell>
          <cell r="U82">
            <v>4</v>
          </cell>
          <cell r="V82">
            <v>88</v>
          </cell>
          <cell r="W82">
            <v>4</v>
          </cell>
          <cell r="X82">
            <v>88</v>
          </cell>
          <cell r="AF82" t="str">
            <v>00</v>
          </cell>
          <cell r="AI82">
            <v>128888889</v>
          </cell>
          <cell r="AJ82">
            <v>128888889</v>
          </cell>
        </row>
        <row r="83">
          <cell r="A83" t="str">
            <v>02</v>
          </cell>
          <cell r="B83" t="str">
            <v>23</v>
          </cell>
          <cell r="C83" t="str">
            <v>1122</v>
          </cell>
          <cell r="D83" t="str">
            <v>КРАЗ 257 кс N 4561А</v>
          </cell>
          <cell r="E83" t="str">
            <v>а/кр гос.N В960УУ</v>
          </cell>
          <cell r="F83" t="str">
            <v>дв 34039 ш 527049</v>
          </cell>
          <cell r="G83" t="str">
            <v>01</v>
          </cell>
          <cell r="H83">
            <v>250000</v>
          </cell>
          <cell r="I83">
            <v>214229.17</v>
          </cell>
          <cell r="J83">
            <v>0</v>
          </cell>
          <cell r="K83">
            <v>0.89</v>
          </cell>
          <cell r="L83" t="str">
            <v>23</v>
          </cell>
          <cell r="M83" t="str">
            <v>41701</v>
          </cell>
          <cell r="N83" t="str">
            <v>14 2915242</v>
          </cell>
          <cell r="O83" t="str">
            <v>067</v>
          </cell>
          <cell r="P83">
            <v>9.1</v>
          </cell>
          <cell r="Q83">
            <v>0</v>
          </cell>
          <cell r="R83" t="str">
            <v>1</v>
          </cell>
          <cell r="S83" t="str">
            <v>41</v>
          </cell>
          <cell r="T83">
            <v>85</v>
          </cell>
          <cell r="U83">
            <v>7</v>
          </cell>
          <cell r="V83">
            <v>85</v>
          </cell>
          <cell r="W83">
            <v>7</v>
          </cell>
          <cell r="X83">
            <v>85</v>
          </cell>
          <cell r="AF83" t="str">
            <v>00</v>
          </cell>
          <cell r="AI83">
            <v>281481481</v>
          </cell>
          <cell r="AJ83">
            <v>281481481</v>
          </cell>
        </row>
        <row r="84">
          <cell r="A84" t="str">
            <v>02</v>
          </cell>
          <cell r="B84" t="str">
            <v>23</v>
          </cell>
          <cell r="C84" t="str">
            <v>1125</v>
          </cell>
          <cell r="D84" t="str">
            <v>ЗИЛ 130в1 No В 771АН</v>
          </cell>
          <cell r="E84" t="str">
            <v xml:space="preserve"> грузовая</v>
          </cell>
          <cell r="F84" t="str">
            <v>дв916684 ш1215164</v>
          </cell>
          <cell r="G84" t="str">
            <v>01</v>
          </cell>
          <cell r="H84">
            <v>62150</v>
          </cell>
          <cell r="I84">
            <v>119196.25</v>
          </cell>
          <cell r="J84">
            <v>0</v>
          </cell>
          <cell r="K84">
            <v>0.72</v>
          </cell>
          <cell r="L84" t="str">
            <v>23</v>
          </cell>
          <cell r="M84" t="str">
            <v>50402</v>
          </cell>
          <cell r="N84" t="str">
            <v>15 3410213</v>
          </cell>
          <cell r="O84" t="str">
            <v>075</v>
          </cell>
          <cell r="P84">
            <v>0.37</v>
          </cell>
          <cell r="Q84">
            <v>0</v>
          </cell>
          <cell r="R84" t="str">
            <v>1</v>
          </cell>
          <cell r="S84" t="str">
            <v>50</v>
          </cell>
          <cell r="T84">
            <v>76</v>
          </cell>
          <cell r="U84">
            <v>3</v>
          </cell>
          <cell r="V84">
            <v>76</v>
          </cell>
          <cell r="W84">
            <v>3</v>
          </cell>
          <cell r="X84">
            <v>76</v>
          </cell>
          <cell r="AF84" t="str">
            <v>00</v>
          </cell>
          <cell r="AI84">
            <v>85728395</v>
          </cell>
          <cell r="AJ84">
            <v>85728395</v>
          </cell>
        </row>
        <row r="85">
          <cell r="A85" t="str">
            <v>02</v>
          </cell>
          <cell r="B85" t="str">
            <v>23</v>
          </cell>
          <cell r="C85" t="str">
            <v>1126</v>
          </cell>
          <cell r="D85" t="str">
            <v>КРАЗ-255б1а груз.тя-</v>
          </cell>
          <cell r="E85" t="str">
            <v>гач Nо В 963 МТ</v>
          </cell>
          <cell r="F85" t="str">
            <v>дв963385 ш 639515</v>
          </cell>
          <cell r="G85" t="str">
            <v>01</v>
          </cell>
          <cell r="H85">
            <v>129950</v>
          </cell>
          <cell r="I85">
            <v>69533.539999999994</v>
          </cell>
          <cell r="J85">
            <v>0</v>
          </cell>
          <cell r="K85">
            <v>1.04</v>
          </cell>
          <cell r="L85" t="str">
            <v>23</v>
          </cell>
          <cell r="M85" t="str">
            <v>50402</v>
          </cell>
          <cell r="N85" t="str">
            <v>15 3410214</v>
          </cell>
          <cell r="O85" t="str">
            <v>075</v>
          </cell>
          <cell r="P85">
            <v>0.37</v>
          </cell>
          <cell r="Q85">
            <v>0</v>
          </cell>
          <cell r="R85" t="str">
            <v>1</v>
          </cell>
          <cell r="S85" t="str">
            <v>50</v>
          </cell>
          <cell r="T85">
            <v>88</v>
          </cell>
          <cell r="U85">
            <v>1</v>
          </cell>
          <cell r="V85">
            <v>88</v>
          </cell>
          <cell r="W85">
            <v>1</v>
          </cell>
          <cell r="X85">
            <v>88</v>
          </cell>
          <cell r="AF85" t="str">
            <v>00</v>
          </cell>
          <cell r="AI85">
            <v>124444444</v>
          </cell>
          <cell r="AJ85">
            <v>97962778.319999993</v>
          </cell>
        </row>
        <row r="86">
          <cell r="A86" t="str">
            <v>02</v>
          </cell>
          <cell r="B86" t="str">
            <v>23</v>
          </cell>
          <cell r="C86" t="str">
            <v>1129</v>
          </cell>
          <cell r="D86" t="str">
            <v>УАЗ-31511 N 65-52кшб</v>
          </cell>
          <cell r="E86" t="str">
            <v>ПЭЛХЗ спец.</v>
          </cell>
          <cell r="F86" t="str">
            <v>дв90403721 ш210481</v>
          </cell>
          <cell r="G86" t="str">
            <v>01</v>
          </cell>
          <cell r="H86">
            <v>30623</v>
          </cell>
          <cell r="I86">
            <v>24084.99</v>
          </cell>
          <cell r="J86">
            <v>0</v>
          </cell>
          <cell r="K86">
            <v>0.86</v>
          </cell>
          <cell r="L86" t="str">
            <v>23</v>
          </cell>
          <cell r="M86" t="str">
            <v>50401</v>
          </cell>
          <cell r="N86" t="str">
            <v>15 3410160</v>
          </cell>
          <cell r="O86" t="str">
            <v>075</v>
          </cell>
          <cell r="P86">
            <v>14.3</v>
          </cell>
          <cell r="Q86">
            <v>0</v>
          </cell>
          <cell r="R86" t="str">
            <v>1</v>
          </cell>
          <cell r="S86" t="str">
            <v>50</v>
          </cell>
          <cell r="T86">
            <v>89</v>
          </cell>
          <cell r="U86">
            <v>6</v>
          </cell>
          <cell r="V86">
            <v>89</v>
          </cell>
          <cell r="W86">
            <v>6</v>
          </cell>
          <cell r="X86">
            <v>89</v>
          </cell>
          <cell r="AF86" t="str">
            <v>00</v>
          </cell>
          <cell r="AI86">
            <v>35555556</v>
          </cell>
          <cell r="AJ86">
            <v>35555556</v>
          </cell>
        </row>
        <row r="87">
          <cell r="A87" t="str">
            <v>02</v>
          </cell>
          <cell r="B87" t="str">
            <v>23</v>
          </cell>
          <cell r="C87" t="str">
            <v>1133</v>
          </cell>
          <cell r="D87" t="str">
            <v>КАМАЗ-4310 NoУ684ЕУ</v>
          </cell>
          <cell r="E87" t="str">
            <v>КШC фургон д/перевоз</v>
          </cell>
          <cell r="F87" t="str">
            <v>килюдей дв423995</v>
          </cell>
          <cell r="G87" t="str">
            <v>01</v>
          </cell>
          <cell r="H87">
            <v>131600</v>
          </cell>
          <cell r="I87">
            <v>102084.46</v>
          </cell>
          <cell r="J87">
            <v>0</v>
          </cell>
          <cell r="K87">
            <v>0.74</v>
          </cell>
          <cell r="L87" t="str">
            <v>23</v>
          </cell>
          <cell r="M87" t="str">
            <v>50402</v>
          </cell>
          <cell r="N87" t="str">
            <v>15 3410359</v>
          </cell>
          <cell r="O87" t="str">
            <v>075</v>
          </cell>
          <cell r="P87">
            <v>0.37</v>
          </cell>
          <cell r="Q87">
            <v>0</v>
          </cell>
          <cell r="R87" t="str">
            <v>1</v>
          </cell>
          <cell r="S87" t="str">
            <v>50</v>
          </cell>
          <cell r="T87">
            <v>89</v>
          </cell>
          <cell r="U87">
            <v>7</v>
          </cell>
          <cell r="V87">
            <v>89</v>
          </cell>
          <cell r="W87">
            <v>7</v>
          </cell>
          <cell r="X87">
            <v>89</v>
          </cell>
          <cell r="AF87" t="str">
            <v>00</v>
          </cell>
          <cell r="AI87">
            <v>177777778</v>
          </cell>
          <cell r="AJ87">
            <v>177777778</v>
          </cell>
        </row>
        <row r="88">
          <cell r="A88" t="str">
            <v>02</v>
          </cell>
          <cell r="B88" t="str">
            <v>23</v>
          </cell>
          <cell r="C88" t="str">
            <v>1135</v>
          </cell>
          <cell r="D88" t="str">
            <v>КАМАЗ-5511 No А879УС</v>
          </cell>
          <cell r="E88" t="str">
            <v>грузовой</v>
          </cell>
          <cell r="F88" t="str">
            <v>дв241305ш53197</v>
          </cell>
          <cell r="G88" t="str">
            <v>01</v>
          </cell>
          <cell r="H88">
            <v>110740</v>
          </cell>
          <cell r="I88">
            <v>57855.19</v>
          </cell>
          <cell r="J88">
            <v>0</v>
          </cell>
          <cell r="K88">
            <v>0.83</v>
          </cell>
          <cell r="L88" t="str">
            <v>23</v>
          </cell>
          <cell r="M88" t="str">
            <v>50402</v>
          </cell>
          <cell r="N88" t="str">
            <v>15 3410224</v>
          </cell>
          <cell r="O88" t="str">
            <v>075</v>
          </cell>
          <cell r="P88">
            <v>0.37</v>
          </cell>
          <cell r="Q88">
            <v>0</v>
          </cell>
          <cell r="R88" t="str">
            <v>1</v>
          </cell>
          <cell r="S88" t="str">
            <v>50</v>
          </cell>
          <cell r="T88">
            <v>80</v>
          </cell>
          <cell r="U88">
            <v>12</v>
          </cell>
          <cell r="V88">
            <v>80</v>
          </cell>
          <cell r="W88">
            <v>12</v>
          </cell>
          <cell r="X88">
            <v>80</v>
          </cell>
          <cell r="AF88" t="str">
            <v>00</v>
          </cell>
          <cell r="AI88">
            <v>132740741</v>
          </cell>
          <cell r="AJ88">
            <v>94810035.269999996</v>
          </cell>
        </row>
        <row r="89">
          <cell r="A89" t="str">
            <v>02</v>
          </cell>
          <cell r="B89" t="str">
            <v>23</v>
          </cell>
          <cell r="C89" t="str">
            <v>1140</v>
          </cell>
          <cell r="D89" t="str">
            <v>КАМАЗ 4310 No А766УС</v>
          </cell>
          <cell r="E89" t="str">
            <v>спец.груз.фургон</v>
          </cell>
          <cell r="F89" t="str">
            <v>дв487025 ш53017</v>
          </cell>
          <cell r="G89" t="str">
            <v>01</v>
          </cell>
          <cell r="H89">
            <v>131600</v>
          </cell>
          <cell r="I89">
            <v>95662.23</v>
          </cell>
          <cell r="J89">
            <v>0</v>
          </cell>
          <cell r="K89">
            <v>0.74</v>
          </cell>
          <cell r="L89" t="str">
            <v>23</v>
          </cell>
          <cell r="M89" t="str">
            <v>50401</v>
          </cell>
          <cell r="N89" t="str">
            <v>15 3410359</v>
          </cell>
          <cell r="O89" t="str">
            <v>075</v>
          </cell>
          <cell r="P89">
            <v>14.3</v>
          </cell>
          <cell r="Q89">
            <v>0</v>
          </cell>
          <cell r="R89" t="str">
            <v>1</v>
          </cell>
          <cell r="S89" t="str">
            <v>50</v>
          </cell>
          <cell r="T89">
            <v>89</v>
          </cell>
          <cell r="U89">
            <v>11</v>
          </cell>
          <cell r="V89">
            <v>89</v>
          </cell>
          <cell r="W89">
            <v>11</v>
          </cell>
          <cell r="X89">
            <v>89</v>
          </cell>
          <cell r="AF89" t="str">
            <v>00</v>
          </cell>
          <cell r="AI89">
            <v>177777778</v>
          </cell>
          <cell r="AJ89">
            <v>177777778</v>
          </cell>
        </row>
        <row r="90">
          <cell r="A90" t="str">
            <v>02</v>
          </cell>
          <cell r="B90" t="str">
            <v>23</v>
          </cell>
          <cell r="C90" t="str">
            <v>1141</v>
          </cell>
          <cell r="D90" t="str">
            <v>ЗИЛ 131а No А 845 УС</v>
          </cell>
          <cell r="E90" t="str">
            <v>грузовой спец.</v>
          </cell>
          <cell r="F90" t="str">
            <v>дв б/н ш344958</v>
          </cell>
          <cell r="G90" t="str">
            <v>01</v>
          </cell>
          <cell r="H90">
            <v>85880</v>
          </cell>
          <cell r="I90">
            <v>85880</v>
          </cell>
          <cell r="J90">
            <v>0</v>
          </cell>
          <cell r="K90">
            <v>0.81</v>
          </cell>
          <cell r="L90" t="str">
            <v>23</v>
          </cell>
          <cell r="M90" t="str">
            <v>50401</v>
          </cell>
          <cell r="N90" t="str">
            <v>15 3410359</v>
          </cell>
          <cell r="O90" t="str">
            <v>075</v>
          </cell>
          <cell r="P90">
            <v>14.3</v>
          </cell>
          <cell r="Q90">
            <v>0</v>
          </cell>
          <cell r="R90" t="str">
            <v>1</v>
          </cell>
          <cell r="S90" t="str">
            <v>50</v>
          </cell>
          <cell r="T90">
            <v>80</v>
          </cell>
          <cell r="U90">
            <v>3</v>
          </cell>
          <cell r="V90">
            <v>80</v>
          </cell>
          <cell r="W90">
            <v>3</v>
          </cell>
          <cell r="X90">
            <v>80</v>
          </cell>
          <cell r="AF90" t="str">
            <v>00</v>
          </cell>
          <cell r="AI90">
            <v>106666667</v>
          </cell>
          <cell r="AJ90">
            <v>106666667</v>
          </cell>
        </row>
        <row r="91">
          <cell r="A91" t="str">
            <v>02</v>
          </cell>
          <cell r="B91" t="str">
            <v>23</v>
          </cell>
          <cell r="C91" t="str">
            <v>1154</v>
          </cell>
          <cell r="D91" t="str">
            <v>КАМАЗ 4310 NoС862РО</v>
          </cell>
          <cell r="E91" t="str">
            <v>спец. бур.</v>
          </cell>
          <cell r="F91" t="str">
            <v>дв.079140 ш.31211</v>
          </cell>
          <cell r="G91" t="str">
            <v>01</v>
          </cell>
          <cell r="H91">
            <v>128820</v>
          </cell>
          <cell r="I91">
            <v>12882</v>
          </cell>
          <cell r="J91">
            <v>0</v>
          </cell>
          <cell r="K91">
            <v>0.51</v>
          </cell>
          <cell r="L91" t="str">
            <v>23</v>
          </cell>
          <cell r="M91" t="str">
            <v>43413</v>
          </cell>
          <cell r="N91" t="str">
            <v>14 2924452</v>
          </cell>
          <cell r="O91" t="str">
            <v>064</v>
          </cell>
          <cell r="P91">
            <v>14.3</v>
          </cell>
          <cell r="Q91">
            <v>0</v>
          </cell>
          <cell r="R91" t="str">
            <v>1</v>
          </cell>
          <cell r="S91" t="str">
            <v>43</v>
          </cell>
          <cell r="T91">
            <v>87</v>
          </cell>
          <cell r="U91">
            <v>6</v>
          </cell>
          <cell r="V91">
            <v>87</v>
          </cell>
          <cell r="W91">
            <v>6</v>
          </cell>
          <cell r="X91">
            <v>87</v>
          </cell>
          <cell r="AF91" t="str">
            <v>00</v>
          </cell>
          <cell r="AI91">
            <v>253333333</v>
          </cell>
          <cell r="AJ91">
            <v>134013332.86</v>
          </cell>
        </row>
        <row r="92">
          <cell r="A92" t="str">
            <v>02</v>
          </cell>
          <cell r="B92" t="str">
            <v>23</v>
          </cell>
          <cell r="C92" t="str">
            <v>1155</v>
          </cell>
          <cell r="D92" t="str">
            <v>ЗИЛ-130 спец.АЦПТ-41</v>
          </cell>
          <cell r="E92" t="str">
            <v>Nо В 870 ОВ</v>
          </cell>
          <cell r="F92" t="str">
            <v>дв844148 ш1863430</v>
          </cell>
          <cell r="G92" t="str">
            <v>01</v>
          </cell>
          <cell r="H92">
            <v>66764.44</v>
          </cell>
          <cell r="I92">
            <v>35059.17</v>
          </cell>
          <cell r="J92">
            <v>0</v>
          </cell>
          <cell r="K92">
            <v>1.1100000000000001</v>
          </cell>
          <cell r="L92" t="str">
            <v>23</v>
          </cell>
          <cell r="M92" t="str">
            <v>50402</v>
          </cell>
          <cell r="N92" t="str">
            <v>15 3410364</v>
          </cell>
          <cell r="O92" t="str">
            <v>075</v>
          </cell>
          <cell r="P92">
            <v>0.37</v>
          </cell>
          <cell r="Q92">
            <v>0</v>
          </cell>
          <cell r="R92" t="str">
            <v>1</v>
          </cell>
          <cell r="S92" t="str">
            <v>50</v>
          </cell>
          <cell r="T92">
            <v>81</v>
          </cell>
          <cell r="U92">
            <v>5</v>
          </cell>
          <cell r="V92">
            <v>81</v>
          </cell>
          <cell r="W92">
            <v>5</v>
          </cell>
          <cell r="X92">
            <v>81</v>
          </cell>
          <cell r="AF92" t="str">
            <v>00</v>
          </cell>
          <cell r="AI92">
            <v>60148148</v>
          </cell>
          <cell r="AJ92">
            <v>48563481.049999997</v>
          </cell>
        </row>
        <row r="93">
          <cell r="A93" t="str">
            <v>02</v>
          </cell>
          <cell r="B93" t="str">
            <v>23</v>
          </cell>
          <cell r="C93" t="str">
            <v>1158</v>
          </cell>
          <cell r="D93" t="str">
            <v>ГАЗ-5327 No 70-54кшс</v>
          </cell>
          <cell r="E93" t="str">
            <v>груз.бортовая</v>
          </cell>
          <cell r="F93" t="str">
            <v>дв0239692 ш1230454</v>
          </cell>
          <cell r="G93" t="str">
            <v>01</v>
          </cell>
          <cell r="H93">
            <v>27233</v>
          </cell>
          <cell r="I93">
            <v>18806.740000000002</v>
          </cell>
          <cell r="J93">
            <v>0</v>
          </cell>
          <cell r="K93">
            <v>0.49</v>
          </cell>
          <cell r="L93" t="str">
            <v>23</v>
          </cell>
          <cell r="M93" t="str">
            <v>50402</v>
          </cell>
          <cell r="N93" t="str">
            <v>15 3410441</v>
          </cell>
          <cell r="O93" t="str">
            <v>075</v>
          </cell>
          <cell r="P93">
            <v>0.37</v>
          </cell>
          <cell r="Q93">
            <v>0</v>
          </cell>
          <cell r="R93" t="str">
            <v>1</v>
          </cell>
          <cell r="S93" t="str">
            <v>50</v>
          </cell>
          <cell r="T93">
            <v>88</v>
          </cell>
          <cell r="U93">
            <v>12</v>
          </cell>
          <cell r="V93">
            <v>88</v>
          </cell>
          <cell r="W93">
            <v>12</v>
          </cell>
          <cell r="X93">
            <v>88</v>
          </cell>
          <cell r="AF93" t="str">
            <v>00</v>
          </cell>
          <cell r="AI93">
            <v>55308642</v>
          </cell>
          <cell r="AJ93">
            <v>55308642</v>
          </cell>
        </row>
        <row r="94">
          <cell r="A94" t="str">
            <v>02</v>
          </cell>
          <cell r="B94" t="str">
            <v>23</v>
          </cell>
          <cell r="C94" t="str">
            <v>1170</v>
          </cell>
          <cell r="D94" t="str">
            <v>КАМАЗ-5511 сед.тягач</v>
          </cell>
          <cell r="E94" t="str">
            <v>Nо С 681 ТТ</v>
          </cell>
          <cell r="F94" t="str">
            <v>дв620740 ш033993</v>
          </cell>
          <cell r="G94" t="str">
            <v>01</v>
          </cell>
          <cell r="H94">
            <v>133000</v>
          </cell>
          <cell r="I94">
            <v>108097.15</v>
          </cell>
          <cell r="J94">
            <v>0</v>
          </cell>
          <cell r="K94">
            <v>0.53</v>
          </cell>
          <cell r="L94" t="str">
            <v>23</v>
          </cell>
          <cell r="M94" t="str">
            <v>50402</v>
          </cell>
          <cell r="N94" t="str">
            <v>15 3410214</v>
          </cell>
          <cell r="O94" t="str">
            <v>075</v>
          </cell>
          <cell r="P94">
            <v>0.37</v>
          </cell>
          <cell r="Q94">
            <v>0</v>
          </cell>
          <cell r="R94" t="str">
            <v>1</v>
          </cell>
          <cell r="S94" t="str">
            <v>50</v>
          </cell>
          <cell r="T94">
            <v>83</v>
          </cell>
          <cell r="U94">
            <v>4</v>
          </cell>
          <cell r="V94">
            <v>83</v>
          </cell>
          <cell r="W94">
            <v>4</v>
          </cell>
          <cell r="X94">
            <v>83</v>
          </cell>
          <cell r="AF94" t="str">
            <v>00</v>
          </cell>
          <cell r="AI94">
            <v>248888889</v>
          </cell>
          <cell r="AJ94">
            <v>248888889</v>
          </cell>
        </row>
        <row r="95">
          <cell r="A95" t="str">
            <v>02</v>
          </cell>
          <cell r="B95" t="str">
            <v>23</v>
          </cell>
          <cell r="C95" t="str">
            <v>1171</v>
          </cell>
          <cell r="D95" t="str">
            <v>МАЗ-5334 No А 875 УС</v>
          </cell>
          <cell r="E95" t="str">
            <v>а/топ/заправщик спец</v>
          </cell>
          <cell r="F95" t="str">
            <v>дв770657 ш85999</v>
          </cell>
          <cell r="G95" t="str">
            <v>01</v>
          </cell>
          <cell r="H95">
            <v>165668</v>
          </cell>
          <cell r="I95">
            <v>138056.67000000001</v>
          </cell>
          <cell r="J95">
            <v>0</v>
          </cell>
          <cell r="K95">
            <v>1.1499999999999999</v>
          </cell>
          <cell r="L95" t="str">
            <v>23</v>
          </cell>
          <cell r="M95" t="str">
            <v>50426</v>
          </cell>
          <cell r="N95" t="str">
            <v>15 3410362</v>
          </cell>
          <cell r="O95" t="str">
            <v>073</v>
          </cell>
          <cell r="P95">
            <v>10</v>
          </cell>
          <cell r="Q95">
            <v>0</v>
          </cell>
          <cell r="R95" t="str">
            <v>1</v>
          </cell>
          <cell r="S95" t="str">
            <v>50</v>
          </cell>
          <cell r="T95">
            <v>86</v>
          </cell>
          <cell r="U95">
            <v>8</v>
          </cell>
          <cell r="V95">
            <v>86</v>
          </cell>
          <cell r="W95">
            <v>8</v>
          </cell>
          <cell r="X95">
            <v>86</v>
          </cell>
          <cell r="AF95" t="str">
            <v>00</v>
          </cell>
          <cell r="AI95">
            <v>144641975</v>
          </cell>
          <cell r="AJ95">
            <v>144641975</v>
          </cell>
        </row>
        <row r="96">
          <cell r="A96" t="str">
            <v>02</v>
          </cell>
          <cell r="B96" t="str">
            <v>23</v>
          </cell>
          <cell r="C96" t="str">
            <v>1172</v>
          </cell>
          <cell r="D96" t="str">
            <v>ЗИЛ-131 No 28-51 кшм</v>
          </cell>
          <cell r="E96" t="str">
            <v>в/в-ка дв518721</v>
          </cell>
          <cell r="F96" t="str">
            <v>ш 463900</v>
          </cell>
          <cell r="G96" t="str">
            <v>01</v>
          </cell>
          <cell r="H96">
            <v>85880</v>
          </cell>
          <cell r="I96">
            <v>85880</v>
          </cell>
          <cell r="J96">
            <v>0</v>
          </cell>
          <cell r="K96">
            <v>0.69</v>
          </cell>
          <cell r="L96" t="str">
            <v>23</v>
          </cell>
          <cell r="M96" t="str">
            <v>43413</v>
          </cell>
          <cell r="N96" t="str">
            <v>15 3410364</v>
          </cell>
          <cell r="O96" t="str">
            <v>064</v>
          </cell>
          <cell r="P96">
            <v>14.3</v>
          </cell>
          <cell r="Q96">
            <v>0</v>
          </cell>
          <cell r="R96" t="str">
            <v>1</v>
          </cell>
          <cell r="S96" t="str">
            <v>43</v>
          </cell>
          <cell r="T96">
            <v>81</v>
          </cell>
          <cell r="U96">
            <v>12</v>
          </cell>
          <cell r="V96">
            <v>81</v>
          </cell>
          <cell r="W96">
            <v>12</v>
          </cell>
          <cell r="X96">
            <v>81</v>
          </cell>
          <cell r="AF96" t="str">
            <v>00</v>
          </cell>
          <cell r="AI96">
            <v>124444444</v>
          </cell>
          <cell r="AJ96">
            <v>124444444</v>
          </cell>
        </row>
        <row r="97">
          <cell r="A97" t="str">
            <v>02</v>
          </cell>
          <cell r="B97" t="str">
            <v>23</v>
          </cell>
          <cell r="C97" t="str">
            <v>1178</v>
          </cell>
          <cell r="D97" t="str">
            <v>ЗИЛ 130-80 No В663ХО</v>
          </cell>
          <cell r="E97" t="str">
            <v>спец.АГУ-2М</v>
          </cell>
          <cell r="F97" t="str">
            <v>дв956207 ш2145878</v>
          </cell>
          <cell r="G97" t="str">
            <v>01</v>
          </cell>
          <cell r="H97">
            <v>66764.44</v>
          </cell>
          <cell r="I97">
            <v>12339.81</v>
          </cell>
          <cell r="J97">
            <v>0</v>
          </cell>
          <cell r="K97">
            <v>1.1100000000000001</v>
          </cell>
          <cell r="L97" t="str">
            <v>23</v>
          </cell>
          <cell r="M97" t="str">
            <v>50402</v>
          </cell>
          <cell r="N97" t="str">
            <v>15 3410363</v>
          </cell>
          <cell r="O97" t="str">
            <v>075</v>
          </cell>
          <cell r="P97">
            <v>0.37</v>
          </cell>
          <cell r="Q97">
            <v>0</v>
          </cell>
          <cell r="R97" t="str">
            <v>1</v>
          </cell>
          <cell r="S97" t="str">
            <v>50</v>
          </cell>
          <cell r="T97">
            <v>83</v>
          </cell>
          <cell r="U97">
            <v>9</v>
          </cell>
          <cell r="V97">
            <v>83</v>
          </cell>
          <cell r="W97">
            <v>9</v>
          </cell>
          <cell r="X97">
            <v>83</v>
          </cell>
          <cell r="AF97" t="str">
            <v>00</v>
          </cell>
          <cell r="AI97">
            <v>60148148</v>
          </cell>
          <cell r="AJ97">
            <v>13760819.609999999</v>
          </cell>
        </row>
        <row r="98">
          <cell r="A98" t="str">
            <v>02</v>
          </cell>
          <cell r="B98" t="str">
            <v>23</v>
          </cell>
          <cell r="C98" t="str">
            <v>1179</v>
          </cell>
          <cell r="D98" t="str">
            <v>КАМАЗ 5511 No 52-44</v>
          </cell>
          <cell r="E98" t="str">
            <v>кшн а/бетоносмесит.</v>
          </cell>
          <cell r="F98" t="str">
            <v>дв540364 ш150094</v>
          </cell>
          <cell r="G98" t="str">
            <v>01</v>
          </cell>
          <cell r="H98">
            <v>175000</v>
          </cell>
          <cell r="I98">
            <v>108494.45</v>
          </cell>
          <cell r="J98">
            <v>0</v>
          </cell>
          <cell r="K98">
            <v>0.7</v>
          </cell>
          <cell r="L98" t="str">
            <v>23</v>
          </cell>
          <cell r="M98" t="str">
            <v>50402</v>
          </cell>
          <cell r="N98" t="str">
            <v>15 3410373</v>
          </cell>
          <cell r="O98" t="str">
            <v>075</v>
          </cell>
          <cell r="P98">
            <v>0.37</v>
          </cell>
          <cell r="Q98">
            <v>0</v>
          </cell>
          <cell r="R98" t="str">
            <v>1</v>
          </cell>
          <cell r="S98" t="str">
            <v>50</v>
          </cell>
          <cell r="T98">
            <v>83</v>
          </cell>
          <cell r="U98">
            <v>12</v>
          </cell>
          <cell r="V98">
            <v>83</v>
          </cell>
          <cell r="W98">
            <v>12</v>
          </cell>
          <cell r="X98">
            <v>83</v>
          </cell>
          <cell r="AF98" t="str">
            <v>00</v>
          </cell>
          <cell r="AI98">
            <v>248888889</v>
          </cell>
          <cell r="AJ98">
            <v>181328547.63999999</v>
          </cell>
        </row>
        <row r="99">
          <cell r="A99" t="str">
            <v>02</v>
          </cell>
          <cell r="B99" t="str">
            <v>23</v>
          </cell>
          <cell r="C99" t="str">
            <v>1180</v>
          </cell>
          <cell r="D99" t="str">
            <v>ЗИЛ-130 NoВ804 КТ</v>
          </cell>
          <cell r="E99" t="str">
            <v xml:space="preserve"> грузовая бортовая</v>
          </cell>
          <cell r="F99" t="str">
            <v>дв383226 ш2364612</v>
          </cell>
          <cell r="G99" t="str">
            <v>01</v>
          </cell>
          <cell r="H99">
            <v>85880</v>
          </cell>
          <cell r="I99">
            <v>81072.27</v>
          </cell>
          <cell r="J99">
            <v>0</v>
          </cell>
          <cell r="K99">
            <v>0.86</v>
          </cell>
          <cell r="L99" t="str">
            <v>23</v>
          </cell>
          <cell r="M99" t="str">
            <v>50402</v>
          </cell>
          <cell r="N99" t="str">
            <v>15 3410441</v>
          </cell>
          <cell r="O99" t="str">
            <v>075</v>
          </cell>
          <cell r="P99">
            <v>0.37</v>
          </cell>
          <cell r="Q99">
            <v>0</v>
          </cell>
          <cell r="R99" t="str">
            <v>1</v>
          </cell>
          <cell r="S99" t="str">
            <v>50</v>
          </cell>
          <cell r="T99">
            <v>85</v>
          </cell>
          <cell r="U99">
            <v>9</v>
          </cell>
          <cell r="V99">
            <v>85</v>
          </cell>
          <cell r="W99">
            <v>9</v>
          </cell>
          <cell r="X99">
            <v>85</v>
          </cell>
          <cell r="AF99" t="str">
            <v>00</v>
          </cell>
          <cell r="AI99">
            <v>99555556</v>
          </cell>
          <cell r="AJ99">
            <v>99555556</v>
          </cell>
        </row>
        <row r="100">
          <cell r="A100" t="str">
            <v>02</v>
          </cell>
          <cell r="B100" t="str">
            <v>23</v>
          </cell>
          <cell r="C100" t="str">
            <v>1181</v>
          </cell>
          <cell r="D100" t="str">
            <v>УРАЛ-4320 No У783ЕУ</v>
          </cell>
          <cell r="E100" t="str">
            <v>грузовая дв826575</v>
          </cell>
          <cell r="F100" t="str">
            <v>ш093681</v>
          </cell>
          <cell r="G100" t="str">
            <v>01</v>
          </cell>
          <cell r="H100">
            <v>87980</v>
          </cell>
          <cell r="I100">
            <v>63023.38</v>
          </cell>
          <cell r="J100">
            <v>0</v>
          </cell>
          <cell r="K100">
            <v>0.78</v>
          </cell>
          <cell r="L100" t="str">
            <v>23</v>
          </cell>
          <cell r="M100" t="str">
            <v>50402</v>
          </cell>
          <cell r="N100" t="str">
            <v>14 2928262</v>
          </cell>
          <cell r="O100" t="str">
            <v>075</v>
          </cell>
          <cell r="P100">
            <v>0.37</v>
          </cell>
          <cell r="Q100">
            <v>0</v>
          </cell>
          <cell r="R100" t="str">
            <v>1</v>
          </cell>
          <cell r="S100" t="str">
            <v>50</v>
          </cell>
          <cell r="T100">
            <v>85</v>
          </cell>
          <cell r="U100">
            <v>11</v>
          </cell>
          <cell r="V100">
            <v>85</v>
          </cell>
          <cell r="W100">
            <v>11</v>
          </cell>
          <cell r="X100">
            <v>85</v>
          </cell>
          <cell r="AF100" t="str">
            <v>00</v>
          </cell>
          <cell r="AI100">
            <v>113382716</v>
          </cell>
          <cell r="AJ100">
            <v>93305718.689999998</v>
          </cell>
        </row>
        <row r="101">
          <cell r="A101" t="str">
            <v>02</v>
          </cell>
          <cell r="B101" t="str">
            <v>23</v>
          </cell>
          <cell r="C101" t="str">
            <v>1183</v>
          </cell>
          <cell r="D101" t="str">
            <v>ЗИЛ-130 NoВ831 КТ</v>
          </cell>
          <cell r="E101" t="str">
            <v xml:space="preserve"> грузовая бортовая</v>
          </cell>
          <cell r="F101" t="str">
            <v>дв292166 ш2308794</v>
          </cell>
          <cell r="G101" t="str">
            <v>01</v>
          </cell>
          <cell r="H101">
            <v>85880</v>
          </cell>
          <cell r="I101">
            <v>34764.239999999998</v>
          </cell>
          <cell r="J101">
            <v>0</v>
          </cell>
          <cell r="K101">
            <v>0.86</v>
          </cell>
          <cell r="L101" t="str">
            <v>23</v>
          </cell>
          <cell r="M101" t="str">
            <v>50402</v>
          </cell>
          <cell r="N101" t="str">
            <v>14 3410441</v>
          </cell>
          <cell r="O101" t="str">
            <v>075</v>
          </cell>
          <cell r="P101">
            <v>0.37</v>
          </cell>
          <cell r="Q101">
            <v>0</v>
          </cell>
          <cell r="R101" t="str">
            <v>1</v>
          </cell>
          <cell r="S101" t="str">
            <v>50</v>
          </cell>
          <cell r="T101">
            <v>84</v>
          </cell>
          <cell r="U101">
            <v>12</v>
          </cell>
          <cell r="V101">
            <v>84</v>
          </cell>
          <cell r="W101">
            <v>12</v>
          </cell>
          <cell r="X101">
            <v>84</v>
          </cell>
          <cell r="AF101" t="str">
            <v>00</v>
          </cell>
          <cell r="AI101">
            <v>99555556</v>
          </cell>
          <cell r="AJ101">
            <v>69549383.959999993</v>
          </cell>
        </row>
        <row r="102">
          <cell r="A102" t="str">
            <v>02</v>
          </cell>
          <cell r="B102" t="str">
            <v>23</v>
          </cell>
          <cell r="C102" t="str">
            <v>1185</v>
          </cell>
          <cell r="D102" t="str">
            <v>ЗИЛ-130 NoВ803 КТ</v>
          </cell>
          <cell r="E102" t="str">
            <v xml:space="preserve"> грузовая бортовая</v>
          </cell>
          <cell r="F102" t="str">
            <v>дв983577 ш2396382</v>
          </cell>
          <cell r="G102" t="str">
            <v>01</v>
          </cell>
          <cell r="H102">
            <v>85880</v>
          </cell>
          <cell r="I102">
            <v>49150</v>
          </cell>
          <cell r="J102">
            <v>0</v>
          </cell>
          <cell r="K102">
            <v>0.86</v>
          </cell>
          <cell r="L102" t="str">
            <v>23</v>
          </cell>
          <cell r="M102" t="str">
            <v>50402</v>
          </cell>
          <cell r="N102" t="str">
            <v>15 3410194</v>
          </cell>
          <cell r="O102" t="str">
            <v>075</v>
          </cell>
          <cell r="P102">
            <v>0.37</v>
          </cell>
          <cell r="Q102">
            <v>0</v>
          </cell>
          <cell r="R102" t="str">
            <v>1</v>
          </cell>
          <cell r="S102" t="str">
            <v>50</v>
          </cell>
          <cell r="T102">
            <v>85</v>
          </cell>
          <cell r="U102">
            <v>9</v>
          </cell>
          <cell r="V102">
            <v>85</v>
          </cell>
          <cell r="W102">
            <v>9</v>
          </cell>
          <cell r="X102">
            <v>85</v>
          </cell>
          <cell r="AF102" t="str">
            <v>00</v>
          </cell>
          <cell r="AI102">
            <v>99555556</v>
          </cell>
          <cell r="AJ102">
            <v>80747383.829999998</v>
          </cell>
        </row>
        <row r="103">
          <cell r="A103" t="str">
            <v>02</v>
          </cell>
          <cell r="B103" t="str">
            <v>23</v>
          </cell>
          <cell r="C103" t="str">
            <v>1188</v>
          </cell>
          <cell r="D103" t="str">
            <v>УРАЛ 4320 No А880УС</v>
          </cell>
          <cell r="E103" t="str">
            <v xml:space="preserve"> грузовая</v>
          </cell>
          <cell r="F103" t="str">
            <v>дв826575 ш077455</v>
          </cell>
          <cell r="G103" t="str">
            <v>01</v>
          </cell>
          <cell r="H103">
            <v>87980</v>
          </cell>
          <cell r="I103">
            <v>61866.87</v>
          </cell>
          <cell r="J103">
            <v>0</v>
          </cell>
          <cell r="K103">
            <v>0.78</v>
          </cell>
          <cell r="L103" t="str">
            <v>23</v>
          </cell>
          <cell r="M103" t="str">
            <v>50402</v>
          </cell>
          <cell r="N103" t="str">
            <v>14 2928262</v>
          </cell>
          <cell r="O103" t="str">
            <v>075</v>
          </cell>
          <cell r="P103">
            <v>0.37</v>
          </cell>
          <cell r="Q103">
            <v>0</v>
          </cell>
          <cell r="R103" t="str">
            <v>1</v>
          </cell>
          <cell r="S103" t="str">
            <v>50</v>
          </cell>
          <cell r="T103">
            <v>87</v>
          </cell>
          <cell r="U103">
            <v>6</v>
          </cell>
          <cell r="V103">
            <v>88</v>
          </cell>
          <cell r="W103">
            <v>6</v>
          </cell>
          <cell r="X103">
            <v>88</v>
          </cell>
          <cell r="AA103" t="str">
            <v>1</v>
          </cell>
          <cell r="AB103" t="str">
            <v>12</v>
          </cell>
          <cell r="AC103">
            <v>5</v>
          </cell>
          <cell r="AF103" t="str">
            <v>00</v>
          </cell>
          <cell r="AI103">
            <v>113382716</v>
          </cell>
          <cell r="AJ103">
            <v>113382716</v>
          </cell>
        </row>
        <row r="104">
          <cell r="A104" t="str">
            <v>02</v>
          </cell>
          <cell r="B104" t="str">
            <v>23</v>
          </cell>
          <cell r="C104" t="str">
            <v>1244</v>
          </cell>
          <cell r="D104" t="str">
            <v>А/мГАЗ 53-12 Волгарь</v>
          </cell>
          <cell r="E104" t="str">
            <v>автобус гос 11-86кшш</v>
          </cell>
          <cell r="F104" t="str">
            <v>дв0185604 ш138</v>
          </cell>
          <cell r="G104" t="str">
            <v>01</v>
          </cell>
          <cell r="H104">
            <v>59325</v>
          </cell>
          <cell r="I104">
            <v>12359.37</v>
          </cell>
          <cell r="J104">
            <v>0</v>
          </cell>
          <cell r="K104">
            <v>1.07</v>
          </cell>
          <cell r="L104" t="str">
            <v>23</v>
          </cell>
          <cell r="M104" t="str">
            <v>50423</v>
          </cell>
          <cell r="N104" t="str">
            <v>15 3410260</v>
          </cell>
          <cell r="O104" t="str">
            <v>072</v>
          </cell>
          <cell r="P104">
            <v>10</v>
          </cell>
          <cell r="Q104">
            <v>0</v>
          </cell>
          <cell r="R104" t="str">
            <v>1</v>
          </cell>
          <cell r="S104" t="str">
            <v>50</v>
          </cell>
          <cell r="T104">
            <v>92</v>
          </cell>
          <cell r="U104">
            <v>11</v>
          </cell>
          <cell r="V104">
            <v>92</v>
          </cell>
          <cell r="W104">
            <v>11</v>
          </cell>
          <cell r="X104">
            <v>92</v>
          </cell>
          <cell r="AF104" t="str">
            <v>00</v>
          </cell>
          <cell r="AI104">
            <v>55308642</v>
          </cell>
          <cell r="AJ104">
            <v>28115226.309999999</v>
          </cell>
        </row>
        <row r="105">
          <cell r="A105" t="str">
            <v>02</v>
          </cell>
          <cell r="B105" t="str">
            <v>23</v>
          </cell>
          <cell r="C105" t="str">
            <v>1249</v>
          </cell>
          <cell r="D105" t="str">
            <v>А/м ЗИЛ-131М вахта</v>
          </cell>
          <cell r="E105" t="str">
            <v>пассажир. Nо12-59кшш</v>
          </cell>
          <cell r="F105" t="str">
            <v>д962266 ш0959579</v>
          </cell>
          <cell r="G105" t="str">
            <v>01</v>
          </cell>
          <cell r="H105">
            <v>85880</v>
          </cell>
          <cell r="I105">
            <v>17176</v>
          </cell>
          <cell r="J105">
            <v>0</v>
          </cell>
          <cell r="K105">
            <v>0.97</v>
          </cell>
          <cell r="L105" t="str">
            <v>23</v>
          </cell>
          <cell r="M105" t="str">
            <v>50423</v>
          </cell>
          <cell r="N105" t="str">
            <v>15 3410359</v>
          </cell>
          <cell r="O105" t="str">
            <v>072</v>
          </cell>
          <cell r="P105">
            <v>10</v>
          </cell>
          <cell r="Q105">
            <v>0</v>
          </cell>
          <cell r="R105" t="str">
            <v>1</v>
          </cell>
          <cell r="S105" t="str">
            <v>50</v>
          </cell>
          <cell r="T105">
            <v>92</v>
          </cell>
          <cell r="U105">
            <v>12</v>
          </cell>
          <cell r="V105">
            <v>92</v>
          </cell>
          <cell r="W105">
            <v>12</v>
          </cell>
          <cell r="X105">
            <v>92</v>
          </cell>
          <cell r="AF105" t="str">
            <v>00</v>
          </cell>
          <cell r="AI105">
            <v>88493827</v>
          </cell>
          <cell r="AJ105">
            <v>44246913.5</v>
          </cell>
        </row>
        <row r="106">
          <cell r="A106" t="str">
            <v>02</v>
          </cell>
          <cell r="B106" t="str">
            <v>23</v>
          </cell>
          <cell r="C106" t="str">
            <v>1250</v>
          </cell>
          <cell r="D106" t="str">
            <v>А/м ЗИЛ-131М вахта</v>
          </cell>
          <cell r="E106" t="str">
            <v>пассажир.NоВ829УУ63</v>
          </cell>
          <cell r="F106" t="str">
            <v>дв409222 ш0954633</v>
          </cell>
          <cell r="G106" t="str">
            <v>01</v>
          </cell>
          <cell r="H106">
            <v>85880</v>
          </cell>
          <cell r="I106">
            <v>17176</v>
          </cell>
          <cell r="J106">
            <v>0</v>
          </cell>
          <cell r="K106">
            <v>0.97</v>
          </cell>
          <cell r="L106" t="str">
            <v>23</v>
          </cell>
          <cell r="M106" t="str">
            <v>50423</v>
          </cell>
          <cell r="N106" t="str">
            <v>15 3410359</v>
          </cell>
          <cell r="O106" t="str">
            <v>072</v>
          </cell>
          <cell r="P106">
            <v>10</v>
          </cell>
          <cell r="Q106">
            <v>0</v>
          </cell>
          <cell r="R106" t="str">
            <v>1</v>
          </cell>
          <cell r="S106" t="str">
            <v>50</v>
          </cell>
          <cell r="T106">
            <v>92</v>
          </cell>
          <cell r="U106">
            <v>12</v>
          </cell>
          <cell r="V106">
            <v>92</v>
          </cell>
          <cell r="W106">
            <v>12</v>
          </cell>
          <cell r="X106">
            <v>92</v>
          </cell>
          <cell r="AF106" t="str">
            <v>00</v>
          </cell>
          <cell r="AI106">
            <v>88493827</v>
          </cell>
          <cell r="AJ106">
            <v>44246913.5</v>
          </cell>
        </row>
        <row r="107">
          <cell r="A107" t="str">
            <v>02</v>
          </cell>
          <cell r="B107" t="str">
            <v>23</v>
          </cell>
          <cell r="C107" t="str">
            <v>1251</v>
          </cell>
          <cell r="D107" t="str">
            <v>А/м ЗИЛ-131М вахта</v>
          </cell>
          <cell r="E107" t="str">
            <v>пассажир.Nо12-62кшш</v>
          </cell>
          <cell r="F107" t="str">
            <v>дв957825 ш0959000</v>
          </cell>
          <cell r="G107" t="str">
            <v>01</v>
          </cell>
          <cell r="H107">
            <v>85880</v>
          </cell>
          <cell r="I107">
            <v>17176</v>
          </cell>
          <cell r="J107">
            <v>0</v>
          </cell>
          <cell r="K107">
            <v>0.97</v>
          </cell>
          <cell r="L107" t="str">
            <v>23</v>
          </cell>
          <cell r="M107" t="str">
            <v>50423</v>
          </cell>
          <cell r="N107" t="str">
            <v>15 3410359</v>
          </cell>
          <cell r="O107" t="str">
            <v>072</v>
          </cell>
          <cell r="P107">
            <v>10</v>
          </cell>
          <cell r="Q107">
            <v>0</v>
          </cell>
          <cell r="R107" t="str">
            <v>1</v>
          </cell>
          <cell r="S107" t="str">
            <v>50</v>
          </cell>
          <cell r="T107">
            <v>92</v>
          </cell>
          <cell r="U107">
            <v>12</v>
          </cell>
          <cell r="V107">
            <v>92</v>
          </cell>
          <cell r="W107">
            <v>12</v>
          </cell>
          <cell r="X107">
            <v>92</v>
          </cell>
          <cell r="AF107" t="str">
            <v>00</v>
          </cell>
          <cell r="AI107">
            <v>88493827</v>
          </cell>
          <cell r="AJ107">
            <v>44246913.5</v>
          </cell>
        </row>
        <row r="108">
          <cell r="A108" t="str">
            <v>02</v>
          </cell>
          <cell r="B108" t="str">
            <v>23</v>
          </cell>
          <cell r="C108" t="str">
            <v>1252</v>
          </cell>
          <cell r="D108" t="str">
            <v>А/м ЗИЛ-131М вахта</v>
          </cell>
          <cell r="E108" t="str">
            <v>пассажир. NоУ843ЕУ</v>
          </cell>
          <cell r="F108" t="str">
            <v>дв878064 ш0947659</v>
          </cell>
          <cell r="G108" t="str">
            <v>01</v>
          </cell>
          <cell r="H108">
            <v>85880</v>
          </cell>
          <cell r="I108">
            <v>17176</v>
          </cell>
          <cell r="J108">
            <v>0</v>
          </cell>
          <cell r="K108">
            <v>0.97</v>
          </cell>
          <cell r="L108" t="str">
            <v>23</v>
          </cell>
          <cell r="M108" t="str">
            <v>50423</v>
          </cell>
          <cell r="N108" t="str">
            <v>15 3410359</v>
          </cell>
          <cell r="O108" t="str">
            <v>072</v>
          </cell>
          <cell r="P108">
            <v>10</v>
          </cell>
          <cell r="Q108">
            <v>0</v>
          </cell>
          <cell r="R108" t="str">
            <v>1</v>
          </cell>
          <cell r="S108" t="str">
            <v>50</v>
          </cell>
          <cell r="T108">
            <v>92</v>
          </cell>
          <cell r="U108">
            <v>12</v>
          </cell>
          <cell r="V108">
            <v>92</v>
          </cell>
          <cell r="W108">
            <v>12</v>
          </cell>
          <cell r="X108">
            <v>92</v>
          </cell>
          <cell r="AF108" t="str">
            <v>00</v>
          </cell>
          <cell r="AI108">
            <v>88493827</v>
          </cell>
          <cell r="AJ108">
            <v>44246913.5</v>
          </cell>
        </row>
        <row r="109">
          <cell r="A109" t="str">
            <v>02</v>
          </cell>
          <cell r="B109" t="str">
            <v>23</v>
          </cell>
          <cell r="C109" t="str">
            <v>1263</v>
          </cell>
          <cell r="D109" t="str">
            <v>А/мУАЗ-3741 ПЭЛХЗ</v>
          </cell>
          <cell r="E109" t="str">
            <v>гос.N 48-52 КШЧ спец</v>
          </cell>
          <cell r="F109" t="str">
            <v>д20201759 ш135705</v>
          </cell>
          <cell r="G109" t="str">
            <v>01</v>
          </cell>
          <cell r="H109">
            <v>154697</v>
          </cell>
          <cell r="I109">
            <v>24804.04</v>
          </cell>
          <cell r="J109">
            <v>0</v>
          </cell>
          <cell r="K109">
            <v>1.66</v>
          </cell>
          <cell r="L109" t="str">
            <v>23</v>
          </cell>
          <cell r="M109" t="str">
            <v>50402</v>
          </cell>
          <cell r="N109" t="str">
            <v>15 3410160</v>
          </cell>
          <cell r="O109" t="str">
            <v>075</v>
          </cell>
          <cell r="P109">
            <v>0.37</v>
          </cell>
          <cell r="Q109">
            <v>0</v>
          </cell>
          <cell r="R109" t="str">
            <v>1</v>
          </cell>
          <cell r="S109" t="str">
            <v>50</v>
          </cell>
          <cell r="T109">
            <v>91</v>
          </cell>
          <cell r="U109">
            <v>12</v>
          </cell>
          <cell r="V109">
            <v>92</v>
          </cell>
          <cell r="W109">
            <v>12</v>
          </cell>
          <cell r="X109">
            <v>92</v>
          </cell>
          <cell r="AF109" t="str">
            <v>00</v>
          </cell>
          <cell r="AI109">
            <v>93333333</v>
          </cell>
          <cell r="AJ109">
            <v>42700466.520000003</v>
          </cell>
        </row>
        <row r="110">
          <cell r="A110" t="str">
            <v>02</v>
          </cell>
          <cell r="B110" t="str">
            <v>15</v>
          </cell>
          <cell r="C110" t="str">
            <v>1267</v>
          </cell>
          <cell r="D110" t="str">
            <v>Сварочное оборудован</v>
          </cell>
          <cell r="E110" t="str">
            <v>ие БАРС</v>
          </cell>
          <cell r="F110" t="str">
            <v>23</v>
          </cell>
          <cell r="G110" t="str">
            <v>01</v>
          </cell>
          <cell r="H110">
            <v>38000</v>
          </cell>
          <cell r="I110">
            <v>9500</v>
          </cell>
          <cell r="J110">
            <v>0</v>
          </cell>
          <cell r="K110">
            <v>1</v>
          </cell>
          <cell r="L110" t="str">
            <v>88/2</v>
          </cell>
          <cell r="M110" t="str">
            <v>42504</v>
          </cell>
          <cell r="N110" t="str">
            <v>14 2947193</v>
          </cell>
          <cell r="O110" t="str">
            <v>067</v>
          </cell>
          <cell r="P110">
            <v>12.5</v>
          </cell>
          <cell r="Q110">
            <v>0</v>
          </cell>
          <cell r="R110" t="str">
            <v>1</v>
          </cell>
          <cell r="S110" t="str">
            <v>42</v>
          </cell>
          <cell r="T110">
            <v>92</v>
          </cell>
          <cell r="U110">
            <v>12</v>
          </cell>
          <cell r="V110">
            <v>92</v>
          </cell>
          <cell r="W110">
            <v>12</v>
          </cell>
          <cell r="X110">
            <v>92</v>
          </cell>
          <cell r="AB110" t="str">
            <v>14</v>
          </cell>
          <cell r="AC110">
            <v>10</v>
          </cell>
          <cell r="AF110" t="str">
            <v>00</v>
          </cell>
          <cell r="AG110">
            <v>37890000</v>
          </cell>
          <cell r="AI110">
            <v>37890000</v>
          </cell>
          <cell r="AJ110">
            <v>23681250</v>
          </cell>
        </row>
        <row r="111">
          <cell r="A111" t="str">
            <v>02</v>
          </cell>
          <cell r="B111" t="str">
            <v>11</v>
          </cell>
          <cell r="C111" t="str">
            <v>1270</v>
          </cell>
          <cell r="D111" t="str">
            <v>Подьездная а/дорога</v>
          </cell>
          <cell r="E111" t="str">
            <v>к РБУ</v>
          </cell>
          <cell r="G111" t="str">
            <v>01</v>
          </cell>
          <cell r="H111">
            <v>1298400</v>
          </cell>
          <cell r="I111">
            <v>83097.600000000006</v>
          </cell>
          <cell r="J111">
            <v>0</v>
          </cell>
          <cell r="K111">
            <v>1.02</v>
          </cell>
          <cell r="L111" t="str">
            <v>20</v>
          </cell>
          <cell r="M111" t="str">
            <v>20223</v>
          </cell>
          <cell r="N111" t="str">
            <v>12 4526372</v>
          </cell>
          <cell r="O111" t="str">
            <v>03</v>
          </cell>
          <cell r="P111">
            <v>3.2</v>
          </cell>
          <cell r="Q111">
            <v>0</v>
          </cell>
          <cell r="R111" t="str">
            <v>1</v>
          </cell>
          <cell r="S111" t="str">
            <v>20</v>
          </cell>
          <cell r="T111">
            <v>92</v>
          </cell>
          <cell r="U111">
            <v>12</v>
          </cell>
          <cell r="V111">
            <v>92</v>
          </cell>
          <cell r="W111">
            <v>12</v>
          </cell>
          <cell r="X111">
            <v>92</v>
          </cell>
          <cell r="AB111" t="str">
            <v>14</v>
          </cell>
          <cell r="AC111">
            <v>9</v>
          </cell>
          <cell r="AD111" t="str">
            <v>2</v>
          </cell>
          <cell r="AF111" t="str">
            <v>00</v>
          </cell>
          <cell r="AG111">
            <v>1273560000</v>
          </cell>
          <cell r="AI111">
            <v>1273560000</v>
          </cell>
          <cell r="AJ111">
            <v>203769600</v>
          </cell>
        </row>
        <row r="112">
          <cell r="A112" t="str">
            <v>02</v>
          </cell>
          <cell r="B112" t="str">
            <v>05</v>
          </cell>
          <cell r="C112" t="str">
            <v>1271</v>
          </cell>
          <cell r="D112" t="str">
            <v>Теплоход Москва</v>
          </cell>
          <cell r="G112" t="str">
            <v>01</v>
          </cell>
          <cell r="H112">
            <v>540000</v>
          </cell>
          <cell r="I112">
            <v>24840</v>
          </cell>
          <cell r="J112">
            <v>0</v>
          </cell>
          <cell r="K112">
            <v>0.3</v>
          </cell>
          <cell r="L112" t="str">
            <v>20</v>
          </cell>
          <cell r="M112" t="str">
            <v>50212</v>
          </cell>
          <cell r="N112" t="str">
            <v>15 3511201</v>
          </cell>
          <cell r="O112" t="str">
            <v>075</v>
          </cell>
          <cell r="P112">
            <v>2.2999999999999998</v>
          </cell>
          <cell r="Q112">
            <v>0</v>
          </cell>
          <cell r="R112" t="str">
            <v>1</v>
          </cell>
          <cell r="S112" t="str">
            <v>50</v>
          </cell>
          <cell r="T112">
            <v>74</v>
          </cell>
          <cell r="U112">
            <v>12</v>
          </cell>
          <cell r="V112">
            <v>92</v>
          </cell>
          <cell r="W112">
            <v>12</v>
          </cell>
          <cell r="X112">
            <v>92</v>
          </cell>
          <cell r="AF112" t="str">
            <v>00</v>
          </cell>
          <cell r="AI112">
            <v>1787199461</v>
          </cell>
          <cell r="AJ112">
            <v>205527937.81</v>
          </cell>
        </row>
        <row r="113">
          <cell r="A113" t="str">
            <v>02</v>
          </cell>
          <cell r="B113" t="str">
            <v>02</v>
          </cell>
          <cell r="C113" t="str">
            <v>1273</v>
          </cell>
          <cell r="D113" t="str">
            <v>Эксковатор 4224</v>
          </cell>
          <cell r="E113" t="str">
            <v>дв АО1М 145948</v>
          </cell>
          <cell r="F113" t="str">
            <v>3292</v>
          </cell>
          <cell r="G113" t="str">
            <v>01</v>
          </cell>
          <cell r="H113">
            <v>390000</v>
          </cell>
          <cell r="I113">
            <v>70980</v>
          </cell>
          <cell r="J113">
            <v>0</v>
          </cell>
          <cell r="K113">
            <v>1.21</v>
          </cell>
          <cell r="L113" t="str">
            <v>20</v>
          </cell>
          <cell r="M113" t="str">
            <v>41803</v>
          </cell>
          <cell r="N113" t="str">
            <v>14 2924331</v>
          </cell>
          <cell r="O113" t="str">
            <v>064</v>
          </cell>
          <cell r="P113">
            <v>9.1</v>
          </cell>
          <cell r="Q113">
            <v>0</v>
          </cell>
          <cell r="R113" t="str">
            <v>1</v>
          </cell>
          <cell r="S113" t="str">
            <v>41</v>
          </cell>
          <cell r="T113">
            <v>92</v>
          </cell>
          <cell r="U113">
            <v>12</v>
          </cell>
          <cell r="V113">
            <v>92</v>
          </cell>
          <cell r="W113">
            <v>12</v>
          </cell>
          <cell r="X113">
            <v>92</v>
          </cell>
          <cell r="AB113" t="str">
            <v>14</v>
          </cell>
          <cell r="AC113">
            <v>12</v>
          </cell>
          <cell r="AF113" t="str">
            <v>00</v>
          </cell>
          <cell r="AI113">
            <v>322370370</v>
          </cell>
          <cell r="AJ113">
            <v>146678518.28999999</v>
          </cell>
        </row>
        <row r="114">
          <cell r="A114" t="str">
            <v>02</v>
          </cell>
          <cell r="B114" t="str">
            <v>02</v>
          </cell>
          <cell r="C114" t="str">
            <v>1274</v>
          </cell>
          <cell r="D114" t="str">
            <v>Эасковатор 4224</v>
          </cell>
          <cell r="E114" t="str">
            <v>А-О1М 145948</v>
          </cell>
          <cell r="F114" t="str">
            <v>3292</v>
          </cell>
          <cell r="G114" t="str">
            <v>01</v>
          </cell>
          <cell r="H114">
            <v>390000</v>
          </cell>
          <cell r="I114">
            <v>70980</v>
          </cell>
          <cell r="J114">
            <v>0</v>
          </cell>
          <cell r="K114">
            <v>1.21</v>
          </cell>
          <cell r="L114" t="str">
            <v>20</v>
          </cell>
          <cell r="M114" t="str">
            <v>41803</v>
          </cell>
          <cell r="N114" t="str">
            <v>14 2924331</v>
          </cell>
          <cell r="O114" t="str">
            <v>064</v>
          </cell>
          <cell r="P114">
            <v>9.1</v>
          </cell>
          <cell r="Q114">
            <v>0</v>
          </cell>
          <cell r="R114" t="str">
            <v>1</v>
          </cell>
          <cell r="S114" t="str">
            <v>41</v>
          </cell>
          <cell r="T114">
            <v>92</v>
          </cell>
          <cell r="U114">
            <v>12</v>
          </cell>
          <cell r="V114">
            <v>92</v>
          </cell>
          <cell r="W114">
            <v>12</v>
          </cell>
          <cell r="X114">
            <v>92</v>
          </cell>
          <cell r="AB114" t="str">
            <v>14</v>
          </cell>
          <cell r="AC114">
            <v>12</v>
          </cell>
          <cell r="AF114" t="str">
            <v>00</v>
          </cell>
          <cell r="AI114">
            <v>322370370</v>
          </cell>
          <cell r="AJ114">
            <v>146678518.28999999</v>
          </cell>
        </row>
        <row r="115">
          <cell r="A115" t="str">
            <v>02</v>
          </cell>
          <cell r="B115" t="str">
            <v>80</v>
          </cell>
          <cell r="C115" t="str">
            <v>1275</v>
          </cell>
          <cell r="D115" t="str">
            <v>Компьютер 1ВМ-РС Ат</v>
          </cell>
          <cell r="E115" t="str">
            <v>40Мгц 120Мв</v>
          </cell>
          <cell r="G115" t="str">
            <v>01</v>
          </cell>
          <cell r="H115">
            <v>2800</v>
          </cell>
          <cell r="I115">
            <v>560</v>
          </cell>
          <cell r="J115">
            <v>0</v>
          </cell>
          <cell r="K115">
            <v>0.04</v>
          </cell>
          <cell r="L115" t="str">
            <v>26</v>
          </cell>
          <cell r="M115" t="str">
            <v>48008</v>
          </cell>
          <cell r="N115" t="str">
            <v>14 3020203</v>
          </cell>
          <cell r="O115" t="str">
            <v>063</v>
          </cell>
          <cell r="P115">
            <v>10</v>
          </cell>
          <cell r="Q115">
            <v>0</v>
          </cell>
          <cell r="R115" t="str">
            <v>1</v>
          </cell>
          <cell r="S115" t="str">
            <v>48</v>
          </cell>
          <cell r="T115">
            <v>92</v>
          </cell>
          <cell r="U115">
            <v>12</v>
          </cell>
          <cell r="V115">
            <v>92</v>
          </cell>
          <cell r="W115">
            <v>12</v>
          </cell>
          <cell r="X115">
            <v>92</v>
          </cell>
          <cell r="AF115" t="str">
            <v>00</v>
          </cell>
          <cell r="AI115">
            <v>62272500</v>
          </cell>
          <cell r="AJ115">
            <v>31136250</v>
          </cell>
        </row>
        <row r="116">
          <cell r="A116" t="str">
            <v>02</v>
          </cell>
          <cell r="B116" t="str">
            <v>23</v>
          </cell>
          <cell r="C116" t="str">
            <v>1276</v>
          </cell>
          <cell r="D116" t="str">
            <v>Компьютер 1ВМРСАТ1МГ</v>
          </cell>
          <cell r="E116" t="str">
            <v>у 120 РС с принтером</v>
          </cell>
          <cell r="F116" t="str">
            <v>EPSON в к-те с кабел</v>
          </cell>
          <cell r="G116" t="str">
            <v>01</v>
          </cell>
          <cell r="H116">
            <v>5468.9</v>
          </cell>
          <cell r="I116">
            <v>760</v>
          </cell>
          <cell r="J116">
            <v>0</v>
          </cell>
          <cell r="K116">
            <v>0.06</v>
          </cell>
          <cell r="L116" t="str">
            <v>23</v>
          </cell>
          <cell r="M116" t="str">
            <v>48008</v>
          </cell>
          <cell r="N116" t="str">
            <v>22 0000000</v>
          </cell>
          <cell r="O116" t="str">
            <v>063</v>
          </cell>
          <cell r="P116">
            <v>10</v>
          </cell>
          <cell r="Q116">
            <v>0</v>
          </cell>
          <cell r="R116" t="str">
            <v>1</v>
          </cell>
          <cell r="S116" t="str">
            <v>48</v>
          </cell>
          <cell r="T116">
            <v>92</v>
          </cell>
          <cell r="U116">
            <v>12</v>
          </cell>
          <cell r="V116">
            <v>92</v>
          </cell>
          <cell r="W116">
            <v>12</v>
          </cell>
          <cell r="X116">
            <v>92</v>
          </cell>
          <cell r="AB116" t="str">
            <v>14</v>
          </cell>
          <cell r="AC116">
            <v>5</v>
          </cell>
          <cell r="AF116" t="str">
            <v>00</v>
          </cell>
          <cell r="AI116">
            <v>62272500</v>
          </cell>
          <cell r="AJ116">
            <v>31136250</v>
          </cell>
        </row>
        <row r="117">
          <cell r="A117" t="str">
            <v>02</v>
          </cell>
          <cell r="B117" t="str">
            <v>80</v>
          </cell>
          <cell r="C117" t="str">
            <v>1277</v>
          </cell>
          <cell r="D117" t="str">
            <v>Копировальный аппара</v>
          </cell>
          <cell r="E117" t="str">
            <v>т</v>
          </cell>
          <cell r="G117" t="str">
            <v>01</v>
          </cell>
          <cell r="H117">
            <v>3185</v>
          </cell>
          <cell r="I117">
            <v>796.25</v>
          </cell>
          <cell r="J117">
            <v>0</v>
          </cell>
          <cell r="K117">
            <v>0.19</v>
          </cell>
          <cell r="L117" t="str">
            <v>26</v>
          </cell>
          <cell r="M117" t="str">
            <v>44804</v>
          </cell>
          <cell r="N117" t="str">
            <v>14 3010210</v>
          </cell>
          <cell r="O117" t="str">
            <v>063</v>
          </cell>
          <cell r="P117">
            <v>12.5</v>
          </cell>
          <cell r="Q117">
            <v>0</v>
          </cell>
          <cell r="R117" t="str">
            <v>1</v>
          </cell>
          <cell r="S117" t="str">
            <v>48</v>
          </cell>
          <cell r="T117">
            <v>92</v>
          </cell>
          <cell r="U117">
            <v>12</v>
          </cell>
          <cell r="V117">
            <v>92</v>
          </cell>
          <cell r="W117">
            <v>12</v>
          </cell>
          <cell r="X117">
            <v>92</v>
          </cell>
          <cell r="AF117" t="str">
            <v>00</v>
          </cell>
          <cell r="AI117">
            <v>16606000</v>
          </cell>
          <cell r="AJ117">
            <v>8303000</v>
          </cell>
        </row>
        <row r="118">
          <cell r="A118" t="str">
            <v>02</v>
          </cell>
          <cell r="B118" t="str">
            <v>23</v>
          </cell>
          <cell r="C118" t="str">
            <v>1278</v>
          </cell>
          <cell r="D118" t="str">
            <v>А/м ТОЙОТА микроавто</v>
          </cell>
          <cell r="E118" t="str">
            <v>бус пассажир.N12-53</v>
          </cell>
          <cell r="F118" t="str">
            <v>КШШ дв0343209 ш00112</v>
          </cell>
          <cell r="G118" t="str">
            <v>01</v>
          </cell>
          <cell r="H118">
            <v>135018.25</v>
          </cell>
          <cell r="I118">
            <v>38615.22</v>
          </cell>
          <cell r="J118">
            <v>0</v>
          </cell>
          <cell r="K118">
            <v>1.31</v>
          </cell>
          <cell r="L118" t="str">
            <v>26</v>
          </cell>
          <cell r="M118" t="str">
            <v>50420</v>
          </cell>
          <cell r="N118" t="str">
            <v>15 3410250</v>
          </cell>
          <cell r="O118" t="str">
            <v>072</v>
          </cell>
          <cell r="P118">
            <v>14.3</v>
          </cell>
          <cell r="Q118">
            <v>0</v>
          </cell>
          <cell r="R118" t="str">
            <v>1</v>
          </cell>
          <cell r="S118" t="str">
            <v>50</v>
          </cell>
          <cell r="T118">
            <v>92</v>
          </cell>
          <cell r="U118">
            <v>12</v>
          </cell>
          <cell r="V118">
            <v>92</v>
          </cell>
          <cell r="W118">
            <v>12</v>
          </cell>
          <cell r="X118">
            <v>92</v>
          </cell>
          <cell r="AF118" t="str">
            <v>00</v>
          </cell>
          <cell r="AI118">
            <v>103067366</v>
          </cell>
          <cell r="AJ118">
            <v>73693166.689999998</v>
          </cell>
        </row>
        <row r="119">
          <cell r="A119" t="str">
            <v>02</v>
          </cell>
          <cell r="B119" t="str">
            <v>04</v>
          </cell>
          <cell r="C119" t="str">
            <v>1279</v>
          </cell>
          <cell r="D119" t="str">
            <v>Бензонасос</v>
          </cell>
          <cell r="F119" t="str">
            <v>1771</v>
          </cell>
          <cell r="G119" t="str">
            <v>01</v>
          </cell>
          <cell r="H119">
            <v>2326.3200000000002</v>
          </cell>
          <cell r="I119">
            <v>581.58000000000004</v>
          </cell>
          <cell r="J119">
            <v>0</v>
          </cell>
          <cell r="K119">
            <v>1.06</v>
          </cell>
          <cell r="L119" t="str">
            <v>23</v>
          </cell>
          <cell r="M119" t="str">
            <v>41502</v>
          </cell>
          <cell r="N119" t="str">
            <v>14 2912102</v>
          </cell>
          <cell r="O119" t="str">
            <v>064</v>
          </cell>
          <cell r="P119">
            <v>12.5</v>
          </cell>
          <cell r="Q119">
            <v>0</v>
          </cell>
          <cell r="R119" t="str">
            <v>1</v>
          </cell>
          <cell r="S119" t="str">
            <v>41</v>
          </cell>
          <cell r="T119">
            <v>91</v>
          </cell>
          <cell r="U119">
            <v>12</v>
          </cell>
          <cell r="V119">
            <v>92</v>
          </cell>
          <cell r="W119">
            <v>12</v>
          </cell>
          <cell r="X119">
            <v>92</v>
          </cell>
          <cell r="AB119" t="str">
            <v>14</v>
          </cell>
          <cell r="AC119">
            <v>2</v>
          </cell>
          <cell r="AF119" t="str">
            <v>00</v>
          </cell>
          <cell r="AI119">
            <v>2194637</v>
          </cell>
          <cell r="AJ119">
            <v>1371648.04</v>
          </cell>
        </row>
        <row r="120">
          <cell r="A120" t="str">
            <v>02</v>
          </cell>
          <cell r="B120" t="str">
            <v>11</v>
          </cell>
          <cell r="C120" t="str">
            <v>1280</v>
          </cell>
          <cell r="D120" t="str">
            <v>Бетоносмесительная</v>
          </cell>
          <cell r="E120" t="str">
            <v>установка СП</v>
          </cell>
          <cell r="F120" t="str">
            <v>0654376</v>
          </cell>
          <cell r="G120" t="str">
            <v>01</v>
          </cell>
          <cell r="H120">
            <v>161812.73000000001</v>
          </cell>
          <cell r="I120">
            <v>54045.45</v>
          </cell>
          <cell r="J120">
            <v>0</v>
          </cell>
          <cell r="K120">
            <v>1.61</v>
          </cell>
          <cell r="L120" t="str">
            <v>20</v>
          </cell>
          <cell r="M120" t="str">
            <v>42003</v>
          </cell>
          <cell r="N120" t="str">
            <v>14 2924633</v>
          </cell>
          <cell r="O120" t="str">
            <v>067</v>
          </cell>
          <cell r="P120">
            <v>16.7</v>
          </cell>
          <cell r="Q120">
            <v>0</v>
          </cell>
          <cell r="R120" t="str">
            <v>1</v>
          </cell>
          <cell r="S120" t="str">
            <v>42</v>
          </cell>
          <cell r="T120">
            <v>92</v>
          </cell>
          <cell r="U120">
            <v>12</v>
          </cell>
          <cell r="V120">
            <v>92</v>
          </cell>
          <cell r="W120">
            <v>12</v>
          </cell>
          <cell r="X120">
            <v>92</v>
          </cell>
          <cell r="AB120" t="str">
            <v>14</v>
          </cell>
          <cell r="AC120">
            <v>9</v>
          </cell>
          <cell r="AD120" t="str">
            <v>2</v>
          </cell>
          <cell r="AF120" t="str">
            <v>00</v>
          </cell>
          <cell r="AG120">
            <v>100504800</v>
          </cell>
          <cell r="AI120">
            <v>100504800</v>
          </cell>
          <cell r="AJ120">
            <v>83921507.799999997</v>
          </cell>
        </row>
        <row r="121">
          <cell r="A121" t="str">
            <v>02</v>
          </cell>
          <cell r="B121" t="str">
            <v>71</v>
          </cell>
          <cell r="C121" t="str">
            <v>1281</v>
          </cell>
          <cell r="D121" t="str">
            <v>Автопогрузчик</v>
          </cell>
          <cell r="F121" t="str">
            <v>28341</v>
          </cell>
          <cell r="G121" t="str">
            <v>01</v>
          </cell>
          <cell r="H121">
            <v>60888.800000000003</v>
          </cell>
          <cell r="I121">
            <v>12177.76</v>
          </cell>
          <cell r="J121">
            <v>0</v>
          </cell>
          <cell r="K121">
            <v>0.81</v>
          </cell>
          <cell r="L121" t="str">
            <v>23</v>
          </cell>
          <cell r="M121" t="str">
            <v>41720</v>
          </cell>
          <cell r="N121" t="str">
            <v>14 2915541</v>
          </cell>
          <cell r="O121" t="str">
            <v>067</v>
          </cell>
          <cell r="P121">
            <v>10</v>
          </cell>
          <cell r="Q121">
            <v>0</v>
          </cell>
          <cell r="R121" t="str">
            <v>1</v>
          </cell>
          <cell r="S121" t="str">
            <v>41</v>
          </cell>
          <cell r="T121">
            <v>92</v>
          </cell>
          <cell r="U121">
            <v>12</v>
          </cell>
          <cell r="V121">
            <v>92</v>
          </cell>
          <cell r="W121">
            <v>12</v>
          </cell>
          <cell r="X121">
            <v>92</v>
          </cell>
          <cell r="AF121" t="str">
            <v>00</v>
          </cell>
          <cell r="AI121">
            <v>75411000</v>
          </cell>
          <cell r="AJ121">
            <v>37705500</v>
          </cell>
        </row>
        <row r="122">
          <cell r="A122" t="str">
            <v>02</v>
          </cell>
          <cell r="B122" t="str">
            <v>23</v>
          </cell>
          <cell r="C122" t="str">
            <v>1282</v>
          </cell>
          <cell r="D122" t="str">
            <v>А/м УАЗ-3303 груз.</v>
          </cell>
          <cell r="E122" t="str">
            <v>фургон Nо В 886 ОВ</v>
          </cell>
          <cell r="F122" t="str">
            <v>дв50207055 ш077150</v>
          </cell>
          <cell r="G122" t="str">
            <v>01</v>
          </cell>
          <cell r="H122">
            <v>30000</v>
          </cell>
          <cell r="I122">
            <v>8580</v>
          </cell>
          <cell r="J122">
            <v>0</v>
          </cell>
          <cell r="K122">
            <v>0.54</v>
          </cell>
          <cell r="L122" t="str">
            <v>23</v>
          </cell>
          <cell r="M122" t="str">
            <v>50427</v>
          </cell>
          <cell r="N122" t="str">
            <v>15 3410349</v>
          </cell>
          <cell r="O122" t="str">
            <v>073</v>
          </cell>
          <cell r="P122">
            <v>14.3</v>
          </cell>
          <cell r="Q122">
            <v>0</v>
          </cell>
          <cell r="R122" t="str">
            <v>1</v>
          </cell>
          <cell r="S122" t="str">
            <v>50</v>
          </cell>
          <cell r="T122">
            <v>91</v>
          </cell>
          <cell r="U122">
            <v>12</v>
          </cell>
          <cell r="V122">
            <v>92</v>
          </cell>
          <cell r="W122">
            <v>12</v>
          </cell>
          <cell r="X122">
            <v>92</v>
          </cell>
          <cell r="AF122" t="str">
            <v>00</v>
          </cell>
          <cell r="AI122">
            <v>55308642</v>
          </cell>
          <cell r="AJ122">
            <v>39545679.009999998</v>
          </cell>
        </row>
        <row r="123">
          <cell r="A123" t="str">
            <v>02</v>
          </cell>
          <cell r="B123" t="str">
            <v>70</v>
          </cell>
          <cell r="C123" t="str">
            <v>1284</v>
          </cell>
          <cell r="D123" t="str">
            <v>Машина безогневой ре</v>
          </cell>
          <cell r="E123" t="str">
            <v>зки труб МБРТ 820 с</v>
          </cell>
          <cell r="F123" t="str">
            <v>34</v>
          </cell>
          <cell r="G123" t="str">
            <v>01</v>
          </cell>
          <cell r="H123">
            <v>40000</v>
          </cell>
          <cell r="I123">
            <v>10000</v>
          </cell>
          <cell r="J123">
            <v>0</v>
          </cell>
          <cell r="K123">
            <v>0.39</v>
          </cell>
          <cell r="L123" t="str">
            <v>20</v>
          </cell>
          <cell r="M123" t="str">
            <v>42504</v>
          </cell>
          <cell r="N123" t="str">
            <v>14 2922790</v>
          </cell>
          <cell r="O123" t="str">
            <v>067</v>
          </cell>
          <cell r="P123">
            <v>12.5</v>
          </cell>
          <cell r="Q123">
            <v>0</v>
          </cell>
          <cell r="R123" t="str">
            <v>1</v>
          </cell>
          <cell r="S123" t="str">
            <v>42</v>
          </cell>
          <cell r="T123">
            <v>90</v>
          </cell>
          <cell r="U123">
            <v>12</v>
          </cell>
          <cell r="V123">
            <v>92</v>
          </cell>
          <cell r="W123">
            <v>12</v>
          </cell>
          <cell r="X123">
            <v>92</v>
          </cell>
          <cell r="AB123" t="str">
            <v>14</v>
          </cell>
          <cell r="AC123">
            <v>12</v>
          </cell>
          <cell r="AF123" t="str">
            <v>00</v>
          </cell>
          <cell r="AI123">
            <v>103813243</v>
          </cell>
          <cell r="AJ123">
            <v>64883277.130000003</v>
          </cell>
        </row>
        <row r="124">
          <cell r="A124" t="str">
            <v>02</v>
          </cell>
          <cell r="B124" t="str">
            <v>41</v>
          </cell>
          <cell r="C124" t="str">
            <v>1285</v>
          </cell>
          <cell r="D124" t="str">
            <v>Рентскап аппарат</v>
          </cell>
          <cell r="G124" t="str">
            <v>01</v>
          </cell>
          <cell r="H124">
            <v>2842.67</v>
          </cell>
          <cell r="I124">
            <v>591.28</v>
          </cell>
          <cell r="J124">
            <v>0</v>
          </cell>
          <cell r="K124">
            <v>1.21</v>
          </cell>
          <cell r="L124" t="str">
            <v>20</v>
          </cell>
          <cell r="M124" t="str">
            <v>47024</v>
          </cell>
          <cell r="N124" t="str">
            <v>14 3322302</v>
          </cell>
          <cell r="O124" t="str">
            <v>063</v>
          </cell>
          <cell r="P124">
            <v>10.4</v>
          </cell>
          <cell r="Q124">
            <v>0</v>
          </cell>
          <cell r="R124" t="str">
            <v>1</v>
          </cell>
          <cell r="S124" t="str">
            <v>47</v>
          </cell>
          <cell r="T124">
            <v>92</v>
          </cell>
          <cell r="U124">
            <v>12</v>
          </cell>
          <cell r="V124">
            <v>92</v>
          </cell>
          <cell r="W124">
            <v>12</v>
          </cell>
          <cell r="X124">
            <v>92</v>
          </cell>
          <cell r="AF124" t="str">
            <v>00</v>
          </cell>
          <cell r="AI124">
            <v>2349312</v>
          </cell>
          <cell r="AJ124">
            <v>1221642.3400000001</v>
          </cell>
        </row>
        <row r="125">
          <cell r="A125" t="str">
            <v>02</v>
          </cell>
          <cell r="B125" t="str">
            <v>23</v>
          </cell>
          <cell r="C125" t="str">
            <v>1288</v>
          </cell>
          <cell r="D125" t="str">
            <v>А/мГАЗ-5312 груз.фур</v>
          </cell>
          <cell r="E125" t="str">
            <v>гон Nо 48-05 КШЧ</v>
          </cell>
          <cell r="F125" t="str">
            <v>дв0155708 ш1401588</v>
          </cell>
          <cell r="G125" t="str">
            <v>01</v>
          </cell>
          <cell r="H125">
            <v>27233</v>
          </cell>
          <cell r="I125">
            <v>5194.6899999999996</v>
          </cell>
          <cell r="J125">
            <v>0</v>
          </cell>
          <cell r="K125">
            <v>0.49</v>
          </cell>
          <cell r="L125" t="str">
            <v>23</v>
          </cell>
          <cell r="M125" t="str">
            <v>50402</v>
          </cell>
          <cell r="N125" t="str">
            <v>15 3410349</v>
          </cell>
          <cell r="O125" t="str">
            <v>075</v>
          </cell>
          <cell r="P125">
            <v>0.37</v>
          </cell>
          <cell r="Q125">
            <v>0</v>
          </cell>
          <cell r="R125" t="str">
            <v>1</v>
          </cell>
          <cell r="S125" t="str">
            <v>50</v>
          </cell>
          <cell r="T125">
            <v>92</v>
          </cell>
          <cell r="U125">
            <v>12</v>
          </cell>
          <cell r="V125">
            <v>92</v>
          </cell>
          <cell r="W125">
            <v>12</v>
          </cell>
          <cell r="X125">
            <v>92</v>
          </cell>
          <cell r="AF125" t="str">
            <v>00</v>
          </cell>
          <cell r="AI125">
            <v>55308642</v>
          </cell>
          <cell r="AJ125">
            <v>32672728.510000002</v>
          </cell>
        </row>
        <row r="126">
          <cell r="A126" t="str">
            <v>02</v>
          </cell>
          <cell r="B126" t="str">
            <v>23</v>
          </cell>
          <cell r="C126" t="str">
            <v>1289</v>
          </cell>
          <cell r="D126" t="str">
            <v>А/м КАМАЗ-5320 груз.</v>
          </cell>
          <cell r="E126" t="str">
            <v>борт.Nо В646ХО</v>
          </cell>
          <cell r="F126" t="str">
            <v>дв0017816ш1028619</v>
          </cell>
          <cell r="G126" t="str">
            <v>01</v>
          </cell>
          <cell r="H126">
            <v>85050</v>
          </cell>
          <cell r="I126">
            <v>15632.92</v>
          </cell>
          <cell r="J126">
            <v>0</v>
          </cell>
          <cell r="K126">
            <v>0.72</v>
          </cell>
          <cell r="L126" t="str">
            <v>23</v>
          </cell>
          <cell r="M126" t="str">
            <v>50402</v>
          </cell>
          <cell r="N126" t="str">
            <v>15 3410196</v>
          </cell>
          <cell r="O126" t="str">
            <v>075</v>
          </cell>
          <cell r="P126">
            <v>0.37</v>
          </cell>
          <cell r="Q126">
            <v>0</v>
          </cell>
          <cell r="R126" t="str">
            <v>1</v>
          </cell>
          <cell r="S126" t="str">
            <v>50</v>
          </cell>
          <cell r="T126">
            <v>92</v>
          </cell>
          <cell r="U126">
            <v>12</v>
          </cell>
          <cell r="V126">
            <v>92</v>
          </cell>
          <cell r="W126">
            <v>12</v>
          </cell>
          <cell r="X126">
            <v>92</v>
          </cell>
          <cell r="AF126" t="str">
            <v>00</v>
          </cell>
          <cell r="AI126">
            <v>117530864</v>
          </cell>
          <cell r="AJ126">
            <v>83627863.959999993</v>
          </cell>
        </row>
        <row r="127">
          <cell r="A127" t="str">
            <v>02</v>
          </cell>
          <cell r="B127" t="str">
            <v>23</v>
          </cell>
          <cell r="C127" t="str">
            <v>1291</v>
          </cell>
          <cell r="D127" t="str">
            <v>Волгарь ГАЗ-5312 ав-</v>
          </cell>
          <cell r="E127" t="str">
            <v>тобус Nо48-04 КШЧ</v>
          </cell>
          <cell r="F127" t="str">
            <v>д0155942 ш1401427</v>
          </cell>
          <cell r="G127" t="str">
            <v>01</v>
          </cell>
          <cell r="H127">
            <v>59325</v>
          </cell>
          <cell r="I127">
            <v>11865</v>
          </cell>
          <cell r="J127">
            <v>0</v>
          </cell>
          <cell r="K127">
            <v>1.07</v>
          </cell>
          <cell r="L127" t="str">
            <v>23</v>
          </cell>
          <cell r="M127" t="str">
            <v>50423</v>
          </cell>
          <cell r="N127" t="str">
            <v>15 3410260</v>
          </cell>
          <cell r="O127" t="str">
            <v>072</v>
          </cell>
          <cell r="P127">
            <v>10</v>
          </cell>
          <cell r="Q127">
            <v>0</v>
          </cell>
          <cell r="R127" t="str">
            <v>1</v>
          </cell>
          <cell r="S127" t="str">
            <v>50</v>
          </cell>
          <cell r="T127">
            <v>92</v>
          </cell>
          <cell r="U127">
            <v>12</v>
          </cell>
          <cell r="V127">
            <v>92</v>
          </cell>
          <cell r="W127">
            <v>12</v>
          </cell>
          <cell r="X127">
            <v>92</v>
          </cell>
          <cell r="AF127" t="str">
            <v>00</v>
          </cell>
          <cell r="AI127">
            <v>55308642</v>
          </cell>
          <cell r="AJ127">
            <v>27654321</v>
          </cell>
        </row>
        <row r="128">
          <cell r="A128" t="str">
            <v>02</v>
          </cell>
          <cell r="B128" t="str">
            <v>80</v>
          </cell>
          <cell r="C128" t="str">
            <v>1304</v>
          </cell>
          <cell r="D128" t="str">
            <v>Телетайп</v>
          </cell>
          <cell r="G128" t="str">
            <v>01</v>
          </cell>
          <cell r="H128">
            <v>3894</v>
          </cell>
          <cell r="I128">
            <v>2809.52</v>
          </cell>
          <cell r="J128">
            <v>0</v>
          </cell>
          <cell r="K128">
            <v>0.25</v>
          </cell>
          <cell r="L128" t="str">
            <v>26</v>
          </cell>
          <cell r="M128" t="str">
            <v>60000</v>
          </cell>
          <cell r="N128" t="str">
            <v>14 3222162</v>
          </cell>
          <cell r="O128" t="str">
            <v>08</v>
          </cell>
          <cell r="P128">
            <v>7.4</v>
          </cell>
          <cell r="Q128">
            <v>0</v>
          </cell>
          <cell r="R128" t="str">
            <v>1</v>
          </cell>
          <cell r="S128" t="str">
            <v>60</v>
          </cell>
          <cell r="T128">
            <v>0</v>
          </cell>
          <cell r="U128">
            <v>3</v>
          </cell>
          <cell r="V128">
            <v>85</v>
          </cell>
          <cell r="W128">
            <v>3</v>
          </cell>
          <cell r="X128">
            <v>85</v>
          </cell>
          <cell r="AF128" t="str">
            <v>00</v>
          </cell>
          <cell r="AI128">
            <v>15410380</v>
          </cell>
          <cell r="AJ128">
            <v>14539693.98</v>
          </cell>
        </row>
        <row r="129">
          <cell r="A129" t="str">
            <v>17</v>
          </cell>
          <cell r="B129" t="str">
            <v>82</v>
          </cell>
          <cell r="C129" t="str">
            <v>1309</v>
          </cell>
          <cell r="D129" t="str">
            <v>Холодильный шкаф</v>
          </cell>
          <cell r="G129" t="str">
            <v>01</v>
          </cell>
          <cell r="H129">
            <v>3742</v>
          </cell>
          <cell r="I129">
            <v>3742</v>
          </cell>
          <cell r="J129">
            <v>0</v>
          </cell>
          <cell r="K129">
            <v>0.78</v>
          </cell>
          <cell r="L129" t="str">
            <v>26</v>
          </cell>
          <cell r="M129" t="str">
            <v>45800</v>
          </cell>
          <cell r="N129" t="str">
            <v>16 2930100</v>
          </cell>
          <cell r="O129" t="str">
            <v>063</v>
          </cell>
          <cell r="P129">
            <v>10</v>
          </cell>
          <cell r="Q129">
            <v>0</v>
          </cell>
          <cell r="R129" t="str">
            <v>1</v>
          </cell>
          <cell r="S129" t="str">
            <v>45</v>
          </cell>
          <cell r="T129">
            <v>0</v>
          </cell>
          <cell r="U129">
            <v>2</v>
          </cell>
          <cell r="V129">
            <v>85</v>
          </cell>
          <cell r="W129">
            <v>2</v>
          </cell>
          <cell r="X129">
            <v>85</v>
          </cell>
          <cell r="AF129" t="str">
            <v>17</v>
          </cell>
          <cell r="AI129">
            <v>4769528</v>
          </cell>
          <cell r="AJ129">
            <v>4769528</v>
          </cell>
        </row>
        <row r="130">
          <cell r="A130" t="str">
            <v>02</v>
          </cell>
          <cell r="B130" t="str">
            <v>05</v>
          </cell>
          <cell r="C130" t="str">
            <v>1309/1</v>
          </cell>
          <cell r="D130" t="str">
            <v>Вагон жилой 3 х 9</v>
          </cell>
          <cell r="E130" t="str">
            <v>дерево-мет.</v>
          </cell>
          <cell r="G130" t="str">
            <v>01</v>
          </cell>
          <cell r="H130">
            <v>63142.14</v>
          </cell>
          <cell r="I130">
            <v>42094.79</v>
          </cell>
          <cell r="J130">
            <v>0</v>
          </cell>
          <cell r="K130">
            <v>1.22</v>
          </cell>
          <cell r="L130" t="str">
            <v>20</v>
          </cell>
          <cell r="M130" t="str">
            <v>10010</v>
          </cell>
          <cell r="N130" t="str">
            <v>13 2022231</v>
          </cell>
          <cell r="O130" t="str">
            <v>01</v>
          </cell>
          <cell r="P130">
            <v>12.5</v>
          </cell>
          <cell r="Q130">
            <v>0</v>
          </cell>
          <cell r="R130" t="str">
            <v>1</v>
          </cell>
          <cell r="S130" t="str">
            <v>10</v>
          </cell>
          <cell r="T130">
            <v>0</v>
          </cell>
          <cell r="U130">
            <v>8</v>
          </cell>
          <cell r="V130">
            <v>89</v>
          </cell>
          <cell r="W130">
            <v>8</v>
          </cell>
          <cell r="X130">
            <v>89</v>
          </cell>
          <cell r="AA130" t="str">
            <v>1</v>
          </cell>
          <cell r="AB130" t="str">
            <v>15</v>
          </cell>
          <cell r="AC130">
            <v>6</v>
          </cell>
          <cell r="AF130" t="str">
            <v>00</v>
          </cell>
          <cell r="AI130">
            <v>51947459</v>
          </cell>
          <cell r="AJ130">
            <v>51947459</v>
          </cell>
        </row>
        <row r="131">
          <cell r="A131" t="str">
            <v>15</v>
          </cell>
          <cell r="B131" t="str">
            <v>81</v>
          </cell>
          <cell r="C131" t="str">
            <v>1311</v>
          </cell>
          <cell r="D131" t="str">
            <v>Ин-эктор БИ-3</v>
          </cell>
          <cell r="G131" t="str">
            <v>01</v>
          </cell>
          <cell r="H131">
            <v>5894</v>
          </cell>
          <cell r="I131">
            <v>2554.0700000000002</v>
          </cell>
          <cell r="J131">
            <v>0</v>
          </cell>
          <cell r="K131">
            <v>1.1599999999999999</v>
          </cell>
          <cell r="L131" t="str">
            <v>88/2</v>
          </cell>
          <cell r="M131" t="str">
            <v>46012</v>
          </cell>
          <cell r="N131" t="str">
            <v>14 3311269</v>
          </cell>
          <cell r="O131" t="str">
            <v>067</v>
          </cell>
          <cell r="P131">
            <v>10</v>
          </cell>
          <cell r="Q131">
            <v>0</v>
          </cell>
          <cell r="R131" t="str">
            <v>1</v>
          </cell>
          <cell r="S131" t="str">
            <v>46</v>
          </cell>
          <cell r="T131">
            <v>0</v>
          </cell>
          <cell r="U131">
            <v>8</v>
          </cell>
          <cell r="V131">
            <v>90</v>
          </cell>
          <cell r="W131">
            <v>8</v>
          </cell>
          <cell r="X131">
            <v>90</v>
          </cell>
          <cell r="AF131" t="str">
            <v>15</v>
          </cell>
          <cell r="AI131">
            <v>5070574</v>
          </cell>
          <cell r="AJ131">
            <v>3718420.7</v>
          </cell>
        </row>
        <row r="132">
          <cell r="A132" t="str">
            <v>15</v>
          </cell>
          <cell r="B132" t="str">
            <v>81</v>
          </cell>
          <cell r="C132" t="str">
            <v>1312</v>
          </cell>
          <cell r="D132" t="str">
            <v>Место стоматолога</v>
          </cell>
          <cell r="G132" t="str">
            <v>01</v>
          </cell>
          <cell r="H132">
            <v>19913</v>
          </cell>
          <cell r="I132">
            <v>10786.27</v>
          </cell>
          <cell r="J132">
            <v>0</v>
          </cell>
          <cell r="K132">
            <v>0.76</v>
          </cell>
          <cell r="L132" t="str">
            <v>88/2</v>
          </cell>
          <cell r="M132" t="str">
            <v>46012</v>
          </cell>
          <cell r="N132" t="str">
            <v>14 3311322</v>
          </cell>
          <cell r="O132" t="str">
            <v>067</v>
          </cell>
          <cell r="P132">
            <v>10</v>
          </cell>
          <cell r="Q132">
            <v>0</v>
          </cell>
          <cell r="R132" t="str">
            <v>1</v>
          </cell>
          <cell r="S132" t="str">
            <v>46</v>
          </cell>
          <cell r="T132">
            <v>0</v>
          </cell>
          <cell r="U132">
            <v>7</v>
          </cell>
          <cell r="V132">
            <v>89</v>
          </cell>
          <cell r="W132">
            <v>7</v>
          </cell>
          <cell r="X132">
            <v>89</v>
          </cell>
          <cell r="AF132" t="str">
            <v>15</v>
          </cell>
          <cell r="AI132">
            <v>26242445</v>
          </cell>
          <cell r="AJ132">
            <v>22087468.07</v>
          </cell>
        </row>
        <row r="133">
          <cell r="A133" t="str">
            <v>17</v>
          </cell>
          <cell r="B133" t="str">
            <v>82</v>
          </cell>
          <cell r="C133" t="str">
            <v>1313</v>
          </cell>
          <cell r="D133" t="str">
            <v>Магнитофон "Россия"</v>
          </cell>
          <cell r="G133" t="str">
            <v>01</v>
          </cell>
          <cell r="H133">
            <v>850</v>
          </cell>
          <cell r="I133">
            <v>425</v>
          </cell>
          <cell r="J133">
            <v>0</v>
          </cell>
          <cell r="K133">
            <v>0.28000000000000003</v>
          </cell>
          <cell r="L133" t="str">
            <v>26</v>
          </cell>
          <cell r="M133" t="str">
            <v>45620</v>
          </cell>
          <cell r="N133" t="str">
            <v>14 3230142</v>
          </cell>
          <cell r="O133" t="str">
            <v>067</v>
          </cell>
          <cell r="P133">
            <v>12.5</v>
          </cell>
          <cell r="Q133">
            <v>0</v>
          </cell>
          <cell r="R133" t="str">
            <v>1</v>
          </cell>
          <cell r="S133" t="str">
            <v>45</v>
          </cell>
          <cell r="T133">
            <v>0</v>
          </cell>
          <cell r="U133">
            <v>12</v>
          </cell>
          <cell r="V133">
            <v>90</v>
          </cell>
          <cell r="W133">
            <v>12</v>
          </cell>
          <cell r="X133">
            <v>90</v>
          </cell>
          <cell r="AF133" t="str">
            <v>17</v>
          </cell>
          <cell r="AI133">
            <v>3013959</v>
          </cell>
          <cell r="AJ133">
            <v>2637213.63</v>
          </cell>
        </row>
        <row r="134">
          <cell r="A134" t="str">
            <v>02</v>
          </cell>
          <cell r="B134" t="str">
            <v>05</v>
          </cell>
          <cell r="C134" t="str">
            <v>1583</v>
          </cell>
          <cell r="D134" t="str">
            <v>Трубоукладчик Т-35-6</v>
          </cell>
          <cell r="E134" t="str">
            <v>0</v>
          </cell>
          <cell r="F134" t="str">
            <v>4980  Брянск</v>
          </cell>
          <cell r="G134" t="str">
            <v>01</v>
          </cell>
          <cell r="H134">
            <v>207500</v>
          </cell>
          <cell r="I134">
            <v>46687.55</v>
          </cell>
          <cell r="J134">
            <v>0</v>
          </cell>
          <cell r="K134">
            <v>0.74</v>
          </cell>
          <cell r="L134" t="str">
            <v>20</v>
          </cell>
          <cell r="M134" t="str">
            <v>41723</v>
          </cell>
          <cell r="N134" t="str">
            <v>14 2915246</v>
          </cell>
          <cell r="O134" t="str">
            <v>067</v>
          </cell>
          <cell r="P134">
            <v>10</v>
          </cell>
          <cell r="Q134">
            <v>0</v>
          </cell>
          <cell r="R134" t="str">
            <v>1</v>
          </cell>
          <cell r="S134" t="str">
            <v>41</v>
          </cell>
          <cell r="T134">
            <v>0</v>
          </cell>
          <cell r="U134">
            <v>9</v>
          </cell>
          <cell r="V134">
            <v>92</v>
          </cell>
          <cell r="W134">
            <v>9</v>
          </cell>
          <cell r="X134">
            <v>92</v>
          </cell>
          <cell r="AB134" t="str">
            <v>14</v>
          </cell>
          <cell r="AC134">
            <v>12</v>
          </cell>
          <cell r="AF134" t="str">
            <v>00</v>
          </cell>
          <cell r="AI134">
            <v>280000000</v>
          </cell>
          <cell r="AJ134">
            <v>147000063.11000001</v>
          </cell>
        </row>
        <row r="135">
          <cell r="A135" t="str">
            <v>02</v>
          </cell>
          <cell r="B135" t="str">
            <v>09</v>
          </cell>
          <cell r="C135" t="str">
            <v>1598</v>
          </cell>
          <cell r="D135" t="str">
            <v>Ангар</v>
          </cell>
          <cell r="G135" t="str">
            <v>01</v>
          </cell>
          <cell r="H135">
            <v>60070.25</v>
          </cell>
          <cell r="I135">
            <v>60070.25</v>
          </cell>
          <cell r="J135">
            <v>0</v>
          </cell>
          <cell r="K135">
            <v>1.1499999999999999</v>
          </cell>
          <cell r="L135" t="str">
            <v>88/4</v>
          </cell>
          <cell r="M135" t="str">
            <v>10006</v>
          </cell>
          <cell r="N135" t="str">
            <v>12 2811000</v>
          </cell>
          <cell r="O135" t="str">
            <v>01</v>
          </cell>
          <cell r="P135">
            <v>10</v>
          </cell>
          <cell r="Q135">
            <v>0</v>
          </cell>
          <cell r="R135" t="str">
            <v>1</v>
          </cell>
          <cell r="S135" t="str">
            <v>10</v>
          </cell>
          <cell r="T135">
            <v>88</v>
          </cell>
          <cell r="U135">
            <v>12</v>
          </cell>
          <cell r="V135">
            <v>88</v>
          </cell>
          <cell r="W135">
            <v>12</v>
          </cell>
          <cell r="X135">
            <v>88</v>
          </cell>
          <cell r="AF135" t="str">
            <v>00</v>
          </cell>
          <cell r="AI135">
            <v>52348800</v>
          </cell>
          <cell r="AJ135">
            <v>52348800</v>
          </cell>
        </row>
        <row r="136">
          <cell r="A136" t="str">
            <v>02</v>
          </cell>
          <cell r="B136" t="str">
            <v>05</v>
          </cell>
          <cell r="C136" t="str">
            <v>1973</v>
          </cell>
          <cell r="D136" t="str">
            <v>Трубоукладчик ТГ-124</v>
          </cell>
          <cell r="E136" t="str">
            <v xml:space="preserve"> А</v>
          </cell>
          <cell r="G136" t="str">
            <v>01</v>
          </cell>
          <cell r="H136">
            <v>314280</v>
          </cell>
          <cell r="I136">
            <v>149277.59</v>
          </cell>
          <cell r="J136">
            <v>0</v>
          </cell>
          <cell r="K136">
            <v>1.1599999999999999</v>
          </cell>
          <cell r="L136" t="str">
            <v>20</v>
          </cell>
          <cell r="M136" t="str">
            <v>41723</v>
          </cell>
          <cell r="N136" t="str">
            <v>14 2915246</v>
          </cell>
          <cell r="O136" t="str">
            <v>067</v>
          </cell>
          <cell r="P136">
            <v>10</v>
          </cell>
          <cell r="Q136">
            <v>0</v>
          </cell>
          <cell r="R136" t="str">
            <v>1</v>
          </cell>
          <cell r="S136" t="str">
            <v>41</v>
          </cell>
          <cell r="T136">
            <v>0</v>
          </cell>
          <cell r="U136">
            <v>3</v>
          </cell>
          <cell r="V136">
            <v>90</v>
          </cell>
          <cell r="W136">
            <v>3</v>
          </cell>
          <cell r="X136">
            <v>90</v>
          </cell>
          <cell r="AB136" t="str">
            <v>14</v>
          </cell>
          <cell r="AC136">
            <v>10</v>
          </cell>
          <cell r="AF136" t="str">
            <v>00</v>
          </cell>
          <cell r="AI136">
            <v>271111111</v>
          </cell>
          <cell r="AJ136">
            <v>210106444.58000001</v>
          </cell>
        </row>
        <row r="137">
          <cell r="A137" t="str">
            <v>02</v>
          </cell>
          <cell r="B137" t="str">
            <v>03</v>
          </cell>
          <cell r="C137" t="str">
            <v>2105</v>
          </cell>
          <cell r="D137" t="str">
            <v>Емкость под ГСМ</v>
          </cell>
          <cell r="E137" t="str">
            <v>металлич. КХТ</v>
          </cell>
          <cell r="G137" t="str">
            <v>01</v>
          </cell>
          <cell r="H137">
            <v>8530</v>
          </cell>
          <cell r="I137">
            <v>2746.66</v>
          </cell>
          <cell r="J137">
            <v>0</v>
          </cell>
          <cell r="K137">
            <v>0.38</v>
          </cell>
          <cell r="L137" t="str">
            <v>26</v>
          </cell>
          <cell r="M137" t="str">
            <v>20236</v>
          </cell>
          <cell r="N137" t="str">
            <v>12 2812000</v>
          </cell>
          <cell r="O137" t="str">
            <v>03</v>
          </cell>
          <cell r="P137">
            <v>2.8</v>
          </cell>
          <cell r="Q137">
            <v>0</v>
          </cell>
          <cell r="R137" t="str">
            <v>1</v>
          </cell>
          <cell r="S137" t="str">
            <v>20</v>
          </cell>
          <cell r="T137">
            <v>83</v>
          </cell>
          <cell r="U137">
            <v>6</v>
          </cell>
          <cell r="V137">
            <v>83</v>
          </cell>
          <cell r="W137">
            <v>6</v>
          </cell>
          <cell r="X137">
            <v>83</v>
          </cell>
          <cell r="AF137" t="str">
            <v>00</v>
          </cell>
          <cell r="AI137">
            <v>22735635</v>
          </cell>
          <cell r="AJ137">
            <v>9230667.0299999993</v>
          </cell>
        </row>
        <row r="138">
          <cell r="A138" t="str">
            <v>02</v>
          </cell>
          <cell r="B138" t="str">
            <v>03</v>
          </cell>
          <cell r="C138" t="str">
            <v>2106</v>
          </cell>
          <cell r="D138" t="str">
            <v>Емкость под ГСМ</v>
          </cell>
          <cell r="E138" t="str">
            <v>металлич. КХТ</v>
          </cell>
          <cell r="G138" t="str">
            <v>01</v>
          </cell>
          <cell r="H138">
            <v>8530</v>
          </cell>
          <cell r="I138">
            <v>2746.66</v>
          </cell>
          <cell r="J138">
            <v>0</v>
          </cell>
          <cell r="K138">
            <v>0.38</v>
          </cell>
          <cell r="L138" t="str">
            <v>26</v>
          </cell>
          <cell r="M138" t="str">
            <v>20236</v>
          </cell>
          <cell r="N138" t="str">
            <v>12 2812000</v>
          </cell>
          <cell r="O138" t="str">
            <v>03</v>
          </cell>
          <cell r="P138">
            <v>2.8</v>
          </cell>
          <cell r="Q138">
            <v>0</v>
          </cell>
          <cell r="R138" t="str">
            <v>1</v>
          </cell>
          <cell r="S138" t="str">
            <v>20</v>
          </cell>
          <cell r="T138">
            <v>83</v>
          </cell>
          <cell r="U138">
            <v>6</v>
          </cell>
          <cell r="V138">
            <v>83</v>
          </cell>
          <cell r="W138">
            <v>6</v>
          </cell>
          <cell r="X138">
            <v>83</v>
          </cell>
          <cell r="AF138" t="str">
            <v>00</v>
          </cell>
          <cell r="AI138">
            <v>22735635</v>
          </cell>
          <cell r="AJ138">
            <v>9230667.0299999993</v>
          </cell>
        </row>
        <row r="139">
          <cell r="A139" t="str">
            <v>02</v>
          </cell>
          <cell r="B139" t="str">
            <v>03</v>
          </cell>
          <cell r="C139" t="str">
            <v>2107</v>
          </cell>
          <cell r="D139" t="str">
            <v>Емкость под ГСМ</v>
          </cell>
          <cell r="E139" t="str">
            <v>металлич. КХТ</v>
          </cell>
          <cell r="G139" t="str">
            <v>01</v>
          </cell>
          <cell r="H139">
            <v>8530</v>
          </cell>
          <cell r="I139">
            <v>2746.66</v>
          </cell>
          <cell r="J139">
            <v>0</v>
          </cell>
          <cell r="K139">
            <v>0.38</v>
          </cell>
          <cell r="L139" t="str">
            <v>26</v>
          </cell>
          <cell r="M139" t="str">
            <v>20236</v>
          </cell>
          <cell r="N139" t="str">
            <v>12 2812000</v>
          </cell>
          <cell r="O139" t="str">
            <v>03</v>
          </cell>
          <cell r="P139">
            <v>2.8</v>
          </cell>
          <cell r="Q139">
            <v>0</v>
          </cell>
          <cell r="R139" t="str">
            <v>1</v>
          </cell>
          <cell r="S139" t="str">
            <v>20</v>
          </cell>
          <cell r="T139">
            <v>83</v>
          </cell>
          <cell r="U139">
            <v>6</v>
          </cell>
          <cell r="V139">
            <v>83</v>
          </cell>
          <cell r="W139">
            <v>6</v>
          </cell>
          <cell r="X139">
            <v>83</v>
          </cell>
          <cell r="AF139" t="str">
            <v>00</v>
          </cell>
          <cell r="AI139">
            <v>22735635</v>
          </cell>
          <cell r="AJ139">
            <v>9230667.0299999993</v>
          </cell>
        </row>
        <row r="140">
          <cell r="A140" t="str">
            <v>02</v>
          </cell>
          <cell r="B140" t="str">
            <v>03</v>
          </cell>
          <cell r="C140" t="str">
            <v>2108</v>
          </cell>
          <cell r="D140" t="str">
            <v>Емкость под ГСМ</v>
          </cell>
          <cell r="E140" t="str">
            <v>металлич. КХТ</v>
          </cell>
          <cell r="G140" t="str">
            <v>01</v>
          </cell>
          <cell r="H140">
            <v>8530</v>
          </cell>
          <cell r="I140">
            <v>2746.66</v>
          </cell>
          <cell r="J140">
            <v>0</v>
          </cell>
          <cell r="K140">
            <v>0.41</v>
          </cell>
          <cell r="L140" t="str">
            <v>26</v>
          </cell>
          <cell r="M140" t="str">
            <v>20236</v>
          </cell>
          <cell r="N140" t="str">
            <v>12 2812000</v>
          </cell>
          <cell r="O140" t="str">
            <v>03</v>
          </cell>
          <cell r="P140">
            <v>2.8</v>
          </cell>
          <cell r="Q140">
            <v>0</v>
          </cell>
          <cell r="R140" t="str">
            <v>1</v>
          </cell>
          <cell r="S140" t="str">
            <v>20</v>
          </cell>
          <cell r="T140">
            <v>83</v>
          </cell>
          <cell r="U140">
            <v>6</v>
          </cell>
          <cell r="V140">
            <v>83</v>
          </cell>
          <cell r="W140">
            <v>6</v>
          </cell>
          <cell r="X140">
            <v>83</v>
          </cell>
          <cell r="AF140" t="str">
            <v>00</v>
          </cell>
          <cell r="AI140">
            <v>20801209</v>
          </cell>
          <cell r="AJ140">
            <v>8445290.1799999997</v>
          </cell>
        </row>
        <row r="141">
          <cell r="A141" t="str">
            <v>02</v>
          </cell>
          <cell r="B141" t="str">
            <v>03</v>
          </cell>
          <cell r="C141" t="str">
            <v>2110</v>
          </cell>
          <cell r="D141" t="str">
            <v>Эл.орган "Электроник</v>
          </cell>
          <cell r="E141" t="str">
            <v>а"</v>
          </cell>
          <cell r="G141" t="str">
            <v>01</v>
          </cell>
          <cell r="H141">
            <v>1526</v>
          </cell>
          <cell r="I141">
            <v>249.63</v>
          </cell>
          <cell r="J141">
            <v>0</v>
          </cell>
          <cell r="K141">
            <v>0.06</v>
          </cell>
          <cell r="L141" t="str">
            <v>88</v>
          </cell>
          <cell r="M141" t="str">
            <v>49302</v>
          </cell>
          <cell r="N141" t="str">
            <v>14 3696000</v>
          </cell>
          <cell r="O141" t="str">
            <v>08</v>
          </cell>
          <cell r="P141">
            <v>1.3</v>
          </cell>
          <cell r="Q141">
            <v>0</v>
          </cell>
          <cell r="R141" t="str">
            <v>1</v>
          </cell>
          <cell r="S141" t="str">
            <v>70</v>
          </cell>
          <cell r="T141">
            <v>82</v>
          </cell>
          <cell r="U141">
            <v>5</v>
          </cell>
          <cell r="V141">
            <v>82</v>
          </cell>
          <cell r="W141">
            <v>5</v>
          </cell>
          <cell r="X141">
            <v>82</v>
          </cell>
          <cell r="AF141" t="str">
            <v>00</v>
          </cell>
          <cell r="AI141">
            <v>25301549</v>
          </cell>
          <cell r="AJ141">
            <v>5125672.13</v>
          </cell>
        </row>
        <row r="142">
          <cell r="A142" t="str">
            <v>02</v>
          </cell>
          <cell r="B142" t="str">
            <v>03</v>
          </cell>
          <cell r="C142" t="str">
            <v>2123</v>
          </cell>
          <cell r="D142" t="str">
            <v>Коммутатор КД 18</v>
          </cell>
          <cell r="G142" t="str">
            <v>01</v>
          </cell>
          <cell r="H142">
            <v>1360</v>
          </cell>
          <cell r="I142">
            <v>565.76</v>
          </cell>
          <cell r="J142">
            <v>0</v>
          </cell>
          <cell r="K142">
            <v>0.16</v>
          </cell>
          <cell r="L142" t="str">
            <v>26</v>
          </cell>
          <cell r="M142" t="str">
            <v>45618</v>
          </cell>
          <cell r="N142" t="str">
            <v>24 0008000</v>
          </cell>
          <cell r="O142" t="str">
            <v>067</v>
          </cell>
          <cell r="P142">
            <v>5.2</v>
          </cell>
          <cell r="Q142">
            <v>0</v>
          </cell>
          <cell r="R142" t="str">
            <v>1</v>
          </cell>
          <cell r="S142" t="str">
            <v>45</v>
          </cell>
          <cell r="T142">
            <v>86</v>
          </cell>
          <cell r="U142">
            <v>12</v>
          </cell>
          <cell r="V142">
            <v>86</v>
          </cell>
          <cell r="W142">
            <v>12</v>
          </cell>
          <cell r="X142">
            <v>86</v>
          </cell>
          <cell r="AF142" t="str">
            <v>00</v>
          </cell>
          <cell r="AI142">
            <v>8281129</v>
          </cell>
          <cell r="AJ142">
            <v>4736805.5199999996</v>
          </cell>
        </row>
        <row r="143">
          <cell r="A143" t="str">
            <v>02</v>
          </cell>
          <cell r="B143" t="str">
            <v>03</v>
          </cell>
          <cell r="C143" t="str">
            <v>2124</v>
          </cell>
          <cell r="D143" t="str">
            <v>Коммутатор КД 18</v>
          </cell>
          <cell r="G143" t="str">
            <v>01</v>
          </cell>
          <cell r="H143">
            <v>1360</v>
          </cell>
          <cell r="I143">
            <v>565.76</v>
          </cell>
          <cell r="J143">
            <v>0</v>
          </cell>
          <cell r="K143">
            <v>0.16</v>
          </cell>
          <cell r="L143" t="str">
            <v>26</v>
          </cell>
          <cell r="M143" t="str">
            <v>45618</v>
          </cell>
          <cell r="N143" t="str">
            <v>24 0008000</v>
          </cell>
          <cell r="O143" t="str">
            <v>067</v>
          </cell>
          <cell r="P143">
            <v>5.2</v>
          </cell>
          <cell r="Q143">
            <v>0</v>
          </cell>
          <cell r="R143" t="str">
            <v>1</v>
          </cell>
          <cell r="S143" t="str">
            <v>45</v>
          </cell>
          <cell r="T143">
            <v>86</v>
          </cell>
          <cell r="U143">
            <v>12</v>
          </cell>
          <cell r="V143">
            <v>86</v>
          </cell>
          <cell r="W143">
            <v>12</v>
          </cell>
          <cell r="X143">
            <v>86</v>
          </cell>
          <cell r="AF143" t="str">
            <v>00</v>
          </cell>
          <cell r="AI143">
            <v>8281129</v>
          </cell>
          <cell r="AJ143">
            <v>4736805.5199999996</v>
          </cell>
        </row>
        <row r="144">
          <cell r="A144" t="str">
            <v>02</v>
          </cell>
          <cell r="B144" t="str">
            <v>03</v>
          </cell>
          <cell r="C144" t="str">
            <v>2125</v>
          </cell>
          <cell r="D144" t="str">
            <v>Устройство ВУТ</v>
          </cell>
          <cell r="G144" t="str">
            <v>01</v>
          </cell>
          <cell r="H144">
            <v>11557.63</v>
          </cell>
          <cell r="I144">
            <v>6310.47</v>
          </cell>
          <cell r="J144">
            <v>0</v>
          </cell>
          <cell r="K144">
            <v>1.17</v>
          </cell>
          <cell r="L144" t="str">
            <v>26</v>
          </cell>
          <cell r="M144" t="str">
            <v>40702</v>
          </cell>
          <cell r="N144" t="str">
            <v>14 2894000</v>
          </cell>
          <cell r="O144" t="str">
            <v>067</v>
          </cell>
          <cell r="P144">
            <v>9.1</v>
          </cell>
          <cell r="Q144">
            <v>0</v>
          </cell>
          <cell r="R144" t="str">
            <v>1</v>
          </cell>
          <cell r="S144" t="str">
            <v>40</v>
          </cell>
          <cell r="T144">
            <v>88</v>
          </cell>
          <cell r="U144">
            <v>12</v>
          </cell>
          <cell r="V144">
            <v>88</v>
          </cell>
          <cell r="W144">
            <v>12</v>
          </cell>
          <cell r="X144">
            <v>88</v>
          </cell>
          <cell r="AF144" t="str">
            <v>00</v>
          </cell>
          <cell r="AI144">
            <v>9878319</v>
          </cell>
          <cell r="AJ144">
            <v>8090343.6500000004</v>
          </cell>
        </row>
        <row r="145">
          <cell r="A145" t="str">
            <v>02</v>
          </cell>
          <cell r="B145" t="str">
            <v>99</v>
          </cell>
          <cell r="C145" t="str">
            <v>2131</v>
          </cell>
          <cell r="D145" t="str">
            <v>Эл. печь СНО  555/4</v>
          </cell>
          <cell r="E145" t="str">
            <v>к ПАУ 502а</v>
          </cell>
          <cell r="G145" t="str">
            <v>01</v>
          </cell>
          <cell r="H145">
            <v>26747</v>
          </cell>
          <cell r="I145">
            <v>16716.88</v>
          </cell>
          <cell r="J145">
            <v>0</v>
          </cell>
          <cell r="K145">
            <v>1.17</v>
          </cell>
          <cell r="L145" t="str">
            <v>20</v>
          </cell>
          <cell r="M145" t="str">
            <v>45801</v>
          </cell>
          <cell r="N145" t="str">
            <v>14 2914136</v>
          </cell>
          <cell r="O145" t="str">
            <v>067</v>
          </cell>
          <cell r="P145">
            <v>12.5</v>
          </cell>
          <cell r="Q145">
            <v>0</v>
          </cell>
          <cell r="R145" t="str">
            <v>1</v>
          </cell>
          <cell r="S145" t="str">
            <v>45</v>
          </cell>
          <cell r="T145">
            <v>89</v>
          </cell>
          <cell r="U145">
            <v>12</v>
          </cell>
          <cell r="V145">
            <v>89</v>
          </cell>
          <cell r="W145">
            <v>12</v>
          </cell>
          <cell r="X145">
            <v>89</v>
          </cell>
          <cell r="AB145" t="str">
            <v>14</v>
          </cell>
          <cell r="AC145">
            <v>3</v>
          </cell>
          <cell r="AF145" t="str">
            <v>00</v>
          </cell>
          <cell r="AI145">
            <v>22926758</v>
          </cell>
          <cell r="AJ145">
            <v>22926758</v>
          </cell>
        </row>
        <row r="146">
          <cell r="A146" t="str">
            <v>02</v>
          </cell>
          <cell r="B146" t="str">
            <v>04</v>
          </cell>
          <cell r="C146" t="str">
            <v>2132</v>
          </cell>
          <cell r="D146" t="str">
            <v>Блок питания</v>
          </cell>
          <cell r="G146" t="str">
            <v>01</v>
          </cell>
          <cell r="H146">
            <v>2266</v>
          </cell>
          <cell r="I146">
            <v>915.46</v>
          </cell>
          <cell r="J146">
            <v>0</v>
          </cell>
          <cell r="K146">
            <v>0.48</v>
          </cell>
          <cell r="L146" t="str">
            <v>23</v>
          </cell>
          <cell r="M146" t="str">
            <v>40702</v>
          </cell>
          <cell r="N146" t="str">
            <v>14 2922810</v>
          </cell>
          <cell r="O146" t="str">
            <v>067</v>
          </cell>
          <cell r="P146">
            <v>10.1</v>
          </cell>
          <cell r="Q146">
            <v>0</v>
          </cell>
          <cell r="R146" t="str">
            <v>1</v>
          </cell>
          <cell r="S146" t="str">
            <v>40</v>
          </cell>
          <cell r="T146">
            <v>90</v>
          </cell>
          <cell r="U146">
            <v>12</v>
          </cell>
          <cell r="V146">
            <v>90</v>
          </cell>
          <cell r="W146">
            <v>12</v>
          </cell>
          <cell r="X146">
            <v>90</v>
          </cell>
          <cell r="AB146" t="str">
            <v>14</v>
          </cell>
          <cell r="AC146">
            <v>2</v>
          </cell>
          <cell r="AF146" t="str">
            <v>00</v>
          </cell>
          <cell r="AI146">
            <v>4690483</v>
          </cell>
          <cell r="AJ146">
            <v>3316171.35</v>
          </cell>
        </row>
        <row r="147">
          <cell r="A147" t="str">
            <v>02</v>
          </cell>
          <cell r="B147" t="str">
            <v>03</v>
          </cell>
          <cell r="C147" t="str">
            <v>2137</v>
          </cell>
          <cell r="D147" t="str">
            <v>Станок строгальный 4</v>
          </cell>
          <cell r="E147" t="str">
            <v>х сторонний</v>
          </cell>
          <cell r="G147" t="str">
            <v>01</v>
          </cell>
          <cell r="H147">
            <v>65130</v>
          </cell>
          <cell r="I147">
            <v>10447.94</v>
          </cell>
          <cell r="J147">
            <v>0</v>
          </cell>
          <cell r="K147">
            <v>0.59</v>
          </cell>
          <cell r="L147" t="str">
            <v>26</v>
          </cell>
          <cell r="M147" t="str">
            <v>41000</v>
          </cell>
          <cell r="N147" t="str">
            <v>14 2922620</v>
          </cell>
          <cell r="O147" t="str">
            <v>067</v>
          </cell>
          <cell r="P147">
            <v>3.5</v>
          </cell>
          <cell r="Q147">
            <v>0</v>
          </cell>
          <cell r="R147" t="str">
            <v>1</v>
          </cell>
          <cell r="S147" t="str">
            <v>41</v>
          </cell>
          <cell r="T147">
            <v>90</v>
          </cell>
          <cell r="U147">
            <v>5</v>
          </cell>
          <cell r="V147">
            <v>90</v>
          </cell>
          <cell r="W147">
            <v>5</v>
          </cell>
          <cell r="X147">
            <v>90</v>
          </cell>
          <cell r="AF147" t="str">
            <v>00</v>
          </cell>
          <cell r="AI147">
            <v>111035565</v>
          </cell>
          <cell r="AJ147">
            <v>29470689.460000001</v>
          </cell>
        </row>
        <row r="148">
          <cell r="A148" t="str">
            <v>02</v>
          </cell>
          <cell r="B148" t="str">
            <v>99</v>
          </cell>
          <cell r="C148" t="str">
            <v>2141</v>
          </cell>
          <cell r="D148" t="str">
            <v>Трансформаторная под</v>
          </cell>
          <cell r="E148" t="str">
            <v>станция КТП-100/10</v>
          </cell>
          <cell r="G148" t="str">
            <v>01</v>
          </cell>
          <cell r="H148">
            <v>13861.59</v>
          </cell>
          <cell r="I148">
            <v>2998.72</v>
          </cell>
          <cell r="J148">
            <v>0</v>
          </cell>
          <cell r="K148">
            <v>1.17</v>
          </cell>
          <cell r="L148" t="str">
            <v>20</v>
          </cell>
          <cell r="M148" t="str">
            <v>40705</v>
          </cell>
          <cell r="N148" t="str">
            <v>14 3115201</v>
          </cell>
          <cell r="O148" t="str">
            <v>067</v>
          </cell>
          <cell r="P148">
            <v>4.4000000000000004</v>
          </cell>
          <cell r="Q148">
            <v>0</v>
          </cell>
          <cell r="R148" t="str">
            <v>1</v>
          </cell>
          <cell r="S148" t="str">
            <v>40</v>
          </cell>
          <cell r="T148">
            <v>90</v>
          </cell>
          <cell r="U148">
            <v>1</v>
          </cell>
          <cell r="V148">
            <v>90</v>
          </cell>
          <cell r="W148">
            <v>1</v>
          </cell>
          <cell r="X148">
            <v>90</v>
          </cell>
          <cell r="AF148" t="str">
            <v>00</v>
          </cell>
          <cell r="AI148">
            <v>11847514</v>
          </cell>
          <cell r="AJ148">
            <v>4126883.69</v>
          </cell>
        </row>
        <row r="149">
          <cell r="A149" t="str">
            <v>02</v>
          </cell>
          <cell r="B149" t="str">
            <v>02</v>
          </cell>
          <cell r="C149" t="str">
            <v>2466</v>
          </cell>
          <cell r="D149" t="str">
            <v>Холодильник "Орск"</v>
          </cell>
          <cell r="G149" t="str">
            <v>01</v>
          </cell>
          <cell r="H149">
            <v>1250</v>
          </cell>
          <cell r="I149">
            <v>875</v>
          </cell>
          <cell r="J149">
            <v>0</v>
          </cell>
          <cell r="K149">
            <v>0.3</v>
          </cell>
          <cell r="L149" t="str">
            <v>20</v>
          </cell>
          <cell r="M149" t="str">
            <v>45800</v>
          </cell>
          <cell r="N149" t="str">
            <v>16 2930100</v>
          </cell>
          <cell r="O149" t="str">
            <v>063</v>
          </cell>
          <cell r="P149">
            <v>10</v>
          </cell>
          <cell r="Q149">
            <v>0</v>
          </cell>
          <cell r="R149" t="str">
            <v>1</v>
          </cell>
          <cell r="S149" t="str">
            <v>45</v>
          </cell>
          <cell r="T149">
            <v>87</v>
          </cell>
          <cell r="U149">
            <v>12</v>
          </cell>
          <cell r="V149">
            <v>87</v>
          </cell>
          <cell r="W149">
            <v>12</v>
          </cell>
          <cell r="X149">
            <v>87</v>
          </cell>
          <cell r="AF149" t="str">
            <v>00</v>
          </cell>
          <cell r="AI149">
            <v>4133376</v>
          </cell>
          <cell r="AJ149">
            <v>4133376</v>
          </cell>
        </row>
        <row r="150">
          <cell r="A150" t="str">
            <v>02</v>
          </cell>
          <cell r="B150" t="str">
            <v>02</v>
          </cell>
          <cell r="C150" t="str">
            <v>2468</v>
          </cell>
          <cell r="D150" t="str">
            <v>Холодильник "Орск"</v>
          </cell>
          <cell r="G150" t="str">
            <v>01</v>
          </cell>
          <cell r="H150">
            <v>1250</v>
          </cell>
          <cell r="I150">
            <v>875</v>
          </cell>
          <cell r="J150">
            <v>0</v>
          </cell>
          <cell r="K150">
            <v>0.43</v>
          </cell>
          <cell r="L150" t="str">
            <v>20</v>
          </cell>
          <cell r="M150" t="str">
            <v>45800</v>
          </cell>
          <cell r="N150" t="str">
            <v>16 2930100</v>
          </cell>
          <cell r="O150" t="str">
            <v>063</v>
          </cell>
          <cell r="P150">
            <v>10</v>
          </cell>
          <cell r="Q150">
            <v>0</v>
          </cell>
          <cell r="R150" t="str">
            <v>1</v>
          </cell>
          <cell r="S150" t="str">
            <v>45</v>
          </cell>
          <cell r="T150">
            <v>87</v>
          </cell>
          <cell r="U150">
            <v>12</v>
          </cell>
          <cell r="V150">
            <v>87</v>
          </cell>
          <cell r="W150">
            <v>12</v>
          </cell>
          <cell r="X150">
            <v>87</v>
          </cell>
          <cell r="AF150" t="str">
            <v>00</v>
          </cell>
          <cell r="AI150">
            <v>2893363</v>
          </cell>
          <cell r="AJ150">
            <v>2893363</v>
          </cell>
        </row>
        <row r="151">
          <cell r="A151" t="str">
            <v>17</v>
          </cell>
          <cell r="B151" t="str">
            <v>82</v>
          </cell>
          <cell r="C151" t="str">
            <v>2482</v>
          </cell>
          <cell r="D151" t="str">
            <v>Холодильная камера</v>
          </cell>
          <cell r="G151" t="str">
            <v>01</v>
          </cell>
          <cell r="H151">
            <v>16600</v>
          </cell>
          <cell r="I151">
            <v>13003.33</v>
          </cell>
          <cell r="J151">
            <v>0</v>
          </cell>
          <cell r="K151">
            <v>0.77</v>
          </cell>
          <cell r="L151" t="str">
            <v>26</v>
          </cell>
          <cell r="M151" t="str">
            <v>45800</v>
          </cell>
          <cell r="N151" t="str">
            <v>16 2930100</v>
          </cell>
          <cell r="O151" t="str">
            <v>063</v>
          </cell>
          <cell r="P151">
            <v>10</v>
          </cell>
          <cell r="Q151">
            <v>0</v>
          </cell>
          <cell r="R151" t="str">
            <v>1</v>
          </cell>
          <cell r="S151" t="str">
            <v>45</v>
          </cell>
          <cell r="T151">
            <v>87</v>
          </cell>
          <cell r="U151">
            <v>2</v>
          </cell>
          <cell r="V151">
            <v>87</v>
          </cell>
          <cell r="W151">
            <v>2</v>
          </cell>
          <cell r="X151">
            <v>87</v>
          </cell>
          <cell r="AB151" t="str">
            <v>14</v>
          </cell>
          <cell r="AC151">
            <v>11</v>
          </cell>
          <cell r="AF151" t="str">
            <v>17</v>
          </cell>
          <cell r="AI151">
            <v>21482318</v>
          </cell>
          <cell r="AJ151">
            <v>21482318</v>
          </cell>
        </row>
        <row r="152">
          <cell r="A152" t="str">
            <v>15</v>
          </cell>
          <cell r="B152" t="str">
            <v>81</v>
          </cell>
          <cell r="C152" t="str">
            <v>2488</v>
          </cell>
          <cell r="D152" t="str">
            <v>Телевизор "Крым"</v>
          </cell>
          <cell r="G152" t="str">
            <v>01</v>
          </cell>
          <cell r="H152">
            <v>624</v>
          </cell>
          <cell r="I152">
            <v>624</v>
          </cell>
          <cell r="J152">
            <v>0</v>
          </cell>
          <cell r="K152">
            <v>0.31</v>
          </cell>
          <cell r="L152" t="str">
            <v>88/2</v>
          </cell>
          <cell r="M152" t="str">
            <v>45620</v>
          </cell>
          <cell r="N152" t="str">
            <v>14 3230101</v>
          </cell>
          <cell r="O152" t="str">
            <v>067</v>
          </cell>
          <cell r="P152">
            <v>12.5</v>
          </cell>
          <cell r="Q152">
            <v>0</v>
          </cell>
          <cell r="R152" t="str">
            <v>1</v>
          </cell>
          <cell r="S152" t="str">
            <v>45</v>
          </cell>
          <cell r="T152">
            <v>77</v>
          </cell>
          <cell r="U152">
            <v>5</v>
          </cell>
          <cell r="V152">
            <v>77</v>
          </cell>
          <cell r="W152">
            <v>5</v>
          </cell>
          <cell r="X152">
            <v>77</v>
          </cell>
          <cell r="AB152" t="str">
            <v>14</v>
          </cell>
          <cell r="AC152">
            <v>2</v>
          </cell>
          <cell r="AF152" t="str">
            <v>15</v>
          </cell>
          <cell r="AI152">
            <v>2043056</v>
          </cell>
          <cell r="AJ152">
            <v>2043056</v>
          </cell>
        </row>
        <row r="153">
          <cell r="A153" t="str">
            <v>02</v>
          </cell>
          <cell r="B153" t="str">
            <v>02</v>
          </cell>
          <cell r="C153" t="str">
            <v>2490</v>
          </cell>
          <cell r="D153" t="str">
            <v>Холодильная камера</v>
          </cell>
          <cell r="E153" t="str">
            <v>САРАТОВ</v>
          </cell>
          <cell r="G153" t="str">
            <v>01</v>
          </cell>
          <cell r="H153">
            <v>6110.54</v>
          </cell>
          <cell r="I153">
            <v>2851.58</v>
          </cell>
          <cell r="J153">
            <v>0</v>
          </cell>
          <cell r="K153">
            <v>0.86</v>
          </cell>
          <cell r="L153" t="str">
            <v>20</v>
          </cell>
          <cell r="M153" t="str">
            <v>45800</v>
          </cell>
          <cell r="N153" t="str">
            <v>16 2920100</v>
          </cell>
          <cell r="O153" t="str">
            <v>063</v>
          </cell>
          <cell r="P153">
            <v>10</v>
          </cell>
          <cell r="Q153">
            <v>0</v>
          </cell>
          <cell r="R153" t="str">
            <v>1</v>
          </cell>
          <cell r="S153" t="str">
            <v>45</v>
          </cell>
          <cell r="T153">
            <v>90</v>
          </cell>
          <cell r="U153">
            <v>4</v>
          </cell>
          <cell r="V153">
            <v>90</v>
          </cell>
          <cell r="W153">
            <v>4</v>
          </cell>
          <cell r="X153">
            <v>90</v>
          </cell>
          <cell r="AF153" t="str">
            <v>00</v>
          </cell>
          <cell r="AI153">
            <v>7105273</v>
          </cell>
          <cell r="AJ153">
            <v>5447376.0899999999</v>
          </cell>
        </row>
        <row r="154">
          <cell r="A154" t="str">
            <v>02</v>
          </cell>
          <cell r="B154" t="str">
            <v>71</v>
          </cell>
          <cell r="C154" t="str">
            <v>2492</v>
          </cell>
          <cell r="D154" t="str">
            <v>Станок отрезной П-1</v>
          </cell>
          <cell r="G154" t="str">
            <v>01</v>
          </cell>
          <cell r="H154">
            <v>5311</v>
          </cell>
          <cell r="I154">
            <v>2726.31</v>
          </cell>
          <cell r="J154">
            <v>0</v>
          </cell>
          <cell r="K154">
            <v>0.94</v>
          </cell>
          <cell r="L154" t="str">
            <v>23</v>
          </cell>
          <cell r="M154" t="str">
            <v>41000</v>
          </cell>
          <cell r="N154" t="str">
            <v>14 2922165</v>
          </cell>
          <cell r="O154" t="str">
            <v>067</v>
          </cell>
          <cell r="P154">
            <v>3.5</v>
          </cell>
          <cell r="Q154">
            <v>0</v>
          </cell>
          <cell r="R154" t="str">
            <v>1</v>
          </cell>
          <cell r="S154" t="str">
            <v>41</v>
          </cell>
          <cell r="T154">
            <v>80</v>
          </cell>
          <cell r="U154">
            <v>4</v>
          </cell>
          <cell r="V154">
            <v>80</v>
          </cell>
          <cell r="W154">
            <v>4</v>
          </cell>
          <cell r="X154">
            <v>80</v>
          </cell>
          <cell r="AF154" t="str">
            <v>00</v>
          </cell>
          <cell r="AI154">
            <v>5677439</v>
          </cell>
          <cell r="AJ154">
            <v>3510550.35</v>
          </cell>
        </row>
        <row r="155">
          <cell r="A155" t="str">
            <v>02</v>
          </cell>
          <cell r="B155" t="str">
            <v>71</v>
          </cell>
          <cell r="C155" t="str">
            <v>2493</v>
          </cell>
          <cell r="D155" t="str">
            <v>Станок горизонт.фрез</v>
          </cell>
          <cell r="E155" t="str">
            <v>. 6М 83Г</v>
          </cell>
          <cell r="G155" t="str">
            <v>01</v>
          </cell>
          <cell r="H155">
            <v>7396</v>
          </cell>
          <cell r="I155">
            <v>4659.4799999999996</v>
          </cell>
          <cell r="J155">
            <v>0</v>
          </cell>
          <cell r="K155">
            <v>1.1100000000000001</v>
          </cell>
          <cell r="L155" t="str">
            <v>23</v>
          </cell>
          <cell r="M155" t="str">
            <v>41000</v>
          </cell>
          <cell r="N155" t="str">
            <v>14 2922165</v>
          </cell>
          <cell r="O155" t="str">
            <v>067</v>
          </cell>
          <cell r="P155">
            <v>3.5</v>
          </cell>
          <cell r="Q155">
            <v>0</v>
          </cell>
          <cell r="R155" t="str">
            <v>1</v>
          </cell>
          <cell r="S155" t="str">
            <v>41</v>
          </cell>
          <cell r="T155">
            <v>76</v>
          </cell>
          <cell r="U155">
            <v>12</v>
          </cell>
          <cell r="V155">
            <v>76</v>
          </cell>
          <cell r="W155">
            <v>12</v>
          </cell>
          <cell r="X155">
            <v>76</v>
          </cell>
          <cell r="AF155" t="str">
            <v>00</v>
          </cell>
          <cell r="AI155">
            <v>6663356</v>
          </cell>
          <cell r="AJ155">
            <v>4897567.05</v>
          </cell>
        </row>
        <row r="156">
          <cell r="A156" t="str">
            <v>02</v>
          </cell>
          <cell r="B156" t="str">
            <v>71</v>
          </cell>
          <cell r="C156" t="str">
            <v>2494</v>
          </cell>
          <cell r="D156" t="str">
            <v>Станок токарно-комби</v>
          </cell>
          <cell r="E156" t="str">
            <v>нир.универс.</v>
          </cell>
          <cell r="G156" t="str">
            <v>01</v>
          </cell>
          <cell r="H156">
            <v>15406.01</v>
          </cell>
          <cell r="I156">
            <v>9166.57</v>
          </cell>
          <cell r="J156">
            <v>0</v>
          </cell>
          <cell r="K156">
            <v>1.1200000000000001</v>
          </cell>
          <cell r="L156" t="str">
            <v>23</v>
          </cell>
          <cell r="M156" t="str">
            <v>41000</v>
          </cell>
          <cell r="N156" t="str">
            <v>14 2922100</v>
          </cell>
          <cell r="O156" t="str">
            <v>067</v>
          </cell>
          <cell r="P156">
            <v>3.5</v>
          </cell>
          <cell r="Q156">
            <v>0</v>
          </cell>
          <cell r="R156" t="str">
            <v>1</v>
          </cell>
          <cell r="S156" t="str">
            <v>41</v>
          </cell>
          <cell r="T156">
            <v>77</v>
          </cell>
          <cell r="U156">
            <v>12</v>
          </cell>
          <cell r="V156">
            <v>77</v>
          </cell>
          <cell r="W156">
            <v>12</v>
          </cell>
          <cell r="X156">
            <v>77</v>
          </cell>
          <cell r="AF156" t="str">
            <v>00</v>
          </cell>
          <cell r="AI156">
            <v>13755363</v>
          </cell>
          <cell r="AJ156">
            <v>9628754.3699999992</v>
          </cell>
        </row>
        <row r="157">
          <cell r="A157" t="str">
            <v>02</v>
          </cell>
          <cell r="B157" t="str">
            <v>71</v>
          </cell>
          <cell r="C157" t="str">
            <v>2495</v>
          </cell>
          <cell r="D157" t="str">
            <v>Станок ТО-161</v>
          </cell>
          <cell r="G157" t="str">
            <v>01</v>
          </cell>
          <cell r="H157">
            <v>5450</v>
          </cell>
          <cell r="I157">
            <v>3083.79</v>
          </cell>
          <cell r="J157">
            <v>0</v>
          </cell>
          <cell r="K157">
            <v>0.93</v>
          </cell>
          <cell r="L157" t="str">
            <v>23</v>
          </cell>
          <cell r="M157" t="str">
            <v>41000</v>
          </cell>
          <cell r="N157" t="str">
            <v>14 2922100</v>
          </cell>
          <cell r="O157" t="str">
            <v>067</v>
          </cell>
          <cell r="P157">
            <v>3.5</v>
          </cell>
          <cell r="Q157">
            <v>0</v>
          </cell>
          <cell r="R157" t="str">
            <v>1</v>
          </cell>
          <cell r="S157" t="str">
            <v>41</v>
          </cell>
          <cell r="T157">
            <v>78</v>
          </cell>
          <cell r="U157">
            <v>10</v>
          </cell>
          <cell r="V157">
            <v>78</v>
          </cell>
          <cell r="W157">
            <v>10</v>
          </cell>
          <cell r="X157">
            <v>78</v>
          </cell>
          <cell r="AF157" t="str">
            <v>00</v>
          </cell>
          <cell r="AI157">
            <v>5842257</v>
          </cell>
          <cell r="AJ157">
            <v>3919181.54</v>
          </cell>
        </row>
        <row r="158">
          <cell r="A158" t="str">
            <v>02</v>
          </cell>
          <cell r="B158" t="str">
            <v>71</v>
          </cell>
          <cell r="C158" t="str">
            <v>2496</v>
          </cell>
          <cell r="D158" t="str">
            <v>Станок росточный 2А-</v>
          </cell>
          <cell r="E158" t="str">
            <v>78</v>
          </cell>
          <cell r="G158" t="str">
            <v>01</v>
          </cell>
          <cell r="H158">
            <v>3661.2</v>
          </cell>
          <cell r="I158">
            <v>2456.0500000000002</v>
          </cell>
          <cell r="J158">
            <v>0</v>
          </cell>
          <cell r="K158">
            <v>0.33</v>
          </cell>
          <cell r="L158" t="str">
            <v>23</v>
          </cell>
          <cell r="M158" t="str">
            <v>41000</v>
          </cell>
          <cell r="N158" t="str">
            <v>14 2922100</v>
          </cell>
          <cell r="O158" t="str">
            <v>067</v>
          </cell>
          <cell r="P158">
            <v>3.5</v>
          </cell>
          <cell r="Q158">
            <v>0</v>
          </cell>
          <cell r="R158" t="str">
            <v>1</v>
          </cell>
          <cell r="S158" t="str">
            <v>41</v>
          </cell>
          <cell r="T158">
            <v>75</v>
          </cell>
          <cell r="U158">
            <v>10</v>
          </cell>
          <cell r="V158">
            <v>75</v>
          </cell>
          <cell r="W158">
            <v>10</v>
          </cell>
          <cell r="X158">
            <v>75</v>
          </cell>
          <cell r="AF158" t="str">
            <v>00</v>
          </cell>
          <cell r="AI158">
            <v>11116966</v>
          </cell>
          <cell r="AJ158">
            <v>8624911.75</v>
          </cell>
        </row>
        <row r="159">
          <cell r="A159" t="str">
            <v>02</v>
          </cell>
          <cell r="B159" t="str">
            <v>71</v>
          </cell>
          <cell r="C159" t="str">
            <v>2497</v>
          </cell>
          <cell r="D159" t="str">
            <v>Станок сверлильный П</v>
          </cell>
          <cell r="E159" t="str">
            <v>К-203</v>
          </cell>
          <cell r="G159" t="str">
            <v>01</v>
          </cell>
          <cell r="H159">
            <v>3322</v>
          </cell>
          <cell r="I159">
            <v>1705.29</v>
          </cell>
          <cell r="J159">
            <v>0</v>
          </cell>
          <cell r="K159">
            <v>0.74</v>
          </cell>
          <cell r="L159" t="str">
            <v>23</v>
          </cell>
          <cell r="M159" t="str">
            <v>41000</v>
          </cell>
          <cell r="N159" t="str">
            <v>14 2922111</v>
          </cell>
          <cell r="O159" t="str">
            <v>067</v>
          </cell>
          <cell r="P159">
            <v>3.5</v>
          </cell>
          <cell r="Q159">
            <v>0</v>
          </cell>
          <cell r="R159" t="str">
            <v>1</v>
          </cell>
          <cell r="S159" t="str">
            <v>41</v>
          </cell>
          <cell r="T159">
            <v>80</v>
          </cell>
          <cell r="U159">
            <v>4</v>
          </cell>
          <cell r="V159">
            <v>80</v>
          </cell>
          <cell r="W159">
            <v>4</v>
          </cell>
          <cell r="X159">
            <v>80</v>
          </cell>
          <cell r="AF159" t="str">
            <v>00</v>
          </cell>
          <cell r="AI159">
            <v>4472245</v>
          </cell>
          <cell r="AJ159">
            <v>2765338.57</v>
          </cell>
        </row>
        <row r="160">
          <cell r="A160" t="str">
            <v>02</v>
          </cell>
          <cell r="B160" t="str">
            <v>71</v>
          </cell>
          <cell r="C160" t="str">
            <v>2502/1</v>
          </cell>
          <cell r="D160" t="str">
            <v>Станок токарновинтор</v>
          </cell>
          <cell r="E160" t="str">
            <v>ез.</v>
          </cell>
          <cell r="G160" t="str">
            <v>01</v>
          </cell>
          <cell r="H160">
            <v>3808.67</v>
          </cell>
          <cell r="I160">
            <v>2532.77</v>
          </cell>
          <cell r="J160">
            <v>0</v>
          </cell>
          <cell r="K160">
            <v>1.1200000000000001</v>
          </cell>
          <cell r="L160" t="str">
            <v>23</v>
          </cell>
          <cell r="M160" t="str">
            <v>41000</v>
          </cell>
          <cell r="N160" t="str">
            <v>14 2922105</v>
          </cell>
          <cell r="O160" t="str">
            <v>067</v>
          </cell>
          <cell r="P160">
            <v>3.5</v>
          </cell>
          <cell r="Q160">
            <v>0</v>
          </cell>
          <cell r="R160" t="str">
            <v>1</v>
          </cell>
          <cell r="S160" t="str">
            <v>41</v>
          </cell>
          <cell r="T160">
            <v>75</v>
          </cell>
          <cell r="U160">
            <v>12</v>
          </cell>
          <cell r="V160">
            <v>75</v>
          </cell>
          <cell r="W160">
            <v>12</v>
          </cell>
          <cell r="X160">
            <v>75</v>
          </cell>
          <cell r="AF160" t="str">
            <v>00</v>
          </cell>
          <cell r="AI160">
            <v>3400600</v>
          </cell>
          <cell r="AJ160">
            <v>2618462.8199999998</v>
          </cell>
        </row>
        <row r="161">
          <cell r="A161" t="str">
            <v>02</v>
          </cell>
          <cell r="B161" t="str">
            <v>02</v>
          </cell>
          <cell r="C161" t="str">
            <v>2504</v>
          </cell>
          <cell r="D161" t="str">
            <v>Сварочное оборудован</v>
          </cell>
          <cell r="E161" t="str">
            <v>ие ЛСТ-8 в к-те</v>
          </cell>
          <cell r="G161" t="str">
            <v>01</v>
          </cell>
          <cell r="H161">
            <v>236000</v>
          </cell>
          <cell r="I161">
            <v>46708.35</v>
          </cell>
          <cell r="J161">
            <v>0</v>
          </cell>
          <cell r="K161">
            <v>1.02</v>
          </cell>
          <cell r="L161" t="str">
            <v>20</v>
          </cell>
          <cell r="M161" t="str">
            <v>42504</v>
          </cell>
          <cell r="N161" t="str">
            <v>14 2947193</v>
          </cell>
          <cell r="O161" t="str">
            <v>067</v>
          </cell>
          <cell r="P161">
            <v>12.5</v>
          </cell>
          <cell r="Q161">
            <v>0</v>
          </cell>
          <cell r="R161" t="str">
            <v>1</v>
          </cell>
          <cell r="S161" t="str">
            <v>42</v>
          </cell>
          <cell r="T161">
            <v>90</v>
          </cell>
          <cell r="U161">
            <v>5</v>
          </cell>
          <cell r="V161">
            <v>93</v>
          </cell>
          <cell r="W161">
            <v>5</v>
          </cell>
          <cell r="X161">
            <v>93</v>
          </cell>
          <cell r="AB161" t="str">
            <v>14</v>
          </cell>
          <cell r="AC161">
            <v>2</v>
          </cell>
          <cell r="AF161" t="str">
            <v>00</v>
          </cell>
          <cell r="AI161">
            <v>230382351</v>
          </cell>
          <cell r="AJ161">
            <v>131989907.63</v>
          </cell>
        </row>
        <row r="162">
          <cell r="A162" t="str">
            <v>02</v>
          </cell>
          <cell r="B162" t="str">
            <v>71</v>
          </cell>
          <cell r="C162" t="str">
            <v>2504/1</v>
          </cell>
          <cell r="D162" t="str">
            <v>Хонинговальный стано</v>
          </cell>
          <cell r="E162" t="str">
            <v>к</v>
          </cell>
          <cell r="G162" t="str">
            <v>01</v>
          </cell>
          <cell r="H162">
            <v>7029</v>
          </cell>
          <cell r="I162">
            <v>2952.18</v>
          </cell>
          <cell r="J162">
            <v>0</v>
          </cell>
          <cell r="K162">
            <v>0.74</v>
          </cell>
          <cell r="L162" t="str">
            <v>23</v>
          </cell>
          <cell r="M162" t="str">
            <v>41000</v>
          </cell>
          <cell r="N162" t="str">
            <v>14 2922176</v>
          </cell>
          <cell r="O162" t="str">
            <v>067</v>
          </cell>
          <cell r="P162">
            <v>3.5</v>
          </cell>
          <cell r="Q162">
            <v>0</v>
          </cell>
          <cell r="R162" t="str">
            <v>1</v>
          </cell>
          <cell r="S162" t="str">
            <v>41</v>
          </cell>
          <cell r="T162">
            <v>82</v>
          </cell>
          <cell r="U162">
            <v>12</v>
          </cell>
          <cell r="V162">
            <v>82</v>
          </cell>
          <cell r="W162">
            <v>12</v>
          </cell>
          <cell r="X162">
            <v>82</v>
          </cell>
          <cell r="AF162" t="str">
            <v>00</v>
          </cell>
          <cell r="AI162">
            <v>9530109</v>
          </cell>
          <cell r="AJ162">
            <v>5003307.03</v>
          </cell>
        </row>
        <row r="163">
          <cell r="A163" t="str">
            <v>02</v>
          </cell>
          <cell r="B163" t="str">
            <v>71</v>
          </cell>
          <cell r="C163" t="str">
            <v>2510</v>
          </cell>
          <cell r="D163" t="str">
            <v>Круглошлиф.станок 3</v>
          </cell>
          <cell r="E163" t="str">
            <v>У131 М</v>
          </cell>
          <cell r="G163" t="str">
            <v>01</v>
          </cell>
          <cell r="H163">
            <v>70946.86</v>
          </cell>
          <cell r="I163">
            <v>25038.33</v>
          </cell>
          <cell r="J163">
            <v>0</v>
          </cell>
          <cell r="K163">
            <v>1.06</v>
          </cell>
          <cell r="L163" t="str">
            <v>23</v>
          </cell>
          <cell r="M163" t="str">
            <v>41000</v>
          </cell>
          <cell r="N163" t="str">
            <v>14 2922623</v>
          </cell>
          <cell r="O163" t="str">
            <v>067</v>
          </cell>
          <cell r="P163">
            <v>3.5</v>
          </cell>
          <cell r="Q163">
            <v>0</v>
          </cell>
          <cell r="R163" t="str">
            <v>1</v>
          </cell>
          <cell r="S163" t="str">
            <v>41</v>
          </cell>
          <cell r="T163">
            <v>84</v>
          </cell>
          <cell r="U163">
            <v>11</v>
          </cell>
          <cell r="V163">
            <v>84</v>
          </cell>
          <cell r="W163">
            <v>11</v>
          </cell>
          <cell r="X163">
            <v>84</v>
          </cell>
          <cell r="AF163" t="str">
            <v>00</v>
          </cell>
          <cell r="AI163">
            <v>66930997</v>
          </cell>
          <cell r="AJ163">
            <v>30648819.34</v>
          </cell>
        </row>
        <row r="164">
          <cell r="A164" t="str">
            <v>02</v>
          </cell>
          <cell r="B164" t="str">
            <v>55</v>
          </cell>
          <cell r="C164" t="str">
            <v>2513</v>
          </cell>
          <cell r="D164" t="str">
            <v>Рампа 2010 кислр.</v>
          </cell>
          <cell r="G164" t="str">
            <v>01</v>
          </cell>
          <cell r="H164">
            <v>2085.4499999999998</v>
          </cell>
          <cell r="I164">
            <v>2085.4499999999998</v>
          </cell>
          <cell r="J164">
            <v>0</v>
          </cell>
          <cell r="K164">
            <v>1.27</v>
          </cell>
          <cell r="L164" t="str">
            <v>26</v>
          </cell>
          <cell r="M164" t="str">
            <v>43401</v>
          </cell>
          <cell r="N164" t="str">
            <v>14 2919107</v>
          </cell>
          <cell r="O164" t="str">
            <v>064</v>
          </cell>
          <cell r="P164">
            <v>16.7</v>
          </cell>
          <cell r="Q164">
            <v>0</v>
          </cell>
          <cell r="R164" t="str">
            <v>1</v>
          </cell>
          <cell r="S164" t="str">
            <v>43</v>
          </cell>
          <cell r="T164">
            <v>83</v>
          </cell>
          <cell r="U164">
            <v>9</v>
          </cell>
          <cell r="V164">
            <v>83</v>
          </cell>
          <cell r="W164">
            <v>9</v>
          </cell>
          <cell r="X164">
            <v>83</v>
          </cell>
          <cell r="AF164" t="str">
            <v>00</v>
          </cell>
          <cell r="AI164">
            <v>1642088</v>
          </cell>
          <cell r="AJ164">
            <v>1642088</v>
          </cell>
        </row>
        <row r="165">
          <cell r="A165" t="str">
            <v>02</v>
          </cell>
          <cell r="B165" t="str">
            <v>71</v>
          </cell>
          <cell r="C165" t="str">
            <v>2515</v>
          </cell>
          <cell r="D165" t="str">
            <v>Пресс гидравл. ПО 93</v>
          </cell>
          <cell r="E165" t="str">
            <v>0</v>
          </cell>
          <cell r="G165" t="str">
            <v>01</v>
          </cell>
          <cell r="H165">
            <v>20340</v>
          </cell>
          <cell r="I165">
            <v>4093.43</v>
          </cell>
          <cell r="J165">
            <v>0</v>
          </cell>
          <cell r="K165">
            <v>1.1399999999999999</v>
          </cell>
          <cell r="L165" t="str">
            <v>23</v>
          </cell>
          <cell r="M165" t="str">
            <v>41000</v>
          </cell>
          <cell r="N165" t="str">
            <v>14 2922200</v>
          </cell>
          <cell r="O165" t="str">
            <v>067</v>
          </cell>
          <cell r="P165">
            <v>3.5</v>
          </cell>
          <cell r="Q165">
            <v>0</v>
          </cell>
          <cell r="R165" t="str">
            <v>1</v>
          </cell>
          <cell r="S165" t="str">
            <v>41</v>
          </cell>
          <cell r="T165">
            <v>89</v>
          </cell>
          <cell r="U165">
            <v>3</v>
          </cell>
          <cell r="V165">
            <v>89</v>
          </cell>
          <cell r="W165">
            <v>3</v>
          </cell>
          <cell r="X165">
            <v>89</v>
          </cell>
          <cell r="AF165" t="str">
            <v>00</v>
          </cell>
          <cell r="AI165">
            <v>17791488</v>
          </cell>
          <cell r="AJ165">
            <v>5448643.2000000002</v>
          </cell>
        </row>
        <row r="166">
          <cell r="A166" t="str">
            <v>02</v>
          </cell>
          <cell r="B166" t="str">
            <v>71</v>
          </cell>
          <cell r="C166" t="str">
            <v>2516</v>
          </cell>
          <cell r="D166" t="str">
            <v>Пресс-ножницы</v>
          </cell>
          <cell r="G166" t="str">
            <v>01</v>
          </cell>
          <cell r="H166">
            <v>34250</v>
          </cell>
          <cell r="I166">
            <v>13485.94</v>
          </cell>
          <cell r="J166">
            <v>0</v>
          </cell>
          <cell r="K166">
            <v>0.97</v>
          </cell>
          <cell r="L166" t="str">
            <v>23</v>
          </cell>
          <cell r="M166" t="str">
            <v>41000</v>
          </cell>
          <cell r="N166" t="str">
            <v>14 2922250</v>
          </cell>
          <cell r="O166" t="str">
            <v>067</v>
          </cell>
          <cell r="P166">
            <v>3.5</v>
          </cell>
          <cell r="Q166">
            <v>0</v>
          </cell>
          <cell r="R166" t="str">
            <v>1</v>
          </cell>
          <cell r="S166" t="str">
            <v>41</v>
          </cell>
          <cell r="T166">
            <v>83</v>
          </cell>
          <cell r="U166">
            <v>9</v>
          </cell>
          <cell r="V166">
            <v>83</v>
          </cell>
          <cell r="W166">
            <v>9</v>
          </cell>
          <cell r="X166">
            <v>83</v>
          </cell>
          <cell r="AF166" t="str">
            <v>00</v>
          </cell>
          <cell r="AI166">
            <v>35304984</v>
          </cell>
          <cell r="AJ166">
            <v>17608360.77</v>
          </cell>
        </row>
        <row r="167">
          <cell r="A167" t="str">
            <v>02</v>
          </cell>
          <cell r="B167" t="str">
            <v>55</v>
          </cell>
          <cell r="C167" t="str">
            <v>2524</v>
          </cell>
          <cell r="D167" t="str">
            <v>Резервуар УТК 05/025</v>
          </cell>
          <cell r="G167" t="str">
            <v>01</v>
          </cell>
          <cell r="H167">
            <v>35800</v>
          </cell>
          <cell r="I167">
            <v>10525.2</v>
          </cell>
          <cell r="J167">
            <v>0</v>
          </cell>
          <cell r="K167">
            <v>1.03</v>
          </cell>
          <cell r="L167" t="str">
            <v>26</v>
          </cell>
          <cell r="M167" t="str">
            <v>20236</v>
          </cell>
          <cell r="N167" t="str">
            <v>12 2812000</v>
          </cell>
          <cell r="O167" t="str">
            <v>03</v>
          </cell>
          <cell r="P167">
            <v>2.8</v>
          </cell>
          <cell r="Q167">
            <v>0</v>
          </cell>
          <cell r="R167" t="str">
            <v>1</v>
          </cell>
          <cell r="S167" t="str">
            <v>20</v>
          </cell>
          <cell r="T167">
            <v>84</v>
          </cell>
          <cell r="U167">
            <v>6</v>
          </cell>
          <cell r="V167">
            <v>84</v>
          </cell>
          <cell r="W167">
            <v>6</v>
          </cell>
          <cell r="X167">
            <v>84</v>
          </cell>
          <cell r="AF167" t="str">
            <v>00</v>
          </cell>
          <cell r="AI167">
            <v>34899200</v>
          </cell>
          <cell r="AJ167">
            <v>13191898.08</v>
          </cell>
        </row>
        <row r="168">
          <cell r="A168" t="str">
            <v>02</v>
          </cell>
          <cell r="B168" t="str">
            <v>71</v>
          </cell>
          <cell r="C168" t="str">
            <v>2525</v>
          </cell>
          <cell r="D168" t="str">
            <v>Сверлил.станок</v>
          </cell>
          <cell r="G168" t="str">
            <v>01</v>
          </cell>
          <cell r="H168">
            <v>7719</v>
          </cell>
          <cell r="I168">
            <v>3782.31</v>
          </cell>
          <cell r="J168">
            <v>0</v>
          </cell>
          <cell r="K168">
            <v>0.66</v>
          </cell>
          <cell r="L168" t="str">
            <v>23</v>
          </cell>
          <cell r="M168" t="str">
            <v>41000</v>
          </cell>
          <cell r="N168" t="str">
            <v>14 2922111</v>
          </cell>
          <cell r="O168" t="str">
            <v>067</v>
          </cell>
          <cell r="P168">
            <v>3.5</v>
          </cell>
          <cell r="Q168">
            <v>0</v>
          </cell>
          <cell r="R168" t="str">
            <v>1</v>
          </cell>
          <cell r="S168" t="str">
            <v>41</v>
          </cell>
          <cell r="T168">
            <v>80</v>
          </cell>
          <cell r="U168">
            <v>12</v>
          </cell>
          <cell r="V168">
            <v>80</v>
          </cell>
          <cell r="W168">
            <v>12</v>
          </cell>
          <cell r="X168">
            <v>80</v>
          </cell>
          <cell r="AF168" t="str">
            <v>00</v>
          </cell>
          <cell r="AI168">
            <v>11732723</v>
          </cell>
          <cell r="AJ168">
            <v>6980969.7999999998</v>
          </cell>
        </row>
        <row r="169">
          <cell r="A169" t="str">
            <v>02</v>
          </cell>
          <cell r="B169" t="str">
            <v>71</v>
          </cell>
          <cell r="C169" t="str">
            <v>2527</v>
          </cell>
          <cell r="D169" t="str">
            <v>Установка для мойки</v>
          </cell>
          <cell r="E169" t="str">
            <v>деталей</v>
          </cell>
          <cell r="G169" t="str">
            <v>01</v>
          </cell>
          <cell r="H169">
            <v>3860</v>
          </cell>
          <cell r="I169">
            <v>2621.9</v>
          </cell>
          <cell r="J169">
            <v>0</v>
          </cell>
          <cell r="K169">
            <v>0.92</v>
          </cell>
          <cell r="L169" t="str">
            <v>23</v>
          </cell>
          <cell r="M169" t="str">
            <v>46115</v>
          </cell>
          <cell r="N169" t="str">
            <v>14 3740102</v>
          </cell>
          <cell r="O169" t="str">
            <v>067</v>
          </cell>
          <cell r="P169">
            <v>14.3</v>
          </cell>
          <cell r="Q169">
            <v>0</v>
          </cell>
          <cell r="R169" t="str">
            <v>1</v>
          </cell>
          <cell r="S169" t="str">
            <v>46</v>
          </cell>
          <cell r="T169">
            <v>90</v>
          </cell>
          <cell r="U169">
            <v>3</v>
          </cell>
          <cell r="V169">
            <v>90</v>
          </cell>
          <cell r="W169">
            <v>3</v>
          </cell>
          <cell r="X169">
            <v>90</v>
          </cell>
          <cell r="AF169" t="str">
            <v>00</v>
          </cell>
          <cell r="AI169">
            <v>4181000</v>
          </cell>
          <cell r="AJ169">
            <v>4181000</v>
          </cell>
        </row>
        <row r="170">
          <cell r="A170" t="str">
            <v>02</v>
          </cell>
          <cell r="B170" t="str">
            <v>05</v>
          </cell>
          <cell r="C170" t="str">
            <v>2539</v>
          </cell>
          <cell r="D170" t="str">
            <v>Катер Р-376 1524</v>
          </cell>
          <cell r="E170" t="str">
            <v>/Сосновский судостр.</v>
          </cell>
          <cell r="F170" t="str">
            <v>завод /</v>
          </cell>
          <cell r="G170" t="str">
            <v>01</v>
          </cell>
          <cell r="H170">
            <v>226430.84</v>
          </cell>
          <cell r="I170">
            <v>201372.49</v>
          </cell>
          <cell r="J170">
            <v>0</v>
          </cell>
          <cell r="K170">
            <v>1.1499999999999999</v>
          </cell>
          <cell r="L170" t="str">
            <v>20</v>
          </cell>
          <cell r="M170" t="str">
            <v>50202</v>
          </cell>
          <cell r="N170" t="str">
            <v>15 3511225</v>
          </cell>
          <cell r="O170" t="str">
            <v>075</v>
          </cell>
          <cell r="P170">
            <v>4.5999999999999996</v>
          </cell>
          <cell r="Q170">
            <v>0</v>
          </cell>
          <cell r="R170" t="str">
            <v>1</v>
          </cell>
          <cell r="S170" t="str">
            <v>50</v>
          </cell>
          <cell r="T170">
            <v>75</v>
          </cell>
          <cell r="U170">
            <v>8</v>
          </cell>
          <cell r="V170">
            <v>75</v>
          </cell>
          <cell r="W170">
            <v>8</v>
          </cell>
          <cell r="X170">
            <v>75</v>
          </cell>
          <cell r="AF170" t="str">
            <v>00</v>
          </cell>
          <cell r="AI170">
            <v>196896380</v>
          </cell>
          <cell r="AJ170">
            <v>196896380</v>
          </cell>
        </row>
        <row r="171">
          <cell r="A171" t="str">
            <v>02</v>
          </cell>
          <cell r="B171" t="str">
            <v>05</v>
          </cell>
          <cell r="C171" t="str">
            <v>2540</v>
          </cell>
          <cell r="D171" t="str">
            <v>Водолазный бот РВ-19</v>
          </cell>
          <cell r="E171" t="str">
            <v>30/ Сосновский судос</v>
          </cell>
          <cell r="F171" t="str">
            <v>троит.з-д/</v>
          </cell>
          <cell r="G171" t="str">
            <v>01</v>
          </cell>
          <cell r="H171">
            <v>302939.57</v>
          </cell>
          <cell r="I171">
            <v>302939.57</v>
          </cell>
          <cell r="J171">
            <v>0</v>
          </cell>
          <cell r="K171">
            <v>1.1499999999999999</v>
          </cell>
          <cell r="L171" t="str">
            <v>20</v>
          </cell>
          <cell r="M171" t="str">
            <v>42402</v>
          </cell>
          <cell r="N171" t="str">
            <v>15 3511232</v>
          </cell>
          <cell r="O171" t="str">
            <v>067</v>
          </cell>
          <cell r="P171">
            <v>5.6</v>
          </cell>
          <cell r="Q171">
            <v>0</v>
          </cell>
          <cell r="R171" t="str">
            <v>1</v>
          </cell>
          <cell r="S171" t="str">
            <v>42</v>
          </cell>
          <cell r="T171">
            <v>72</v>
          </cell>
          <cell r="U171">
            <v>2</v>
          </cell>
          <cell r="V171">
            <v>72</v>
          </cell>
          <cell r="W171">
            <v>2</v>
          </cell>
          <cell r="X171">
            <v>72</v>
          </cell>
          <cell r="AF171" t="str">
            <v>00</v>
          </cell>
          <cell r="AI171">
            <v>263425713</v>
          </cell>
          <cell r="AJ171">
            <v>263425713</v>
          </cell>
        </row>
        <row r="172">
          <cell r="A172" t="str">
            <v>02</v>
          </cell>
          <cell r="B172" t="str">
            <v>05</v>
          </cell>
          <cell r="C172" t="str">
            <v>2542</v>
          </cell>
          <cell r="D172" t="str">
            <v>Баржа-площадка N 1</v>
          </cell>
          <cell r="G172" t="str">
            <v>01</v>
          </cell>
          <cell r="H172">
            <v>212416.78</v>
          </cell>
          <cell r="I172">
            <v>212416.78</v>
          </cell>
          <cell r="J172">
            <v>0</v>
          </cell>
          <cell r="K172">
            <v>1.1499999999999999</v>
          </cell>
          <cell r="L172" t="str">
            <v>20</v>
          </cell>
          <cell r="M172" t="str">
            <v>50219</v>
          </cell>
          <cell r="N172" t="str">
            <v>15 3511242</v>
          </cell>
          <cell r="O172" t="str">
            <v>075</v>
          </cell>
          <cell r="P172">
            <v>4.5</v>
          </cell>
          <cell r="Q172">
            <v>0</v>
          </cell>
          <cell r="R172" t="str">
            <v>1</v>
          </cell>
          <cell r="S172" t="str">
            <v>50</v>
          </cell>
          <cell r="T172">
            <v>72</v>
          </cell>
          <cell r="U172">
            <v>8</v>
          </cell>
          <cell r="V172">
            <v>72</v>
          </cell>
          <cell r="W172">
            <v>8</v>
          </cell>
          <cell r="X172">
            <v>72</v>
          </cell>
          <cell r="AF172" t="str">
            <v>00</v>
          </cell>
          <cell r="AI172">
            <v>184710240</v>
          </cell>
          <cell r="AJ172">
            <v>184710240</v>
          </cell>
        </row>
        <row r="173">
          <cell r="A173" t="str">
            <v>02</v>
          </cell>
          <cell r="B173" t="str">
            <v>70</v>
          </cell>
          <cell r="C173" t="str">
            <v>2589</v>
          </cell>
          <cell r="D173" t="str">
            <v>Трубоукладчик Т-12-2</v>
          </cell>
          <cell r="E173" t="str">
            <v>4</v>
          </cell>
          <cell r="G173" t="str">
            <v>01</v>
          </cell>
          <cell r="H173">
            <v>268920</v>
          </cell>
          <cell r="I173">
            <v>107568</v>
          </cell>
          <cell r="J173">
            <v>0</v>
          </cell>
          <cell r="K173">
            <v>1.04</v>
          </cell>
          <cell r="L173" t="str">
            <v>20</v>
          </cell>
          <cell r="M173" t="str">
            <v>41723</v>
          </cell>
          <cell r="N173" t="str">
            <v>14 2915246</v>
          </cell>
          <cell r="O173" t="str">
            <v>067</v>
          </cell>
          <cell r="P173">
            <v>10</v>
          </cell>
          <cell r="Q173">
            <v>0</v>
          </cell>
          <cell r="R173" t="str">
            <v>1</v>
          </cell>
          <cell r="S173" t="str">
            <v>41</v>
          </cell>
          <cell r="T173">
            <v>0</v>
          </cell>
          <cell r="U173">
            <v>12</v>
          </cell>
          <cell r="V173">
            <v>90</v>
          </cell>
          <cell r="W173">
            <v>12</v>
          </cell>
          <cell r="X173">
            <v>90</v>
          </cell>
          <cell r="AB173" t="str">
            <v>14</v>
          </cell>
          <cell r="AC173">
            <v>10</v>
          </cell>
          <cell r="AF173" t="str">
            <v>00</v>
          </cell>
          <cell r="AI173">
            <v>257777778</v>
          </cell>
          <cell r="AJ173">
            <v>180444444.59999999</v>
          </cell>
        </row>
        <row r="174">
          <cell r="A174" t="str">
            <v>02</v>
          </cell>
          <cell r="B174" t="str">
            <v>05</v>
          </cell>
          <cell r="C174" t="str">
            <v>2595</v>
          </cell>
          <cell r="D174" t="str">
            <v>Будка КуМГ /ЗИЛ-131/</v>
          </cell>
          <cell r="G174" t="str">
            <v>01</v>
          </cell>
          <cell r="H174">
            <v>11100</v>
          </cell>
          <cell r="I174">
            <v>7631.21</v>
          </cell>
          <cell r="J174">
            <v>0</v>
          </cell>
          <cell r="K174">
            <v>0.92</v>
          </cell>
          <cell r="L174" t="str">
            <v>20</v>
          </cell>
          <cell r="M174" t="str">
            <v>10010</v>
          </cell>
          <cell r="N174" t="str">
            <v>13 2022231</v>
          </cell>
          <cell r="O174" t="str">
            <v>01</v>
          </cell>
          <cell r="P174">
            <v>12.5</v>
          </cell>
          <cell r="Q174">
            <v>0</v>
          </cell>
          <cell r="R174" t="str">
            <v>1</v>
          </cell>
          <cell r="S174" t="str">
            <v>10</v>
          </cell>
          <cell r="T174">
            <v>89</v>
          </cell>
          <cell r="U174">
            <v>6</v>
          </cell>
          <cell r="V174">
            <v>89</v>
          </cell>
          <cell r="W174">
            <v>6</v>
          </cell>
          <cell r="X174">
            <v>89</v>
          </cell>
          <cell r="AF174" t="str">
            <v>00</v>
          </cell>
          <cell r="AI174">
            <v>12031040</v>
          </cell>
          <cell r="AJ174">
            <v>12031040</v>
          </cell>
        </row>
        <row r="175">
          <cell r="A175" t="str">
            <v>02</v>
          </cell>
          <cell r="B175" t="str">
            <v>05</v>
          </cell>
          <cell r="C175" t="str">
            <v>2596</v>
          </cell>
          <cell r="D175" t="str">
            <v>Лодка "Казанка"</v>
          </cell>
          <cell r="G175" t="str">
            <v>01</v>
          </cell>
          <cell r="H175">
            <v>3800</v>
          </cell>
          <cell r="I175">
            <v>2736</v>
          </cell>
          <cell r="J175">
            <v>0</v>
          </cell>
          <cell r="K175">
            <v>0.56999999999999995</v>
          </cell>
          <cell r="L175" t="str">
            <v>20</v>
          </cell>
          <cell r="M175" t="str">
            <v>50224</v>
          </cell>
          <cell r="N175" t="str">
            <v>15 3511230</v>
          </cell>
          <cell r="O175" t="str">
            <v>075</v>
          </cell>
          <cell r="P175">
            <v>12</v>
          </cell>
          <cell r="Q175">
            <v>0</v>
          </cell>
          <cell r="R175" t="str">
            <v>1</v>
          </cell>
          <cell r="S175" t="str">
            <v>50</v>
          </cell>
          <cell r="T175">
            <v>88</v>
          </cell>
          <cell r="U175">
            <v>12</v>
          </cell>
          <cell r="V175">
            <v>88</v>
          </cell>
          <cell r="W175">
            <v>12</v>
          </cell>
          <cell r="X175">
            <v>88</v>
          </cell>
          <cell r="AF175" t="str">
            <v>00</v>
          </cell>
          <cell r="AI175">
            <v>6631373</v>
          </cell>
          <cell r="AJ175">
            <v>6631373</v>
          </cell>
        </row>
        <row r="176">
          <cell r="A176" t="str">
            <v>02</v>
          </cell>
          <cell r="B176" t="str">
            <v>05</v>
          </cell>
          <cell r="C176" t="str">
            <v>2600</v>
          </cell>
          <cell r="D176" t="str">
            <v>Шаланда СШ-20</v>
          </cell>
          <cell r="G176" t="str">
            <v>01</v>
          </cell>
          <cell r="H176">
            <v>95535.29</v>
          </cell>
          <cell r="I176">
            <v>61739.68</v>
          </cell>
          <cell r="J176">
            <v>0</v>
          </cell>
          <cell r="K176">
            <v>1.23</v>
          </cell>
          <cell r="L176" t="str">
            <v>20</v>
          </cell>
          <cell r="M176" t="str">
            <v>45503</v>
          </cell>
          <cell r="N176" t="str">
            <v>15 2947192</v>
          </cell>
          <cell r="O176" t="str">
            <v>067</v>
          </cell>
          <cell r="P176">
            <v>4.7</v>
          </cell>
          <cell r="Q176">
            <v>0</v>
          </cell>
          <cell r="R176" t="str">
            <v>1</v>
          </cell>
          <cell r="S176" t="str">
            <v>45</v>
          </cell>
          <cell r="T176">
            <v>81</v>
          </cell>
          <cell r="U176">
            <v>3</v>
          </cell>
          <cell r="V176">
            <v>81</v>
          </cell>
          <cell r="W176">
            <v>3</v>
          </cell>
          <cell r="X176">
            <v>81</v>
          </cell>
          <cell r="AF176" t="str">
            <v>00</v>
          </cell>
          <cell r="AI176">
            <v>77670965</v>
          </cell>
          <cell r="AJ176">
            <v>61146467.280000001</v>
          </cell>
        </row>
        <row r="177">
          <cell r="A177" t="str">
            <v>02</v>
          </cell>
          <cell r="B177" t="str">
            <v>05</v>
          </cell>
          <cell r="C177" t="str">
            <v>2603</v>
          </cell>
          <cell r="D177" t="str">
            <v>Станция насосная СНП</v>
          </cell>
          <cell r="E177" t="str">
            <v xml:space="preserve"> 100х80</v>
          </cell>
          <cell r="G177" t="str">
            <v>01</v>
          </cell>
          <cell r="H177">
            <v>26278</v>
          </cell>
          <cell r="I177">
            <v>17244.91</v>
          </cell>
          <cell r="J177">
            <v>0</v>
          </cell>
          <cell r="K177">
            <v>0.89</v>
          </cell>
          <cell r="L177" t="str">
            <v>20</v>
          </cell>
          <cell r="M177" t="str">
            <v>42405</v>
          </cell>
          <cell r="N177" t="str">
            <v>14 2912000</v>
          </cell>
          <cell r="O177" t="str">
            <v>067</v>
          </cell>
          <cell r="P177">
            <v>12.5</v>
          </cell>
          <cell r="Q177">
            <v>0</v>
          </cell>
          <cell r="R177" t="str">
            <v>1</v>
          </cell>
          <cell r="S177" t="str">
            <v>42</v>
          </cell>
          <cell r="T177">
            <v>89</v>
          </cell>
          <cell r="U177">
            <v>9</v>
          </cell>
          <cell r="V177">
            <v>89</v>
          </cell>
          <cell r="W177">
            <v>9</v>
          </cell>
          <cell r="X177">
            <v>89</v>
          </cell>
          <cell r="AF177" t="str">
            <v>00</v>
          </cell>
          <cell r="AI177">
            <v>29617652</v>
          </cell>
          <cell r="AJ177">
            <v>29617652</v>
          </cell>
        </row>
        <row r="178">
          <cell r="A178" t="str">
            <v>02</v>
          </cell>
          <cell r="B178" t="str">
            <v>05</v>
          </cell>
          <cell r="C178" t="str">
            <v>2612</v>
          </cell>
          <cell r="D178" t="str">
            <v>Катер "Волга" на П/К</v>
          </cell>
          <cell r="E178" t="str">
            <v>Гомель</v>
          </cell>
          <cell r="G178" t="str">
            <v>01</v>
          </cell>
          <cell r="H178">
            <v>71877.55</v>
          </cell>
          <cell r="I178">
            <v>32344.9</v>
          </cell>
          <cell r="J178">
            <v>0</v>
          </cell>
          <cell r="K178">
            <v>1.23</v>
          </cell>
          <cell r="L178" t="str">
            <v>20</v>
          </cell>
          <cell r="M178" t="str">
            <v>50215</v>
          </cell>
          <cell r="N178" t="str">
            <v>15 3511236</v>
          </cell>
          <cell r="O178" t="str">
            <v>075</v>
          </cell>
          <cell r="P178">
            <v>4.5</v>
          </cell>
          <cell r="Q178">
            <v>0</v>
          </cell>
          <cell r="R178" t="str">
            <v>1</v>
          </cell>
          <cell r="S178" t="str">
            <v>50</v>
          </cell>
          <cell r="T178">
            <v>84</v>
          </cell>
          <cell r="U178">
            <v>12</v>
          </cell>
          <cell r="V178">
            <v>84</v>
          </cell>
          <cell r="W178">
            <v>12</v>
          </cell>
          <cell r="X178">
            <v>84</v>
          </cell>
          <cell r="AF178" t="str">
            <v>00</v>
          </cell>
          <cell r="AI178">
            <v>58437032</v>
          </cell>
          <cell r="AJ178">
            <v>34185663.719999999</v>
          </cell>
        </row>
        <row r="179">
          <cell r="A179" t="str">
            <v>02</v>
          </cell>
          <cell r="B179" t="str">
            <v>05</v>
          </cell>
          <cell r="C179" t="str">
            <v>2613</v>
          </cell>
          <cell r="D179" t="str">
            <v>Катер на подводных к</v>
          </cell>
          <cell r="E179" t="str">
            <v>рыльях</v>
          </cell>
          <cell r="F179" t="str">
            <v>Гомель</v>
          </cell>
          <cell r="G179" t="str">
            <v>01</v>
          </cell>
          <cell r="H179">
            <v>81591.38</v>
          </cell>
          <cell r="I179">
            <v>36716.120000000003</v>
          </cell>
          <cell r="J179">
            <v>0</v>
          </cell>
          <cell r="K179">
            <v>1.23</v>
          </cell>
          <cell r="L179" t="str">
            <v>20</v>
          </cell>
          <cell r="M179" t="str">
            <v>50215</v>
          </cell>
          <cell r="N179" t="str">
            <v>15 3511236</v>
          </cell>
          <cell r="O179" t="str">
            <v>075</v>
          </cell>
          <cell r="P179">
            <v>4.5</v>
          </cell>
          <cell r="Q179">
            <v>0</v>
          </cell>
          <cell r="R179" t="str">
            <v>1</v>
          </cell>
          <cell r="S179" t="str">
            <v>50</v>
          </cell>
          <cell r="T179">
            <v>84</v>
          </cell>
          <cell r="U179">
            <v>12</v>
          </cell>
          <cell r="V179">
            <v>84</v>
          </cell>
          <cell r="W179">
            <v>12</v>
          </cell>
          <cell r="X179">
            <v>84</v>
          </cell>
          <cell r="AF179" t="str">
            <v>00</v>
          </cell>
          <cell r="AI179">
            <v>66334451</v>
          </cell>
          <cell r="AJ179">
            <v>38805653.670000002</v>
          </cell>
        </row>
        <row r="180">
          <cell r="A180" t="str">
            <v>02</v>
          </cell>
          <cell r="B180" t="str">
            <v>05</v>
          </cell>
          <cell r="C180" t="str">
            <v>2617</v>
          </cell>
          <cell r="D180" t="str">
            <v>Дальномер</v>
          </cell>
          <cell r="G180" t="str">
            <v>01</v>
          </cell>
          <cell r="H180">
            <v>83333</v>
          </cell>
          <cell r="I180">
            <v>42999.83</v>
          </cell>
          <cell r="J180">
            <v>0</v>
          </cell>
          <cell r="K180">
            <v>0.98</v>
          </cell>
          <cell r="L180" t="str">
            <v>20</v>
          </cell>
          <cell r="M180" t="str">
            <v>47034</v>
          </cell>
          <cell r="N180" t="str">
            <v>14 3915230</v>
          </cell>
          <cell r="O180" t="str">
            <v>063</v>
          </cell>
          <cell r="P180">
            <v>12.9</v>
          </cell>
          <cell r="Q180">
            <v>0</v>
          </cell>
          <cell r="R180" t="str">
            <v>1</v>
          </cell>
          <cell r="S180" t="str">
            <v>47</v>
          </cell>
          <cell r="T180">
            <v>90</v>
          </cell>
          <cell r="U180">
            <v>12</v>
          </cell>
          <cell r="V180">
            <v>90</v>
          </cell>
          <cell r="W180">
            <v>12</v>
          </cell>
          <cell r="X180">
            <v>90</v>
          </cell>
          <cell r="AF180" t="str">
            <v>00</v>
          </cell>
          <cell r="AI180">
            <v>85444632</v>
          </cell>
          <cell r="AJ180">
            <v>77156502.579999998</v>
          </cell>
        </row>
        <row r="181">
          <cell r="A181" t="str">
            <v>02</v>
          </cell>
          <cell r="B181" t="str">
            <v>41</v>
          </cell>
          <cell r="C181" t="str">
            <v>2618</v>
          </cell>
          <cell r="D181" t="str">
            <v>Фотоувеличитель "Азо</v>
          </cell>
          <cell r="E181" t="str">
            <v>в"</v>
          </cell>
          <cell r="G181" t="str">
            <v>01</v>
          </cell>
          <cell r="H181">
            <v>275</v>
          </cell>
          <cell r="I181">
            <v>165.55</v>
          </cell>
          <cell r="J181">
            <v>0</v>
          </cell>
          <cell r="K181">
            <v>0.04</v>
          </cell>
          <cell r="L181" t="str">
            <v>20</v>
          </cell>
          <cell r="M181" t="str">
            <v>45904</v>
          </cell>
          <cell r="N181" t="str">
            <v>14 3322330</v>
          </cell>
          <cell r="O181" t="str">
            <v>067</v>
          </cell>
          <cell r="P181">
            <v>8.4</v>
          </cell>
          <cell r="Q181">
            <v>0</v>
          </cell>
          <cell r="R181" t="str">
            <v>1</v>
          </cell>
          <cell r="S181" t="str">
            <v>45</v>
          </cell>
          <cell r="T181">
            <v>87</v>
          </cell>
          <cell r="U181">
            <v>10</v>
          </cell>
          <cell r="V181">
            <v>87</v>
          </cell>
          <cell r="W181">
            <v>10</v>
          </cell>
          <cell r="X181">
            <v>87</v>
          </cell>
          <cell r="AF181" t="str">
            <v>00</v>
          </cell>
          <cell r="AI181">
            <v>6307891</v>
          </cell>
          <cell r="AJ181">
            <v>5386938.5300000003</v>
          </cell>
        </row>
        <row r="182">
          <cell r="A182" t="str">
            <v>02</v>
          </cell>
          <cell r="B182" t="str">
            <v>03</v>
          </cell>
          <cell r="C182" t="str">
            <v>2626</v>
          </cell>
          <cell r="D182" t="str">
            <v>Щит ЩПТ 4/200 649</v>
          </cell>
          <cell r="G182" t="str">
            <v>01</v>
          </cell>
          <cell r="H182">
            <v>6140.73</v>
          </cell>
          <cell r="I182">
            <v>3352.84</v>
          </cell>
          <cell r="J182">
            <v>0</v>
          </cell>
          <cell r="K182">
            <v>1.17</v>
          </cell>
          <cell r="L182" t="str">
            <v>26</v>
          </cell>
          <cell r="M182" t="str">
            <v>40702</v>
          </cell>
          <cell r="N182" t="str">
            <v>14 3120390</v>
          </cell>
          <cell r="O182" t="str">
            <v>067</v>
          </cell>
          <cell r="P182">
            <v>9.1</v>
          </cell>
          <cell r="Q182">
            <v>0</v>
          </cell>
          <cell r="R182" t="str">
            <v>1</v>
          </cell>
          <cell r="S182" t="str">
            <v>40</v>
          </cell>
          <cell r="T182">
            <v>88</v>
          </cell>
          <cell r="U182">
            <v>12</v>
          </cell>
          <cell r="V182">
            <v>88</v>
          </cell>
          <cell r="W182">
            <v>12</v>
          </cell>
          <cell r="X182">
            <v>88</v>
          </cell>
          <cell r="AF182" t="str">
            <v>00</v>
          </cell>
          <cell r="AI182">
            <v>5248489</v>
          </cell>
          <cell r="AJ182">
            <v>4298512.3499999996</v>
          </cell>
        </row>
        <row r="183">
          <cell r="A183" t="str">
            <v>02</v>
          </cell>
          <cell r="B183" t="str">
            <v>05</v>
          </cell>
          <cell r="C183" t="str">
            <v>2628</v>
          </cell>
          <cell r="D183" t="str">
            <v>Эл.агрегат АВ-1</v>
          </cell>
          <cell r="G183" t="str">
            <v>01</v>
          </cell>
          <cell r="H183">
            <v>1631.5</v>
          </cell>
          <cell r="I183">
            <v>968.69</v>
          </cell>
          <cell r="J183">
            <v>0</v>
          </cell>
          <cell r="K183">
            <v>1.17</v>
          </cell>
          <cell r="L183" t="str">
            <v>20</v>
          </cell>
          <cell r="M183" t="str">
            <v>47016</v>
          </cell>
          <cell r="N183" t="str">
            <v>14 2947193</v>
          </cell>
          <cell r="O183" t="str">
            <v>063</v>
          </cell>
          <cell r="P183">
            <v>12.5</v>
          </cell>
          <cell r="Q183">
            <v>0</v>
          </cell>
          <cell r="R183" t="str">
            <v>1</v>
          </cell>
          <cell r="S183" t="str">
            <v>47</v>
          </cell>
          <cell r="T183">
            <v>90</v>
          </cell>
          <cell r="U183">
            <v>3</v>
          </cell>
          <cell r="V183">
            <v>90</v>
          </cell>
          <cell r="W183">
            <v>3</v>
          </cell>
          <cell r="X183">
            <v>90</v>
          </cell>
          <cell r="AB183" t="str">
            <v>14</v>
          </cell>
          <cell r="AC183">
            <v>9</v>
          </cell>
          <cell r="AF183" t="str">
            <v>00</v>
          </cell>
          <cell r="AI183">
            <v>1394440</v>
          </cell>
          <cell r="AJ183">
            <v>1350859</v>
          </cell>
        </row>
        <row r="184">
          <cell r="A184" t="str">
            <v>02</v>
          </cell>
          <cell r="B184" t="str">
            <v>08</v>
          </cell>
          <cell r="C184" t="str">
            <v>2629</v>
          </cell>
          <cell r="D184" t="str">
            <v>Рентгенотелевизионны</v>
          </cell>
          <cell r="E184" t="str">
            <v>й интерскоп РТ-60ТК</v>
          </cell>
          <cell r="G184" t="str">
            <v>01</v>
          </cell>
          <cell r="H184">
            <v>21000</v>
          </cell>
          <cell r="I184">
            <v>10374</v>
          </cell>
          <cell r="J184">
            <v>0</v>
          </cell>
          <cell r="K184">
            <v>1.04</v>
          </cell>
          <cell r="L184" t="str">
            <v>20</v>
          </cell>
          <cell r="M184" t="str">
            <v>47024</v>
          </cell>
          <cell r="N184" t="str">
            <v>14 3313341</v>
          </cell>
          <cell r="O184" t="str">
            <v>063</v>
          </cell>
          <cell r="P184">
            <v>10.4</v>
          </cell>
          <cell r="Q184">
            <v>0</v>
          </cell>
          <cell r="R184" t="str">
            <v>1</v>
          </cell>
          <cell r="S184" t="str">
            <v>47</v>
          </cell>
          <cell r="T184">
            <v>90</v>
          </cell>
          <cell r="U184">
            <v>3</v>
          </cell>
          <cell r="V184">
            <v>90</v>
          </cell>
          <cell r="W184">
            <v>3</v>
          </cell>
          <cell r="X184">
            <v>90</v>
          </cell>
          <cell r="AF184" t="str">
            <v>00</v>
          </cell>
          <cell r="AG184">
            <v>20250000</v>
          </cell>
          <cell r="AI184">
            <v>20250000</v>
          </cell>
          <cell r="AJ184">
            <v>16321500</v>
          </cell>
        </row>
        <row r="185">
          <cell r="A185" t="str">
            <v>02</v>
          </cell>
          <cell r="B185" t="str">
            <v>41</v>
          </cell>
          <cell r="C185" t="str">
            <v>2630</v>
          </cell>
          <cell r="D185" t="str">
            <v>ЭВМ "Электроника"</v>
          </cell>
          <cell r="G185" t="str">
            <v>01</v>
          </cell>
          <cell r="H185">
            <v>1800</v>
          </cell>
          <cell r="I185">
            <v>765</v>
          </cell>
          <cell r="J185">
            <v>0</v>
          </cell>
          <cell r="K185">
            <v>0.27</v>
          </cell>
          <cell r="L185" t="str">
            <v>20</v>
          </cell>
          <cell r="M185" t="str">
            <v>48000</v>
          </cell>
          <cell r="N185" t="str">
            <v>14 3020206</v>
          </cell>
          <cell r="O185" t="str">
            <v>063</v>
          </cell>
          <cell r="P185">
            <v>10</v>
          </cell>
          <cell r="Q185">
            <v>0</v>
          </cell>
          <cell r="R185" t="str">
            <v>1</v>
          </cell>
          <cell r="S185" t="str">
            <v>48</v>
          </cell>
          <cell r="T185">
            <v>90</v>
          </cell>
          <cell r="U185">
            <v>9</v>
          </cell>
          <cell r="V185">
            <v>90</v>
          </cell>
          <cell r="W185">
            <v>9</v>
          </cell>
          <cell r="X185">
            <v>90</v>
          </cell>
          <cell r="AF185" t="str">
            <v>00</v>
          </cell>
          <cell r="AI185">
            <v>6707291</v>
          </cell>
          <cell r="AJ185">
            <v>4862784.3</v>
          </cell>
        </row>
        <row r="186">
          <cell r="A186" t="str">
            <v>02</v>
          </cell>
          <cell r="B186" t="str">
            <v>41</v>
          </cell>
          <cell r="C186" t="str">
            <v>2633</v>
          </cell>
          <cell r="D186" t="str">
            <v>Прибор ИТТ-10 НК</v>
          </cell>
          <cell r="G186" t="str">
            <v>01</v>
          </cell>
          <cell r="H186">
            <v>4896</v>
          </cell>
          <cell r="I186">
            <v>2376.19</v>
          </cell>
          <cell r="J186">
            <v>0</v>
          </cell>
          <cell r="K186">
            <v>0.72</v>
          </cell>
          <cell r="L186" t="str">
            <v>20</v>
          </cell>
          <cell r="M186" t="str">
            <v>47024</v>
          </cell>
          <cell r="N186" t="str">
            <v>14 3313366</v>
          </cell>
          <cell r="O186" t="str">
            <v>063</v>
          </cell>
          <cell r="P186">
            <v>10.4</v>
          </cell>
          <cell r="Q186">
            <v>0</v>
          </cell>
          <cell r="R186" t="str">
            <v>1</v>
          </cell>
          <cell r="S186" t="str">
            <v>47</v>
          </cell>
          <cell r="T186">
            <v>90</v>
          </cell>
          <cell r="U186">
            <v>4</v>
          </cell>
          <cell r="V186">
            <v>90</v>
          </cell>
          <cell r="W186">
            <v>4</v>
          </cell>
          <cell r="X186">
            <v>90</v>
          </cell>
          <cell r="AF186" t="str">
            <v>00</v>
          </cell>
          <cell r="AI186">
            <v>6765859</v>
          </cell>
          <cell r="AJ186">
            <v>5394644.9199999999</v>
          </cell>
        </row>
        <row r="187">
          <cell r="A187" t="str">
            <v>02</v>
          </cell>
          <cell r="B187" t="str">
            <v>41</v>
          </cell>
          <cell r="C187" t="str">
            <v>2634</v>
          </cell>
          <cell r="D187" t="str">
            <v>Ренгенаппарат "Арина</v>
          </cell>
          <cell r="E187" t="str">
            <v>" 02М</v>
          </cell>
          <cell r="G187" t="str">
            <v>01</v>
          </cell>
          <cell r="H187">
            <v>6350</v>
          </cell>
          <cell r="I187">
            <v>2696.63</v>
          </cell>
          <cell r="J187">
            <v>0</v>
          </cell>
          <cell r="K187">
            <v>0.63</v>
          </cell>
          <cell r="L187" t="str">
            <v>20</v>
          </cell>
          <cell r="M187" t="str">
            <v>47024</v>
          </cell>
          <cell r="N187" t="str">
            <v>14 3313341</v>
          </cell>
          <cell r="O187" t="str">
            <v>063</v>
          </cell>
          <cell r="P187">
            <v>10.4</v>
          </cell>
          <cell r="Q187">
            <v>0</v>
          </cell>
          <cell r="R187" t="str">
            <v>1</v>
          </cell>
          <cell r="S187" t="str">
            <v>47</v>
          </cell>
          <cell r="T187">
            <v>90</v>
          </cell>
          <cell r="U187">
            <v>11</v>
          </cell>
          <cell r="V187">
            <v>90</v>
          </cell>
          <cell r="W187">
            <v>11</v>
          </cell>
          <cell r="X187">
            <v>90</v>
          </cell>
          <cell r="AF187" t="str">
            <v>00</v>
          </cell>
          <cell r="AI187">
            <v>10032407</v>
          </cell>
          <cell r="AJ187">
            <v>7390539.8200000003</v>
          </cell>
        </row>
        <row r="188">
          <cell r="A188" t="str">
            <v>02</v>
          </cell>
          <cell r="B188" t="str">
            <v>41</v>
          </cell>
          <cell r="C188" t="str">
            <v>2635</v>
          </cell>
          <cell r="D188" t="str">
            <v>Ренгенаппарат "Арина</v>
          </cell>
          <cell r="E188" t="str">
            <v>" 02М</v>
          </cell>
          <cell r="G188" t="str">
            <v>01</v>
          </cell>
          <cell r="H188">
            <v>6350</v>
          </cell>
          <cell r="I188">
            <v>2696.63</v>
          </cell>
          <cell r="J188">
            <v>0</v>
          </cell>
          <cell r="K188">
            <v>0.63</v>
          </cell>
          <cell r="L188" t="str">
            <v>20</v>
          </cell>
          <cell r="M188" t="str">
            <v>47024</v>
          </cell>
          <cell r="N188" t="str">
            <v>14 3313341</v>
          </cell>
          <cell r="O188" t="str">
            <v>063</v>
          </cell>
          <cell r="P188">
            <v>10.4</v>
          </cell>
          <cell r="Q188">
            <v>0</v>
          </cell>
          <cell r="R188" t="str">
            <v>1</v>
          </cell>
          <cell r="S188" t="str">
            <v>47</v>
          </cell>
          <cell r="T188">
            <v>90</v>
          </cell>
          <cell r="U188">
            <v>11</v>
          </cell>
          <cell r="V188">
            <v>90</v>
          </cell>
          <cell r="W188">
            <v>11</v>
          </cell>
          <cell r="X188">
            <v>90</v>
          </cell>
          <cell r="AF188" t="str">
            <v>00</v>
          </cell>
          <cell r="AI188">
            <v>10032407</v>
          </cell>
          <cell r="AJ188">
            <v>7390539.8200000003</v>
          </cell>
        </row>
        <row r="189">
          <cell r="A189" t="str">
            <v>02</v>
          </cell>
          <cell r="B189" t="str">
            <v>41</v>
          </cell>
          <cell r="C189" t="str">
            <v>2636</v>
          </cell>
          <cell r="D189" t="str">
            <v>Ренгенаппарат "Арина</v>
          </cell>
          <cell r="E189" t="str">
            <v xml:space="preserve"> "02М</v>
          </cell>
          <cell r="G189" t="str">
            <v>01</v>
          </cell>
          <cell r="H189">
            <v>6350</v>
          </cell>
          <cell r="I189">
            <v>2696.63</v>
          </cell>
          <cell r="J189">
            <v>0</v>
          </cell>
          <cell r="K189">
            <v>0.63</v>
          </cell>
          <cell r="L189" t="str">
            <v>20</v>
          </cell>
          <cell r="M189" t="str">
            <v>47024</v>
          </cell>
          <cell r="N189" t="str">
            <v>14 3313341</v>
          </cell>
          <cell r="O189" t="str">
            <v>063</v>
          </cell>
          <cell r="P189">
            <v>10.4</v>
          </cell>
          <cell r="Q189">
            <v>0</v>
          </cell>
          <cell r="R189" t="str">
            <v>1</v>
          </cell>
          <cell r="S189" t="str">
            <v>47</v>
          </cell>
          <cell r="T189">
            <v>90</v>
          </cell>
          <cell r="U189">
            <v>11</v>
          </cell>
          <cell r="V189">
            <v>90</v>
          </cell>
          <cell r="W189">
            <v>11</v>
          </cell>
          <cell r="X189">
            <v>90</v>
          </cell>
          <cell r="AF189" t="str">
            <v>00</v>
          </cell>
          <cell r="AI189">
            <v>10032407</v>
          </cell>
          <cell r="AJ189">
            <v>7390539.8200000003</v>
          </cell>
        </row>
        <row r="190">
          <cell r="A190" t="str">
            <v>02</v>
          </cell>
          <cell r="B190" t="str">
            <v>41</v>
          </cell>
          <cell r="C190" t="str">
            <v>2637</v>
          </cell>
          <cell r="D190" t="str">
            <v>Ренгенаппарат "Арина</v>
          </cell>
          <cell r="E190" t="str">
            <v>"</v>
          </cell>
          <cell r="G190" t="str">
            <v>01</v>
          </cell>
          <cell r="H190">
            <v>6200</v>
          </cell>
          <cell r="I190">
            <v>3062.8</v>
          </cell>
          <cell r="J190">
            <v>0</v>
          </cell>
          <cell r="K190">
            <v>0.3</v>
          </cell>
          <cell r="L190" t="str">
            <v>20</v>
          </cell>
          <cell r="M190" t="str">
            <v>47024</v>
          </cell>
          <cell r="N190" t="str">
            <v>14 3313341</v>
          </cell>
          <cell r="O190" t="str">
            <v>063</v>
          </cell>
          <cell r="P190">
            <v>10.4</v>
          </cell>
          <cell r="Q190">
            <v>0</v>
          </cell>
          <cell r="R190" t="str">
            <v>1</v>
          </cell>
          <cell r="S190" t="str">
            <v>47</v>
          </cell>
          <cell r="T190">
            <v>90</v>
          </cell>
          <cell r="U190">
            <v>3</v>
          </cell>
          <cell r="V190">
            <v>90</v>
          </cell>
          <cell r="W190">
            <v>3</v>
          </cell>
          <cell r="X190">
            <v>90</v>
          </cell>
          <cell r="AF190" t="str">
            <v>00</v>
          </cell>
          <cell r="AI190">
            <v>21015352</v>
          </cell>
          <cell r="AJ190">
            <v>16938373.710000001</v>
          </cell>
        </row>
        <row r="191">
          <cell r="A191" t="str">
            <v>02</v>
          </cell>
          <cell r="B191" t="str">
            <v>41</v>
          </cell>
          <cell r="C191" t="str">
            <v>2638</v>
          </cell>
          <cell r="D191" t="str">
            <v>Ренгенаппарат "Арина</v>
          </cell>
          <cell r="E191" t="str">
            <v>"</v>
          </cell>
          <cell r="G191" t="str">
            <v>01</v>
          </cell>
          <cell r="H191">
            <v>6200</v>
          </cell>
          <cell r="I191">
            <v>3062.8</v>
          </cell>
          <cell r="J191">
            <v>0</v>
          </cell>
          <cell r="K191">
            <v>0.3</v>
          </cell>
          <cell r="L191" t="str">
            <v>20</v>
          </cell>
          <cell r="M191" t="str">
            <v>47024</v>
          </cell>
          <cell r="N191" t="str">
            <v>14 3313341</v>
          </cell>
          <cell r="O191" t="str">
            <v>063</v>
          </cell>
          <cell r="P191">
            <v>10.4</v>
          </cell>
          <cell r="Q191">
            <v>0</v>
          </cell>
          <cell r="R191" t="str">
            <v>1</v>
          </cell>
          <cell r="S191" t="str">
            <v>47</v>
          </cell>
          <cell r="T191">
            <v>90</v>
          </cell>
          <cell r="U191">
            <v>3</v>
          </cell>
          <cell r="V191">
            <v>90</v>
          </cell>
          <cell r="W191">
            <v>3</v>
          </cell>
          <cell r="X191">
            <v>90</v>
          </cell>
          <cell r="AF191" t="str">
            <v>00</v>
          </cell>
          <cell r="AI191">
            <v>21015352</v>
          </cell>
          <cell r="AJ191">
            <v>16938373.710000001</v>
          </cell>
        </row>
        <row r="192">
          <cell r="A192" t="str">
            <v>02</v>
          </cell>
          <cell r="B192" t="str">
            <v>41</v>
          </cell>
          <cell r="C192" t="str">
            <v>2639</v>
          </cell>
          <cell r="D192" t="str">
            <v>Ренгенаппарат "Арина</v>
          </cell>
          <cell r="E192" t="str">
            <v>"</v>
          </cell>
          <cell r="G192" t="str">
            <v>01</v>
          </cell>
          <cell r="H192">
            <v>6200</v>
          </cell>
          <cell r="I192">
            <v>3062.8</v>
          </cell>
          <cell r="J192">
            <v>0</v>
          </cell>
          <cell r="K192">
            <v>0.3</v>
          </cell>
          <cell r="L192" t="str">
            <v>20</v>
          </cell>
          <cell r="M192" t="str">
            <v>47024</v>
          </cell>
          <cell r="N192" t="str">
            <v>14 3313341</v>
          </cell>
          <cell r="O192" t="str">
            <v>063</v>
          </cell>
          <cell r="P192">
            <v>10.4</v>
          </cell>
          <cell r="Q192">
            <v>0</v>
          </cell>
          <cell r="R192" t="str">
            <v>1</v>
          </cell>
          <cell r="S192" t="str">
            <v>47</v>
          </cell>
          <cell r="T192">
            <v>90</v>
          </cell>
          <cell r="U192">
            <v>3</v>
          </cell>
          <cell r="V192">
            <v>90</v>
          </cell>
          <cell r="W192">
            <v>3</v>
          </cell>
          <cell r="X192">
            <v>90</v>
          </cell>
          <cell r="AF192" t="str">
            <v>00</v>
          </cell>
          <cell r="AI192">
            <v>21015352</v>
          </cell>
          <cell r="AJ192">
            <v>16938373.710000001</v>
          </cell>
        </row>
        <row r="193">
          <cell r="A193" t="str">
            <v>02</v>
          </cell>
          <cell r="B193" t="str">
            <v>41</v>
          </cell>
          <cell r="C193" t="str">
            <v>2640</v>
          </cell>
          <cell r="D193" t="str">
            <v>Ренгенаппарат "Арина</v>
          </cell>
          <cell r="E193" t="str">
            <v>"</v>
          </cell>
          <cell r="G193" t="str">
            <v>01</v>
          </cell>
          <cell r="H193">
            <v>6200</v>
          </cell>
          <cell r="I193">
            <v>3062.8</v>
          </cell>
          <cell r="J193">
            <v>0</v>
          </cell>
          <cell r="K193">
            <v>0.3</v>
          </cell>
          <cell r="L193" t="str">
            <v>20</v>
          </cell>
          <cell r="M193" t="str">
            <v>47024</v>
          </cell>
          <cell r="N193" t="str">
            <v>14 3313341</v>
          </cell>
          <cell r="O193" t="str">
            <v>063</v>
          </cell>
          <cell r="P193">
            <v>10.4</v>
          </cell>
          <cell r="Q193">
            <v>0</v>
          </cell>
          <cell r="R193" t="str">
            <v>1</v>
          </cell>
          <cell r="S193" t="str">
            <v>47</v>
          </cell>
          <cell r="T193">
            <v>90</v>
          </cell>
          <cell r="U193">
            <v>3</v>
          </cell>
          <cell r="V193">
            <v>90</v>
          </cell>
          <cell r="W193">
            <v>3</v>
          </cell>
          <cell r="X193">
            <v>90</v>
          </cell>
          <cell r="AF193" t="str">
            <v>00</v>
          </cell>
          <cell r="AI193">
            <v>21015352</v>
          </cell>
          <cell r="AJ193">
            <v>16938373.710000001</v>
          </cell>
        </row>
        <row r="194">
          <cell r="A194" t="str">
            <v>02</v>
          </cell>
          <cell r="B194" t="str">
            <v>41</v>
          </cell>
          <cell r="C194" t="str">
            <v>2641</v>
          </cell>
          <cell r="D194" t="str">
            <v>Рентген.ап-т Андрекс</v>
          </cell>
          <cell r="G194" t="str">
            <v>01</v>
          </cell>
          <cell r="H194">
            <v>6300</v>
          </cell>
          <cell r="I194">
            <v>3112.2</v>
          </cell>
          <cell r="J194">
            <v>0</v>
          </cell>
          <cell r="K194">
            <v>0.3</v>
          </cell>
          <cell r="L194" t="str">
            <v>20</v>
          </cell>
          <cell r="M194" t="str">
            <v>47024</v>
          </cell>
          <cell r="N194" t="str">
            <v>14 3313341</v>
          </cell>
          <cell r="O194" t="str">
            <v>063</v>
          </cell>
          <cell r="P194">
            <v>10.4</v>
          </cell>
          <cell r="Q194">
            <v>0</v>
          </cell>
          <cell r="R194" t="str">
            <v>1</v>
          </cell>
          <cell r="S194" t="str">
            <v>47</v>
          </cell>
          <cell r="T194">
            <v>90</v>
          </cell>
          <cell r="U194">
            <v>3</v>
          </cell>
          <cell r="V194">
            <v>90</v>
          </cell>
          <cell r="W194">
            <v>3</v>
          </cell>
          <cell r="X194">
            <v>90</v>
          </cell>
          <cell r="AF194" t="str">
            <v>00</v>
          </cell>
          <cell r="AI194">
            <v>21015352</v>
          </cell>
          <cell r="AJ194">
            <v>16938373.710000001</v>
          </cell>
        </row>
        <row r="195">
          <cell r="A195" t="str">
            <v>02</v>
          </cell>
          <cell r="B195" t="str">
            <v>41</v>
          </cell>
          <cell r="C195" t="str">
            <v>2644</v>
          </cell>
          <cell r="D195" t="str">
            <v>Аппарат"Андрекс"</v>
          </cell>
          <cell r="G195" t="str">
            <v>01</v>
          </cell>
          <cell r="H195">
            <v>3956.49</v>
          </cell>
          <cell r="I195">
            <v>1978.25</v>
          </cell>
          <cell r="J195">
            <v>0</v>
          </cell>
          <cell r="K195">
            <v>1.17</v>
          </cell>
          <cell r="L195" t="str">
            <v>20</v>
          </cell>
          <cell r="M195" t="str">
            <v>47033</v>
          </cell>
          <cell r="N195" t="str">
            <v>14 3313341</v>
          </cell>
          <cell r="O195" t="str">
            <v>063</v>
          </cell>
          <cell r="P195">
            <v>12.5</v>
          </cell>
          <cell r="Q195">
            <v>0</v>
          </cell>
          <cell r="R195" t="str">
            <v>1</v>
          </cell>
          <cell r="S195" t="str">
            <v>47</v>
          </cell>
          <cell r="T195">
            <v>90</v>
          </cell>
          <cell r="U195">
            <v>12</v>
          </cell>
          <cell r="V195">
            <v>90</v>
          </cell>
          <cell r="W195">
            <v>12</v>
          </cell>
          <cell r="X195">
            <v>90</v>
          </cell>
          <cell r="AF195" t="str">
            <v>00</v>
          </cell>
          <cell r="AI195">
            <v>3381618</v>
          </cell>
          <cell r="AJ195">
            <v>2958915.75</v>
          </cell>
        </row>
        <row r="196">
          <cell r="A196" t="str">
            <v>02</v>
          </cell>
          <cell r="B196" t="str">
            <v>99</v>
          </cell>
          <cell r="C196" t="str">
            <v>2668</v>
          </cell>
          <cell r="D196" t="str">
            <v>Холодильная камера</v>
          </cell>
          <cell r="G196" t="str">
            <v>01</v>
          </cell>
          <cell r="H196">
            <v>16600</v>
          </cell>
          <cell r="I196">
            <v>12726.7</v>
          </cell>
          <cell r="J196">
            <v>0</v>
          </cell>
          <cell r="K196">
            <v>0.83</v>
          </cell>
          <cell r="L196" t="str">
            <v>20</v>
          </cell>
          <cell r="M196" t="str">
            <v>45800</v>
          </cell>
          <cell r="N196" t="str">
            <v>16 2930100</v>
          </cell>
          <cell r="O196" t="str">
            <v>063</v>
          </cell>
          <cell r="P196">
            <v>10</v>
          </cell>
          <cell r="Q196">
            <v>0</v>
          </cell>
          <cell r="R196" t="str">
            <v>1</v>
          </cell>
          <cell r="S196" t="str">
            <v>45</v>
          </cell>
          <cell r="T196">
            <v>0</v>
          </cell>
          <cell r="U196">
            <v>4</v>
          </cell>
          <cell r="V196">
            <v>87</v>
          </cell>
          <cell r="W196">
            <v>4</v>
          </cell>
          <cell r="X196">
            <v>87</v>
          </cell>
          <cell r="AB196" t="str">
            <v>14</v>
          </cell>
          <cell r="AC196">
            <v>12</v>
          </cell>
          <cell r="AF196" t="str">
            <v>00</v>
          </cell>
          <cell r="AI196">
            <v>20008123</v>
          </cell>
          <cell r="AJ196">
            <v>20008123</v>
          </cell>
        </row>
        <row r="197">
          <cell r="A197" t="str">
            <v>15</v>
          </cell>
          <cell r="B197" t="str">
            <v>81</v>
          </cell>
          <cell r="C197" t="str">
            <v>2727</v>
          </cell>
          <cell r="D197" t="str">
            <v>Кресло-стоматологиче</v>
          </cell>
          <cell r="E197" t="str">
            <v>ское</v>
          </cell>
          <cell r="G197" t="str">
            <v>01</v>
          </cell>
          <cell r="H197">
            <v>3644.7</v>
          </cell>
          <cell r="I197">
            <v>2156.4499999999998</v>
          </cell>
          <cell r="J197">
            <v>0</v>
          </cell>
          <cell r="K197">
            <v>1.17</v>
          </cell>
          <cell r="L197" t="str">
            <v>88/2</v>
          </cell>
          <cell r="M197" t="str">
            <v>46012</v>
          </cell>
          <cell r="N197" t="str">
            <v>14 3311269</v>
          </cell>
          <cell r="O197" t="str">
            <v>067</v>
          </cell>
          <cell r="P197">
            <v>10</v>
          </cell>
          <cell r="Q197">
            <v>0</v>
          </cell>
          <cell r="R197" t="str">
            <v>1</v>
          </cell>
          <cell r="S197" t="str">
            <v>46</v>
          </cell>
          <cell r="T197">
            <v>0</v>
          </cell>
          <cell r="U197">
            <v>1</v>
          </cell>
          <cell r="V197">
            <v>89</v>
          </cell>
          <cell r="W197">
            <v>1</v>
          </cell>
          <cell r="X197">
            <v>89</v>
          </cell>
          <cell r="AF197" t="str">
            <v>15</v>
          </cell>
          <cell r="AI197">
            <v>3115128</v>
          </cell>
          <cell r="AJ197">
            <v>2777655.8</v>
          </cell>
        </row>
        <row r="198">
          <cell r="A198" t="str">
            <v>02</v>
          </cell>
          <cell r="B198" t="str">
            <v>71</v>
          </cell>
          <cell r="C198" t="str">
            <v>2736</v>
          </cell>
          <cell r="D198" t="str">
            <v>ЭО УБ 1233-1</v>
          </cell>
          <cell r="E198" t="str">
            <v>экскаватор</v>
          </cell>
          <cell r="F198" t="str">
            <v>963-900-12</v>
          </cell>
          <cell r="G198" t="str">
            <v>01</v>
          </cell>
          <cell r="H198">
            <v>473100</v>
          </cell>
          <cell r="I198">
            <v>226023.52</v>
          </cell>
          <cell r="J198">
            <v>0</v>
          </cell>
          <cell r="K198">
            <v>0.85</v>
          </cell>
          <cell r="L198" t="str">
            <v>23</v>
          </cell>
          <cell r="M198" t="str">
            <v>41803</v>
          </cell>
          <cell r="N198" t="str">
            <v>14 2924331</v>
          </cell>
          <cell r="O198" t="str">
            <v>064</v>
          </cell>
          <cell r="P198">
            <v>9.1</v>
          </cell>
          <cell r="Q198">
            <v>0</v>
          </cell>
          <cell r="R198" t="str">
            <v>1</v>
          </cell>
          <cell r="S198" t="str">
            <v>41</v>
          </cell>
          <cell r="T198">
            <v>0</v>
          </cell>
          <cell r="U198">
            <v>9</v>
          </cell>
          <cell r="V198">
            <v>89</v>
          </cell>
          <cell r="W198">
            <v>9</v>
          </cell>
          <cell r="X198">
            <v>89</v>
          </cell>
          <cell r="AB198" t="str">
            <v>14</v>
          </cell>
          <cell r="AC198">
            <v>10</v>
          </cell>
          <cell r="AF198" t="str">
            <v>00</v>
          </cell>
          <cell r="AI198">
            <v>559263744</v>
          </cell>
          <cell r="AJ198">
            <v>419867255.63999999</v>
          </cell>
        </row>
        <row r="199">
          <cell r="A199" t="str">
            <v>02</v>
          </cell>
          <cell r="B199" t="str">
            <v>03</v>
          </cell>
          <cell r="C199" t="str">
            <v>2741</v>
          </cell>
          <cell r="D199" t="str">
            <v>Водонагреватель</v>
          </cell>
          <cell r="G199" t="str">
            <v>01</v>
          </cell>
          <cell r="H199">
            <v>1750</v>
          </cell>
          <cell r="I199">
            <v>1134</v>
          </cell>
          <cell r="J199">
            <v>0</v>
          </cell>
          <cell r="K199">
            <v>1.01</v>
          </cell>
          <cell r="L199" t="str">
            <v>26</v>
          </cell>
          <cell r="M199" t="str">
            <v>43126</v>
          </cell>
          <cell r="N199" t="str">
            <v>16 2930151</v>
          </cell>
          <cell r="O199" t="str">
            <v>067</v>
          </cell>
          <cell r="P199">
            <v>5.4</v>
          </cell>
          <cell r="Q199">
            <v>0</v>
          </cell>
          <cell r="R199" t="str">
            <v>1</v>
          </cell>
          <cell r="S199" t="str">
            <v>43</v>
          </cell>
          <cell r="T199">
            <v>82</v>
          </cell>
          <cell r="U199">
            <v>12</v>
          </cell>
          <cell r="V199">
            <v>82</v>
          </cell>
          <cell r="W199">
            <v>12</v>
          </cell>
          <cell r="X199">
            <v>82</v>
          </cell>
          <cell r="AB199" t="str">
            <v>14</v>
          </cell>
          <cell r="AC199">
            <v>8</v>
          </cell>
          <cell r="AF199" t="str">
            <v>00</v>
          </cell>
          <cell r="AI199">
            <v>1732034</v>
          </cell>
          <cell r="AJ199">
            <v>1402947.06</v>
          </cell>
        </row>
        <row r="200">
          <cell r="A200" t="str">
            <v>16</v>
          </cell>
          <cell r="B200" t="str">
            <v>06</v>
          </cell>
          <cell r="C200" t="str">
            <v>3101/1</v>
          </cell>
          <cell r="D200" t="str">
            <v>Въездной знак металл</v>
          </cell>
          <cell r="E200" t="str">
            <v>навигацион.опознават</v>
          </cell>
          <cell r="F200" t="str">
            <v>3286-АР</v>
          </cell>
          <cell r="G200" t="str">
            <v>01</v>
          </cell>
          <cell r="H200">
            <v>25720</v>
          </cell>
          <cell r="I200">
            <v>1929</v>
          </cell>
          <cell r="J200">
            <v>0</v>
          </cell>
          <cell r="K200">
            <v>1.08</v>
          </cell>
          <cell r="L200" t="str">
            <v>88/1</v>
          </cell>
          <cell r="M200" t="str">
            <v>20250</v>
          </cell>
          <cell r="N200" t="str">
            <v>12 4526314</v>
          </cell>
          <cell r="O200" t="str">
            <v>03</v>
          </cell>
          <cell r="P200">
            <v>2</v>
          </cell>
          <cell r="Q200">
            <v>0</v>
          </cell>
          <cell r="R200" t="str">
            <v>1</v>
          </cell>
          <cell r="S200" t="str">
            <v>20</v>
          </cell>
          <cell r="T200">
            <v>91</v>
          </cell>
          <cell r="U200">
            <v>3</v>
          </cell>
          <cell r="V200">
            <v>91</v>
          </cell>
          <cell r="W200">
            <v>3</v>
          </cell>
          <cell r="X200">
            <v>91</v>
          </cell>
          <cell r="AF200" t="str">
            <v>16</v>
          </cell>
          <cell r="AG200">
            <v>23800000</v>
          </cell>
          <cell r="AI200">
            <v>23800000</v>
          </cell>
          <cell r="AJ200">
            <v>3213000</v>
          </cell>
        </row>
        <row r="201">
          <cell r="A201" t="str">
            <v>02</v>
          </cell>
          <cell r="B201" t="str">
            <v>03</v>
          </cell>
          <cell r="C201" t="str">
            <v>3104/1</v>
          </cell>
          <cell r="D201" t="str">
            <v>Мясорубка МНМ</v>
          </cell>
          <cell r="G201" t="str">
            <v>01</v>
          </cell>
          <cell r="H201">
            <v>2117</v>
          </cell>
          <cell r="I201">
            <v>1135.24</v>
          </cell>
          <cell r="J201">
            <v>0</v>
          </cell>
          <cell r="K201">
            <v>0.99</v>
          </cell>
          <cell r="L201" t="str">
            <v>26</v>
          </cell>
          <cell r="M201" t="str">
            <v>45803</v>
          </cell>
          <cell r="N201" t="str">
            <v>14 2945102</v>
          </cell>
          <cell r="O201" t="str">
            <v>067</v>
          </cell>
          <cell r="P201">
            <v>14.3</v>
          </cell>
          <cell r="Q201">
            <v>0</v>
          </cell>
          <cell r="R201" t="str">
            <v>1</v>
          </cell>
          <cell r="S201" t="str">
            <v>45</v>
          </cell>
          <cell r="T201">
            <v>91</v>
          </cell>
          <cell r="U201">
            <v>3</v>
          </cell>
          <cell r="V201">
            <v>91</v>
          </cell>
          <cell r="W201">
            <v>3</v>
          </cell>
          <cell r="X201">
            <v>91</v>
          </cell>
          <cell r="AB201" t="str">
            <v>14</v>
          </cell>
          <cell r="AC201">
            <v>8</v>
          </cell>
          <cell r="AF201" t="str">
            <v>00</v>
          </cell>
          <cell r="AI201">
            <v>2143413</v>
          </cell>
          <cell r="AJ201">
            <v>2068929.18</v>
          </cell>
        </row>
        <row r="202">
          <cell r="A202" t="str">
            <v>02</v>
          </cell>
          <cell r="B202" t="str">
            <v>55</v>
          </cell>
          <cell r="C202" t="str">
            <v>3106</v>
          </cell>
          <cell r="D202" t="str">
            <v>Вагон-домик</v>
          </cell>
          <cell r="E202" t="str">
            <v>дерево-мет. 3 х 6</v>
          </cell>
          <cell r="G202" t="str">
            <v>01</v>
          </cell>
          <cell r="H202">
            <v>28105.46</v>
          </cell>
          <cell r="I202">
            <v>28105.46</v>
          </cell>
          <cell r="J202">
            <v>0</v>
          </cell>
          <cell r="K202">
            <v>1.1299999999999999</v>
          </cell>
          <cell r="L202" t="str">
            <v>26</v>
          </cell>
          <cell r="M202" t="str">
            <v>10010</v>
          </cell>
          <cell r="N202" t="str">
            <v>13 2022261</v>
          </cell>
          <cell r="O202" t="str">
            <v>01</v>
          </cell>
          <cell r="P202">
            <v>12.5</v>
          </cell>
          <cell r="Q202">
            <v>0</v>
          </cell>
          <cell r="R202" t="str">
            <v>1</v>
          </cell>
          <cell r="S202" t="str">
            <v>10</v>
          </cell>
          <cell r="T202">
            <v>78</v>
          </cell>
          <cell r="U202">
            <v>12</v>
          </cell>
          <cell r="V202">
            <v>78</v>
          </cell>
          <cell r="W202">
            <v>12</v>
          </cell>
          <cell r="X202">
            <v>78</v>
          </cell>
          <cell r="AF202" t="str">
            <v>00</v>
          </cell>
          <cell r="AI202">
            <v>24861088</v>
          </cell>
          <cell r="AJ202">
            <v>24861088</v>
          </cell>
        </row>
        <row r="203">
          <cell r="A203" t="str">
            <v>02</v>
          </cell>
          <cell r="B203" t="str">
            <v>55</v>
          </cell>
          <cell r="C203" t="str">
            <v>3107</v>
          </cell>
          <cell r="D203" t="str">
            <v>Вагон-домик</v>
          </cell>
          <cell r="E203" t="str">
            <v>дерево-мет. 6 х 9</v>
          </cell>
          <cell r="G203" t="str">
            <v>01</v>
          </cell>
          <cell r="H203">
            <v>54710.61</v>
          </cell>
          <cell r="I203">
            <v>38183.449999999997</v>
          </cell>
          <cell r="J203">
            <v>0</v>
          </cell>
          <cell r="K203">
            <v>1.22</v>
          </cell>
          <cell r="L203" t="str">
            <v>26</v>
          </cell>
          <cell r="M203" t="str">
            <v>10010</v>
          </cell>
          <cell r="N203" t="str">
            <v>13 2022261</v>
          </cell>
          <cell r="O203" t="str">
            <v>01</v>
          </cell>
          <cell r="P203">
            <v>12.5</v>
          </cell>
          <cell r="Q203">
            <v>0</v>
          </cell>
          <cell r="R203" t="str">
            <v>1</v>
          </cell>
          <cell r="S203" t="str">
            <v>10</v>
          </cell>
          <cell r="T203">
            <v>89</v>
          </cell>
          <cell r="U203">
            <v>5</v>
          </cell>
          <cell r="V203">
            <v>89</v>
          </cell>
          <cell r="W203">
            <v>5</v>
          </cell>
          <cell r="X203">
            <v>89</v>
          </cell>
          <cell r="AF203" t="str">
            <v>00</v>
          </cell>
          <cell r="AI203">
            <v>45010784</v>
          </cell>
          <cell r="AJ203">
            <v>45010784</v>
          </cell>
        </row>
        <row r="204">
          <cell r="A204" t="str">
            <v>02</v>
          </cell>
          <cell r="B204" t="str">
            <v>02</v>
          </cell>
          <cell r="C204" t="str">
            <v>3119</v>
          </cell>
          <cell r="D204" t="str">
            <v>Вагон-столовая</v>
          </cell>
          <cell r="E204" t="str">
            <v>дерево-металлич.</v>
          </cell>
          <cell r="F204" t="str">
            <v>Финляндия</v>
          </cell>
          <cell r="G204" t="str">
            <v>01</v>
          </cell>
          <cell r="H204">
            <v>56485.55</v>
          </cell>
          <cell r="I204">
            <v>28831.17</v>
          </cell>
          <cell r="J204">
            <v>0</v>
          </cell>
          <cell r="K204">
            <v>1.43</v>
          </cell>
          <cell r="L204" t="str">
            <v>20</v>
          </cell>
          <cell r="M204" t="str">
            <v>10010</v>
          </cell>
          <cell r="N204" t="str">
            <v>13 2022261</v>
          </cell>
          <cell r="O204" t="str">
            <v>01</v>
          </cell>
          <cell r="P204">
            <v>12.5</v>
          </cell>
          <cell r="Q204">
            <v>0</v>
          </cell>
          <cell r="R204" t="str">
            <v>1</v>
          </cell>
          <cell r="S204" t="str">
            <v>10</v>
          </cell>
          <cell r="T204">
            <v>90</v>
          </cell>
          <cell r="U204">
            <v>11</v>
          </cell>
          <cell r="V204">
            <v>90</v>
          </cell>
          <cell r="W204">
            <v>11</v>
          </cell>
          <cell r="X204">
            <v>90</v>
          </cell>
          <cell r="AF204" t="str">
            <v>00</v>
          </cell>
          <cell r="AI204">
            <v>39500384</v>
          </cell>
          <cell r="AJ204">
            <v>34974298.109999999</v>
          </cell>
        </row>
        <row r="205">
          <cell r="A205" t="str">
            <v>02</v>
          </cell>
          <cell r="B205" t="str">
            <v>03</v>
          </cell>
          <cell r="C205" t="str">
            <v>3125</v>
          </cell>
          <cell r="D205" t="str">
            <v>Устройство ВУТ 31/60</v>
          </cell>
          <cell r="G205" t="str">
            <v>01</v>
          </cell>
          <cell r="H205">
            <v>11557.63</v>
          </cell>
          <cell r="I205">
            <v>5872.24</v>
          </cell>
          <cell r="J205">
            <v>0</v>
          </cell>
          <cell r="K205">
            <v>1.17</v>
          </cell>
          <cell r="L205" t="str">
            <v>26</v>
          </cell>
          <cell r="M205" t="str">
            <v>40702</v>
          </cell>
          <cell r="N205" t="str">
            <v>14 2894000</v>
          </cell>
          <cell r="O205" t="str">
            <v>067</v>
          </cell>
          <cell r="P205">
            <v>9.1</v>
          </cell>
          <cell r="Q205">
            <v>0</v>
          </cell>
          <cell r="R205" t="str">
            <v>1</v>
          </cell>
          <cell r="S205" t="str">
            <v>10</v>
          </cell>
          <cell r="T205">
            <v>89</v>
          </cell>
          <cell r="U205">
            <v>5</v>
          </cell>
          <cell r="V205">
            <v>89</v>
          </cell>
          <cell r="W205">
            <v>5</v>
          </cell>
          <cell r="X205">
            <v>89</v>
          </cell>
          <cell r="AF205" t="str">
            <v>00</v>
          </cell>
          <cell r="AI205">
            <v>9878319</v>
          </cell>
          <cell r="AJ205">
            <v>7715790.7000000002</v>
          </cell>
        </row>
        <row r="206">
          <cell r="A206" t="str">
            <v>02</v>
          </cell>
          <cell r="B206" t="str">
            <v>03</v>
          </cell>
          <cell r="C206" t="str">
            <v>3204</v>
          </cell>
          <cell r="D206" t="str">
            <v>Люльки строительные</v>
          </cell>
          <cell r="E206" t="str">
            <v>2штуки подвесные</v>
          </cell>
          <cell r="G206" t="str">
            <v>01</v>
          </cell>
          <cell r="H206">
            <v>12900</v>
          </cell>
          <cell r="I206">
            <v>7001.48</v>
          </cell>
          <cell r="J206">
            <v>0</v>
          </cell>
          <cell r="K206">
            <v>0.54</v>
          </cell>
          <cell r="L206" t="str">
            <v>26</v>
          </cell>
          <cell r="M206" t="str">
            <v>42008</v>
          </cell>
          <cell r="N206" t="str">
            <v>14 2947109</v>
          </cell>
          <cell r="O206" t="str">
            <v>067</v>
          </cell>
          <cell r="P206">
            <v>16.7</v>
          </cell>
          <cell r="Q206">
            <v>0</v>
          </cell>
          <cell r="R206" t="str">
            <v>1</v>
          </cell>
          <cell r="S206" t="str">
            <v>42</v>
          </cell>
          <cell r="T206">
            <v>91</v>
          </cell>
          <cell r="U206">
            <v>9</v>
          </cell>
          <cell r="V206">
            <v>91</v>
          </cell>
          <cell r="W206">
            <v>9</v>
          </cell>
          <cell r="X206">
            <v>91</v>
          </cell>
          <cell r="AB206" t="str">
            <v>14</v>
          </cell>
          <cell r="AC206">
            <v>12</v>
          </cell>
          <cell r="AF206" t="str">
            <v>00</v>
          </cell>
          <cell r="AI206">
            <v>23749151</v>
          </cell>
          <cell r="AJ206">
            <v>23749151</v>
          </cell>
        </row>
        <row r="207">
          <cell r="A207" t="str">
            <v>02</v>
          </cell>
          <cell r="B207" t="str">
            <v>41</v>
          </cell>
          <cell r="C207" t="str">
            <v>3209/1</v>
          </cell>
          <cell r="D207" t="str">
            <v>Аппарат АРИНА</v>
          </cell>
          <cell r="F207" t="str">
            <v>5961</v>
          </cell>
          <cell r="G207" t="str">
            <v>01</v>
          </cell>
          <cell r="H207">
            <v>6200</v>
          </cell>
          <cell r="I207">
            <v>1934.4</v>
          </cell>
          <cell r="J207">
            <v>0</v>
          </cell>
          <cell r="K207">
            <v>1.08</v>
          </cell>
          <cell r="L207" t="str">
            <v>20</v>
          </cell>
          <cell r="M207" t="str">
            <v>47024</v>
          </cell>
          <cell r="N207" t="str">
            <v>14 3313341</v>
          </cell>
          <cell r="O207" t="str">
            <v>063</v>
          </cell>
          <cell r="P207">
            <v>10.4</v>
          </cell>
          <cell r="Q207">
            <v>0</v>
          </cell>
          <cell r="R207" t="str">
            <v>1</v>
          </cell>
          <cell r="S207" t="str">
            <v>47</v>
          </cell>
          <cell r="T207">
            <v>91</v>
          </cell>
          <cell r="U207">
            <v>12</v>
          </cell>
          <cell r="V207">
            <v>91</v>
          </cell>
          <cell r="W207">
            <v>12</v>
          </cell>
          <cell r="X207">
            <v>91</v>
          </cell>
          <cell r="AF207" t="str">
            <v>00</v>
          </cell>
          <cell r="AI207">
            <v>5752239</v>
          </cell>
          <cell r="AJ207">
            <v>3589397.14</v>
          </cell>
        </row>
        <row r="208">
          <cell r="A208" t="str">
            <v>02</v>
          </cell>
          <cell r="B208" t="str">
            <v>41</v>
          </cell>
          <cell r="C208" t="str">
            <v>3210</v>
          </cell>
          <cell r="D208" t="str">
            <v>Аппарат АРИНА</v>
          </cell>
          <cell r="F208" t="str">
            <v>5957</v>
          </cell>
          <cell r="G208" t="str">
            <v>01</v>
          </cell>
          <cell r="H208">
            <v>6200</v>
          </cell>
          <cell r="I208">
            <v>1934.4</v>
          </cell>
          <cell r="J208">
            <v>0</v>
          </cell>
          <cell r="K208">
            <v>1.08</v>
          </cell>
          <cell r="L208" t="str">
            <v>20</v>
          </cell>
          <cell r="M208" t="str">
            <v>47024</v>
          </cell>
          <cell r="N208" t="str">
            <v>14 3313341</v>
          </cell>
          <cell r="O208" t="str">
            <v>063</v>
          </cell>
          <cell r="P208">
            <v>10.4</v>
          </cell>
          <cell r="Q208">
            <v>0</v>
          </cell>
          <cell r="R208" t="str">
            <v>1</v>
          </cell>
          <cell r="S208" t="str">
            <v>47</v>
          </cell>
          <cell r="T208">
            <v>91</v>
          </cell>
          <cell r="U208">
            <v>12</v>
          </cell>
          <cell r="V208">
            <v>91</v>
          </cell>
          <cell r="W208">
            <v>12</v>
          </cell>
          <cell r="X208">
            <v>91</v>
          </cell>
          <cell r="AF208" t="str">
            <v>00</v>
          </cell>
          <cell r="AI208">
            <v>5752239</v>
          </cell>
          <cell r="AJ208">
            <v>3589397.14</v>
          </cell>
        </row>
        <row r="209">
          <cell r="A209" t="str">
            <v>02</v>
          </cell>
          <cell r="B209" t="str">
            <v>41</v>
          </cell>
          <cell r="C209" t="str">
            <v>3211</v>
          </cell>
          <cell r="D209" t="str">
            <v>Толщиномер УТ-93-П 2</v>
          </cell>
          <cell r="E209" t="str">
            <v>шт.НПО Волна гКишине</v>
          </cell>
          <cell r="F209" t="str">
            <v>в 9959 9726</v>
          </cell>
          <cell r="G209" t="str">
            <v>01</v>
          </cell>
          <cell r="H209">
            <v>3446</v>
          </cell>
          <cell r="I209">
            <v>1075.1500000000001</v>
          </cell>
          <cell r="J209">
            <v>0</v>
          </cell>
          <cell r="K209">
            <v>0.32</v>
          </cell>
          <cell r="L209" t="str">
            <v>20</v>
          </cell>
          <cell r="M209" t="str">
            <v>47024</v>
          </cell>
          <cell r="N209" t="str">
            <v>14 3313302</v>
          </cell>
          <cell r="O209" t="str">
            <v>063</v>
          </cell>
          <cell r="P209">
            <v>10.4</v>
          </cell>
          <cell r="Q209">
            <v>0</v>
          </cell>
          <cell r="R209" t="str">
            <v>1</v>
          </cell>
          <cell r="S209" t="str">
            <v>47</v>
          </cell>
          <cell r="T209">
            <v>91</v>
          </cell>
          <cell r="U209">
            <v>12</v>
          </cell>
          <cell r="V209">
            <v>91</v>
          </cell>
          <cell r="W209">
            <v>12</v>
          </cell>
          <cell r="X209">
            <v>91</v>
          </cell>
          <cell r="AF209" t="str">
            <v>00</v>
          </cell>
          <cell r="AI209">
            <v>10668372</v>
          </cell>
          <cell r="AJ209">
            <v>6657064.1299999999</v>
          </cell>
        </row>
        <row r="210">
          <cell r="A210" t="str">
            <v>02</v>
          </cell>
          <cell r="B210" t="str">
            <v>80</v>
          </cell>
          <cell r="C210" t="str">
            <v>3214</v>
          </cell>
          <cell r="D210" t="str">
            <v>Ковер 2х3</v>
          </cell>
          <cell r="G210" t="str">
            <v>01</v>
          </cell>
          <cell r="H210">
            <v>475</v>
          </cell>
          <cell r="I210">
            <v>103.43</v>
          </cell>
          <cell r="J210">
            <v>0</v>
          </cell>
          <cell r="K210">
            <v>0.13</v>
          </cell>
          <cell r="L210" t="str">
            <v>88/2</v>
          </cell>
          <cell r="M210" t="str">
            <v>70004</v>
          </cell>
          <cell r="N210" t="str">
            <v>16 1722000</v>
          </cell>
          <cell r="O210" t="str">
            <v>08</v>
          </cell>
          <cell r="P210">
            <v>6.7</v>
          </cell>
          <cell r="Q210">
            <v>0</v>
          </cell>
          <cell r="R210" t="str">
            <v>1</v>
          </cell>
          <cell r="S210" t="str">
            <v>70</v>
          </cell>
          <cell r="T210">
            <v>91</v>
          </cell>
          <cell r="U210">
            <v>9</v>
          </cell>
          <cell r="V210">
            <v>91</v>
          </cell>
          <cell r="W210">
            <v>9</v>
          </cell>
          <cell r="X210">
            <v>91</v>
          </cell>
          <cell r="AF210" t="str">
            <v>00</v>
          </cell>
          <cell r="AI210">
            <v>3608064</v>
          </cell>
          <cell r="AJ210">
            <v>1510876.86</v>
          </cell>
        </row>
        <row r="211">
          <cell r="A211" t="str">
            <v>02</v>
          </cell>
          <cell r="B211" t="str">
            <v>23</v>
          </cell>
          <cell r="C211" t="str">
            <v>3221</v>
          </cell>
          <cell r="D211" t="str">
            <v>Газоанализатор инфра</v>
          </cell>
          <cell r="E211" t="str">
            <v>лит -1100</v>
          </cell>
          <cell r="F211" t="str">
            <v>66226003</v>
          </cell>
          <cell r="G211" t="str">
            <v>01</v>
          </cell>
          <cell r="H211">
            <v>14737</v>
          </cell>
          <cell r="I211">
            <v>4981.1099999999997</v>
          </cell>
          <cell r="J211">
            <v>0</v>
          </cell>
          <cell r="K211">
            <v>1</v>
          </cell>
          <cell r="L211" t="str">
            <v>23</v>
          </cell>
          <cell r="M211" t="str">
            <v>41024</v>
          </cell>
          <cell r="N211" t="str">
            <v>14 3313141</v>
          </cell>
          <cell r="O211" t="str">
            <v>067</v>
          </cell>
          <cell r="P211">
            <v>10.4</v>
          </cell>
          <cell r="Q211">
            <v>0</v>
          </cell>
          <cell r="R211" t="str">
            <v>1</v>
          </cell>
          <cell r="S211" t="str">
            <v>41</v>
          </cell>
          <cell r="T211">
            <v>90</v>
          </cell>
          <cell r="U211">
            <v>9</v>
          </cell>
          <cell r="V211">
            <v>91</v>
          </cell>
          <cell r="W211">
            <v>9</v>
          </cell>
          <cell r="X211">
            <v>91</v>
          </cell>
          <cell r="AF211" t="str">
            <v>00</v>
          </cell>
          <cell r="AI211">
            <v>14778223</v>
          </cell>
          <cell r="AJ211">
            <v>9605844.5800000001</v>
          </cell>
        </row>
        <row r="212">
          <cell r="A212" t="str">
            <v>02</v>
          </cell>
          <cell r="B212" t="str">
            <v>04</v>
          </cell>
          <cell r="C212" t="str">
            <v>3222</v>
          </cell>
          <cell r="D212" t="str">
            <v>Шкаф распределительн</v>
          </cell>
          <cell r="E212" t="str">
            <v>ый ПР-11</v>
          </cell>
          <cell r="F212" t="str">
            <v>1012</v>
          </cell>
          <cell r="G212" t="str">
            <v>01</v>
          </cell>
          <cell r="H212">
            <v>2450</v>
          </cell>
          <cell r="I212">
            <v>724.59</v>
          </cell>
          <cell r="J212">
            <v>0</v>
          </cell>
          <cell r="K212">
            <v>0.98</v>
          </cell>
          <cell r="L212" t="str">
            <v>23</v>
          </cell>
          <cell r="M212" t="str">
            <v>40702</v>
          </cell>
          <cell r="N212" t="str">
            <v>14 3120390</v>
          </cell>
          <cell r="O212" t="str">
            <v>067</v>
          </cell>
          <cell r="P212">
            <v>9.1</v>
          </cell>
          <cell r="Q212">
            <v>0</v>
          </cell>
          <cell r="R212" t="str">
            <v>1</v>
          </cell>
          <cell r="S212" t="str">
            <v>40</v>
          </cell>
          <cell r="T212">
            <v>89</v>
          </cell>
          <cell r="U212">
            <v>9</v>
          </cell>
          <cell r="V212">
            <v>91</v>
          </cell>
          <cell r="W212">
            <v>9</v>
          </cell>
          <cell r="X212">
            <v>91</v>
          </cell>
          <cell r="AB212" t="str">
            <v>14</v>
          </cell>
          <cell r="AC212">
            <v>11</v>
          </cell>
          <cell r="AF212" t="str">
            <v>00</v>
          </cell>
          <cell r="AI212">
            <v>2489326</v>
          </cell>
          <cell r="AJ212">
            <v>1415804</v>
          </cell>
        </row>
        <row r="213">
          <cell r="A213" t="str">
            <v>02</v>
          </cell>
          <cell r="B213" t="str">
            <v>03</v>
          </cell>
          <cell r="C213" t="str">
            <v>3223</v>
          </cell>
          <cell r="D213" t="str">
            <v>Котел КП</v>
          </cell>
          <cell r="F213" t="str">
            <v>178</v>
          </cell>
          <cell r="G213" t="str">
            <v>01</v>
          </cell>
          <cell r="H213">
            <v>4741</v>
          </cell>
          <cell r="I213">
            <v>1926.03</v>
          </cell>
          <cell r="J213">
            <v>0</v>
          </cell>
          <cell r="K213">
            <v>0.86</v>
          </cell>
          <cell r="L213" t="str">
            <v>26</v>
          </cell>
          <cell r="M213" t="str">
            <v>45801</v>
          </cell>
          <cell r="N213" t="str">
            <v>14 2813101</v>
          </cell>
          <cell r="O213" t="str">
            <v>067</v>
          </cell>
          <cell r="P213">
            <v>12.5</v>
          </cell>
          <cell r="Q213">
            <v>0</v>
          </cell>
          <cell r="R213" t="str">
            <v>1</v>
          </cell>
          <cell r="S213" t="str">
            <v>45</v>
          </cell>
          <cell r="T213">
            <v>90</v>
          </cell>
          <cell r="U213">
            <v>9</v>
          </cell>
          <cell r="V213">
            <v>91</v>
          </cell>
          <cell r="W213">
            <v>9</v>
          </cell>
          <cell r="X213">
            <v>91</v>
          </cell>
          <cell r="AF213" t="str">
            <v>00</v>
          </cell>
          <cell r="AI213">
            <v>5532673</v>
          </cell>
          <cell r="AJ213">
            <v>4322400.38</v>
          </cell>
        </row>
        <row r="214">
          <cell r="A214" t="str">
            <v>02</v>
          </cell>
          <cell r="B214" t="str">
            <v>80</v>
          </cell>
          <cell r="C214" t="str">
            <v>3227</v>
          </cell>
          <cell r="D214" t="str">
            <v>Электронный калькуля</v>
          </cell>
          <cell r="E214" t="str">
            <v>тор 15 шт.</v>
          </cell>
          <cell r="G214" t="str">
            <v>01</v>
          </cell>
          <cell r="H214">
            <v>96</v>
          </cell>
          <cell r="I214">
            <v>34.630000000000003</v>
          </cell>
          <cell r="J214">
            <v>0</v>
          </cell>
          <cell r="K214">
            <v>0.01</v>
          </cell>
          <cell r="L214" t="str">
            <v>26</v>
          </cell>
          <cell r="M214" t="str">
            <v>48009</v>
          </cell>
          <cell r="N214" t="str">
            <v>14 3020204</v>
          </cell>
          <cell r="O214" t="str">
            <v>063</v>
          </cell>
          <cell r="P214">
            <v>11.1</v>
          </cell>
          <cell r="Q214">
            <v>0</v>
          </cell>
          <cell r="R214" t="str">
            <v>1</v>
          </cell>
          <cell r="S214" t="str">
            <v>48</v>
          </cell>
          <cell r="T214">
            <v>91</v>
          </cell>
          <cell r="U214">
            <v>9</v>
          </cell>
          <cell r="V214">
            <v>91</v>
          </cell>
          <cell r="W214">
            <v>9</v>
          </cell>
          <cell r="X214">
            <v>91</v>
          </cell>
          <cell r="AF214" t="str">
            <v>00</v>
          </cell>
          <cell r="AI214">
            <v>9544080</v>
          </cell>
          <cell r="AJ214">
            <v>6621205.6399999997</v>
          </cell>
        </row>
        <row r="215">
          <cell r="A215" t="str">
            <v>02</v>
          </cell>
          <cell r="B215" t="str">
            <v>71</v>
          </cell>
          <cell r="C215" t="str">
            <v>3228</v>
          </cell>
          <cell r="D215" t="str">
            <v>Трактор К-701 с зипо</v>
          </cell>
          <cell r="E215" t="str">
            <v>м</v>
          </cell>
          <cell r="F215" t="str">
            <v>9108771</v>
          </cell>
          <cell r="G215" t="str">
            <v>01</v>
          </cell>
          <cell r="H215">
            <v>190956</v>
          </cell>
          <cell r="I215">
            <v>62060.7</v>
          </cell>
          <cell r="J215">
            <v>0</v>
          </cell>
          <cell r="K215">
            <v>1.05</v>
          </cell>
          <cell r="L215" t="str">
            <v>23</v>
          </cell>
          <cell r="M215" t="str">
            <v>40600</v>
          </cell>
          <cell r="N215" t="str">
            <v>14 2918104</v>
          </cell>
          <cell r="O215" t="str">
            <v>065</v>
          </cell>
          <cell r="P215">
            <v>10</v>
          </cell>
          <cell r="Q215">
            <v>0</v>
          </cell>
          <cell r="R215" t="str">
            <v>1</v>
          </cell>
          <cell r="S215" t="str">
            <v>40</v>
          </cell>
          <cell r="T215">
            <v>91</v>
          </cell>
          <cell r="U215">
            <v>9</v>
          </cell>
          <cell r="V215">
            <v>91</v>
          </cell>
          <cell r="W215">
            <v>9</v>
          </cell>
          <cell r="X215">
            <v>91</v>
          </cell>
          <cell r="AF215" t="str">
            <v>00</v>
          </cell>
          <cell r="AI215">
            <v>181069959</v>
          </cell>
          <cell r="AJ215">
            <v>113168724.34</v>
          </cell>
        </row>
        <row r="216">
          <cell r="A216" t="str">
            <v>02</v>
          </cell>
          <cell r="B216" t="str">
            <v>03</v>
          </cell>
          <cell r="C216" t="str">
            <v>3316</v>
          </cell>
          <cell r="D216" t="str">
            <v>Эл.таль во93м 0.25т</v>
          </cell>
          <cell r="G216" t="str">
            <v>01</v>
          </cell>
          <cell r="H216">
            <v>1492</v>
          </cell>
          <cell r="I216">
            <v>320.02999999999997</v>
          </cell>
          <cell r="J216">
            <v>0</v>
          </cell>
          <cell r="K216">
            <v>0.24</v>
          </cell>
          <cell r="L216" t="str">
            <v>26</v>
          </cell>
          <cell r="M216" t="str">
            <v>41722</v>
          </cell>
          <cell r="N216" t="str">
            <v>14 2915282</v>
          </cell>
          <cell r="O216" t="str">
            <v>063</v>
          </cell>
          <cell r="P216">
            <v>14.3</v>
          </cell>
          <cell r="Q216">
            <v>0</v>
          </cell>
          <cell r="R216" t="str">
            <v>1</v>
          </cell>
          <cell r="S216" t="str">
            <v>41</v>
          </cell>
          <cell r="T216">
            <v>93</v>
          </cell>
          <cell r="U216">
            <v>6</v>
          </cell>
          <cell r="V216">
            <v>93</v>
          </cell>
          <cell r="W216">
            <v>6</v>
          </cell>
          <cell r="X216">
            <v>93</v>
          </cell>
          <cell r="AF216" t="str">
            <v>00</v>
          </cell>
          <cell r="AI216">
            <v>6131009</v>
          </cell>
          <cell r="AJ216">
            <v>3945304.27</v>
          </cell>
        </row>
        <row r="217">
          <cell r="A217" t="str">
            <v>02</v>
          </cell>
          <cell r="B217" t="str">
            <v>61</v>
          </cell>
          <cell r="C217" t="str">
            <v>3318</v>
          </cell>
          <cell r="D217" t="str">
            <v>Таль ручная нс-3т</v>
          </cell>
          <cell r="G217" t="str">
            <v>01</v>
          </cell>
          <cell r="H217">
            <v>3500</v>
          </cell>
          <cell r="I217">
            <v>750.75</v>
          </cell>
          <cell r="J217">
            <v>0</v>
          </cell>
          <cell r="K217">
            <v>1.21</v>
          </cell>
          <cell r="L217" t="str">
            <v>23</v>
          </cell>
          <cell r="M217" t="str">
            <v>41722</v>
          </cell>
          <cell r="N217" t="str">
            <v>14 2915282</v>
          </cell>
          <cell r="O217" t="str">
            <v>063</v>
          </cell>
          <cell r="P217">
            <v>14.3</v>
          </cell>
          <cell r="Q217">
            <v>0</v>
          </cell>
          <cell r="R217" t="str">
            <v>1</v>
          </cell>
          <cell r="S217" t="str">
            <v>41</v>
          </cell>
          <cell r="T217">
            <v>93</v>
          </cell>
          <cell r="U217">
            <v>6</v>
          </cell>
          <cell r="V217">
            <v>93</v>
          </cell>
          <cell r="W217">
            <v>6</v>
          </cell>
          <cell r="X217">
            <v>93</v>
          </cell>
          <cell r="AB217" t="str">
            <v>14</v>
          </cell>
          <cell r="AC217">
            <v>9</v>
          </cell>
          <cell r="AF217" t="str">
            <v>00</v>
          </cell>
          <cell r="AI217">
            <v>2898386</v>
          </cell>
          <cell r="AJ217">
            <v>1865111.59</v>
          </cell>
        </row>
        <row r="218">
          <cell r="A218" t="str">
            <v>02</v>
          </cell>
          <cell r="B218" t="str">
            <v>12</v>
          </cell>
          <cell r="C218" t="str">
            <v>3319</v>
          </cell>
          <cell r="D218" t="str">
            <v>Сцепка СП-11</v>
          </cell>
          <cell r="F218" t="str">
            <v>3300275</v>
          </cell>
          <cell r="G218" t="str">
            <v>01</v>
          </cell>
          <cell r="H218">
            <v>6100</v>
          </cell>
          <cell r="I218">
            <v>1830</v>
          </cell>
          <cell r="J218">
            <v>0</v>
          </cell>
          <cell r="K218">
            <v>0.94</v>
          </cell>
          <cell r="L218" t="str">
            <v>88/4</v>
          </cell>
          <cell r="M218" t="str">
            <v>45740</v>
          </cell>
          <cell r="N218" t="str">
            <v>14 2921000</v>
          </cell>
          <cell r="O218" t="str">
            <v>067</v>
          </cell>
          <cell r="P218">
            <v>20</v>
          </cell>
          <cell r="Q218">
            <v>0</v>
          </cell>
          <cell r="R218" t="str">
            <v>1</v>
          </cell>
          <cell r="S218" t="str">
            <v>45</v>
          </cell>
          <cell r="T218">
            <v>93</v>
          </cell>
          <cell r="U218">
            <v>6</v>
          </cell>
          <cell r="V218">
            <v>93</v>
          </cell>
          <cell r="W218">
            <v>6</v>
          </cell>
          <cell r="X218">
            <v>93</v>
          </cell>
          <cell r="AF218" t="str">
            <v>00</v>
          </cell>
          <cell r="AI218">
            <v>6459264</v>
          </cell>
          <cell r="AJ218">
            <v>5813337.4000000004</v>
          </cell>
        </row>
        <row r="219">
          <cell r="A219" t="str">
            <v>17</v>
          </cell>
          <cell r="B219" t="str">
            <v>82</v>
          </cell>
          <cell r="C219" t="str">
            <v>3320</v>
          </cell>
          <cell r="D219" t="str">
            <v>Телефонный аппарат</v>
          </cell>
          <cell r="E219" t="str">
            <v>ТА-80</v>
          </cell>
          <cell r="G219" t="str">
            <v>01</v>
          </cell>
          <cell r="H219">
            <v>73.11</v>
          </cell>
          <cell r="I219">
            <v>21.93</v>
          </cell>
          <cell r="J219">
            <v>0</v>
          </cell>
          <cell r="K219">
            <v>1.21</v>
          </cell>
          <cell r="L219" t="str">
            <v>26</v>
          </cell>
          <cell r="M219" t="str">
            <v>45610</v>
          </cell>
          <cell r="N219" t="str">
            <v>14 3222131</v>
          </cell>
          <cell r="O219" t="str">
            <v>067</v>
          </cell>
          <cell r="P219">
            <v>20</v>
          </cell>
          <cell r="Q219">
            <v>0</v>
          </cell>
          <cell r="R219" t="str">
            <v>1</v>
          </cell>
          <cell r="S219" t="str">
            <v>45</v>
          </cell>
          <cell r="T219">
            <v>93</v>
          </cell>
          <cell r="U219">
            <v>6</v>
          </cell>
          <cell r="V219">
            <v>93</v>
          </cell>
          <cell r="W219">
            <v>6</v>
          </cell>
          <cell r="X219">
            <v>93</v>
          </cell>
          <cell r="AF219" t="str">
            <v>17</v>
          </cell>
          <cell r="AI219">
            <v>60420</v>
          </cell>
          <cell r="AJ219">
            <v>54378</v>
          </cell>
        </row>
        <row r="220">
          <cell r="A220" t="str">
            <v>02</v>
          </cell>
          <cell r="B220" t="str">
            <v>71</v>
          </cell>
          <cell r="C220" t="str">
            <v>3323</v>
          </cell>
          <cell r="D220" t="str">
            <v>Дизель генератор 100</v>
          </cell>
          <cell r="E220" t="str">
            <v xml:space="preserve"> квт</v>
          </cell>
          <cell r="G220" t="str">
            <v>01</v>
          </cell>
          <cell r="H220">
            <v>48573.75</v>
          </cell>
          <cell r="I220">
            <v>3060.15</v>
          </cell>
          <cell r="J220">
            <v>0</v>
          </cell>
          <cell r="K220">
            <v>1.25</v>
          </cell>
          <cell r="L220" t="str">
            <v>23</v>
          </cell>
          <cell r="M220" t="str">
            <v>40202</v>
          </cell>
          <cell r="N220" t="str">
            <v>14 2911101</v>
          </cell>
          <cell r="O220" t="str">
            <v>063</v>
          </cell>
          <cell r="P220">
            <v>4.2</v>
          </cell>
          <cell r="Q220">
            <v>0</v>
          </cell>
          <cell r="R220" t="str">
            <v>1</v>
          </cell>
          <cell r="S220" t="str">
            <v>40</v>
          </cell>
          <cell r="T220">
            <v>93</v>
          </cell>
          <cell r="U220">
            <v>6</v>
          </cell>
          <cell r="V220">
            <v>93</v>
          </cell>
          <cell r="W220">
            <v>6</v>
          </cell>
          <cell r="X220">
            <v>93</v>
          </cell>
          <cell r="AB220" t="str">
            <v>14</v>
          </cell>
          <cell r="AC220">
            <v>6</v>
          </cell>
          <cell r="AF220" t="str">
            <v>00</v>
          </cell>
          <cell r="AG220">
            <v>38859000</v>
          </cell>
          <cell r="AI220">
            <v>38859000</v>
          </cell>
          <cell r="AJ220">
            <v>7344351</v>
          </cell>
        </row>
        <row r="221">
          <cell r="A221" t="str">
            <v>02</v>
          </cell>
          <cell r="B221" t="str">
            <v>03</v>
          </cell>
          <cell r="C221" t="str">
            <v>3324</v>
          </cell>
          <cell r="D221" t="str">
            <v>Телевизор СПЕКТР 51</v>
          </cell>
          <cell r="E221" t="str">
            <v>ТЦ-423ДВ диагональ 5</v>
          </cell>
          <cell r="F221" t="str">
            <v>13000804</v>
          </cell>
          <cell r="G221" t="str">
            <v>01</v>
          </cell>
          <cell r="H221">
            <v>955.5</v>
          </cell>
          <cell r="I221">
            <v>150.49</v>
          </cell>
          <cell r="J221">
            <v>0</v>
          </cell>
          <cell r="K221">
            <v>0.91</v>
          </cell>
          <cell r="L221" t="str">
            <v>26</v>
          </cell>
          <cell r="M221" t="str">
            <v>45625</v>
          </cell>
          <cell r="N221" t="str">
            <v>14 3230100</v>
          </cell>
          <cell r="O221" t="str">
            <v>067</v>
          </cell>
          <cell r="P221">
            <v>10.5</v>
          </cell>
          <cell r="Q221">
            <v>0</v>
          </cell>
          <cell r="R221" t="str">
            <v>1</v>
          </cell>
          <cell r="S221" t="str">
            <v>45</v>
          </cell>
          <cell r="T221">
            <v>93</v>
          </cell>
          <cell r="U221">
            <v>6</v>
          </cell>
          <cell r="V221">
            <v>93</v>
          </cell>
          <cell r="W221">
            <v>6</v>
          </cell>
          <cell r="X221">
            <v>93</v>
          </cell>
          <cell r="AB221" t="str">
            <v>14</v>
          </cell>
          <cell r="AC221">
            <v>8</v>
          </cell>
          <cell r="AF221" t="str">
            <v>00</v>
          </cell>
          <cell r="AG221">
            <v>1050000</v>
          </cell>
          <cell r="AI221">
            <v>1050000</v>
          </cell>
          <cell r="AJ221">
            <v>496125</v>
          </cell>
        </row>
        <row r="222">
          <cell r="A222" t="str">
            <v>02</v>
          </cell>
          <cell r="B222" t="str">
            <v>03</v>
          </cell>
          <cell r="C222" t="str">
            <v>3326</v>
          </cell>
          <cell r="D222" t="str">
            <v>Фрезерный станок ГФ-</v>
          </cell>
          <cell r="E222" t="str">
            <v>21</v>
          </cell>
          <cell r="G222" t="str">
            <v>01</v>
          </cell>
          <cell r="H222">
            <v>14125</v>
          </cell>
          <cell r="I222">
            <v>1758.56</v>
          </cell>
          <cell r="J222">
            <v>0</v>
          </cell>
          <cell r="K222">
            <v>0.33</v>
          </cell>
          <cell r="L222" t="str">
            <v>26</v>
          </cell>
          <cell r="M222" t="str">
            <v>44502</v>
          </cell>
          <cell r="N222" t="str">
            <v>14 2922623</v>
          </cell>
          <cell r="O222" t="str">
            <v>067</v>
          </cell>
          <cell r="P222">
            <v>8.3000000000000007</v>
          </cell>
          <cell r="Q222">
            <v>0</v>
          </cell>
          <cell r="R222" t="str">
            <v>1</v>
          </cell>
          <cell r="S222" t="str">
            <v>44</v>
          </cell>
          <cell r="T222">
            <v>93</v>
          </cell>
          <cell r="U222">
            <v>6</v>
          </cell>
          <cell r="V222">
            <v>93</v>
          </cell>
          <cell r="W222">
            <v>6</v>
          </cell>
          <cell r="X222">
            <v>93</v>
          </cell>
          <cell r="AF222" t="str">
            <v>00</v>
          </cell>
          <cell r="AI222">
            <v>42336000</v>
          </cell>
          <cell r="AJ222">
            <v>15812496</v>
          </cell>
        </row>
        <row r="223">
          <cell r="A223" t="str">
            <v>02</v>
          </cell>
          <cell r="B223" t="str">
            <v>03</v>
          </cell>
          <cell r="C223" t="str">
            <v>3327</v>
          </cell>
          <cell r="D223" t="str">
            <v>Реймусовый станок РС</v>
          </cell>
          <cell r="E223" t="str">
            <v>-482</v>
          </cell>
          <cell r="G223" t="str">
            <v>01</v>
          </cell>
          <cell r="H223">
            <v>7741.44</v>
          </cell>
          <cell r="I223">
            <v>963.81</v>
          </cell>
          <cell r="J223">
            <v>0</v>
          </cell>
          <cell r="K223">
            <v>1.1200000000000001</v>
          </cell>
          <cell r="L223" t="str">
            <v>26</v>
          </cell>
          <cell r="M223" t="str">
            <v>44502</v>
          </cell>
          <cell r="N223" t="str">
            <v>14 2922623</v>
          </cell>
          <cell r="O223" t="str">
            <v>067</v>
          </cell>
          <cell r="P223">
            <v>8.3000000000000007</v>
          </cell>
          <cell r="Q223">
            <v>0</v>
          </cell>
          <cell r="R223" t="str">
            <v>1</v>
          </cell>
          <cell r="S223" t="str">
            <v>44</v>
          </cell>
          <cell r="T223">
            <v>93</v>
          </cell>
          <cell r="U223">
            <v>6</v>
          </cell>
          <cell r="V223">
            <v>93</v>
          </cell>
          <cell r="W223">
            <v>6</v>
          </cell>
          <cell r="X223">
            <v>93</v>
          </cell>
          <cell r="AF223" t="str">
            <v>00</v>
          </cell>
          <cell r="AI223">
            <v>6912000</v>
          </cell>
          <cell r="AJ223">
            <v>2581632</v>
          </cell>
        </row>
        <row r="224">
          <cell r="A224" t="str">
            <v>02</v>
          </cell>
          <cell r="B224" t="str">
            <v>41</v>
          </cell>
          <cell r="C224" t="str">
            <v>3328</v>
          </cell>
          <cell r="D224" t="str">
            <v>Пишущая машина Ятран</v>
          </cell>
          <cell r="E224" t="str">
            <v>ь</v>
          </cell>
          <cell r="F224" t="str">
            <v>1496618</v>
          </cell>
          <cell r="G224" t="str">
            <v>01</v>
          </cell>
          <cell r="H224">
            <v>1067</v>
          </cell>
          <cell r="I224">
            <v>200.06</v>
          </cell>
          <cell r="J224">
            <v>0</v>
          </cell>
          <cell r="K224">
            <v>0.04</v>
          </cell>
          <cell r="L224" t="str">
            <v>20</v>
          </cell>
          <cell r="M224" t="str">
            <v>44811</v>
          </cell>
          <cell r="N224" t="str">
            <v>14 3010103</v>
          </cell>
          <cell r="O224" t="str">
            <v>063</v>
          </cell>
          <cell r="P224">
            <v>12.5</v>
          </cell>
          <cell r="Q224">
            <v>0</v>
          </cell>
          <cell r="R224" t="str">
            <v>1</v>
          </cell>
          <cell r="S224" t="str">
            <v>44</v>
          </cell>
          <cell r="T224">
            <v>92</v>
          </cell>
          <cell r="U224">
            <v>6</v>
          </cell>
          <cell r="V224">
            <v>93</v>
          </cell>
          <cell r="W224">
            <v>6</v>
          </cell>
          <cell r="X224">
            <v>93</v>
          </cell>
          <cell r="AB224" t="str">
            <v>14</v>
          </cell>
          <cell r="AC224">
            <v>2</v>
          </cell>
          <cell r="AF224" t="str">
            <v>00</v>
          </cell>
          <cell r="AI224">
            <v>23828013</v>
          </cell>
          <cell r="AJ224">
            <v>13403257.359999999</v>
          </cell>
        </row>
        <row r="225">
          <cell r="A225" t="str">
            <v>02</v>
          </cell>
          <cell r="B225" t="str">
            <v>08</v>
          </cell>
          <cell r="C225" t="str">
            <v>3329</v>
          </cell>
          <cell r="D225" t="str">
            <v>Электро генераторСФО</v>
          </cell>
          <cell r="E225" t="str">
            <v>ч 60/65 ч1</v>
          </cell>
          <cell r="G225" t="str">
            <v>01</v>
          </cell>
          <cell r="H225">
            <v>4790</v>
          </cell>
          <cell r="I225">
            <v>474.21</v>
          </cell>
          <cell r="J225">
            <v>0</v>
          </cell>
          <cell r="K225">
            <v>0.99</v>
          </cell>
          <cell r="L225" t="str">
            <v>20</v>
          </cell>
          <cell r="M225" t="str">
            <v>40200</v>
          </cell>
          <cell r="N225" t="str">
            <v>14 3112220</v>
          </cell>
          <cell r="O225" t="str">
            <v>063</v>
          </cell>
          <cell r="P225">
            <v>6.6</v>
          </cell>
          <cell r="Q225">
            <v>0</v>
          </cell>
          <cell r="R225" t="str">
            <v>1</v>
          </cell>
          <cell r="S225" t="str">
            <v>40</v>
          </cell>
          <cell r="T225">
            <v>93</v>
          </cell>
          <cell r="U225">
            <v>6</v>
          </cell>
          <cell r="V225">
            <v>93</v>
          </cell>
          <cell r="W225">
            <v>6</v>
          </cell>
          <cell r="X225">
            <v>93</v>
          </cell>
          <cell r="AF225" t="str">
            <v>00</v>
          </cell>
          <cell r="AG225">
            <v>4830000</v>
          </cell>
          <cell r="AI225">
            <v>4830000</v>
          </cell>
          <cell r="AJ225">
            <v>1434510</v>
          </cell>
        </row>
        <row r="226">
          <cell r="A226" t="str">
            <v>02</v>
          </cell>
          <cell r="B226" t="str">
            <v>05</v>
          </cell>
          <cell r="C226" t="str">
            <v>3330</v>
          </cell>
          <cell r="D226" t="str">
            <v>Лодочный мотор Вихрь</v>
          </cell>
          <cell r="E226" t="str">
            <v>-30</v>
          </cell>
          <cell r="F226" t="str">
            <v>5257э</v>
          </cell>
          <cell r="G226" t="str">
            <v>01</v>
          </cell>
          <cell r="H226">
            <v>6712</v>
          </cell>
          <cell r="I226">
            <v>916.19</v>
          </cell>
          <cell r="J226">
            <v>0</v>
          </cell>
          <cell r="K226">
            <v>1.1599999999999999</v>
          </cell>
          <cell r="L226" t="str">
            <v>20</v>
          </cell>
          <cell r="M226" t="str">
            <v>70000</v>
          </cell>
          <cell r="N226" t="str">
            <v>14 2911110</v>
          </cell>
          <cell r="O226" t="str">
            <v>08</v>
          </cell>
          <cell r="P226">
            <v>9.1</v>
          </cell>
          <cell r="Q226">
            <v>0</v>
          </cell>
          <cell r="R226" t="str">
            <v>1</v>
          </cell>
          <cell r="S226" t="str">
            <v>70</v>
          </cell>
          <cell r="T226">
            <v>91</v>
          </cell>
          <cell r="U226">
            <v>6</v>
          </cell>
          <cell r="V226">
            <v>93</v>
          </cell>
          <cell r="W226">
            <v>6</v>
          </cell>
          <cell r="X226">
            <v>93</v>
          </cell>
          <cell r="AF226" t="str">
            <v>00</v>
          </cell>
          <cell r="AI226">
            <v>5807376</v>
          </cell>
          <cell r="AJ226">
            <v>2378120.65</v>
          </cell>
        </row>
        <row r="227">
          <cell r="A227" t="str">
            <v>02</v>
          </cell>
          <cell r="B227" t="str">
            <v>03</v>
          </cell>
          <cell r="C227" t="str">
            <v>3331</v>
          </cell>
          <cell r="D227" t="str">
            <v>Котел ДОН КС-ТВМ-16</v>
          </cell>
          <cell r="E227" t="str">
            <v>отопительный</v>
          </cell>
          <cell r="G227" t="str">
            <v>01</v>
          </cell>
          <cell r="H227">
            <v>7091.52</v>
          </cell>
          <cell r="I227">
            <v>531.86</v>
          </cell>
          <cell r="J227">
            <v>0</v>
          </cell>
          <cell r="K227">
            <v>1.51</v>
          </cell>
          <cell r="L227" t="str">
            <v>26</v>
          </cell>
          <cell r="M227" t="str">
            <v>40002</v>
          </cell>
          <cell r="N227" t="str">
            <v>14 2813101</v>
          </cell>
          <cell r="O227" t="str">
            <v>066</v>
          </cell>
          <cell r="P227">
            <v>5</v>
          </cell>
          <cell r="Q227">
            <v>0</v>
          </cell>
          <cell r="R227" t="str">
            <v>1</v>
          </cell>
          <cell r="S227" t="str">
            <v>40</v>
          </cell>
          <cell r="T227">
            <v>93</v>
          </cell>
          <cell r="U227">
            <v>6</v>
          </cell>
          <cell r="V227">
            <v>93</v>
          </cell>
          <cell r="W227">
            <v>6</v>
          </cell>
          <cell r="X227">
            <v>93</v>
          </cell>
          <cell r="AF227" t="str">
            <v>00</v>
          </cell>
          <cell r="AI227">
            <v>4696369</v>
          </cell>
          <cell r="AJ227">
            <v>1056683.3500000001</v>
          </cell>
        </row>
        <row r="228">
          <cell r="A228" t="str">
            <v>02</v>
          </cell>
          <cell r="B228" t="str">
            <v>03</v>
          </cell>
          <cell r="C228" t="str">
            <v>3332</v>
          </cell>
          <cell r="D228" t="str">
            <v>Котел ДОН КС-ТВМ-16</v>
          </cell>
          <cell r="E228" t="str">
            <v>отопительный</v>
          </cell>
          <cell r="G228" t="str">
            <v>01</v>
          </cell>
          <cell r="H228">
            <v>7091.52</v>
          </cell>
          <cell r="I228">
            <v>531.86</v>
          </cell>
          <cell r="J228">
            <v>0</v>
          </cell>
          <cell r="K228">
            <v>1.51</v>
          </cell>
          <cell r="L228" t="str">
            <v>26</v>
          </cell>
          <cell r="M228" t="str">
            <v>40002</v>
          </cell>
          <cell r="N228" t="str">
            <v>14 2813101</v>
          </cell>
          <cell r="O228" t="str">
            <v>066</v>
          </cell>
          <cell r="P228">
            <v>5</v>
          </cell>
          <cell r="Q228">
            <v>0</v>
          </cell>
          <cell r="R228" t="str">
            <v>1</v>
          </cell>
          <cell r="S228" t="str">
            <v>40</v>
          </cell>
          <cell r="T228">
            <v>93</v>
          </cell>
          <cell r="U228">
            <v>6</v>
          </cell>
          <cell r="V228">
            <v>93</v>
          </cell>
          <cell r="W228">
            <v>6</v>
          </cell>
          <cell r="X228">
            <v>93</v>
          </cell>
          <cell r="AF228" t="str">
            <v>00</v>
          </cell>
          <cell r="AI228">
            <v>4696369</v>
          </cell>
          <cell r="AJ228">
            <v>1056683.3500000001</v>
          </cell>
        </row>
        <row r="229">
          <cell r="A229" t="str">
            <v>02</v>
          </cell>
          <cell r="B229" t="str">
            <v>12</v>
          </cell>
          <cell r="C229" t="str">
            <v>3335</v>
          </cell>
          <cell r="D229" t="str">
            <v>Сеялка СЗП-3.6</v>
          </cell>
          <cell r="F229" t="str">
            <v>329</v>
          </cell>
          <cell r="G229" t="str">
            <v>01</v>
          </cell>
          <cell r="H229">
            <v>18755</v>
          </cell>
          <cell r="I229">
            <v>3094.58</v>
          </cell>
          <cell r="J229">
            <v>0</v>
          </cell>
          <cell r="K229">
            <v>1.01</v>
          </cell>
          <cell r="L229" t="str">
            <v>88/4</v>
          </cell>
          <cell r="M229" t="str">
            <v>45727</v>
          </cell>
          <cell r="N229" t="str">
            <v>14 2921000</v>
          </cell>
          <cell r="O229" t="str">
            <v>063</v>
          </cell>
          <cell r="P229">
            <v>11</v>
          </cell>
          <cell r="Q229">
            <v>0</v>
          </cell>
          <cell r="R229" t="str">
            <v>1</v>
          </cell>
          <cell r="S229" t="str">
            <v>45</v>
          </cell>
          <cell r="T229">
            <v>93</v>
          </cell>
          <cell r="U229">
            <v>6</v>
          </cell>
          <cell r="V229">
            <v>93</v>
          </cell>
          <cell r="W229">
            <v>6</v>
          </cell>
          <cell r="X229">
            <v>93</v>
          </cell>
          <cell r="AF229" t="str">
            <v>00</v>
          </cell>
          <cell r="AI229">
            <v>18565071</v>
          </cell>
          <cell r="AJ229">
            <v>9189710.4299999997</v>
          </cell>
        </row>
        <row r="230">
          <cell r="A230" t="str">
            <v>02</v>
          </cell>
          <cell r="B230" t="str">
            <v>12</v>
          </cell>
          <cell r="C230" t="str">
            <v>3336</v>
          </cell>
          <cell r="D230" t="str">
            <v>Сеялка СЗП-3.6</v>
          </cell>
          <cell r="F230" t="str">
            <v>330</v>
          </cell>
          <cell r="G230" t="str">
            <v>01</v>
          </cell>
          <cell r="H230">
            <v>18755</v>
          </cell>
          <cell r="I230">
            <v>3094.58</v>
          </cell>
          <cell r="J230">
            <v>0</v>
          </cell>
          <cell r="K230">
            <v>1.01</v>
          </cell>
          <cell r="L230" t="str">
            <v>88/4</v>
          </cell>
          <cell r="M230" t="str">
            <v>45727</v>
          </cell>
          <cell r="N230" t="str">
            <v>14 2921000</v>
          </cell>
          <cell r="O230" t="str">
            <v>063</v>
          </cell>
          <cell r="P230">
            <v>11</v>
          </cell>
          <cell r="Q230">
            <v>0</v>
          </cell>
          <cell r="R230" t="str">
            <v>1</v>
          </cell>
          <cell r="S230" t="str">
            <v>45</v>
          </cell>
          <cell r="T230">
            <v>93</v>
          </cell>
          <cell r="U230">
            <v>6</v>
          </cell>
          <cell r="V230">
            <v>93</v>
          </cell>
          <cell r="W230">
            <v>6</v>
          </cell>
          <cell r="X230">
            <v>93</v>
          </cell>
          <cell r="AF230" t="str">
            <v>00</v>
          </cell>
          <cell r="AI230">
            <v>18565071</v>
          </cell>
          <cell r="AJ230">
            <v>9189710.4299999997</v>
          </cell>
        </row>
        <row r="231">
          <cell r="A231" t="str">
            <v>02</v>
          </cell>
          <cell r="B231" t="str">
            <v>12</v>
          </cell>
          <cell r="C231" t="str">
            <v>3337</v>
          </cell>
          <cell r="D231" t="str">
            <v>СЕЯЛКА СЗП-3.6</v>
          </cell>
          <cell r="F231" t="str">
            <v>339</v>
          </cell>
          <cell r="G231" t="str">
            <v>01</v>
          </cell>
          <cell r="H231">
            <v>18755</v>
          </cell>
          <cell r="I231">
            <v>3094.58</v>
          </cell>
          <cell r="J231">
            <v>0</v>
          </cell>
          <cell r="K231">
            <v>1.01</v>
          </cell>
          <cell r="L231" t="str">
            <v>88/4</v>
          </cell>
          <cell r="M231" t="str">
            <v>45727</v>
          </cell>
          <cell r="N231" t="str">
            <v>14 2921000</v>
          </cell>
          <cell r="O231" t="str">
            <v>063</v>
          </cell>
          <cell r="P231">
            <v>11</v>
          </cell>
          <cell r="Q231">
            <v>0</v>
          </cell>
          <cell r="R231" t="str">
            <v>1</v>
          </cell>
          <cell r="S231" t="str">
            <v>45</v>
          </cell>
          <cell r="T231">
            <v>93</v>
          </cell>
          <cell r="U231">
            <v>6</v>
          </cell>
          <cell r="V231">
            <v>93</v>
          </cell>
          <cell r="W231">
            <v>6</v>
          </cell>
          <cell r="X231">
            <v>93</v>
          </cell>
          <cell r="AF231" t="str">
            <v>00</v>
          </cell>
          <cell r="AI231">
            <v>18565071</v>
          </cell>
          <cell r="AJ231">
            <v>9189710.4299999997</v>
          </cell>
        </row>
        <row r="232">
          <cell r="A232" t="str">
            <v>02</v>
          </cell>
          <cell r="B232" t="str">
            <v>99</v>
          </cell>
          <cell r="C232" t="str">
            <v>3343</v>
          </cell>
          <cell r="D232" t="str">
            <v>Эл.шлифмашина МА-180</v>
          </cell>
          <cell r="E232" t="str">
            <v>0</v>
          </cell>
          <cell r="G232" t="str">
            <v>01</v>
          </cell>
          <cell r="H232">
            <v>820</v>
          </cell>
          <cell r="I232">
            <v>111.93</v>
          </cell>
          <cell r="J232">
            <v>0</v>
          </cell>
          <cell r="K232">
            <v>0.36</v>
          </cell>
          <cell r="L232" t="str">
            <v>20</v>
          </cell>
          <cell r="M232" t="str">
            <v>60000</v>
          </cell>
          <cell r="N232" t="str">
            <v>14 2947196</v>
          </cell>
          <cell r="O232" t="str">
            <v>08</v>
          </cell>
          <cell r="P232">
            <v>50</v>
          </cell>
          <cell r="Q232">
            <v>0</v>
          </cell>
          <cell r="R232" t="str">
            <v>1</v>
          </cell>
          <cell r="S232" t="str">
            <v>70</v>
          </cell>
          <cell r="T232">
            <v>92</v>
          </cell>
          <cell r="U232">
            <v>6</v>
          </cell>
          <cell r="V232">
            <v>93</v>
          </cell>
          <cell r="W232">
            <v>6</v>
          </cell>
          <cell r="X232">
            <v>93</v>
          </cell>
          <cell r="AF232" t="str">
            <v>00</v>
          </cell>
          <cell r="AI232">
            <v>2268000</v>
          </cell>
          <cell r="AJ232">
            <v>2268000</v>
          </cell>
        </row>
        <row r="233">
          <cell r="A233" t="str">
            <v>02</v>
          </cell>
          <cell r="B233" t="str">
            <v>02</v>
          </cell>
          <cell r="C233" t="str">
            <v>3345</v>
          </cell>
          <cell r="D233" t="str">
            <v>Эл.шлифмашина МА-180</v>
          </cell>
          <cell r="E233" t="str">
            <v>0</v>
          </cell>
          <cell r="G233" t="str">
            <v>01</v>
          </cell>
          <cell r="H233">
            <v>820</v>
          </cell>
          <cell r="I233">
            <v>111.93</v>
          </cell>
          <cell r="J233">
            <v>0</v>
          </cell>
          <cell r="K233">
            <v>0.36</v>
          </cell>
          <cell r="L233" t="str">
            <v>20</v>
          </cell>
          <cell r="M233" t="str">
            <v>60000</v>
          </cell>
          <cell r="N233" t="str">
            <v>14 2947196</v>
          </cell>
          <cell r="O233" t="str">
            <v>08</v>
          </cell>
          <cell r="P233">
            <v>50</v>
          </cell>
          <cell r="Q233">
            <v>0</v>
          </cell>
          <cell r="R233" t="str">
            <v>1</v>
          </cell>
          <cell r="S233" t="str">
            <v>70</v>
          </cell>
          <cell r="T233">
            <v>92</v>
          </cell>
          <cell r="U233">
            <v>6</v>
          </cell>
          <cell r="V233">
            <v>93</v>
          </cell>
          <cell r="W233">
            <v>6</v>
          </cell>
          <cell r="X233">
            <v>93</v>
          </cell>
          <cell r="AF233" t="str">
            <v>00</v>
          </cell>
          <cell r="AI233">
            <v>2268000</v>
          </cell>
          <cell r="AJ233">
            <v>2268000</v>
          </cell>
        </row>
        <row r="234">
          <cell r="A234" t="str">
            <v>02</v>
          </cell>
          <cell r="B234" t="str">
            <v>05</v>
          </cell>
          <cell r="C234" t="str">
            <v>3347</v>
          </cell>
          <cell r="D234" t="str">
            <v>Водолазный БОТ 1527</v>
          </cell>
          <cell r="E234" t="str">
            <v>РВМ-376  Сосновский</v>
          </cell>
          <cell r="F234" t="str">
            <v>судостр.з-д</v>
          </cell>
          <cell r="G234" t="str">
            <v>01</v>
          </cell>
          <cell r="H234">
            <v>920000</v>
          </cell>
          <cell r="I234">
            <v>77280</v>
          </cell>
          <cell r="J234">
            <v>0</v>
          </cell>
          <cell r="K234">
            <v>0.82</v>
          </cell>
          <cell r="L234" t="str">
            <v>20</v>
          </cell>
          <cell r="M234" t="str">
            <v>42402</v>
          </cell>
          <cell r="N234" t="str">
            <v>15 3511232</v>
          </cell>
          <cell r="O234" t="str">
            <v>067</v>
          </cell>
          <cell r="P234">
            <v>5.6</v>
          </cell>
          <cell r="Q234">
            <v>0</v>
          </cell>
          <cell r="R234" t="str">
            <v>1</v>
          </cell>
          <cell r="S234" t="str">
            <v>42</v>
          </cell>
          <cell r="T234">
            <v>92</v>
          </cell>
          <cell r="U234">
            <v>6</v>
          </cell>
          <cell r="V234">
            <v>93</v>
          </cell>
          <cell r="W234">
            <v>6</v>
          </cell>
          <cell r="X234">
            <v>93</v>
          </cell>
          <cell r="AF234" t="str">
            <v>00</v>
          </cell>
          <cell r="AI234">
            <v>1127226620</v>
          </cell>
          <cell r="AJ234">
            <v>284061108.12</v>
          </cell>
        </row>
        <row r="235">
          <cell r="A235" t="str">
            <v>02</v>
          </cell>
          <cell r="B235" t="str">
            <v>05</v>
          </cell>
          <cell r="C235" t="str">
            <v>3348</v>
          </cell>
          <cell r="D235" t="str">
            <v>Водолазный БОТ РВМ-3</v>
          </cell>
          <cell r="E235" t="str">
            <v>76 Сосновский судост</v>
          </cell>
          <cell r="F235" t="str">
            <v>р.з-д</v>
          </cell>
          <cell r="G235" t="str">
            <v>01</v>
          </cell>
          <cell r="H235">
            <v>920000</v>
          </cell>
          <cell r="I235">
            <v>77280</v>
          </cell>
          <cell r="J235">
            <v>0</v>
          </cell>
          <cell r="K235">
            <v>0.82</v>
          </cell>
          <cell r="L235" t="str">
            <v>20</v>
          </cell>
          <cell r="M235" t="str">
            <v>42402</v>
          </cell>
          <cell r="N235" t="str">
            <v>15 3511232</v>
          </cell>
          <cell r="O235" t="str">
            <v>067</v>
          </cell>
          <cell r="P235">
            <v>5.6</v>
          </cell>
          <cell r="Q235">
            <v>0</v>
          </cell>
          <cell r="R235" t="str">
            <v>1</v>
          </cell>
          <cell r="S235" t="str">
            <v>42</v>
          </cell>
          <cell r="T235">
            <v>92</v>
          </cell>
          <cell r="U235">
            <v>6</v>
          </cell>
          <cell r="V235">
            <v>93</v>
          </cell>
          <cell r="W235">
            <v>6</v>
          </cell>
          <cell r="X235">
            <v>93</v>
          </cell>
          <cell r="AF235" t="str">
            <v>00</v>
          </cell>
          <cell r="AI235">
            <v>1127226620</v>
          </cell>
          <cell r="AJ235">
            <v>284061108.12</v>
          </cell>
        </row>
        <row r="236">
          <cell r="A236" t="str">
            <v>02</v>
          </cell>
          <cell r="B236" t="str">
            <v>80</v>
          </cell>
          <cell r="C236" t="str">
            <v>3349</v>
          </cell>
          <cell r="D236" t="str">
            <v>ПЭВМ</v>
          </cell>
          <cell r="G236" t="str">
            <v>01</v>
          </cell>
          <cell r="H236">
            <v>3500</v>
          </cell>
          <cell r="I236">
            <v>525</v>
          </cell>
          <cell r="J236">
            <v>7018.4</v>
          </cell>
          <cell r="K236">
            <v>0.5</v>
          </cell>
          <cell r="L236" t="str">
            <v>26</v>
          </cell>
          <cell r="M236" t="str">
            <v>48008</v>
          </cell>
          <cell r="N236" t="str">
            <v>14 3020203</v>
          </cell>
          <cell r="O236" t="str">
            <v>063</v>
          </cell>
          <cell r="P236">
            <v>10</v>
          </cell>
          <cell r="Q236">
            <v>0</v>
          </cell>
          <cell r="R236" t="str">
            <v>1</v>
          </cell>
          <cell r="S236" t="str">
            <v>48</v>
          </cell>
          <cell r="T236">
            <v>93</v>
          </cell>
          <cell r="U236">
            <v>6</v>
          </cell>
          <cell r="V236">
            <v>93</v>
          </cell>
          <cell r="W236">
            <v>6</v>
          </cell>
          <cell r="X236">
            <v>93</v>
          </cell>
          <cell r="Y236">
            <v>6</v>
          </cell>
          <cell r="Z236">
            <v>99</v>
          </cell>
          <cell r="AF236" t="str">
            <v>00</v>
          </cell>
          <cell r="AI236">
            <v>7035700</v>
          </cell>
          <cell r="AJ236">
            <v>3166065</v>
          </cell>
        </row>
        <row r="237">
          <cell r="A237" t="str">
            <v>02</v>
          </cell>
          <cell r="B237" t="str">
            <v>80</v>
          </cell>
          <cell r="C237" t="str">
            <v>3350</v>
          </cell>
          <cell r="D237" t="str">
            <v xml:space="preserve"> ПВЭМ</v>
          </cell>
          <cell r="G237" t="str">
            <v>01</v>
          </cell>
          <cell r="H237">
            <v>3500</v>
          </cell>
          <cell r="I237">
            <v>525</v>
          </cell>
          <cell r="J237">
            <v>0</v>
          </cell>
          <cell r="K237">
            <v>0.5</v>
          </cell>
          <cell r="L237" t="str">
            <v>26</v>
          </cell>
          <cell r="M237" t="str">
            <v>48008</v>
          </cell>
          <cell r="N237" t="str">
            <v>14 3020203</v>
          </cell>
          <cell r="O237" t="str">
            <v>063</v>
          </cell>
          <cell r="P237">
            <v>10</v>
          </cell>
          <cell r="Q237">
            <v>0</v>
          </cell>
          <cell r="R237" t="str">
            <v>1</v>
          </cell>
          <cell r="S237" t="str">
            <v>48</v>
          </cell>
          <cell r="T237">
            <v>93</v>
          </cell>
          <cell r="U237">
            <v>6</v>
          </cell>
          <cell r="V237">
            <v>93</v>
          </cell>
          <cell r="W237">
            <v>6</v>
          </cell>
          <cell r="X237">
            <v>93</v>
          </cell>
          <cell r="AF237" t="str">
            <v>00</v>
          </cell>
          <cell r="AI237">
            <v>7035700</v>
          </cell>
          <cell r="AJ237">
            <v>3166065</v>
          </cell>
        </row>
        <row r="238">
          <cell r="A238" t="str">
            <v>02</v>
          </cell>
          <cell r="B238" t="str">
            <v>55</v>
          </cell>
          <cell r="C238" t="str">
            <v>3351</v>
          </cell>
          <cell r="D238" t="str">
            <v>ПВЭМ РС-486 с лазерн</v>
          </cell>
          <cell r="E238" t="str">
            <v>ым принтером</v>
          </cell>
          <cell r="G238" t="str">
            <v>01</v>
          </cell>
          <cell r="H238">
            <v>6556</v>
          </cell>
          <cell r="I238">
            <v>907</v>
          </cell>
          <cell r="J238">
            <v>0</v>
          </cell>
          <cell r="K238">
            <v>0.5</v>
          </cell>
          <cell r="L238" t="str">
            <v>26</v>
          </cell>
          <cell r="M238" t="str">
            <v>48008</v>
          </cell>
          <cell r="N238" t="str">
            <v>14 3020201</v>
          </cell>
          <cell r="O238" t="str">
            <v>063</v>
          </cell>
          <cell r="P238">
            <v>10</v>
          </cell>
          <cell r="Q238">
            <v>0</v>
          </cell>
          <cell r="R238" t="str">
            <v>1</v>
          </cell>
          <cell r="S238" t="str">
            <v>48</v>
          </cell>
          <cell r="T238">
            <v>93</v>
          </cell>
          <cell r="U238">
            <v>6</v>
          </cell>
          <cell r="V238">
            <v>93</v>
          </cell>
          <cell r="W238">
            <v>6</v>
          </cell>
          <cell r="X238">
            <v>93</v>
          </cell>
          <cell r="AF238" t="str">
            <v>00</v>
          </cell>
          <cell r="AI238">
            <v>7035700</v>
          </cell>
          <cell r="AJ238">
            <v>3166065</v>
          </cell>
        </row>
        <row r="239">
          <cell r="A239" t="str">
            <v>02</v>
          </cell>
          <cell r="B239" t="str">
            <v>80</v>
          </cell>
          <cell r="C239" t="str">
            <v>3353</v>
          </cell>
          <cell r="D239" t="str">
            <v>ПАННО худож. резьба</v>
          </cell>
          <cell r="E239" t="str">
            <v>по дереву сборщица в</v>
          </cell>
          <cell r="G239" t="str">
            <v>01</v>
          </cell>
          <cell r="H239">
            <v>21402.66</v>
          </cell>
          <cell r="I239">
            <v>642.08000000000004</v>
          </cell>
          <cell r="J239">
            <v>0</v>
          </cell>
          <cell r="K239">
            <v>1.26</v>
          </cell>
          <cell r="L239" t="str">
            <v>88/2</v>
          </cell>
          <cell r="M239" t="str">
            <v>70007</v>
          </cell>
          <cell r="N239" t="str">
            <v>19 0001034</v>
          </cell>
          <cell r="O239" t="str">
            <v>08</v>
          </cell>
          <cell r="P239">
            <v>2</v>
          </cell>
          <cell r="Q239">
            <v>0</v>
          </cell>
          <cell r="R239" t="str">
            <v>1</v>
          </cell>
          <cell r="S239" t="str">
            <v>70</v>
          </cell>
          <cell r="T239">
            <v>93</v>
          </cell>
          <cell r="U239">
            <v>6</v>
          </cell>
          <cell r="V239">
            <v>93</v>
          </cell>
          <cell r="W239">
            <v>6</v>
          </cell>
          <cell r="X239">
            <v>93</v>
          </cell>
          <cell r="AF239" t="str">
            <v>00</v>
          </cell>
          <cell r="AI239">
            <v>16986240</v>
          </cell>
          <cell r="AJ239">
            <v>1528761.6</v>
          </cell>
        </row>
        <row r="240">
          <cell r="A240" t="str">
            <v>15</v>
          </cell>
          <cell r="B240" t="str">
            <v>81</v>
          </cell>
          <cell r="C240" t="str">
            <v>3354</v>
          </cell>
          <cell r="D240" t="str">
            <v>ПАННО худож.резьбы п</v>
          </cell>
          <cell r="E240" t="str">
            <v>о дереву ЛОСИ</v>
          </cell>
          <cell r="G240" t="str">
            <v>01</v>
          </cell>
          <cell r="H240">
            <v>39191.040000000001</v>
          </cell>
          <cell r="I240">
            <v>1175.73</v>
          </cell>
          <cell r="J240">
            <v>0</v>
          </cell>
          <cell r="K240">
            <v>1.26</v>
          </cell>
          <cell r="L240" t="str">
            <v>88/2</v>
          </cell>
          <cell r="M240" t="str">
            <v>70007</v>
          </cell>
          <cell r="N240" t="str">
            <v>19 0001034</v>
          </cell>
          <cell r="O240" t="str">
            <v>08</v>
          </cell>
          <cell r="P240">
            <v>2</v>
          </cell>
          <cell r="Q240">
            <v>0</v>
          </cell>
          <cell r="R240" t="str">
            <v>1</v>
          </cell>
          <cell r="S240" t="str">
            <v>70</v>
          </cell>
          <cell r="T240">
            <v>93</v>
          </cell>
          <cell r="U240">
            <v>6</v>
          </cell>
          <cell r="V240">
            <v>93</v>
          </cell>
          <cell r="W240">
            <v>6</v>
          </cell>
          <cell r="X240">
            <v>93</v>
          </cell>
          <cell r="AB240" t="str">
            <v>14</v>
          </cell>
          <cell r="AC240">
            <v>2</v>
          </cell>
          <cell r="AF240" t="str">
            <v>15</v>
          </cell>
          <cell r="AI240">
            <v>31104000</v>
          </cell>
          <cell r="AJ240">
            <v>2799360</v>
          </cell>
        </row>
        <row r="241">
          <cell r="A241" t="str">
            <v>02</v>
          </cell>
          <cell r="B241" t="str">
            <v>02</v>
          </cell>
          <cell r="C241" t="str">
            <v>3355</v>
          </cell>
          <cell r="D241" t="str">
            <v>Эксковатор ДХ-411</v>
          </cell>
          <cell r="G241" t="str">
            <v>01</v>
          </cell>
          <cell r="H241">
            <v>720000</v>
          </cell>
          <cell r="I241">
            <v>83160</v>
          </cell>
          <cell r="J241">
            <v>0</v>
          </cell>
          <cell r="K241">
            <v>0.89</v>
          </cell>
          <cell r="L241" t="str">
            <v>20</v>
          </cell>
          <cell r="M241" t="str">
            <v>41804</v>
          </cell>
          <cell r="N241" t="str">
            <v>14 2924335</v>
          </cell>
          <cell r="O241" t="str">
            <v>064</v>
          </cell>
          <cell r="P241">
            <v>7.7</v>
          </cell>
          <cell r="Q241">
            <v>0</v>
          </cell>
          <cell r="R241" t="str">
            <v>1</v>
          </cell>
          <cell r="S241" t="str">
            <v>41</v>
          </cell>
          <cell r="T241">
            <v>91</v>
          </cell>
          <cell r="U241">
            <v>6</v>
          </cell>
          <cell r="V241">
            <v>93</v>
          </cell>
          <cell r="W241">
            <v>6</v>
          </cell>
          <cell r="X241">
            <v>93</v>
          </cell>
          <cell r="AB241" t="str">
            <v>14</v>
          </cell>
          <cell r="AC241">
            <v>10</v>
          </cell>
          <cell r="AF241" t="str">
            <v>00</v>
          </cell>
          <cell r="AI241">
            <v>813418997</v>
          </cell>
          <cell r="AJ241">
            <v>281849682.31</v>
          </cell>
        </row>
        <row r="242">
          <cell r="A242" t="str">
            <v>02</v>
          </cell>
          <cell r="B242" t="str">
            <v>23</v>
          </cell>
          <cell r="C242" t="str">
            <v>3358</v>
          </cell>
          <cell r="D242" t="str">
            <v>Автобус ПАЗ-3205</v>
          </cell>
          <cell r="E242" t="str">
            <v>NоС 613 УС</v>
          </cell>
          <cell r="F242" t="str">
            <v>дв15236 ш9300394</v>
          </cell>
          <cell r="G242" t="str">
            <v>01</v>
          </cell>
          <cell r="H242">
            <v>87800</v>
          </cell>
          <cell r="I242">
            <v>13172.36</v>
          </cell>
          <cell r="J242">
            <v>0</v>
          </cell>
          <cell r="K242">
            <v>0.9</v>
          </cell>
          <cell r="L242" t="str">
            <v>23</v>
          </cell>
          <cell r="M242" t="str">
            <v>50423</v>
          </cell>
          <cell r="N242" t="str">
            <v>15 3410260</v>
          </cell>
          <cell r="O242" t="str">
            <v>072</v>
          </cell>
          <cell r="P242">
            <v>10</v>
          </cell>
          <cell r="Q242">
            <v>0</v>
          </cell>
          <cell r="R242" t="str">
            <v>1</v>
          </cell>
          <cell r="S242" t="str">
            <v>50</v>
          </cell>
          <cell r="T242">
            <v>93</v>
          </cell>
          <cell r="U242">
            <v>6</v>
          </cell>
          <cell r="V242">
            <v>93</v>
          </cell>
          <cell r="W242">
            <v>6</v>
          </cell>
          <cell r="X242">
            <v>93</v>
          </cell>
          <cell r="AF242" t="str">
            <v>00</v>
          </cell>
          <cell r="AI242">
            <v>97777778</v>
          </cell>
          <cell r="AJ242">
            <v>44002623.649999999</v>
          </cell>
        </row>
        <row r="243">
          <cell r="A243" t="str">
            <v>02</v>
          </cell>
          <cell r="B243" t="str">
            <v>23</v>
          </cell>
          <cell r="C243" t="str">
            <v>3359</v>
          </cell>
          <cell r="D243" t="str">
            <v>А/машина ГАЗ 3307</v>
          </cell>
          <cell r="E243" t="str">
            <v>СПЭИИ.N 14-58кшш</v>
          </cell>
          <cell r="F243" t="str">
            <v>дв0033682 ш1543247</v>
          </cell>
          <cell r="G243" t="str">
            <v>01</v>
          </cell>
          <cell r="H243">
            <v>67800</v>
          </cell>
          <cell r="I243">
            <v>14543.1</v>
          </cell>
          <cell r="J243">
            <v>0</v>
          </cell>
          <cell r="K243">
            <v>0.53</v>
          </cell>
          <cell r="L243" t="str">
            <v>23</v>
          </cell>
          <cell r="M243" t="str">
            <v>50401</v>
          </cell>
          <cell r="N243" t="str">
            <v>15 3410340</v>
          </cell>
          <cell r="O243" t="str">
            <v>075</v>
          </cell>
          <cell r="P243">
            <v>14.3</v>
          </cell>
          <cell r="Q243">
            <v>0</v>
          </cell>
          <cell r="R243" t="str">
            <v>1</v>
          </cell>
          <cell r="S243" t="str">
            <v>50</v>
          </cell>
          <cell r="T243">
            <v>93</v>
          </cell>
          <cell r="U243">
            <v>6</v>
          </cell>
          <cell r="V243">
            <v>93</v>
          </cell>
          <cell r="W243">
            <v>6</v>
          </cell>
          <cell r="X243">
            <v>93</v>
          </cell>
          <cell r="AF243" t="str">
            <v>00</v>
          </cell>
          <cell r="AI243">
            <v>128888889</v>
          </cell>
          <cell r="AJ243">
            <v>82940000.170000002</v>
          </cell>
        </row>
        <row r="244">
          <cell r="A244" t="str">
            <v>02</v>
          </cell>
          <cell r="B244" t="str">
            <v>23</v>
          </cell>
          <cell r="C244" t="str">
            <v>3360</v>
          </cell>
          <cell r="D244" t="str">
            <v>ЗИЛ-131 битумозаправ</v>
          </cell>
          <cell r="E244" t="str">
            <v>БВ-43 спец.госN13-55</v>
          </cell>
          <cell r="F244" t="str">
            <v>КШШ дв030195 ш037656</v>
          </cell>
          <cell r="G244" t="str">
            <v>01</v>
          </cell>
          <cell r="H244">
            <v>157000</v>
          </cell>
          <cell r="I244">
            <v>23550</v>
          </cell>
          <cell r="J244">
            <v>0</v>
          </cell>
          <cell r="K244">
            <v>1.1399999999999999</v>
          </cell>
          <cell r="L244" t="str">
            <v>23</v>
          </cell>
          <cell r="M244" t="str">
            <v>42100</v>
          </cell>
          <cell r="N244" t="str">
            <v>15 3410372</v>
          </cell>
          <cell r="O244" t="str">
            <v>067</v>
          </cell>
          <cell r="P244">
            <v>10</v>
          </cell>
          <cell r="Q244">
            <v>0</v>
          </cell>
          <cell r="R244" t="str">
            <v>1</v>
          </cell>
          <cell r="S244" t="str">
            <v>50</v>
          </cell>
          <cell r="T244">
            <v>92</v>
          </cell>
          <cell r="U244">
            <v>6</v>
          </cell>
          <cell r="V244">
            <v>93</v>
          </cell>
          <cell r="W244">
            <v>6</v>
          </cell>
          <cell r="X244">
            <v>93</v>
          </cell>
          <cell r="AF244" t="str">
            <v>00</v>
          </cell>
          <cell r="AI244">
            <v>137777778</v>
          </cell>
          <cell r="AJ244">
            <v>62000000.100000001</v>
          </cell>
        </row>
        <row r="245">
          <cell r="A245" t="str">
            <v>02</v>
          </cell>
          <cell r="B245" t="str">
            <v>23</v>
          </cell>
          <cell r="C245" t="str">
            <v>3361</v>
          </cell>
          <cell r="D245" t="str">
            <v>А/м УАЗ-31512 спец.</v>
          </cell>
          <cell r="E245" t="str">
            <v>легковая Nо95-23 КШВ</v>
          </cell>
          <cell r="F245" t="str">
            <v>дв21107202 ш402819</v>
          </cell>
          <cell r="G245" t="str">
            <v>01</v>
          </cell>
          <cell r="H245">
            <v>30623</v>
          </cell>
          <cell r="I245">
            <v>6568.63</v>
          </cell>
          <cell r="J245">
            <v>0</v>
          </cell>
          <cell r="K245">
            <v>0.86</v>
          </cell>
          <cell r="L245" t="str">
            <v>26</v>
          </cell>
          <cell r="M245" t="str">
            <v>50416</v>
          </cell>
          <cell r="N245" t="str">
            <v>15 3410180</v>
          </cell>
          <cell r="O245" t="str">
            <v>071</v>
          </cell>
          <cell r="P245">
            <v>14.3</v>
          </cell>
          <cell r="Q245">
            <v>0</v>
          </cell>
          <cell r="R245" t="str">
            <v>1</v>
          </cell>
          <cell r="S245" t="str">
            <v>50</v>
          </cell>
          <cell r="T245">
            <v>93</v>
          </cell>
          <cell r="U245">
            <v>6</v>
          </cell>
          <cell r="V245">
            <v>93</v>
          </cell>
          <cell r="W245">
            <v>6</v>
          </cell>
          <cell r="X245">
            <v>93</v>
          </cell>
          <cell r="AF245" t="str">
            <v>00</v>
          </cell>
          <cell r="AI245">
            <v>35555556</v>
          </cell>
          <cell r="AJ245">
            <v>22880000.260000002</v>
          </cell>
        </row>
        <row r="246">
          <cell r="A246" t="str">
            <v>02</v>
          </cell>
          <cell r="B246" t="str">
            <v>23</v>
          </cell>
          <cell r="C246" t="str">
            <v>3362</v>
          </cell>
          <cell r="D246" t="str">
            <v>А/м УАЗ-3741 спец</v>
          </cell>
          <cell r="E246" t="str">
            <v>NоУ833ЕУ</v>
          </cell>
          <cell r="F246" t="str">
            <v>дв20909497 ш0170531</v>
          </cell>
          <cell r="G246" t="str">
            <v>01</v>
          </cell>
          <cell r="H246">
            <v>71419.259999999995</v>
          </cell>
          <cell r="I246">
            <v>15319.43</v>
          </cell>
          <cell r="J246">
            <v>0</v>
          </cell>
          <cell r="K246">
            <v>1.31</v>
          </cell>
          <cell r="L246" t="str">
            <v>23</v>
          </cell>
          <cell r="M246" t="str">
            <v>50416</v>
          </cell>
          <cell r="N246" t="str">
            <v>15 3410165</v>
          </cell>
          <cell r="O246" t="str">
            <v>071</v>
          </cell>
          <cell r="P246">
            <v>14.3</v>
          </cell>
          <cell r="Q246">
            <v>0</v>
          </cell>
          <cell r="R246" t="str">
            <v>1</v>
          </cell>
          <cell r="S246" t="str">
            <v>50</v>
          </cell>
          <cell r="T246">
            <v>92</v>
          </cell>
          <cell r="U246">
            <v>6</v>
          </cell>
          <cell r="V246">
            <v>93</v>
          </cell>
          <cell r="W246">
            <v>6</v>
          </cell>
          <cell r="X246">
            <v>93</v>
          </cell>
          <cell r="AF246" t="str">
            <v>00</v>
          </cell>
          <cell r="AI246">
            <v>54518519</v>
          </cell>
          <cell r="AJ246">
            <v>35082667.039999999</v>
          </cell>
        </row>
        <row r="247">
          <cell r="A247" t="str">
            <v>02</v>
          </cell>
          <cell r="B247" t="str">
            <v>23</v>
          </cell>
          <cell r="C247" t="str">
            <v>3363</v>
          </cell>
          <cell r="D247" t="str">
            <v>А/поезд КАМАЗ с приц</v>
          </cell>
          <cell r="E247" t="str">
            <v>Nо В 895 ОВ груз.с/с</v>
          </cell>
          <cell r="F247" t="str">
            <v>дв б/н  ш2034041</v>
          </cell>
          <cell r="G247" t="str">
            <v>01</v>
          </cell>
          <cell r="H247">
            <v>191279.41</v>
          </cell>
          <cell r="I247">
            <v>32936.519999999997</v>
          </cell>
          <cell r="J247">
            <v>0</v>
          </cell>
          <cell r="K247">
            <v>1.31</v>
          </cell>
          <cell r="L247" t="str">
            <v>23</v>
          </cell>
          <cell r="M247" t="str">
            <v>50403</v>
          </cell>
          <cell r="N247" t="str">
            <v>15 3410196</v>
          </cell>
          <cell r="O247" t="str">
            <v>075</v>
          </cell>
          <cell r="P247">
            <v>0.37</v>
          </cell>
          <cell r="Q247">
            <v>0</v>
          </cell>
          <cell r="R247" t="str">
            <v>1</v>
          </cell>
          <cell r="S247" t="str">
            <v>50</v>
          </cell>
          <cell r="T247">
            <v>92</v>
          </cell>
          <cell r="U247">
            <v>6</v>
          </cell>
          <cell r="V247">
            <v>93</v>
          </cell>
          <cell r="W247">
            <v>6</v>
          </cell>
          <cell r="X247">
            <v>93</v>
          </cell>
          <cell r="AF247" t="str">
            <v>00</v>
          </cell>
          <cell r="AI247">
            <v>146014815</v>
          </cell>
          <cell r="AJ247">
            <v>71494080.75</v>
          </cell>
        </row>
        <row r="248">
          <cell r="A248" t="str">
            <v>02</v>
          </cell>
          <cell r="B248" t="str">
            <v>23</v>
          </cell>
          <cell r="C248" t="str">
            <v>3364</v>
          </cell>
          <cell r="D248" t="str">
            <v>Автобус КАРОСА</v>
          </cell>
          <cell r="E248" t="str">
            <v>Nо09-06 КШШ</v>
          </cell>
          <cell r="F248" t="str">
            <v>дв6090087 ш32619</v>
          </cell>
          <cell r="G248" t="str">
            <v>01</v>
          </cell>
          <cell r="H248">
            <v>183060</v>
          </cell>
          <cell r="I248">
            <v>24987.69</v>
          </cell>
          <cell r="J248">
            <v>0</v>
          </cell>
          <cell r="K248">
            <v>0.66</v>
          </cell>
          <cell r="L248" t="str">
            <v>23</v>
          </cell>
          <cell r="M248" t="str">
            <v>50425</v>
          </cell>
          <cell r="N248" t="str">
            <v>15 3410280</v>
          </cell>
          <cell r="O248" t="str">
            <v>072</v>
          </cell>
          <cell r="P248">
            <v>9.1</v>
          </cell>
          <cell r="Q248">
            <v>0</v>
          </cell>
          <cell r="R248" t="str">
            <v>1</v>
          </cell>
          <cell r="S248" t="str">
            <v>50</v>
          </cell>
          <cell r="T248">
            <v>93</v>
          </cell>
          <cell r="U248">
            <v>6</v>
          </cell>
          <cell r="V248">
            <v>93</v>
          </cell>
          <cell r="W248">
            <v>6</v>
          </cell>
          <cell r="X248">
            <v>93</v>
          </cell>
          <cell r="AF248" t="str">
            <v>00</v>
          </cell>
          <cell r="AI248">
            <v>276467688</v>
          </cell>
          <cell r="AJ248">
            <v>113213518.09</v>
          </cell>
        </row>
        <row r="249">
          <cell r="A249" t="str">
            <v>02</v>
          </cell>
          <cell r="B249" t="str">
            <v>12</v>
          </cell>
          <cell r="C249" t="str">
            <v>3367</v>
          </cell>
          <cell r="D249" t="str">
            <v>Трактор ЮМЗ-6л</v>
          </cell>
          <cell r="F249" t="str">
            <v>873954</v>
          </cell>
          <cell r="G249" t="str">
            <v>01</v>
          </cell>
          <cell r="H249">
            <v>51000</v>
          </cell>
          <cell r="I249">
            <v>6961.5</v>
          </cell>
          <cell r="J249">
            <v>0</v>
          </cell>
          <cell r="K249">
            <v>1.1100000000000001</v>
          </cell>
          <cell r="L249" t="str">
            <v>88/4</v>
          </cell>
          <cell r="M249" t="str">
            <v>40609</v>
          </cell>
          <cell r="N249" t="str">
            <v>14 2918103</v>
          </cell>
          <cell r="O249" t="str">
            <v>064</v>
          </cell>
          <cell r="P249">
            <v>9.1</v>
          </cell>
          <cell r="Q249">
            <v>0</v>
          </cell>
          <cell r="R249" t="str">
            <v>1</v>
          </cell>
          <cell r="S249" t="str">
            <v>40</v>
          </cell>
          <cell r="T249">
            <v>92</v>
          </cell>
          <cell r="U249">
            <v>6</v>
          </cell>
          <cell r="V249">
            <v>93</v>
          </cell>
          <cell r="W249">
            <v>6</v>
          </cell>
          <cell r="X249">
            <v>93</v>
          </cell>
          <cell r="AF249" t="str">
            <v>00</v>
          </cell>
          <cell r="AI249">
            <v>46090535</v>
          </cell>
          <cell r="AJ249">
            <v>18874074.09</v>
          </cell>
        </row>
        <row r="250">
          <cell r="A250" t="str">
            <v>02</v>
          </cell>
          <cell r="B250" t="str">
            <v>23</v>
          </cell>
          <cell r="C250" t="str">
            <v>3370</v>
          </cell>
          <cell r="D250" t="str">
            <v>Автобус ПАЗ-3203</v>
          </cell>
          <cell r="E250" t="str">
            <v>Nо28-89 КШЦ</v>
          </cell>
          <cell r="F250" t="str">
            <v>дв82479 ш9302862</v>
          </cell>
          <cell r="G250" t="str">
            <v>01</v>
          </cell>
          <cell r="H250">
            <v>87800</v>
          </cell>
          <cell r="I250">
            <v>12438.33</v>
          </cell>
          <cell r="J250">
            <v>0</v>
          </cell>
          <cell r="K250">
            <v>0.9</v>
          </cell>
          <cell r="L250" t="str">
            <v>23</v>
          </cell>
          <cell r="M250" t="str">
            <v>50423</v>
          </cell>
          <cell r="N250" t="str">
            <v>15 3410260</v>
          </cell>
          <cell r="O250" t="str">
            <v>072</v>
          </cell>
          <cell r="P250">
            <v>10</v>
          </cell>
          <cell r="Q250">
            <v>0</v>
          </cell>
          <cell r="R250" t="str">
            <v>1</v>
          </cell>
          <cell r="S250" t="str">
            <v>50</v>
          </cell>
          <cell r="T250">
            <v>93</v>
          </cell>
          <cell r="U250">
            <v>7</v>
          </cell>
          <cell r="V250">
            <v>93</v>
          </cell>
          <cell r="W250">
            <v>7</v>
          </cell>
          <cell r="X250">
            <v>93</v>
          </cell>
          <cell r="AF250" t="str">
            <v>00</v>
          </cell>
          <cell r="AI250">
            <v>97777778</v>
          </cell>
          <cell r="AJ250">
            <v>43185185.399999999</v>
          </cell>
        </row>
        <row r="251">
          <cell r="A251" t="str">
            <v>02</v>
          </cell>
          <cell r="B251" t="str">
            <v>23</v>
          </cell>
          <cell r="C251" t="str">
            <v>3372</v>
          </cell>
          <cell r="D251" t="str">
            <v>Автобус ПАЗ-3205</v>
          </cell>
          <cell r="E251" t="str">
            <v>Nо28-87 КШЦ</v>
          </cell>
          <cell r="F251" t="str">
            <v>дв80750 ш9302808</v>
          </cell>
          <cell r="G251" t="str">
            <v>01</v>
          </cell>
          <cell r="H251">
            <v>87800</v>
          </cell>
          <cell r="I251">
            <v>12438.33</v>
          </cell>
          <cell r="J251">
            <v>0</v>
          </cell>
          <cell r="K251">
            <v>0.9</v>
          </cell>
          <cell r="L251" t="str">
            <v>23</v>
          </cell>
          <cell r="M251" t="str">
            <v>50423</v>
          </cell>
          <cell r="N251" t="str">
            <v>15 3410260</v>
          </cell>
          <cell r="O251" t="str">
            <v>072</v>
          </cell>
          <cell r="P251">
            <v>10</v>
          </cell>
          <cell r="Q251">
            <v>0</v>
          </cell>
          <cell r="R251" t="str">
            <v>1</v>
          </cell>
          <cell r="S251" t="str">
            <v>50</v>
          </cell>
          <cell r="T251">
            <v>93</v>
          </cell>
          <cell r="U251">
            <v>7</v>
          </cell>
          <cell r="V251">
            <v>93</v>
          </cell>
          <cell r="W251">
            <v>7</v>
          </cell>
          <cell r="X251">
            <v>93</v>
          </cell>
          <cell r="AF251" t="str">
            <v>00</v>
          </cell>
          <cell r="AI251">
            <v>97777778</v>
          </cell>
          <cell r="AJ251">
            <v>43185185.399999999</v>
          </cell>
        </row>
        <row r="252">
          <cell r="A252" t="str">
            <v>02</v>
          </cell>
          <cell r="B252" t="str">
            <v>05</v>
          </cell>
          <cell r="C252" t="str">
            <v>3401</v>
          </cell>
          <cell r="D252" t="str">
            <v>Мотопомпа /бензонасо</v>
          </cell>
          <cell r="E252" t="str">
            <v>с/ с двигателем Друж</v>
          </cell>
          <cell r="F252" t="str">
            <v>ба</v>
          </cell>
          <cell r="G252" t="str">
            <v>01</v>
          </cell>
          <cell r="H252">
            <v>349.41</v>
          </cell>
          <cell r="I252">
            <v>43.68</v>
          </cell>
          <cell r="J252">
            <v>0</v>
          </cell>
          <cell r="K252">
            <v>1.21</v>
          </cell>
          <cell r="L252" t="str">
            <v>20</v>
          </cell>
          <cell r="M252" t="str">
            <v>41502</v>
          </cell>
          <cell r="N252" t="str">
            <v>14 2912000</v>
          </cell>
          <cell r="O252" t="str">
            <v>064</v>
          </cell>
          <cell r="P252">
            <v>12.5</v>
          </cell>
          <cell r="Q252">
            <v>0</v>
          </cell>
          <cell r="R252" t="str">
            <v>1</v>
          </cell>
          <cell r="S252" t="str">
            <v>41</v>
          </cell>
          <cell r="T252">
            <v>92</v>
          </cell>
          <cell r="U252">
            <v>8</v>
          </cell>
          <cell r="V252">
            <v>93</v>
          </cell>
          <cell r="W252">
            <v>8</v>
          </cell>
          <cell r="X252">
            <v>93</v>
          </cell>
          <cell r="AF252" t="str">
            <v>00</v>
          </cell>
          <cell r="AI252">
            <v>288768</v>
          </cell>
          <cell r="AJ252">
            <v>144384</v>
          </cell>
        </row>
        <row r="253">
          <cell r="A253" t="str">
            <v>02</v>
          </cell>
          <cell r="B253" t="str">
            <v>99</v>
          </cell>
          <cell r="C253" t="str">
            <v>3402</v>
          </cell>
          <cell r="D253" t="str">
            <v>Мотопомпа /бензонасо</v>
          </cell>
          <cell r="E253" t="str">
            <v>с/</v>
          </cell>
          <cell r="G253" t="str">
            <v>01</v>
          </cell>
          <cell r="H253">
            <v>349.41</v>
          </cell>
          <cell r="I253">
            <v>58.23</v>
          </cell>
          <cell r="J253">
            <v>0</v>
          </cell>
          <cell r="K253">
            <v>1.21</v>
          </cell>
          <cell r="L253" t="str">
            <v>20</v>
          </cell>
          <cell r="M253" t="str">
            <v>41502</v>
          </cell>
          <cell r="N253" t="str">
            <v>14 3115201</v>
          </cell>
          <cell r="O253" t="str">
            <v>064</v>
          </cell>
          <cell r="P253">
            <v>12.5</v>
          </cell>
          <cell r="Q253">
            <v>0</v>
          </cell>
          <cell r="R253" t="str">
            <v>1</v>
          </cell>
          <cell r="S253" t="str">
            <v>41</v>
          </cell>
          <cell r="T253">
            <v>92</v>
          </cell>
          <cell r="U253">
            <v>8</v>
          </cell>
          <cell r="V253">
            <v>93</v>
          </cell>
          <cell r="W253">
            <v>8</v>
          </cell>
          <cell r="X253">
            <v>93</v>
          </cell>
          <cell r="AF253" t="str">
            <v>00</v>
          </cell>
          <cell r="AI253">
            <v>288768</v>
          </cell>
          <cell r="AJ253">
            <v>156416</v>
          </cell>
        </row>
        <row r="254">
          <cell r="A254" t="str">
            <v>02</v>
          </cell>
          <cell r="B254" t="str">
            <v>71</v>
          </cell>
          <cell r="C254" t="str">
            <v>3404</v>
          </cell>
          <cell r="D254" t="str">
            <v>Дизель генератор ДГА</v>
          </cell>
          <cell r="E254" t="str">
            <v>-315</v>
          </cell>
          <cell r="G254" t="str">
            <v>01</v>
          </cell>
          <cell r="H254">
            <v>19456.11</v>
          </cell>
          <cell r="I254">
            <v>1608.37</v>
          </cell>
          <cell r="J254">
            <v>0</v>
          </cell>
          <cell r="K254">
            <v>1.21</v>
          </cell>
          <cell r="L254" t="str">
            <v>23</v>
          </cell>
          <cell r="M254" t="str">
            <v>40203</v>
          </cell>
          <cell r="N254" t="str">
            <v>14 2911102</v>
          </cell>
          <cell r="O254" t="str">
            <v>063</v>
          </cell>
          <cell r="P254">
            <v>6.2</v>
          </cell>
          <cell r="Q254">
            <v>0</v>
          </cell>
          <cell r="R254" t="str">
            <v>1</v>
          </cell>
          <cell r="S254" t="str">
            <v>40</v>
          </cell>
          <cell r="T254">
            <v>92</v>
          </cell>
          <cell r="U254">
            <v>8</v>
          </cell>
          <cell r="V254">
            <v>93</v>
          </cell>
          <cell r="W254">
            <v>8</v>
          </cell>
          <cell r="X254">
            <v>93</v>
          </cell>
          <cell r="AF254" t="str">
            <v>00</v>
          </cell>
          <cell r="AI254">
            <v>16079429</v>
          </cell>
          <cell r="AJ254">
            <v>4320006.59</v>
          </cell>
        </row>
        <row r="255">
          <cell r="A255" t="str">
            <v>02</v>
          </cell>
          <cell r="B255" t="str">
            <v>02</v>
          </cell>
          <cell r="C255" t="str">
            <v>3456</v>
          </cell>
          <cell r="D255" t="str">
            <v>Кран РДК-25</v>
          </cell>
          <cell r="F255" t="str">
            <v>8821</v>
          </cell>
          <cell r="G255" t="str">
            <v>01</v>
          </cell>
          <cell r="H255">
            <v>194998</v>
          </cell>
          <cell r="I255">
            <v>84287.23</v>
          </cell>
          <cell r="J255">
            <v>0</v>
          </cell>
          <cell r="K255">
            <v>0.94</v>
          </cell>
          <cell r="L255" t="str">
            <v>20</v>
          </cell>
          <cell r="M255" t="str">
            <v>41701</v>
          </cell>
          <cell r="N255" t="str">
            <v>14 2915243</v>
          </cell>
          <cell r="O255" t="str">
            <v>067</v>
          </cell>
          <cell r="P255">
            <v>9.1</v>
          </cell>
          <cell r="Q255">
            <v>0</v>
          </cell>
          <cell r="R255" t="str">
            <v>1</v>
          </cell>
          <cell r="S255" t="str">
            <v>41</v>
          </cell>
          <cell r="T255">
            <v>83</v>
          </cell>
          <cell r="U255">
            <v>3</v>
          </cell>
          <cell r="V255">
            <v>90</v>
          </cell>
          <cell r="W255">
            <v>3</v>
          </cell>
          <cell r="X255">
            <v>90</v>
          </cell>
          <cell r="AB255" t="str">
            <v>14</v>
          </cell>
          <cell r="AC255">
            <v>12</v>
          </cell>
          <cell r="AF255" t="str">
            <v>00</v>
          </cell>
          <cell r="AI255">
            <v>207407407</v>
          </cell>
          <cell r="AJ255">
            <v>146273373.05000001</v>
          </cell>
        </row>
        <row r="256">
          <cell r="A256" t="str">
            <v>02</v>
          </cell>
          <cell r="B256" t="str">
            <v>23</v>
          </cell>
          <cell r="C256" t="str">
            <v>3830</v>
          </cell>
          <cell r="D256" t="str">
            <v>А/м Маз-5551 с/с гру</v>
          </cell>
          <cell r="E256" t="str">
            <v>зовой N 31-77 кшц</v>
          </cell>
          <cell r="F256" t="str">
            <v>дв13809 ш42329</v>
          </cell>
          <cell r="G256" t="str">
            <v>01</v>
          </cell>
          <cell r="H256">
            <v>110740</v>
          </cell>
          <cell r="I256">
            <v>512.30999999999995</v>
          </cell>
          <cell r="J256">
            <v>0</v>
          </cell>
          <cell r="K256">
            <v>0.99</v>
          </cell>
          <cell r="L256" t="str">
            <v>23</v>
          </cell>
          <cell r="M256" t="str">
            <v>50402</v>
          </cell>
          <cell r="N256" t="str">
            <v>15 3410224</v>
          </cell>
          <cell r="O256" t="str">
            <v>075</v>
          </cell>
          <cell r="P256">
            <v>0.37</v>
          </cell>
          <cell r="Q256">
            <v>0</v>
          </cell>
          <cell r="R256" t="str">
            <v>1</v>
          </cell>
          <cell r="S256" t="str">
            <v>50</v>
          </cell>
          <cell r="T256">
            <v>93</v>
          </cell>
          <cell r="U256">
            <v>9</v>
          </cell>
          <cell r="V256">
            <v>93</v>
          </cell>
          <cell r="W256">
            <v>9</v>
          </cell>
          <cell r="X256">
            <v>93</v>
          </cell>
          <cell r="AF256" t="str">
            <v>00</v>
          </cell>
          <cell r="AI256">
            <v>112000000</v>
          </cell>
          <cell r="AJ256">
            <v>32670605.670000002</v>
          </cell>
        </row>
        <row r="257">
          <cell r="A257" t="str">
            <v>02</v>
          </cell>
          <cell r="B257" t="str">
            <v>05</v>
          </cell>
          <cell r="C257" t="str">
            <v>3832</v>
          </cell>
          <cell r="D257" t="str">
            <v>Сварочный агрегат НД</v>
          </cell>
          <cell r="E257" t="str">
            <v>-516 с ВДУ 506</v>
          </cell>
          <cell r="F257" t="str">
            <v>2289</v>
          </cell>
          <cell r="G257" t="str">
            <v>01</v>
          </cell>
          <cell r="H257">
            <v>2337.0700000000002</v>
          </cell>
          <cell r="I257">
            <v>487.86</v>
          </cell>
          <cell r="J257">
            <v>0</v>
          </cell>
          <cell r="K257">
            <v>1.21</v>
          </cell>
          <cell r="L257" t="str">
            <v>20</v>
          </cell>
          <cell r="M257" t="str">
            <v>42502</v>
          </cell>
          <cell r="N257" t="str">
            <v>14 2947193</v>
          </cell>
          <cell r="O257" t="str">
            <v>067</v>
          </cell>
          <cell r="P257">
            <v>16.7</v>
          </cell>
          <cell r="Q257">
            <v>0</v>
          </cell>
          <cell r="R257" t="str">
            <v>1</v>
          </cell>
          <cell r="S257" t="str">
            <v>42</v>
          </cell>
          <cell r="T257">
            <v>91</v>
          </cell>
          <cell r="U257">
            <v>9</v>
          </cell>
          <cell r="V257">
            <v>93</v>
          </cell>
          <cell r="W257">
            <v>9</v>
          </cell>
          <cell r="X257">
            <v>93</v>
          </cell>
          <cell r="AF257" t="str">
            <v>00</v>
          </cell>
          <cell r="AI257">
            <v>1931463</v>
          </cell>
          <cell r="AJ257">
            <v>1370855.96</v>
          </cell>
        </row>
        <row r="258">
          <cell r="A258" t="str">
            <v>02</v>
          </cell>
          <cell r="B258" t="str">
            <v>15</v>
          </cell>
          <cell r="C258" t="str">
            <v>3833</v>
          </cell>
          <cell r="D258" t="str">
            <v>Сварочный агрегат НД</v>
          </cell>
          <cell r="E258" t="str">
            <v>-516 с ВДУ 506</v>
          </cell>
          <cell r="G258" t="str">
            <v>01</v>
          </cell>
          <cell r="H258">
            <v>1848.47</v>
          </cell>
          <cell r="I258">
            <v>385.87</v>
          </cell>
          <cell r="J258">
            <v>0</v>
          </cell>
          <cell r="K258">
            <v>1.21</v>
          </cell>
          <cell r="L258" t="str">
            <v>88/2</v>
          </cell>
          <cell r="M258" t="str">
            <v>42502</v>
          </cell>
          <cell r="N258" t="str">
            <v>14 2947193</v>
          </cell>
          <cell r="O258" t="str">
            <v>067</v>
          </cell>
          <cell r="P258">
            <v>16.7</v>
          </cell>
          <cell r="Q258">
            <v>0</v>
          </cell>
          <cell r="R258" t="str">
            <v>1</v>
          </cell>
          <cell r="S258" t="str">
            <v>42</v>
          </cell>
          <cell r="T258">
            <v>91</v>
          </cell>
          <cell r="U258">
            <v>9</v>
          </cell>
          <cell r="V258">
            <v>93</v>
          </cell>
          <cell r="W258">
            <v>9</v>
          </cell>
          <cell r="X258">
            <v>93</v>
          </cell>
          <cell r="AB258" t="str">
            <v>14</v>
          </cell>
          <cell r="AC258">
            <v>10</v>
          </cell>
          <cell r="AF258" t="str">
            <v>00</v>
          </cell>
          <cell r="AI258">
            <v>1527660</v>
          </cell>
          <cell r="AJ258">
            <v>1084256.6599999999</v>
          </cell>
        </row>
        <row r="259">
          <cell r="A259" t="str">
            <v>02</v>
          </cell>
          <cell r="B259" t="str">
            <v>03</v>
          </cell>
          <cell r="C259" t="str">
            <v>3834</v>
          </cell>
          <cell r="D259" t="str">
            <v>Лодка кефаль</v>
          </cell>
          <cell r="F259" t="str">
            <v>228</v>
          </cell>
          <cell r="G259" t="str">
            <v>01</v>
          </cell>
          <cell r="H259">
            <v>3400</v>
          </cell>
          <cell r="I259">
            <v>807.5</v>
          </cell>
          <cell r="J259">
            <v>0</v>
          </cell>
          <cell r="K259">
            <v>1.1000000000000001</v>
          </cell>
          <cell r="L259" t="str">
            <v>26</v>
          </cell>
          <cell r="M259" t="str">
            <v>50225</v>
          </cell>
          <cell r="N259" t="str">
            <v>15 3512123</v>
          </cell>
          <cell r="O259" t="str">
            <v>075</v>
          </cell>
          <cell r="P259">
            <v>19</v>
          </cell>
          <cell r="Q259">
            <v>0</v>
          </cell>
          <cell r="R259" t="str">
            <v>1</v>
          </cell>
          <cell r="S259" t="str">
            <v>50</v>
          </cell>
          <cell r="T259">
            <v>93</v>
          </cell>
          <cell r="U259">
            <v>9</v>
          </cell>
          <cell r="V259">
            <v>93</v>
          </cell>
          <cell r="W259">
            <v>9</v>
          </cell>
          <cell r="X259">
            <v>93</v>
          </cell>
          <cell r="AA259" t="str">
            <v>1</v>
          </cell>
          <cell r="AB259" t="str">
            <v>14</v>
          </cell>
          <cell r="AC259">
            <v>8</v>
          </cell>
          <cell r="AF259" t="str">
            <v>00</v>
          </cell>
          <cell r="AG259">
            <v>3100000</v>
          </cell>
          <cell r="AI259">
            <v>3100000</v>
          </cell>
          <cell r="AJ259">
            <v>2503250</v>
          </cell>
        </row>
        <row r="260">
          <cell r="A260" t="str">
            <v>02</v>
          </cell>
          <cell r="B260" t="str">
            <v>03</v>
          </cell>
          <cell r="C260" t="str">
            <v>3835</v>
          </cell>
          <cell r="D260" t="str">
            <v>Лодка кефаль</v>
          </cell>
          <cell r="G260" t="str">
            <v>01</v>
          </cell>
          <cell r="H260">
            <v>3400</v>
          </cell>
          <cell r="I260">
            <v>807.5</v>
          </cell>
          <cell r="J260">
            <v>0</v>
          </cell>
          <cell r="K260">
            <v>1.1000000000000001</v>
          </cell>
          <cell r="L260" t="str">
            <v>26</v>
          </cell>
          <cell r="M260" t="str">
            <v>50225</v>
          </cell>
          <cell r="N260" t="str">
            <v>15 3512123</v>
          </cell>
          <cell r="O260" t="str">
            <v>075</v>
          </cell>
          <cell r="P260">
            <v>19</v>
          </cell>
          <cell r="Q260">
            <v>0</v>
          </cell>
          <cell r="R260" t="str">
            <v>1</v>
          </cell>
          <cell r="S260" t="str">
            <v>50</v>
          </cell>
          <cell r="T260">
            <v>93</v>
          </cell>
          <cell r="U260">
            <v>9</v>
          </cell>
          <cell r="V260">
            <v>93</v>
          </cell>
          <cell r="W260">
            <v>9</v>
          </cell>
          <cell r="X260">
            <v>93</v>
          </cell>
          <cell r="AA260" t="str">
            <v>1</v>
          </cell>
          <cell r="AB260" t="str">
            <v>14</v>
          </cell>
          <cell r="AC260">
            <v>8</v>
          </cell>
          <cell r="AF260" t="str">
            <v>00</v>
          </cell>
          <cell r="AG260">
            <v>3100000</v>
          </cell>
          <cell r="AI260">
            <v>3100000</v>
          </cell>
          <cell r="AJ260">
            <v>2503250</v>
          </cell>
        </row>
        <row r="261">
          <cell r="A261" t="str">
            <v>02</v>
          </cell>
          <cell r="B261" t="str">
            <v>03</v>
          </cell>
          <cell r="C261" t="str">
            <v>3836</v>
          </cell>
          <cell r="D261" t="str">
            <v>Лодка кефаль</v>
          </cell>
          <cell r="G261" t="str">
            <v>01</v>
          </cell>
          <cell r="H261">
            <v>3400</v>
          </cell>
          <cell r="I261">
            <v>807.5</v>
          </cell>
          <cell r="J261">
            <v>0</v>
          </cell>
          <cell r="K261">
            <v>1.1000000000000001</v>
          </cell>
          <cell r="L261" t="str">
            <v>26</v>
          </cell>
          <cell r="M261" t="str">
            <v>50225</v>
          </cell>
          <cell r="N261" t="str">
            <v>15 3512123</v>
          </cell>
          <cell r="O261" t="str">
            <v>075</v>
          </cell>
          <cell r="P261">
            <v>19</v>
          </cell>
          <cell r="Q261">
            <v>0</v>
          </cell>
          <cell r="R261" t="str">
            <v>1</v>
          </cell>
          <cell r="S261" t="str">
            <v>50</v>
          </cell>
          <cell r="T261">
            <v>93</v>
          </cell>
          <cell r="U261">
            <v>9</v>
          </cell>
          <cell r="V261">
            <v>93</v>
          </cell>
          <cell r="W261">
            <v>9</v>
          </cell>
          <cell r="X261">
            <v>93</v>
          </cell>
          <cell r="AA261" t="str">
            <v>1</v>
          </cell>
          <cell r="AB261" t="str">
            <v>14</v>
          </cell>
          <cell r="AC261">
            <v>8</v>
          </cell>
          <cell r="AF261" t="str">
            <v>00</v>
          </cell>
          <cell r="AG261">
            <v>3100000</v>
          </cell>
          <cell r="AI261">
            <v>3100000</v>
          </cell>
          <cell r="AJ261">
            <v>2503250</v>
          </cell>
        </row>
        <row r="262">
          <cell r="A262" t="str">
            <v>02</v>
          </cell>
          <cell r="B262" t="str">
            <v>03</v>
          </cell>
          <cell r="C262" t="str">
            <v>3837</v>
          </cell>
          <cell r="D262" t="str">
            <v>Лодка кефаль</v>
          </cell>
          <cell r="G262" t="str">
            <v>01</v>
          </cell>
          <cell r="H262">
            <v>3400</v>
          </cell>
          <cell r="I262">
            <v>807.5</v>
          </cell>
          <cell r="J262">
            <v>0</v>
          </cell>
          <cell r="K262">
            <v>1.1000000000000001</v>
          </cell>
          <cell r="L262" t="str">
            <v>26</v>
          </cell>
          <cell r="M262" t="str">
            <v>50225</v>
          </cell>
          <cell r="N262" t="str">
            <v>15 3512123</v>
          </cell>
          <cell r="O262" t="str">
            <v>075</v>
          </cell>
          <cell r="P262">
            <v>19</v>
          </cell>
          <cell r="Q262">
            <v>0</v>
          </cell>
          <cell r="R262" t="str">
            <v>1</v>
          </cell>
          <cell r="S262" t="str">
            <v>50</v>
          </cell>
          <cell r="T262">
            <v>93</v>
          </cell>
          <cell r="U262">
            <v>9</v>
          </cell>
          <cell r="V262">
            <v>93</v>
          </cell>
          <cell r="W262">
            <v>9</v>
          </cell>
          <cell r="X262">
            <v>93</v>
          </cell>
          <cell r="AA262" t="str">
            <v>1</v>
          </cell>
          <cell r="AB262" t="str">
            <v>14</v>
          </cell>
          <cell r="AC262">
            <v>8</v>
          </cell>
          <cell r="AF262" t="str">
            <v>00</v>
          </cell>
          <cell r="AG262">
            <v>3100000</v>
          </cell>
          <cell r="AI262">
            <v>3100000</v>
          </cell>
          <cell r="AJ262">
            <v>2503250</v>
          </cell>
        </row>
        <row r="263">
          <cell r="A263" t="str">
            <v>02</v>
          </cell>
          <cell r="B263" t="str">
            <v>03</v>
          </cell>
          <cell r="C263" t="str">
            <v>3838</v>
          </cell>
          <cell r="D263" t="str">
            <v>Лодка кефаль</v>
          </cell>
          <cell r="G263" t="str">
            <v>01</v>
          </cell>
          <cell r="H263">
            <v>3400</v>
          </cell>
          <cell r="I263">
            <v>807.5</v>
          </cell>
          <cell r="J263">
            <v>0</v>
          </cell>
          <cell r="K263">
            <v>1.1000000000000001</v>
          </cell>
          <cell r="L263" t="str">
            <v>26</v>
          </cell>
          <cell r="M263" t="str">
            <v>50225</v>
          </cell>
          <cell r="N263" t="str">
            <v>15 3512123</v>
          </cell>
          <cell r="O263" t="str">
            <v>075</v>
          </cell>
          <cell r="P263">
            <v>19</v>
          </cell>
          <cell r="Q263">
            <v>0</v>
          </cell>
          <cell r="R263" t="str">
            <v>1</v>
          </cell>
          <cell r="S263" t="str">
            <v>50</v>
          </cell>
          <cell r="T263">
            <v>93</v>
          </cell>
          <cell r="U263">
            <v>9</v>
          </cell>
          <cell r="V263">
            <v>93</v>
          </cell>
          <cell r="W263">
            <v>9</v>
          </cell>
          <cell r="X263">
            <v>93</v>
          </cell>
          <cell r="AB263" t="str">
            <v>14</v>
          </cell>
          <cell r="AC263">
            <v>8</v>
          </cell>
          <cell r="AF263" t="str">
            <v>00</v>
          </cell>
          <cell r="AG263">
            <v>3100000</v>
          </cell>
          <cell r="AI263">
            <v>3100000</v>
          </cell>
          <cell r="AJ263">
            <v>2503250</v>
          </cell>
        </row>
        <row r="264">
          <cell r="A264" t="str">
            <v>02</v>
          </cell>
          <cell r="B264" t="str">
            <v>03</v>
          </cell>
          <cell r="C264" t="str">
            <v>3839</v>
          </cell>
          <cell r="D264" t="str">
            <v>Лодка кефаль</v>
          </cell>
          <cell r="G264" t="str">
            <v>01</v>
          </cell>
          <cell r="H264">
            <v>3400</v>
          </cell>
          <cell r="I264">
            <v>807.5</v>
          </cell>
          <cell r="J264">
            <v>0</v>
          </cell>
          <cell r="K264">
            <v>1.1000000000000001</v>
          </cell>
          <cell r="L264" t="str">
            <v>26</v>
          </cell>
          <cell r="M264" t="str">
            <v>50225</v>
          </cell>
          <cell r="N264" t="str">
            <v>15 3512123</v>
          </cell>
          <cell r="O264" t="str">
            <v>075</v>
          </cell>
          <cell r="P264">
            <v>19</v>
          </cell>
          <cell r="Q264">
            <v>0</v>
          </cell>
          <cell r="R264" t="str">
            <v>1</v>
          </cell>
          <cell r="S264" t="str">
            <v>50</v>
          </cell>
          <cell r="T264">
            <v>93</v>
          </cell>
          <cell r="U264">
            <v>9</v>
          </cell>
          <cell r="V264">
            <v>93</v>
          </cell>
          <cell r="W264">
            <v>9</v>
          </cell>
          <cell r="X264">
            <v>93</v>
          </cell>
          <cell r="AB264" t="str">
            <v>14</v>
          </cell>
          <cell r="AC264">
            <v>8</v>
          </cell>
          <cell r="AF264" t="str">
            <v>00</v>
          </cell>
          <cell r="AG264">
            <v>3100000</v>
          </cell>
          <cell r="AI264">
            <v>3100000</v>
          </cell>
          <cell r="AJ264">
            <v>2503250</v>
          </cell>
        </row>
        <row r="265">
          <cell r="A265" t="str">
            <v>02</v>
          </cell>
          <cell r="B265" t="str">
            <v>03</v>
          </cell>
          <cell r="C265" t="str">
            <v>3840</v>
          </cell>
          <cell r="D265" t="str">
            <v>Лодка кефаль</v>
          </cell>
          <cell r="G265" t="str">
            <v>01</v>
          </cell>
          <cell r="H265">
            <v>3400</v>
          </cell>
          <cell r="I265">
            <v>807.5</v>
          </cell>
          <cell r="J265">
            <v>0</v>
          </cell>
          <cell r="K265">
            <v>1.1000000000000001</v>
          </cell>
          <cell r="L265" t="str">
            <v>26</v>
          </cell>
          <cell r="M265" t="str">
            <v>50225</v>
          </cell>
          <cell r="N265" t="str">
            <v>15 3512123</v>
          </cell>
          <cell r="O265" t="str">
            <v>075</v>
          </cell>
          <cell r="P265">
            <v>19</v>
          </cell>
          <cell r="Q265">
            <v>0</v>
          </cell>
          <cell r="R265" t="str">
            <v>1</v>
          </cell>
          <cell r="S265" t="str">
            <v>50</v>
          </cell>
          <cell r="T265">
            <v>93</v>
          </cell>
          <cell r="U265">
            <v>9</v>
          </cell>
          <cell r="V265">
            <v>93</v>
          </cell>
          <cell r="W265">
            <v>9</v>
          </cell>
          <cell r="X265">
            <v>93</v>
          </cell>
          <cell r="AB265" t="str">
            <v>14</v>
          </cell>
          <cell r="AC265">
            <v>8</v>
          </cell>
          <cell r="AF265" t="str">
            <v>00</v>
          </cell>
          <cell r="AG265">
            <v>3100000</v>
          </cell>
          <cell r="AI265">
            <v>3100000</v>
          </cell>
          <cell r="AJ265">
            <v>2503250</v>
          </cell>
        </row>
        <row r="266">
          <cell r="A266" t="str">
            <v>02</v>
          </cell>
          <cell r="B266" t="str">
            <v>03</v>
          </cell>
          <cell r="C266" t="str">
            <v>3841</v>
          </cell>
          <cell r="D266" t="str">
            <v>Лодка кефаль</v>
          </cell>
          <cell r="G266" t="str">
            <v>01</v>
          </cell>
          <cell r="H266">
            <v>3400</v>
          </cell>
          <cell r="I266">
            <v>807.5</v>
          </cell>
          <cell r="J266">
            <v>0</v>
          </cell>
          <cell r="K266">
            <v>1.1000000000000001</v>
          </cell>
          <cell r="L266" t="str">
            <v>26</v>
          </cell>
          <cell r="M266" t="str">
            <v>50225</v>
          </cell>
          <cell r="N266" t="str">
            <v>15 3512123</v>
          </cell>
          <cell r="O266" t="str">
            <v>075</v>
          </cell>
          <cell r="P266">
            <v>19</v>
          </cell>
          <cell r="Q266">
            <v>0</v>
          </cell>
          <cell r="R266" t="str">
            <v>1</v>
          </cell>
          <cell r="S266" t="str">
            <v>50</v>
          </cell>
          <cell r="T266">
            <v>93</v>
          </cell>
          <cell r="U266">
            <v>9</v>
          </cell>
          <cell r="V266">
            <v>93</v>
          </cell>
          <cell r="W266">
            <v>9</v>
          </cell>
          <cell r="X266">
            <v>93</v>
          </cell>
          <cell r="AB266" t="str">
            <v>14</v>
          </cell>
          <cell r="AC266">
            <v>8</v>
          </cell>
          <cell r="AF266" t="str">
            <v>00</v>
          </cell>
          <cell r="AG266">
            <v>3100000</v>
          </cell>
          <cell r="AI266">
            <v>3100000</v>
          </cell>
          <cell r="AJ266">
            <v>2503250</v>
          </cell>
        </row>
        <row r="267">
          <cell r="A267" t="str">
            <v>02</v>
          </cell>
          <cell r="B267" t="str">
            <v>03</v>
          </cell>
          <cell r="C267" t="str">
            <v>3844</v>
          </cell>
          <cell r="D267" t="str">
            <v>Холодильник Саратов</v>
          </cell>
          <cell r="G267" t="str">
            <v>01</v>
          </cell>
          <cell r="H267">
            <v>1250</v>
          </cell>
          <cell r="I267">
            <v>156.25</v>
          </cell>
          <cell r="J267">
            <v>0</v>
          </cell>
          <cell r="K267">
            <v>0.52</v>
          </cell>
          <cell r="L267" t="str">
            <v>26</v>
          </cell>
          <cell r="M267" t="str">
            <v>45800</v>
          </cell>
          <cell r="N267" t="str">
            <v>16 2930100</v>
          </cell>
          <cell r="O267" t="str">
            <v>063</v>
          </cell>
          <cell r="P267">
            <v>10</v>
          </cell>
          <cell r="Q267">
            <v>0</v>
          </cell>
          <cell r="R267" t="str">
            <v>1</v>
          </cell>
          <cell r="S267" t="str">
            <v>45</v>
          </cell>
          <cell r="T267">
            <v>93</v>
          </cell>
          <cell r="U267">
            <v>9</v>
          </cell>
          <cell r="V267">
            <v>93</v>
          </cell>
          <cell r="W267">
            <v>9</v>
          </cell>
          <cell r="X267">
            <v>93</v>
          </cell>
          <cell r="AB267" t="str">
            <v>14</v>
          </cell>
          <cell r="AC267">
            <v>8</v>
          </cell>
          <cell r="AF267" t="str">
            <v>00</v>
          </cell>
          <cell r="AI267">
            <v>2415414</v>
          </cell>
          <cell r="AJ267">
            <v>1026550.95</v>
          </cell>
        </row>
        <row r="268">
          <cell r="A268" t="str">
            <v>02</v>
          </cell>
          <cell r="B268" t="str">
            <v>03</v>
          </cell>
          <cell r="C268" t="str">
            <v>3845</v>
          </cell>
          <cell r="D268" t="str">
            <v>Холодильная камера</v>
          </cell>
          <cell r="E268" t="str">
            <v>низкотемпературная</v>
          </cell>
          <cell r="G268" t="str">
            <v>01</v>
          </cell>
          <cell r="H268">
            <v>4604.6099999999997</v>
          </cell>
          <cell r="I268">
            <v>575.58000000000004</v>
          </cell>
          <cell r="J268">
            <v>0</v>
          </cell>
          <cell r="K268">
            <v>0.91</v>
          </cell>
          <cell r="L268" t="str">
            <v>26</v>
          </cell>
          <cell r="M268" t="str">
            <v>45800</v>
          </cell>
          <cell r="N268" t="str">
            <v>16 2930100</v>
          </cell>
          <cell r="O268" t="str">
            <v>063</v>
          </cell>
          <cell r="P268">
            <v>10</v>
          </cell>
          <cell r="Q268">
            <v>0</v>
          </cell>
          <cell r="R268" t="str">
            <v>1</v>
          </cell>
          <cell r="S268" t="str">
            <v>45</v>
          </cell>
          <cell r="T268">
            <v>93</v>
          </cell>
          <cell r="U268">
            <v>9</v>
          </cell>
          <cell r="V268">
            <v>93</v>
          </cell>
          <cell r="W268">
            <v>9</v>
          </cell>
          <cell r="X268">
            <v>93</v>
          </cell>
          <cell r="AB268" t="str">
            <v>14</v>
          </cell>
          <cell r="AC268">
            <v>8</v>
          </cell>
          <cell r="AF268" t="str">
            <v>00</v>
          </cell>
          <cell r="AG268">
            <v>5060012</v>
          </cell>
          <cell r="AI268">
            <v>5060012</v>
          </cell>
          <cell r="AJ268">
            <v>2150504.6</v>
          </cell>
        </row>
        <row r="269">
          <cell r="A269" t="str">
            <v>02</v>
          </cell>
          <cell r="B269" t="str">
            <v>04</v>
          </cell>
          <cell r="C269" t="str">
            <v>3846</v>
          </cell>
          <cell r="D269" t="str">
            <v>Сварочный выпрямител</v>
          </cell>
          <cell r="E269" t="str">
            <v>ьВСБ-101</v>
          </cell>
          <cell r="F269" t="str">
            <v>238</v>
          </cell>
          <cell r="G269" t="str">
            <v>01</v>
          </cell>
          <cell r="H269">
            <v>1463.62</v>
          </cell>
          <cell r="I269">
            <v>305.52999999999997</v>
          </cell>
          <cell r="J269">
            <v>0</v>
          </cell>
          <cell r="K269">
            <v>1.21</v>
          </cell>
          <cell r="L269" t="str">
            <v>23</v>
          </cell>
          <cell r="M269" t="str">
            <v>42502</v>
          </cell>
          <cell r="N269" t="str">
            <v>14 2947193</v>
          </cell>
          <cell r="O269" t="str">
            <v>067</v>
          </cell>
          <cell r="P269">
            <v>16.7</v>
          </cell>
          <cell r="Q269">
            <v>0</v>
          </cell>
          <cell r="R269" t="str">
            <v>1</v>
          </cell>
          <cell r="S269" t="str">
            <v>42</v>
          </cell>
          <cell r="T269">
            <v>93</v>
          </cell>
          <cell r="U269">
            <v>9</v>
          </cell>
          <cell r="V269">
            <v>93</v>
          </cell>
          <cell r="W269">
            <v>9</v>
          </cell>
          <cell r="X269">
            <v>93</v>
          </cell>
          <cell r="AB269" t="str">
            <v>14</v>
          </cell>
          <cell r="AC269">
            <v>2</v>
          </cell>
          <cell r="AF269" t="str">
            <v>00</v>
          </cell>
          <cell r="AI269">
            <v>1209600</v>
          </cell>
          <cell r="AJ269">
            <v>858513.6</v>
          </cell>
        </row>
        <row r="270">
          <cell r="A270" t="str">
            <v>02</v>
          </cell>
          <cell r="B270" t="str">
            <v>03</v>
          </cell>
          <cell r="C270" t="str">
            <v>3847</v>
          </cell>
          <cell r="D270" t="str">
            <v>Музыкальный центр</v>
          </cell>
          <cell r="E270" t="str">
            <v>МЗ 222</v>
          </cell>
          <cell r="G270" t="str">
            <v>01</v>
          </cell>
          <cell r="H270">
            <v>1050</v>
          </cell>
          <cell r="I270">
            <v>137.81</v>
          </cell>
          <cell r="J270">
            <v>0</v>
          </cell>
          <cell r="K270">
            <v>0.54</v>
          </cell>
          <cell r="L270" t="str">
            <v>26</v>
          </cell>
          <cell r="M270" t="str">
            <v>45625</v>
          </cell>
          <cell r="N270" t="str">
            <v>14 3230170</v>
          </cell>
          <cell r="O270" t="str">
            <v>067</v>
          </cell>
          <cell r="P270">
            <v>10.5</v>
          </cell>
          <cell r="Q270">
            <v>0</v>
          </cell>
          <cell r="R270" t="str">
            <v>1</v>
          </cell>
          <cell r="S270" t="str">
            <v>45</v>
          </cell>
          <cell r="T270">
            <v>93</v>
          </cell>
          <cell r="U270">
            <v>9</v>
          </cell>
          <cell r="V270">
            <v>93</v>
          </cell>
          <cell r="W270">
            <v>9</v>
          </cell>
          <cell r="X270">
            <v>93</v>
          </cell>
          <cell r="AB270" t="str">
            <v>14</v>
          </cell>
          <cell r="AC270">
            <v>8</v>
          </cell>
          <cell r="AF270" t="str">
            <v>00</v>
          </cell>
          <cell r="AI270">
            <v>1953202</v>
          </cell>
          <cell r="AJ270">
            <v>871616.63</v>
          </cell>
        </row>
        <row r="271">
          <cell r="A271" t="str">
            <v>02</v>
          </cell>
          <cell r="B271" t="str">
            <v>03</v>
          </cell>
          <cell r="C271" t="str">
            <v>3848</v>
          </cell>
          <cell r="D271" t="str">
            <v>Телевизор Чайка</v>
          </cell>
          <cell r="F271" t="str">
            <v>423 дв</v>
          </cell>
          <cell r="G271" t="str">
            <v>01</v>
          </cell>
          <cell r="H271">
            <v>868.14</v>
          </cell>
          <cell r="I271">
            <v>113.94</v>
          </cell>
          <cell r="J271">
            <v>0</v>
          </cell>
          <cell r="K271">
            <v>0.91</v>
          </cell>
          <cell r="L271" t="str">
            <v>26</v>
          </cell>
          <cell r="M271" t="str">
            <v>42625</v>
          </cell>
          <cell r="N271" t="str">
            <v>14 3230101</v>
          </cell>
          <cell r="O271" t="str">
            <v>067</v>
          </cell>
          <cell r="P271">
            <v>10.5</v>
          </cell>
          <cell r="Q271">
            <v>0</v>
          </cell>
          <cell r="R271" t="str">
            <v>1</v>
          </cell>
          <cell r="S271" t="str">
            <v>42</v>
          </cell>
          <cell r="T271">
            <v>93</v>
          </cell>
          <cell r="U271">
            <v>9</v>
          </cell>
          <cell r="V271">
            <v>93</v>
          </cell>
          <cell r="W271">
            <v>9</v>
          </cell>
          <cell r="X271">
            <v>93</v>
          </cell>
          <cell r="AB271" t="str">
            <v>14</v>
          </cell>
          <cell r="AC271">
            <v>8</v>
          </cell>
          <cell r="AF271" t="str">
            <v>00</v>
          </cell>
          <cell r="AG271">
            <v>954000</v>
          </cell>
          <cell r="AI271">
            <v>954000</v>
          </cell>
          <cell r="AJ271">
            <v>425722</v>
          </cell>
        </row>
        <row r="272">
          <cell r="A272" t="str">
            <v>02</v>
          </cell>
          <cell r="B272" t="str">
            <v>05</v>
          </cell>
          <cell r="C272" t="str">
            <v>3849</v>
          </cell>
          <cell r="D272" t="str">
            <v>Плита газовая 4х кам</v>
          </cell>
          <cell r="E272" t="str">
            <v>Брест</v>
          </cell>
          <cell r="G272" t="str">
            <v>01</v>
          </cell>
          <cell r="H272">
            <v>251.16</v>
          </cell>
          <cell r="I272">
            <v>19.149999999999999</v>
          </cell>
          <cell r="J272">
            <v>0</v>
          </cell>
          <cell r="K272">
            <v>0.91</v>
          </cell>
          <cell r="L272" t="str">
            <v>20</v>
          </cell>
          <cell r="M272" t="str">
            <v>49022</v>
          </cell>
          <cell r="N272" t="str">
            <v>16 2930480</v>
          </cell>
          <cell r="O272" t="str">
            <v>063</v>
          </cell>
          <cell r="P272">
            <v>6.1</v>
          </cell>
          <cell r="Q272">
            <v>0</v>
          </cell>
          <cell r="R272" t="str">
            <v>1</v>
          </cell>
          <cell r="S272" t="str">
            <v>49</v>
          </cell>
          <cell r="T272">
            <v>93</v>
          </cell>
          <cell r="U272">
            <v>9</v>
          </cell>
          <cell r="V272">
            <v>93</v>
          </cell>
          <cell r="W272">
            <v>9</v>
          </cell>
          <cell r="X272">
            <v>93</v>
          </cell>
          <cell r="AF272" t="str">
            <v>00</v>
          </cell>
          <cell r="AI272">
            <v>276000</v>
          </cell>
          <cell r="AJ272">
            <v>71553</v>
          </cell>
        </row>
        <row r="273">
          <cell r="A273" t="str">
            <v>02</v>
          </cell>
          <cell r="B273" t="str">
            <v>02</v>
          </cell>
          <cell r="C273" t="str">
            <v>3850</v>
          </cell>
          <cell r="D273" t="str">
            <v>Сварочная установка</v>
          </cell>
          <cell r="E273" t="str">
            <v>на базе Т-150</v>
          </cell>
          <cell r="G273" t="str">
            <v>01</v>
          </cell>
          <cell r="H273">
            <v>355000</v>
          </cell>
          <cell r="I273">
            <v>55468.75</v>
          </cell>
          <cell r="J273">
            <v>0</v>
          </cell>
          <cell r="K273">
            <v>0.95</v>
          </cell>
          <cell r="L273" t="str">
            <v>20</v>
          </cell>
          <cell r="M273" t="str">
            <v>42503</v>
          </cell>
          <cell r="N273" t="str">
            <v>14 2947193</v>
          </cell>
          <cell r="O273" t="str">
            <v>067</v>
          </cell>
          <cell r="P273">
            <v>12.5</v>
          </cell>
          <cell r="Q273">
            <v>0</v>
          </cell>
          <cell r="R273" t="str">
            <v>1</v>
          </cell>
          <cell r="S273" t="str">
            <v>42</v>
          </cell>
          <cell r="T273">
            <v>93</v>
          </cell>
          <cell r="U273">
            <v>9</v>
          </cell>
          <cell r="V273">
            <v>93</v>
          </cell>
          <cell r="W273">
            <v>9</v>
          </cell>
          <cell r="X273">
            <v>93</v>
          </cell>
          <cell r="AB273" t="str">
            <v>14</v>
          </cell>
          <cell r="AC273">
            <v>6</v>
          </cell>
          <cell r="AF273" t="str">
            <v>00</v>
          </cell>
          <cell r="AI273">
            <v>374826435</v>
          </cell>
          <cell r="AJ273">
            <v>199126543.13</v>
          </cell>
        </row>
        <row r="274">
          <cell r="A274" t="str">
            <v>02</v>
          </cell>
          <cell r="B274" t="str">
            <v>80</v>
          </cell>
          <cell r="C274" t="str">
            <v>3851</v>
          </cell>
          <cell r="D274" t="str">
            <v>Мебель офисная 3шкаф</v>
          </cell>
          <cell r="E274" t="str">
            <v>а стол кресло</v>
          </cell>
          <cell r="G274" t="str">
            <v>01</v>
          </cell>
          <cell r="H274">
            <v>9860</v>
          </cell>
          <cell r="I274">
            <v>825.77</v>
          </cell>
          <cell r="J274">
            <v>0</v>
          </cell>
          <cell r="K274">
            <v>0.21</v>
          </cell>
          <cell r="L274" t="str">
            <v>26</v>
          </cell>
          <cell r="M274" t="str">
            <v>70004</v>
          </cell>
          <cell r="N274" t="str">
            <v>16 3612510</v>
          </cell>
          <cell r="O274" t="str">
            <v>08</v>
          </cell>
          <cell r="P274">
            <v>6.7</v>
          </cell>
          <cell r="Q274">
            <v>0</v>
          </cell>
          <cell r="R274" t="str">
            <v>1</v>
          </cell>
          <cell r="S274" t="str">
            <v>70</v>
          </cell>
          <cell r="T274">
            <v>93</v>
          </cell>
          <cell r="U274">
            <v>9</v>
          </cell>
          <cell r="V274">
            <v>93</v>
          </cell>
          <cell r="W274">
            <v>9</v>
          </cell>
          <cell r="X274">
            <v>93</v>
          </cell>
          <cell r="AF274" t="str">
            <v>00</v>
          </cell>
          <cell r="AI274">
            <v>46403288</v>
          </cell>
          <cell r="AJ274">
            <v>13213335.890000001</v>
          </cell>
        </row>
        <row r="275">
          <cell r="A275" t="str">
            <v>02</v>
          </cell>
          <cell r="B275" t="str">
            <v>02</v>
          </cell>
          <cell r="C275" t="str">
            <v>3852</v>
          </cell>
          <cell r="D275" t="str">
            <v>Морозильник Свияга</v>
          </cell>
          <cell r="G275" t="str">
            <v>01</v>
          </cell>
          <cell r="H275">
            <v>1300</v>
          </cell>
          <cell r="I275">
            <v>162.5</v>
          </cell>
          <cell r="J275">
            <v>0</v>
          </cell>
          <cell r="K275">
            <v>0.15</v>
          </cell>
          <cell r="L275" t="str">
            <v>20</v>
          </cell>
          <cell r="M275" t="str">
            <v>45800</v>
          </cell>
          <cell r="N275" t="str">
            <v>16 2930100</v>
          </cell>
          <cell r="O275" t="str">
            <v>063</v>
          </cell>
          <cell r="P275">
            <v>10</v>
          </cell>
          <cell r="Q275">
            <v>0</v>
          </cell>
          <cell r="R275" t="str">
            <v>1</v>
          </cell>
          <cell r="S275" t="str">
            <v>45</v>
          </cell>
          <cell r="T275">
            <v>93</v>
          </cell>
          <cell r="U275">
            <v>9</v>
          </cell>
          <cell r="V275">
            <v>93</v>
          </cell>
          <cell r="W275">
            <v>9</v>
          </cell>
          <cell r="X275">
            <v>93</v>
          </cell>
          <cell r="AF275" t="str">
            <v>00</v>
          </cell>
          <cell r="AI275">
            <v>8625000</v>
          </cell>
          <cell r="AJ275">
            <v>3665625</v>
          </cell>
        </row>
        <row r="276">
          <cell r="A276" t="str">
            <v>02</v>
          </cell>
          <cell r="B276" t="str">
            <v>02</v>
          </cell>
          <cell r="C276" t="str">
            <v>3853</v>
          </cell>
          <cell r="D276" t="str">
            <v>МорозильникСвияга</v>
          </cell>
          <cell r="G276" t="str">
            <v>01</v>
          </cell>
          <cell r="H276">
            <v>1300</v>
          </cell>
          <cell r="I276">
            <v>162.5</v>
          </cell>
          <cell r="J276">
            <v>0</v>
          </cell>
          <cell r="K276">
            <v>0.15</v>
          </cell>
          <cell r="L276" t="str">
            <v>20</v>
          </cell>
          <cell r="M276" t="str">
            <v>45800</v>
          </cell>
          <cell r="N276" t="str">
            <v>16 2930100</v>
          </cell>
          <cell r="O276" t="str">
            <v>063</v>
          </cell>
          <cell r="P276">
            <v>10</v>
          </cell>
          <cell r="Q276">
            <v>0</v>
          </cell>
          <cell r="R276" t="str">
            <v>1</v>
          </cell>
          <cell r="S276" t="str">
            <v>45</v>
          </cell>
          <cell r="T276">
            <v>93</v>
          </cell>
          <cell r="U276">
            <v>9</v>
          </cell>
          <cell r="V276">
            <v>93</v>
          </cell>
          <cell r="W276">
            <v>9</v>
          </cell>
          <cell r="X276">
            <v>93</v>
          </cell>
          <cell r="AB276" t="str">
            <v>14</v>
          </cell>
          <cell r="AC276">
            <v>2</v>
          </cell>
          <cell r="AF276" t="str">
            <v>00</v>
          </cell>
          <cell r="AI276">
            <v>8625000</v>
          </cell>
          <cell r="AJ276">
            <v>3665625</v>
          </cell>
        </row>
        <row r="277">
          <cell r="A277" t="str">
            <v>02</v>
          </cell>
          <cell r="B277" t="str">
            <v>12</v>
          </cell>
          <cell r="C277" t="str">
            <v>3854</v>
          </cell>
          <cell r="D277" t="str">
            <v>Станок деревообрабат</v>
          </cell>
          <cell r="E277" t="str">
            <v>ывающий</v>
          </cell>
          <cell r="F277" t="str">
            <v>168</v>
          </cell>
          <cell r="G277" t="str">
            <v>01</v>
          </cell>
          <cell r="H277">
            <v>3521</v>
          </cell>
          <cell r="I277">
            <v>365.3</v>
          </cell>
          <cell r="J277">
            <v>0</v>
          </cell>
          <cell r="K277">
            <v>0.56999999999999995</v>
          </cell>
          <cell r="L277" t="str">
            <v>88/4</v>
          </cell>
          <cell r="M277" t="str">
            <v>44502</v>
          </cell>
          <cell r="N277" t="str">
            <v>14 2922620</v>
          </cell>
          <cell r="O277" t="str">
            <v>067</v>
          </cell>
          <cell r="P277">
            <v>8.3000000000000007</v>
          </cell>
          <cell r="Q277">
            <v>0</v>
          </cell>
          <cell r="R277" t="str">
            <v>1</v>
          </cell>
          <cell r="S277" t="str">
            <v>44</v>
          </cell>
          <cell r="T277">
            <v>93</v>
          </cell>
          <cell r="U277">
            <v>9</v>
          </cell>
          <cell r="V277">
            <v>93</v>
          </cell>
          <cell r="W277">
            <v>9</v>
          </cell>
          <cell r="X277">
            <v>93</v>
          </cell>
          <cell r="AB277" t="str">
            <v>14</v>
          </cell>
          <cell r="AC277">
            <v>12</v>
          </cell>
          <cell r="AF277" t="str">
            <v>00</v>
          </cell>
          <cell r="AI277">
            <v>6192001</v>
          </cell>
          <cell r="AJ277">
            <v>2184228.25</v>
          </cell>
        </row>
        <row r="278">
          <cell r="A278" t="str">
            <v>02</v>
          </cell>
          <cell r="B278" t="str">
            <v>12</v>
          </cell>
          <cell r="C278" t="str">
            <v>3855</v>
          </cell>
          <cell r="D278" t="str">
            <v>Культиватор КПС-4</v>
          </cell>
          <cell r="F278" t="str">
            <v>2032</v>
          </cell>
          <cell r="G278" t="str">
            <v>01</v>
          </cell>
          <cell r="H278">
            <v>7443.53</v>
          </cell>
          <cell r="I278">
            <v>1163.05</v>
          </cell>
          <cell r="J278">
            <v>0</v>
          </cell>
          <cell r="K278">
            <v>1.21</v>
          </cell>
          <cell r="L278" t="str">
            <v>88/4</v>
          </cell>
          <cell r="M278" t="str">
            <v>45720</v>
          </cell>
          <cell r="N278" t="str">
            <v>14 2921000</v>
          </cell>
          <cell r="O278" t="str">
            <v>064</v>
          </cell>
          <cell r="P278">
            <v>12.5</v>
          </cell>
          <cell r="Q278">
            <v>0</v>
          </cell>
          <cell r="R278" t="str">
            <v>1</v>
          </cell>
          <cell r="S278" t="str">
            <v>45</v>
          </cell>
          <cell r="T278">
            <v>93</v>
          </cell>
          <cell r="U278">
            <v>9</v>
          </cell>
          <cell r="V278">
            <v>93</v>
          </cell>
          <cell r="W278">
            <v>9</v>
          </cell>
          <cell r="X278">
            <v>93</v>
          </cell>
          <cell r="AF278" t="str">
            <v>00</v>
          </cell>
          <cell r="AI278">
            <v>6151680</v>
          </cell>
          <cell r="AJ278">
            <v>3268080</v>
          </cell>
        </row>
        <row r="279">
          <cell r="A279" t="str">
            <v>02</v>
          </cell>
          <cell r="B279" t="str">
            <v>12</v>
          </cell>
          <cell r="C279" t="str">
            <v>3856</v>
          </cell>
          <cell r="D279" t="str">
            <v>Культиватор КАС 4</v>
          </cell>
          <cell r="G279" t="str">
            <v>01</v>
          </cell>
          <cell r="H279">
            <v>7443.53</v>
          </cell>
          <cell r="I279">
            <v>1163.05</v>
          </cell>
          <cell r="J279">
            <v>0</v>
          </cell>
          <cell r="K279">
            <v>1.21</v>
          </cell>
          <cell r="L279" t="str">
            <v>88/4</v>
          </cell>
          <cell r="M279" t="str">
            <v>45720</v>
          </cell>
          <cell r="N279" t="str">
            <v>14 2921000</v>
          </cell>
          <cell r="O279" t="str">
            <v>064</v>
          </cell>
          <cell r="P279">
            <v>12.5</v>
          </cell>
          <cell r="Q279">
            <v>0</v>
          </cell>
          <cell r="R279" t="str">
            <v>1</v>
          </cell>
          <cell r="S279" t="str">
            <v>45</v>
          </cell>
          <cell r="T279">
            <v>93</v>
          </cell>
          <cell r="U279">
            <v>9</v>
          </cell>
          <cell r="V279">
            <v>93</v>
          </cell>
          <cell r="W279">
            <v>9</v>
          </cell>
          <cell r="X279">
            <v>93</v>
          </cell>
          <cell r="AF279" t="str">
            <v>00</v>
          </cell>
          <cell r="AI279">
            <v>6151680</v>
          </cell>
          <cell r="AJ279">
            <v>3268080</v>
          </cell>
        </row>
        <row r="280">
          <cell r="A280" t="str">
            <v>02</v>
          </cell>
          <cell r="B280" t="str">
            <v>12</v>
          </cell>
          <cell r="C280" t="str">
            <v>3858</v>
          </cell>
          <cell r="D280" t="str">
            <v>Трактор ДТ -75</v>
          </cell>
          <cell r="F280" t="str">
            <v>696112</v>
          </cell>
          <cell r="G280" t="str">
            <v>01</v>
          </cell>
          <cell r="H280">
            <v>85123</v>
          </cell>
          <cell r="I280">
            <v>13301.22</v>
          </cell>
          <cell r="J280">
            <v>0</v>
          </cell>
          <cell r="K280">
            <v>0.96</v>
          </cell>
          <cell r="L280" t="str">
            <v>88/4</v>
          </cell>
          <cell r="M280" t="str">
            <v>40603</v>
          </cell>
          <cell r="N280" t="str">
            <v>14 2918103</v>
          </cell>
          <cell r="O280" t="str">
            <v>065</v>
          </cell>
          <cell r="P280">
            <v>12.5</v>
          </cell>
          <cell r="Q280">
            <v>0</v>
          </cell>
          <cell r="R280" t="str">
            <v>1</v>
          </cell>
          <cell r="S280" t="str">
            <v>40</v>
          </cell>
          <cell r="T280">
            <v>93</v>
          </cell>
          <cell r="U280">
            <v>9</v>
          </cell>
          <cell r="V280">
            <v>93</v>
          </cell>
          <cell r="W280">
            <v>9</v>
          </cell>
          <cell r="X280">
            <v>93</v>
          </cell>
          <cell r="AF280" t="str">
            <v>00</v>
          </cell>
          <cell r="AI280">
            <v>88888889</v>
          </cell>
          <cell r="AJ280">
            <v>47223009.630000003</v>
          </cell>
        </row>
        <row r="281">
          <cell r="A281" t="str">
            <v>02</v>
          </cell>
          <cell r="B281" t="str">
            <v>05</v>
          </cell>
          <cell r="C281" t="str">
            <v>3859</v>
          </cell>
          <cell r="D281" t="str">
            <v>Катер патрульный КС</v>
          </cell>
          <cell r="E281" t="str">
            <v>100Д</v>
          </cell>
          <cell r="F281" t="str">
            <v>230401</v>
          </cell>
          <cell r="G281" t="str">
            <v>01</v>
          </cell>
          <cell r="H281">
            <v>259369.06</v>
          </cell>
          <cell r="I281">
            <v>12644.27</v>
          </cell>
          <cell r="J281">
            <v>0</v>
          </cell>
          <cell r="K281">
            <v>1.31</v>
          </cell>
          <cell r="L281" t="str">
            <v>20</v>
          </cell>
          <cell r="M281" t="str">
            <v>50133</v>
          </cell>
          <cell r="N281" t="str">
            <v>15 3511230</v>
          </cell>
          <cell r="O281" t="str">
            <v>075</v>
          </cell>
          <cell r="P281">
            <v>3.9</v>
          </cell>
          <cell r="Q281">
            <v>0</v>
          </cell>
          <cell r="R281" t="str">
            <v>1</v>
          </cell>
          <cell r="S281" t="str">
            <v>50</v>
          </cell>
          <cell r="T281">
            <v>93</v>
          </cell>
          <cell r="U281">
            <v>9</v>
          </cell>
          <cell r="V281">
            <v>93</v>
          </cell>
          <cell r="W281">
            <v>9</v>
          </cell>
          <cell r="X281">
            <v>93</v>
          </cell>
          <cell r="AF281" t="str">
            <v>00</v>
          </cell>
          <cell r="AI281">
            <v>197991648</v>
          </cell>
          <cell r="AJ281">
            <v>32817136.82</v>
          </cell>
        </row>
        <row r="282">
          <cell r="A282" t="str">
            <v>02</v>
          </cell>
          <cell r="B282" t="str">
            <v>23</v>
          </cell>
          <cell r="C282" t="str">
            <v>3860</v>
          </cell>
          <cell r="D282" t="str">
            <v>Автобус КАРОСА</v>
          </cell>
          <cell r="E282" t="str">
            <v>Nо12-94 КШШ</v>
          </cell>
          <cell r="F282" t="str">
            <v>дв416090193 ш32079</v>
          </cell>
          <cell r="G282" t="str">
            <v>01</v>
          </cell>
          <cell r="H282">
            <v>183060</v>
          </cell>
          <cell r="I282">
            <v>20823.07</v>
          </cell>
          <cell r="J282">
            <v>0</v>
          </cell>
          <cell r="K282">
            <v>0.66</v>
          </cell>
          <cell r="L282" t="str">
            <v>23</v>
          </cell>
          <cell r="M282" t="str">
            <v>50425</v>
          </cell>
          <cell r="N282" t="str">
            <v>15 3410280</v>
          </cell>
          <cell r="O282" t="str">
            <v>072</v>
          </cell>
          <cell r="P282">
            <v>9.1</v>
          </cell>
          <cell r="Q282">
            <v>0</v>
          </cell>
          <cell r="R282" t="str">
            <v>1</v>
          </cell>
          <cell r="S282" t="str">
            <v>50</v>
          </cell>
          <cell r="T282">
            <v>93</v>
          </cell>
          <cell r="U282">
            <v>9</v>
          </cell>
          <cell r="V282">
            <v>93</v>
          </cell>
          <cell r="W282">
            <v>9</v>
          </cell>
          <cell r="X282">
            <v>93</v>
          </cell>
          <cell r="AF282" t="str">
            <v>00</v>
          </cell>
          <cell r="AI282">
            <v>276467688</v>
          </cell>
          <cell r="AJ282">
            <v>106923878.31999999</v>
          </cell>
        </row>
        <row r="283">
          <cell r="A283" t="str">
            <v>02</v>
          </cell>
          <cell r="B283" t="str">
            <v>12</v>
          </cell>
          <cell r="C283" t="str">
            <v>3865</v>
          </cell>
          <cell r="D283" t="str">
            <v>Подборщик ДПТ-3А</v>
          </cell>
          <cell r="G283" t="str">
            <v>01</v>
          </cell>
          <cell r="H283">
            <v>5120</v>
          </cell>
          <cell r="I283">
            <v>704</v>
          </cell>
          <cell r="J283">
            <v>0</v>
          </cell>
          <cell r="K283">
            <v>1.1000000000000001</v>
          </cell>
          <cell r="L283" t="str">
            <v>88/4</v>
          </cell>
          <cell r="M283" t="str">
            <v>45702</v>
          </cell>
          <cell r="N283" t="str">
            <v>14 2921000</v>
          </cell>
          <cell r="O283" t="str">
            <v>067</v>
          </cell>
          <cell r="P283">
            <v>11</v>
          </cell>
          <cell r="Q283">
            <v>0</v>
          </cell>
          <cell r="R283" t="str">
            <v>1</v>
          </cell>
          <cell r="S283" t="str">
            <v>45</v>
          </cell>
          <cell r="T283">
            <v>93</v>
          </cell>
          <cell r="U283">
            <v>9</v>
          </cell>
          <cell r="V283">
            <v>93</v>
          </cell>
          <cell r="W283">
            <v>9</v>
          </cell>
          <cell r="X283">
            <v>93</v>
          </cell>
          <cell r="AF283" t="str">
            <v>00</v>
          </cell>
          <cell r="AI283">
            <v>4650588</v>
          </cell>
          <cell r="AJ283">
            <v>2174150.04</v>
          </cell>
        </row>
        <row r="284">
          <cell r="A284" t="str">
            <v>02</v>
          </cell>
          <cell r="B284" t="str">
            <v>12</v>
          </cell>
          <cell r="C284" t="str">
            <v>3866</v>
          </cell>
          <cell r="D284" t="str">
            <v>Подборщик ДПТ-3А</v>
          </cell>
          <cell r="G284" t="str">
            <v>01</v>
          </cell>
          <cell r="H284">
            <v>5120</v>
          </cell>
          <cell r="I284">
            <v>704</v>
          </cell>
          <cell r="J284">
            <v>0</v>
          </cell>
          <cell r="K284">
            <v>1.1000000000000001</v>
          </cell>
          <cell r="L284" t="str">
            <v>88/4</v>
          </cell>
          <cell r="M284" t="str">
            <v>45702</v>
          </cell>
          <cell r="N284" t="str">
            <v>14 2921000</v>
          </cell>
          <cell r="O284" t="str">
            <v>067</v>
          </cell>
          <cell r="P284">
            <v>11</v>
          </cell>
          <cell r="Q284">
            <v>0</v>
          </cell>
          <cell r="R284" t="str">
            <v>1</v>
          </cell>
          <cell r="S284" t="str">
            <v>45</v>
          </cell>
          <cell r="T284">
            <v>93</v>
          </cell>
          <cell r="U284">
            <v>9</v>
          </cell>
          <cell r="V284">
            <v>93</v>
          </cell>
          <cell r="W284">
            <v>9</v>
          </cell>
          <cell r="X284">
            <v>93</v>
          </cell>
          <cell r="AF284" t="str">
            <v>00</v>
          </cell>
          <cell r="AI284">
            <v>4650588</v>
          </cell>
          <cell r="AJ284">
            <v>2174150.04</v>
          </cell>
        </row>
        <row r="285">
          <cell r="A285" t="str">
            <v>02</v>
          </cell>
          <cell r="B285" t="str">
            <v>12</v>
          </cell>
          <cell r="C285" t="str">
            <v>3867</v>
          </cell>
          <cell r="D285" t="str">
            <v>Трактор Т-4</v>
          </cell>
          <cell r="G285" t="str">
            <v>01</v>
          </cell>
          <cell r="H285">
            <v>133650</v>
          </cell>
          <cell r="I285">
            <v>27379.69</v>
          </cell>
          <cell r="J285">
            <v>0</v>
          </cell>
          <cell r="K285">
            <v>0.85</v>
          </cell>
          <cell r="L285" t="str">
            <v>88/4</v>
          </cell>
          <cell r="M285" t="str">
            <v>40601</v>
          </cell>
          <cell r="N285" t="str">
            <v>14 2918103</v>
          </cell>
          <cell r="O285" t="str">
            <v>065</v>
          </cell>
          <cell r="P285">
            <v>12.5</v>
          </cell>
          <cell r="Q285">
            <v>0</v>
          </cell>
          <cell r="R285" t="str">
            <v>1</v>
          </cell>
          <cell r="S285" t="str">
            <v>40</v>
          </cell>
          <cell r="T285">
            <v>93</v>
          </cell>
          <cell r="U285">
            <v>9</v>
          </cell>
          <cell r="V285">
            <v>93</v>
          </cell>
          <cell r="W285">
            <v>9</v>
          </cell>
          <cell r="X285">
            <v>93</v>
          </cell>
          <cell r="AF285" t="str">
            <v>00</v>
          </cell>
          <cell r="AI285">
            <v>158024691</v>
          </cell>
          <cell r="AJ285">
            <v>91632372.900000006</v>
          </cell>
        </row>
        <row r="286">
          <cell r="A286" t="str">
            <v>02</v>
          </cell>
          <cell r="B286" t="str">
            <v>12</v>
          </cell>
          <cell r="C286" t="str">
            <v>3868</v>
          </cell>
          <cell r="D286" t="str">
            <v>Плуг ПЛН-4-35</v>
          </cell>
          <cell r="G286" t="str">
            <v>01</v>
          </cell>
          <cell r="H286">
            <v>4623</v>
          </cell>
          <cell r="I286">
            <v>635.66</v>
          </cell>
          <cell r="J286">
            <v>0</v>
          </cell>
          <cell r="K286">
            <v>0.42</v>
          </cell>
          <cell r="L286" t="str">
            <v>88/4</v>
          </cell>
          <cell r="M286" t="str">
            <v>45717</v>
          </cell>
          <cell r="N286" t="str">
            <v>14 2921000</v>
          </cell>
          <cell r="O286" t="str">
            <v>065</v>
          </cell>
          <cell r="P286">
            <v>11</v>
          </cell>
          <cell r="Q286">
            <v>0</v>
          </cell>
          <cell r="R286" t="str">
            <v>1</v>
          </cell>
          <cell r="S286" t="str">
            <v>45</v>
          </cell>
          <cell r="T286">
            <v>93</v>
          </cell>
          <cell r="U286">
            <v>9</v>
          </cell>
          <cell r="V286">
            <v>93</v>
          </cell>
          <cell r="W286">
            <v>9</v>
          </cell>
          <cell r="X286">
            <v>93</v>
          </cell>
          <cell r="AF286" t="str">
            <v>00</v>
          </cell>
          <cell r="AI286">
            <v>10913217</v>
          </cell>
          <cell r="AJ286">
            <v>5101928.6100000003</v>
          </cell>
        </row>
        <row r="287">
          <cell r="A287" t="str">
            <v>02</v>
          </cell>
          <cell r="B287" t="str">
            <v>12</v>
          </cell>
          <cell r="C287" t="str">
            <v>3869</v>
          </cell>
          <cell r="D287" t="str">
            <v>Плуг ПЛН-5-35</v>
          </cell>
          <cell r="G287" t="str">
            <v>01</v>
          </cell>
          <cell r="H287">
            <v>4623</v>
          </cell>
          <cell r="I287">
            <v>635.66</v>
          </cell>
          <cell r="J287">
            <v>0</v>
          </cell>
          <cell r="K287">
            <v>0.42</v>
          </cell>
          <cell r="L287" t="str">
            <v>88/4</v>
          </cell>
          <cell r="M287" t="str">
            <v>45717</v>
          </cell>
          <cell r="N287" t="str">
            <v>14 2921000</v>
          </cell>
          <cell r="O287" t="str">
            <v>065</v>
          </cell>
          <cell r="P287">
            <v>11</v>
          </cell>
          <cell r="Q287">
            <v>0</v>
          </cell>
          <cell r="R287" t="str">
            <v>1</v>
          </cell>
          <cell r="S287" t="str">
            <v>45</v>
          </cell>
          <cell r="T287">
            <v>93</v>
          </cell>
          <cell r="U287">
            <v>9</v>
          </cell>
          <cell r="V287">
            <v>93</v>
          </cell>
          <cell r="W287">
            <v>9</v>
          </cell>
          <cell r="X287">
            <v>93</v>
          </cell>
          <cell r="AF287" t="str">
            <v>00</v>
          </cell>
          <cell r="AI287">
            <v>10913217</v>
          </cell>
          <cell r="AJ287">
            <v>5101928.6100000003</v>
          </cell>
        </row>
        <row r="288">
          <cell r="A288" t="str">
            <v>02</v>
          </cell>
          <cell r="B288" t="str">
            <v>12</v>
          </cell>
          <cell r="C288" t="str">
            <v>3870</v>
          </cell>
          <cell r="D288" t="str">
            <v>Плуг ПЛН-5-35</v>
          </cell>
          <cell r="G288" t="str">
            <v>01</v>
          </cell>
          <cell r="H288">
            <v>4623</v>
          </cell>
          <cell r="I288">
            <v>635.66</v>
          </cell>
          <cell r="J288">
            <v>0</v>
          </cell>
          <cell r="K288">
            <v>0.42</v>
          </cell>
          <cell r="L288" t="str">
            <v>88/4</v>
          </cell>
          <cell r="M288" t="str">
            <v>45717</v>
          </cell>
          <cell r="N288" t="str">
            <v>14 2921000</v>
          </cell>
          <cell r="O288" t="str">
            <v>065</v>
          </cell>
          <cell r="P288">
            <v>11</v>
          </cell>
          <cell r="Q288">
            <v>0</v>
          </cell>
          <cell r="R288" t="str">
            <v>1</v>
          </cell>
          <cell r="S288" t="str">
            <v>45</v>
          </cell>
          <cell r="T288">
            <v>93</v>
          </cell>
          <cell r="U288">
            <v>9</v>
          </cell>
          <cell r="V288">
            <v>93</v>
          </cell>
          <cell r="W288">
            <v>9</v>
          </cell>
          <cell r="X288">
            <v>93</v>
          </cell>
          <cell r="AF288" t="str">
            <v>00</v>
          </cell>
          <cell r="AI288">
            <v>10913217</v>
          </cell>
          <cell r="AJ288">
            <v>5101926.6100000003</v>
          </cell>
        </row>
        <row r="289">
          <cell r="A289" t="str">
            <v>15</v>
          </cell>
          <cell r="B289" t="str">
            <v>81</v>
          </cell>
          <cell r="C289" t="str">
            <v>3871</v>
          </cell>
          <cell r="D289" t="str">
            <v>Мягкая мебель СИРИЯ</v>
          </cell>
          <cell r="G289" t="str">
            <v>01</v>
          </cell>
          <cell r="H289">
            <v>3620</v>
          </cell>
          <cell r="I289">
            <v>303.18</v>
          </cell>
          <cell r="J289">
            <v>0</v>
          </cell>
          <cell r="K289">
            <v>0.09</v>
          </cell>
          <cell r="L289" t="str">
            <v>88/2</v>
          </cell>
          <cell r="M289" t="str">
            <v>70004</v>
          </cell>
          <cell r="N289" t="str">
            <v>16 3612510</v>
          </cell>
          <cell r="O289" t="str">
            <v>08</v>
          </cell>
          <cell r="P289">
            <v>6.7</v>
          </cell>
          <cell r="Q289">
            <v>0</v>
          </cell>
          <cell r="R289" t="str">
            <v>1</v>
          </cell>
          <cell r="S289" t="str">
            <v>70</v>
          </cell>
          <cell r="T289">
            <v>93</v>
          </cell>
          <cell r="U289">
            <v>9</v>
          </cell>
          <cell r="V289">
            <v>93</v>
          </cell>
          <cell r="W289">
            <v>9</v>
          </cell>
          <cell r="X289">
            <v>93</v>
          </cell>
          <cell r="AB289" t="str">
            <v>14</v>
          </cell>
          <cell r="AC289">
            <v>2</v>
          </cell>
          <cell r="AF289" t="str">
            <v>15</v>
          </cell>
          <cell r="AI289">
            <v>39774240</v>
          </cell>
          <cell r="AJ289">
            <v>11325715.24</v>
          </cell>
        </row>
        <row r="290">
          <cell r="A290" t="str">
            <v>02</v>
          </cell>
          <cell r="B290" t="str">
            <v>03</v>
          </cell>
          <cell r="C290" t="str">
            <v>3872</v>
          </cell>
          <cell r="D290" t="str">
            <v>Плоскошлифовальный с</v>
          </cell>
          <cell r="E290" t="str">
            <v>танок ПШС-028</v>
          </cell>
          <cell r="G290" t="str">
            <v>01</v>
          </cell>
          <cell r="H290">
            <v>7435</v>
          </cell>
          <cell r="I290">
            <v>771.38</v>
          </cell>
          <cell r="J290">
            <v>0</v>
          </cell>
          <cell r="K290">
            <v>0.65</v>
          </cell>
          <cell r="L290" t="str">
            <v>26</v>
          </cell>
          <cell r="M290" t="str">
            <v>44502</v>
          </cell>
          <cell r="N290" t="str">
            <v>14 2922623</v>
          </cell>
          <cell r="O290" t="str">
            <v>067</v>
          </cell>
          <cell r="P290">
            <v>8.3000000000000007</v>
          </cell>
          <cell r="Q290">
            <v>0</v>
          </cell>
          <cell r="R290" t="str">
            <v>1</v>
          </cell>
          <cell r="S290" t="str">
            <v>44</v>
          </cell>
          <cell r="T290">
            <v>93</v>
          </cell>
          <cell r="U290">
            <v>9</v>
          </cell>
          <cell r="V290">
            <v>93</v>
          </cell>
          <cell r="W290">
            <v>9</v>
          </cell>
          <cell r="X290">
            <v>93</v>
          </cell>
          <cell r="AF290" t="str">
            <v>00</v>
          </cell>
          <cell r="AI290">
            <v>11491200</v>
          </cell>
          <cell r="AJ290">
            <v>4053520.8</v>
          </cell>
        </row>
        <row r="291">
          <cell r="A291" t="str">
            <v>02</v>
          </cell>
          <cell r="B291" t="str">
            <v>12</v>
          </cell>
          <cell r="C291" t="str">
            <v>3873</v>
          </cell>
          <cell r="D291" t="str">
            <v>Подборшик ДПТ-3А</v>
          </cell>
          <cell r="G291" t="str">
            <v>01</v>
          </cell>
          <cell r="H291">
            <v>5120</v>
          </cell>
          <cell r="I291">
            <v>800</v>
          </cell>
          <cell r="J291">
            <v>0</v>
          </cell>
          <cell r="K291">
            <v>0.85</v>
          </cell>
          <cell r="L291" t="str">
            <v>88/4</v>
          </cell>
          <cell r="M291" t="str">
            <v>45701</v>
          </cell>
          <cell r="N291" t="str">
            <v>14 2921000</v>
          </cell>
          <cell r="O291" t="str">
            <v>062</v>
          </cell>
          <cell r="P291">
            <v>12.5</v>
          </cell>
          <cell r="Q291">
            <v>0</v>
          </cell>
          <cell r="R291" t="str">
            <v>1</v>
          </cell>
          <cell r="S291" t="str">
            <v>45</v>
          </cell>
          <cell r="T291">
            <v>93</v>
          </cell>
          <cell r="U291">
            <v>9</v>
          </cell>
          <cell r="V291">
            <v>93</v>
          </cell>
          <cell r="W291">
            <v>9</v>
          </cell>
          <cell r="X291">
            <v>93</v>
          </cell>
          <cell r="AF291" t="str">
            <v>00</v>
          </cell>
          <cell r="AI291">
            <v>6000001</v>
          </cell>
          <cell r="AJ291">
            <v>3187500.38</v>
          </cell>
        </row>
        <row r="292">
          <cell r="A292" t="str">
            <v>02</v>
          </cell>
          <cell r="B292" t="str">
            <v>02</v>
          </cell>
          <cell r="C292" t="str">
            <v>3876</v>
          </cell>
          <cell r="D292" t="str">
            <v>Холодильнаякамера</v>
          </cell>
          <cell r="E292" t="str">
            <v>ШХ-1</v>
          </cell>
          <cell r="G292" t="str">
            <v>01</v>
          </cell>
          <cell r="H292">
            <v>4186</v>
          </cell>
          <cell r="I292">
            <v>523.25</v>
          </cell>
          <cell r="J292">
            <v>0</v>
          </cell>
          <cell r="K292">
            <v>0.91</v>
          </cell>
          <cell r="L292" t="str">
            <v>20</v>
          </cell>
          <cell r="M292" t="str">
            <v>45800</v>
          </cell>
          <cell r="N292" t="str">
            <v>16 2930100</v>
          </cell>
          <cell r="O292" t="str">
            <v>063</v>
          </cell>
          <cell r="P292">
            <v>10</v>
          </cell>
          <cell r="Q292">
            <v>0</v>
          </cell>
          <cell r="R292" t="str">
            <v>1</v>
          </cell>
          <cell r="S292" t="str">
            <v>45</v>
          </cell>
          <cell r="T292">
            <v>93</v>
          </cell>
          <cell r="U292">
            <v>9</v>
          </cell>
          <cell r="V292">
            <v>93</v>
          </cell>
          <cell r="W292">
            <v>9</v>
          </cell>
          <cell r="X292">
            <v>93</v>
          </cell>
          <cell r="AB292" t="str">
            <v>14</v>
          </cell>
          <cell r="AC292">
            <v>2</v>
          </cell>
          <cell r="AF292" t="str">
            <v>00</v>
          </cell>
          <cell r="AI292">
            <v>4599999</v>
          </cell>
          <cell r="AJ292">
            <v>1954999.7</v>
          </cell>
        </row>
        <row r="293">
          <cell r="A293" t="str">
            <v>02</v>
          </cell>
          <cell r="B293" t="str">
            <v>11</v>
          </cell>
          <cell r="C293" t="str">
            <v>3901</v>
          </cell>
          <cell r="D293" t="str">
            <v>Погрузчик ТО-18Б</v>
          </cell>
          <cell r="G293" t="str">
            <v>01</v>
          </cell>
          <cell r="H293">
            <v>195000</v>
          </cell>
          <cell r="I293">
            <v>32565</v>
          </cell>
          <cell r="J293">
            <v>0</v>
          </cell>
          <cell r="K293">
            <v>1.02</v>
          </cell>
          <cell r="L293" t="str">
            <v>20</v>
          </cell>
          <cell r="M293" t="str">
            <v>41718</v>
          </cell>
          <cell r="N293" t="str">
            <v>14 2915541</v>
          </cell>
          <cell r="O293" t="str">
            <v>067</v>
          </cell>
          <cell r="P293">
            <v>16.7</v>
          </cell>
          <cell r="Q293">
            <v>0</v>
          </cell>
          <cell r="R293" t="str">
            <v>1</v>
          </cell>
          <cell r="S293" t="str">
            <v>41</v>
          </cell>
          <cell r="T293">
            <v>93</v>
          </cell>
          <cell r="U293">
            <v>10</v>
          </cell>
          <cell r="V293">
            <v>93</v>
          </cell>
          <cell r="W293">
            <v>10</v>
          </cell>
          <cell r="X293">
            <v>93</v>
          </cell>
          <cell r="AB293" t="str">
            <v>14</v>
          </cell>
          <cell r="AC293">
            <v>9</v>
          </cell>
          <cell r="AD293" t="str">
            <v>2</v>
          </cell>
          <cell r="AF293" t="str">
            <v>00</v>
          </cell>
          <cell r="AG293">
            <v>190765000</v>
          </cell>
          <cell r="AI293">
            <v>190765000</v>
          </cell>
          <cell r="AJ293">
            <v>127431020</v>
          </cell>
        </row>
        <row r="294">
          <cell r="A294" t="str">
            <v>02</v>
          </cell>
          <cell r="B294" t="str">
            <v>23</v>
          </cell>
          <cell r="C294" t="str">
            <v>3902</v>
          </cell>
          <cell r="D294" t="str">
            <v>А/м ЗИЛ-131ВМ вахта</v>
          </cell>
          <cell r="E294" t="str">
            <v>пассажир.Nо31-79кшц</v>
          </cell>
          <cell r="F294" t="str">
            <v>дв012221 ш027257</v>
          </cell>
          <cell r="G294" t="str">
            <v>01</v>
          </cell>
          <cell r="H294">
            <v>62150</v>
          </cell>
          <cell r="I294">
            <v>7250.83</v>
          </cell>
          <cell r="J294">
            <v>0</v>
          </cell>
          <cell r="K294">
            <v>0.7</v>
          </cell>
          <cell r="L294" t="str">
            <v>23</v>
          </cell>
          <cell r="M294" t="str">
            <v>50423</v>
          </cell>
          <cell r="N294" t="str">
            <v>15 3410359</v>
          </cell>
          <cell r="O294" t="str">
            <v>072</v>
          </cell>
          <cell r="P294">
            <v>10</v>
          </cell>
          <cell r="Q294">
            <v>0</v>
          </cell>
          <cell r="R294" t="str">
            <v>1</v>
          </cell>
          <cell r="S294" t="str">
            <v>50</v>
          </cell>
          <cell r="T294">
            <v>93</v>
          </cell>
          <cell r="U294">
            <v>10</v>
          </cell>
          <cell r="V294">
            <v>93</v>
          </cell>
          <cell r="W294">
            <v>10</v>
          </cell>
          <cell r="X294">
            <v>93</v>
          </cell>
          <cell r="AF294" t="str">
            <v>00</v>
          </cell>
          <cell r="AI294">
            <v>88493827</v>
          </cell>
          <cell r="AJ294">
            <v>36872427.799999997</v>
          </cell>
        </row>
        <row r="295">
          <cell r="A295" t="str">
            <v>02</v>
          </cell>
          <cell r="B295" t="str">
            <v>23</v>
          </cell>
          <cell r="C295" t="str">
            <v>3904</v>
          </cell>
          <cell r="D295" t="str">
            <v>А/м КАМАЗ-53212 груз</v>
          </cell>
          <cell r="E295" t="str">
            <v>фургон-контейнер Nо</v>
          </cell>
          <cell r="F295" t="str">
            <v>В803РА д065574ш10441</v>
          </cell>
          <cell r="G295" t="str">
            <v>01</v>
          </cell>
          <cell r="H295">
            <v>141800</v>
          </cell>
          <cell r="I295">
            <v>612.30999999999995</v>
          </cell>
          <cell r="J295">
            <v>0</v>
          </cell>
          <cell r="K295">
            <v>0.59</v>
          </cell>
          <cell r="L295" t="str">
            <v>23</v>
          </cell>
          <cell r="M295" t="str">
            <v>50402</v>
          </cell>
          <cell r="N295" t="str">
            <v>15 3410349</v>
          </cell>
          <cell r="O295" t="str">
            <v>075</v>
          </cell>
          <cell r="P295">
            <v>0.37</v>
          </cell>
          <cell r="Q295">
            <v>0</v>
          </cell>
          <cell r="R295" t="str">
            <v>1</v>
          </cell>
          <cell r="S295" t="str">
            <v>50</v>
          </cell>
          <cell r="T295">
            <v>93</v>
          </cell>
          <cell r="U295">
            <v>10</v>
          </cell>
          <cell r="V295">
            <v>93</v>
          </cell>
          <cell r="W295">
            <v>10</v>
          </cell>
          <cell r="X295">
            <v>93</v>
          </cell>
          <cell r="AF295" t="str">
            <v>00</v>
          </cell>
          <cell r="AI295">
            <v>240000000</v>
          </cell>
          <cell r="AJ295">
            <v>84367153.689999998</v>
          </cell>
        </row>
        <row r="296">
          <cell r="A296" t="str">
            <v>02</v>
          </cell>
          <cell r="B296" t="str">
            <v>70</v>
          </cell>
          <cell r="C296" t="str">
            <v>3922</v>
          </cell>
          <cell r="D296" t="str">
            <v>Электронный калькуля</v>
          </cell>
          <cell r="E296" t="str">
            <v>тор</v>
          </cell>
          <cell r="G296" t="str">
            <v>01</v>
          </cell>
          <cell r="H296">
            <v>96</v>
          </cell>
          <cell r="I296">
            <v>34.630000000000003</v>
          </cell>
          <cell r="J296">
            <v>0</v>
          </cell>
          <cell r="K296">
            <v>0.14000000000000001</v>
          </cell>
          <cell r="L296" t="str">
            <v>20</v>
          </cell>
          <cell r="M296" t="str">
            <v>48009</v>
          </cell>
          <cell r="N296" t="str">
            <v>14 3020201</v>
          </cell>
          <cell r="O296" t="str">
            <v>063</v>
          </cell>
          <cell r="P296">
            <v>11.1</v>
          </cell>
          <cell r="Q296">
            <v>0</v>
          </cell>
          <cell r="R296" t="str">
            <v>1</v>
          </cell>
          <cell r="S296" t="str">
            <v>48</v>
          </cell>
          <cell r="T296">
            <v>91</v>
          </cell>
          <cell r="U296">
            <v>9</v>
          </cell>
          <cell r="V296">
            <v>91</v>
          </cell>
          <cell r="W296">
            <v>9</v>
          </cell>
          <cell r="X296">
            <v>91</v>
          </cell>
          <cell r="AF296" t="str">
            <v>00</v>
          </cell>
          <cell r="AI296">
            <v>681720</v>
          </cell>
          <cell r="AJ296">
            <v>472942.76</v>
          </cell>
        </row>
        <row r="297">
          <cell r="A297" t="str">
            <v>02</v>
          </cell>
          <cell r="B297" t="str">
            <v>23</v>
          </cell>
          <cell r="C297" t="str">
            <v>3924</v>
          </cell>
          <cell r="D297" t="str">
            <v>А/м УАЗ-3303 грузов.</v>
          </cell>
          <cell r="E297" t="str">
            <v>бортовая NоС 672 УС</v>
          </cell>
          <cell r="F297" t="str">
            <v>дв б/н ш0170647</v>
          </cell>
          <cell r="G297" t="str">
            <v>01</v>
          </cell>
          <cell r="H297">
            <v>30000</v>
          </cell>
          <cell r="I297">
            <v>4290</v>
          </cell>
          <cell r="J297">
            <v>0</v>
          </cell>
          <cell r="K297">
            <v>0.54</v>
          </cell>
          <cell r="L297" t="str">
            <v>23</v>
          </cell>
          <cell r="M297" t="str">
            <v>50401</v>
          </cell>
          <cell r="N297" t="str">
            <v>15 3410192</v>
          </cell>
          <cell r="O297" t="str">
            <v>075</v>
          </cell>
          <cell r="P297">
            <v>14.3</v>
          </cell>
          <cell r="Q297">
            <v>0</v>
          </cell>
          <cell r="R297" t="str">
            <v>1</v>
          </cell>
          <cell r="S297" t="str">
            <v>50</v>
          </cell>
          <cell r="T297">
            <v>92</v>
          </cell>
          <cell r="U297">
            <v>12</v>
          </cell>
          <cell r="V297">
            <v>93</v>
          </cell>
          <cell r="W297">
            <v>12</v>
          </cell>
          <cell r="X297">
            <v>93</v>
          </cell>
          <cell r="AF297" t="str">
            <v>00</v>
          </cell>
          <cell r="AI297">
            <v>55308542</v>
          </cell>
          <cell r="AJ297">
            <v>31636486.170000002</v>
          </cell>
        </row>
        <row r="298">
          <cell r="A298" t="str">
            <v>02</v>
          </cell>
          <cell r="B298" t="str">
            <v>02</v>
          </cell>
          <cell r="C298" t="str">
            <v>3926</v>
          </cell>
          <cell r="D298" t="str">
            <v>Эксковатор КАТО 0.7</v>
          </cell>
          <cell r="G298" t="str">
            <v>01</v>
          </cell>
          <cell r="H298">
            <v>760000</v>
          </cell>
          <cell r="I298">
            <v>69160</v>
          </cell>
          <cell r="J298">
            <v>0</v>
          </cell>
          <cell r="K298">
            <v>0.64</v>
          </cell>
          <cell r="L298" t="str">
            <v>20</v>
          </cell>
          <cell r="M298" t="str">
            <v>41803</v>
          </cell>
          <cell r="N298" t="str">
            <v>14 2924331</v>
          </cell>
          <cell r="O298" t="str">
            <v>064</v>
          </cell>
          <cell r="P298">
            <v>9.1</v>
          </cell>
          <cell r="Q298">
            <v>0</v>
          </cell>
          <cell r="R298" t="str">
            <v>1</v>
          </cell>
          <cell r="S298" t="str">
            <v>41</v>
          </cell>
          <cell r="T298">
            <v>93</v>
          </cell>
          <cell r="U298">
            <v>12</v>
          </cell>
          <cell r="V298">
            <v>93</v>
          </cell>
          <cell r="W298">
            <v>12</v>
          </cell>
          <cell r="X298">
            <v>93</v>
          </cell>
          <cell r="AB298" t="str">
            <v>14</v>
          </cell>
          <cell r="AC298">
            <v>9</v>
          </cell>
          <cell r="AF298" t="str">
            <v>00</v>
          </cell>
          <cell r="AI298">
            <v>1188850805</v>
          </cell>
          <cell r="AJ298">
            <v>432741692.76999998</v>
          </cell>
        </row>
        <row r="299">
          <cell r="A299" t="str">
            <v>02</v>
          </cell>
          <cell r="B299" t="str">
            <v>71</v>
          </cell>
          <cell r="C299" t="str">
            <v>3927</v>
          </cell>
          <cell r="D299" t="str">
            <v>Эксковатор КАТО</v>
          </cell>
          <cell r="E299" t="str">
            <v>Япония</v>
          </cell>
          <cell r="G299" t="str">
            <v>01</v>
          </cell>
          <cell r="H299">
            <v>760000</v>
          </cell>
          <cell r="I299">
            <v>69160</v>
          </cell>
          <cell r="J299">
            <v>0</v>
          </cell>
          <cell r="K299">
            <v>0.64</v>
          </cell>
          <cell r="L299" t="str">
            <v>23</v>
          </cell>
          <cell r="M299" t="str">
            <v>41803</v>
          </cell>
          <cell r="N299" t="str">
            <v>14 2924331</v>
          </cell>
          <cell r="O299" t="str">
            <v>064</v>
          </cell>
          <cell r="P299">
            <v>9.1</v>
          </cell>
          <cell r="Q299">
            <v>0</v>
          </cell>
          <cell r="R299" t="str">
            <v>1</v>
          </cell>
          <cell r="S299" t="str">
            <v>41</v>
          </cell>
          <cell r="T299">
            <v>93</v>
          </cell>
          <cell r="U299">
            <v>12</v>
          </cell>
          <cell r="V299">
            <v>93</v>
          </cell>
          <cell r="W299">
            <v>12</v>
          </cell>
          <cell r="X299">
            <v>93</v>
          </cell>
          <cell r="AB299" t="str">
            <v>14</v>
          </cell>
          <cell r="AC299">
            <v>6</v>
          </cell>
          <cell r="AF299" t="str">
            <v>00</v>
          </cell>
          <cell r="AI299">
            <v>1188850805</v>
          </cell>
          <cell r="AJ299">
            <v>432741692.76999998</v>
          </cell>
        </row>
        <row r="300">
          <cell r="A300" t="str">
            <v>02</v>
          </cell>
          <cell r="B300" t="str">
            <v>02</v>
          </cell>
          <cell r="C300" t="str">
            <v>3928</v>
          </cell>
          <cell r="D300" t="str">
            <v>Эксковатор КАТО</v>
          </cell>
          <cell r="G300" t="str">
            <v>01</v>
          </cell>
          <cell r="H300">
            <v>760000</v>
          </cell>
          <cell r="I300">
            <v>69160</v>
          </cell>
          <cell r="J300">
            <v>0</v>
          </cell>
          <cell r="K300">
            <v>0.64</v>
          </cell>
          <cell r="L300" t="str">
            <v>20</v>
          </cell>
          <cell r="M300" t="str">
            <v>41803</v>
          </cell>
          <cell r="N300" t="str">
            <v>14 2924331</v>
          </cell>
          <cell r="O300" t="str">
            <v>064</v>
          </cell>
          <cell r="P300">
            <v>9.1</v>
          </cell>
          <cell r="Q300">
            <v>0</v>
          </cell>
          <cell r="R300" t="str">
            <v>1</v>
          </cell>
          <cell r="S300" t="str">
            <v>41</v>
          </cell>
          <cell r="T300">
            <v>93</v>
          </cell>
          <cell r="U300">
            <v>12</v>
          </cell>
          <cell r="V300">
            <v>93</v>
          </cell>
          <cell r="W300">
            <v>12</v>
          </cell>
          <cell r="X300">
            <v>93</v>
          </cell>
          <cell r="AB300" t="str">
            <v>14</v>
          </cell>
          <cell r="AC300">
            <v>6</v>
          </cell>
          <cell r="AF300" t="str">
            <v>00</v>
          </cell>
          <cell r="AI300">
            <v>1188850805</v>
          </cell>
          <cell r="AJ300">
            <v>432741693.08999997</v>
          </cell>
        </row>
        <row r="301">
          <cell r="A301" t="str">
            <v>02</v>
          </cell>
          <cell r="B301" t="str">
            <v>99</v>
          </cell>
          <cell r="C301" t="str">
            <v>3929</v>
          </cell>
          <cell r="D301" t="str">
            <v>Эксковатор КАТО</v>
          </cell>
          <cell r="E301" t="str">
            <v>Япония</v>
          </cell>
          <cell r="G301" t="str">
            <v>01</v>
          </cell>
          <cell r="H301">
            <v>760000</v>
          </cell>
          <cell r="I301">
            <v>69160</v>
          </cell>
          <cell r="J301">
            <v>0</v>
          </cell>
          <cell r="K301">
            <v>0.64</v>
          </cell>
          <cell r="L301" t="str">
            <v>20</v>
          </cell>
          <cell r="M301" t="str">
            <v>41803</v>
          </cell>
          <cell r="N301" t="str">
            <v>14 2924331</v>
          </cell>
          <cell r="O301" t="str">
            <v>064</v>
          </cell>
          <cell r="P301">
            <v>9.1</v>
          </cell>
          <cell r="Q301">
            <v>0</v>
          </cell>
          <cell r="R301" t="str">
            <v>1</v>
          </cell>
          <cell r="S301" t="str">
            <v>41</v>
          </cell>
          <cell r="T301">
            <v>93</v>
          </cell>
          <cell r="U301">
            <v>12</v>
          </cell>
          <cell r="V301">
            <v>93</v>
          </cell>
          <cell r="W301">
            <v>12</v>
          </cell>
          <cell r="X301">
            <v>93</v>
          </cell>
          <cell r="AB301" t="str">
            <v>14</v>
          </cell>
          <cell r="AC301">
            <v>10</v>
          </cell>
          <cell r="AF301" t="str">
            <v>00</v>
          </cell>
          <cell r="AI301">
            <v>1188850805</v>
          </cell>
          <cell r="AJ301">
            <v>432741692.76999998</v>
          </cell>
        </row>
        <row r="302">
          <cell r="A302" t="str">
            <v>02</v>
          </cell>
          <cell r="B302" t="str">
            <v>02</v>
          </cell>
          <cell r="C302" t="str">
            <v>3930</v>
          </cell>
          <cell r="D302" t="str">
            <v>Бульдозер д 155а-1</v>
          </cell>
          <cell r="E302" t="str">
            <v>КОМАТЦУ</v>
          </cell>
          <cell r="G302" t="str">
            <v>01</v>
          </cell>
          <cell r="H302">
            <v>1800000</v>
          </cell>
          <cell r="I302">
            <v>257400</v>
          </cell>
          <cell r="J302">
            <v>0</v>
          </cell>
          <cell r="K302">
            <v>0.52</v>
          </cell>
          <cell r="L302" t="str">
            <v>20</v>
          </cell>
          <cell r="M302" t="str">
            <v>41814</v>
          </cell>
          <cell r="N302" t="str">
            <v>14 2924340</v>
          </cell>
          <cell r="O302" t="str">
            <v>067</v>
          </cell>
          <cell r="P302">
            <v>14.3</v>
          </cell>
          <cell r="Q302">
            <v>0</v>
          </cell>
          <cell r="R302" t="str">
            <v>1</v>
          </cell>
          <cell r="S302" t="str">
            <v>41</v>
          </cell>
          <cell r="T302">
            <v>93</v>
          </cell>
          <cell r="U302">
            <v>12</v>
          </cell>
          <cell r="V302">
            <v>93</v>
          </cell>
          <cell r="W302">
            <v>12</v>
          </cell>
          <cell r="X302">
            <v>93</v>
          </cell>
          <cell r="AB302" t="str">
            <v>14</v>
          </cell>
          <cell r="AC302">
            <v>3</v>
          </cell>
          <cell r="AF302" t="str">
            <v>00</v>
          </cell>
          <cell r="AI302">
            <v>3453919056</v>
          </cell>
          <cell r="AJ302">
            <v>1975641699.9100001</v>
          </cell>
        </row>
        <row r="303">
          <cell r="A303" t="str">
            <v>02</v>
          </cell>
          <cell r="B303" t="str">
            <v>02</v>
          </cell>
          <cell r="C303" t="str">
            <v>3931</v>
          </cell>
          <cell r="D303" t="str">
            <v>Бульдозер д-155-1</v>
          </cell>
          <cell r="E303" t="str">
            <v>КОМАТЦУ</v>
          </cell>
          <cell r="G303" t="str">
            <v>01</v>
          </cell>
          <cell r="H303">
            <v>1800000</v>
          </cell>
          <cell r="I303">
            <v>252540</v>
          </cell>
          <cell r="J303">
            <v>0</v>
          </cell>
          <cell r="K303">
            <v>0.52</v>
          </cell>
          <cell r="L303" t="str">
            <v>20</v>
          </cell>
          <cell r="M303" t="str">
            <v>41814</v>
          </cell>
          <cell r="N303" t="str">
            <v>14 2924340</v>
          </cell>
          <cell r="O303" t="str">
            <v>067</v>
          </cell>
          <cell r="P303">
            <v>14.03</v>
          </cell>
          <cell r="Q303">
            <v>0</v>
          </cell>
          <cell r="R303" t="str">
            <v>1</v>
          </cell>
          <cell r="S303" t="str">
            <v>41</v>
          </cell>
          <cell r="T303">
            <v>93</v>
          </cell>
          <cell r="U303">
            <v>12</v>
          </cell>
          <cell r="V303">
            <v>93</v>
          </cell>
          <cell r="W303">
            <v>12</v>
          </cell>
          <cell r="X303">
            <v>93</v>
          </cell>
          <cell r="AF303" t="str">
            <v>00</v>
          </cell>
          <cell r="AI303">
            <v>3453919056</v>
          </cell>
          <cell r="AJ303">
            <v>1938339374.3299999</v>
          </cell>
        </row>
        <row r="304">
          <cell r="A304" t="str">
            <v>02</v>
          </cell>
          <cell r="B304" t="str">
            <v>70</v>
          </cell>
          <cell r="C304" t="str">
            <v>3933</v>
          </cell>
          <cell r="D304" t="str">
            <v>Трубоукладчик КОМАТЦ</v>
          </cell>
          <cell r="E304" t="str">
            <v>У D-155С</v>
          </cell>
          <cell r="F304" t="str">
            <v>Япония</v>
          </cell>
          <cell r="G304" t="str">
            <v>01</v>
          </cell>
          <cell r="H304">
            <v>1250000</v>
          </cell>
          <cell r="I304">
            <v>125000</v>
          </cell>
          <cell r="J304">
            <v>0</v>
          </cell>
          <cell r="K304">
            <v>0.43</v>
          </cell>
          <cell r="L304" t="str">
            <v>20</v>
          </cell>
          <cell r="M304" t="str">
            <v>41723</v>
          </cell>
          <cell r="N304" t="str">
            <v>14 2915246</v>
          </cell>
          <cell r="O304" t="str">
            <v>067</v>
          </cell>
          <cell r="P304">
            <v>10</v>
          </cell>
          <cell r="Q304">
            <v>0</v>
          </cell>
          <cell r="R304" t="str">
            <v>1</v>
          </cell>
          <cell r="S304" t="str">
            <v>41</v>
          </cell>
          <cell r="T304">
            <v>93</v>
          </cell>
          <cell r="U304">
            <v>12</v>
          </cell>
          <cell r="V304">
            <v>93</v>
          </cell>
          <cell r="W304">
            <v>12</v>
          </cell>
          <cell r="X304">
            <v>93</v>
          </cell>
          <cell r="AB304" t="str">
            <v>14</v>
          </cell>
          <cell r="AC304">
            <v>12</v>
          </cell>
          <cell r="AF304" t="str">
            <v>00</v>
          </cell>
          <cell r="AI304">
            <v>2897474328</v>
          </cell>
          <cell r="AJ304">
            <v>1158989731.2</v>
          </cell>
        </row>
        <row r="305">
          <cell r="A305" t="str">
            <v>02</v>
          </cell>
          <cell r="B305" t="str">
            <v>99</v>
          </cell>
          <cell r="C305" t="str">
            <v>3935</v>
          </cell>
          <cell r="D305" t="str">
            <v>Трубоукладчик D-155с</v>
          </cell>
          <cell r="E305" t="str">
            <v>КОМАТЦУ</v>
          </cell>
          <cell r="G305" t="str">
            <v>01</v>
          </cell>
          <cell r="H305">
            <v>1250000</v>
          </cell>
          <cell r="I305">
            <v>125000</v>
          </cell>
          <cell r="J305">
            <v>0</v>
          </cell>
          <cell r="K305">
            <v>0.43</v>
          </cell>
          <cell r="L305" t="str">
            <v>20</v>
          </cell>
          <cell r="M305" t="str">
            <v>41723</v>
          </cell>
          <cell r="N305" t="str">
            <v>14 2915246</v>
          </cell>
          <cell r="O305" t="str">
            <v>067</v>
          </cell>
          <cell r="P305">
            <v>10</v>
          </cell>
          <cell r="Q305">
            <v>0</v>
          </cell>
          <cell r="R305" t="str">
            <v>1</v>
          </cell>
          <cell r="S305" t="str">
            <v>41</v>
          </cell>
          <cell r="T305">
            <v>93</v>
          </cell>
          <cell r="U305">
            <v>12</v>
          </cell>
          <cell r="V305">
            <v>93</v>
          </cell>
          <cell r="W305">
            <v>12</v>
          </cell>
          <cell r="X305">
            <v>93</v>
          </cell>
          <cell r="AB305" t="str">
            <v>14</v>
          </cell>
          <cell r="AC305">
            <v>9</v>
          </cell>
          <cell r="AF305" t="str">
            <v>00</v>
          </cell>
          <cell r="AI305">
            <v>2897474328</v>
          </cell>
          <cell r="AJ305">
            <v>1158989731.2</v>
          </cell>
        </row>
        <row r="306">
          <cell r="A306" t="str">
            <v>02</v>
          </cell>
          <cell r="B306" t="str">
            <v>70</v>
          </cell>
          <cell r="C306" t="str">
            <v>3936</v>
          </cell>
          <cell r="D306" t="str">
            <v>Трубоукладчик D-155С</v>
          </cell>
          <cell r="E306" t="str">
            <v>КОМАТЦУ</v>
          </cell>
          <cell r="G306" t="str">
            <v>01</v>
          </cell>
          <cell r="H306">
            <v>1250000</v>
          </cell>
          <cell r="I306">
            <v>125000</v>
          </cell>
          <cell r="J306">
            <v>0</v>
          </cell>
          <cell r="K306">
            <v>0.43</v>
          </cell>
          <cell r="L306" t="str">
            <v>20</v>
          </cell>
          <cell r="M306" t="str">
            <v>41723</v>
          </cell>
          <cell r="N306" t="str">
            <v>14 2915246</v>
          </cell>
          <cell r="O306" t="str">
            <v>067</v>
          </cell>
          <cell r="P306">
            <v>10</v>
          </cell>
          <cell r="Q306">
            <v>0</v>
          </cell>
          <cell r="R306" t="str">
            <v>1</v>
          </cell>
          <cell r="S306" t="str">
            <v>41</v>
          </cell>
          <cell r="T306">
            <v>93</v>
          </cell>
          <cell r="U306">
            <v>12</v>
          </cell>
          <cell r="V306">
            <v>93</v>
          </cell>
          <cell r="W306">
            <v>12</v>
          </cell>
          <cell r="X306">
            <v>93</v>
          </cell>
          <cell r="AB306" t="str">
            <v>14</v>
          </cell>
          <cell r="AC306">
            <v>9</v>
          </cell>
          <cell r="AF306" t="str">
            <v>00</v>
          </cell>
          <cell r="AI306">
            <v>2897474328</v>
          </cell>
          <cell r="AJ306">
            <v>1158989731.2</v>
          </cell>
        </row>
        <row r="307">
          <cell r="A307" t="str">
            <v>02</v>
          </cell>
          <cell r="B307" t="str">
            <v>02</v>
          </cell>
          <cell r="C307" t="str">
            <v>3938</v>
          </cell>
          <cell r="D307" t="str">
            <v>Трубоукладчик D-355с</v>
          </cell>
          <cell r="E307" t="str">
            <v>КОМАТЦУ</v>
          </cell>
          <cell r="G307" t="str">
            <v>01</v>
          </cell>
          <cell r="H307">
            <v>1250000</v>
          </cell>
          <cell r="I307">
            <v>125000</v>
          </cell>
          <cell r="J307">
            <v>0</v>
          </cell>
          <cell r="K307">
            <v>0.43</v>
          </cell>
          <cell r="L307" t="str">
            <v>20</v>
          </cell>
          <cell r="M307" t="str">
            <v>41723</v>
          </cell>
          <cell r="N307" t="str">
            <v>14 2915246</v>
          </cell>
          <cell r="O307" t="str">
            <v>067</v>
          </cell>
          <cell r="P307">
            <v>10</v>
          </cell>
          <cell r="Q307">
            <v>0</v>
          </cell>
          <cell r="R307" t="str">
            <v>1</v>
          </cell>
          <cell r="S307" t="str">
            <v>41</v>
          </cell>
          <cell r="T307">
            <v>93</v>
          </cell>
          <cell r="U307">
            <v>12</v>
          </cell>
          <cell r="V307">
            <v>93</v>
          </cell>
          <cell r="W307">
            <v>12</v>
          </cell>
          <cell r="X307">
            <v>93</v>
          </cell>
          <cell r="AB307" t="str">
            <v>14</v>
          </cell>
          <cell r="AC307">
            <v>3</v>
          </cell>
          <cell r="AF307" t="str">
            <v>00</v>
          </cell>
          <cell r="AI307">
            <v>2897474328</v>
          </cell>
          <cell r="AJ307">
            <v>1158989731.4000001</v>
          </cell>
        </row>
        <row r="308">
          <cell r="A308" t="str">
            <v>02</v>
          </cell>
          <cell r="B308" t="str">
            <v>05</v>
          </cell>
          <cell r="C308" t="str">
            <v>3940</v>
          </cell>
          <cell r="D308" t="str">
            <v>Лодочный мотор ВИХРЬ</v>
          </cell>
          <cell r="E308" t="str">
            <v>30 л с /Куйбышев/</v>
          </cell>
          <cell r="G308" t="str">
            <v>01</v>
          </cell>
          <cell r="H308">
            <v>4155.96</v>
          </cell>
          <cell r="I308">
            <v>594.29999999999995</v>
          </cell>
          <cell r="J308">
            <v>0</v>
          </cell>
          <cell r="K308">
            <v>1.21</v>
          </cell>
          <cell r="L308" t="str">
            <v>20</v>
          </cell>
          <cell r="M308" t="str">
            <v>40404</v>
          </cell>
          <cell r="N308" t="str">
            <v>14 2911110</v>
          </cell>
          <cell r="O308" t="str">
            <v>063</v>
          </cell>
          <cell r="P308">
            <v>14.3</v>
          </cell>
          <cell r="Q308">
            <v>0</v>
          </cell>
          <cell r="R308" t="str">
            <v>1</v>
          </cell>
          <cell r="S308" t="str">
            <v>40</v>
          </cell>
          <cell r="T308">
            <v>93</v>
          </cell>
          <cell r="U308">
            <v>12</v>
          </cell>
          <cell r="V308">
            <v>93</v>
          </cell>
          <cell r="W308">
            <v>12</v>
          </cell>
          <cell r="X308">
            <v>93</v>
          </cell>
          <cell r="AF308" t="str">
            <v>00</v>
          </cell>
          <cell r="AI308">
            <v>3434674</v>
          </cell>
          <cell r="AJ308">
            <v>1964633.15</v>
          </cell>
        </row>
        <row r="309">
          <cell r="A309" t="str">
            <v>02</v>
          </cell>
          <cell r="B309" t="str">
            <v>61</v>
          </cell>
          <cell r="C309" t="str">
            <v>3941</v>
          </cell>
          <cell r="D309" t="str">
            <v>ВАГОН -фургон 3 х 9</v>
          </cell>
          <cell r="E309" t="str">
            <v>дерево-металлич.</v>
          </cell>
          <cell r="F309" t="str">
            <v>1202</v>
          </cell>
          <cell r="G309" t="str">
            <v>01</v>
          </cell>
          <cell r="H309">
            <v>40076.400000000001</v>
          </cell>
          <cell r="I309">
            <v>5009.55</v>
          </cell>
          <cell r="J309">
            <v>0</v>
          </cell>
          <cell r="K309">
            <v>1.5</v>
          </cell>
          <cell r="L309" t="str">
            <v>23</v>
          </cell>
          <cell r="M309" t="str">
            <v>10010</v>
          </cell>
          <cell r="N309" t="str">
            <v>13 2022261</v>
          </cell>
          <cell r="O309" t="str">
            <v>01</v>
          </cell>
          <cell r="P309">
            <v>12.5</v>
          </cell>
          <cell r="Q309">
            <v>0</v>
          </cell>
          <cell r="R309" t="str">
            <v>1</v>
          </cell>
          <cell r="S309" t="str">
            <v>10</v>
          </cell>
          <cell r="T309">
            <v>93</v>
          </cell>
          <cell r="U309">
            <v>12</v>
          </cell>
          <cell r="V309">
            <v>93</v>
          </cell>
          <cell r="W309">
            <v>12</v>
          </cell>
          <cell r="X309">
            <v>93</v>
          </cell>
          <cell r="AF309" t="str">
            <v>00</v>
          </cell>
          <cell r="AI309">
            <v>26717600</v>
          </cell>
          <cell r="AJ309">
            <v>13358799.9</v>
          </cell>
        </row>
        <row r="310">
          <cell r="A310" t="str">
            <v>02</v>
          </cell>
          <cell r="B310" t="str">
            <v>15</v>
          </cell>
          <cell r="C310" t="str">
            <v>3942</v>
          </cell>
          <cell r="D310" t="str">
            <v>Законченное стр-во б</v>
          </cell>
          <cell r="E310" t="str">
            <v>лагоустройство автод</v>
          </cell>
          <cell r="G310" t="str">
            <v>01</v>
          </cell>
          <cell r="H310">
            <v>429598.18</v>
          </cell>
          <cell r="I310">
            <v>13747.14</v>
          </cell>
          <cell r="J310">
            <v>0</v>
          </cell>
          <cell r="K310">
            <v>1.43</v>
          </cell>
          <cell r="L310" t="str">
            <v>88/2</v>
          </cell>
          <cell r="M310" t="str">
            <v>20223</v>
          </cell>
          <cell r="N310" t="str">
            <v>12 4526372</v>
          </cell>
          <cell r="O310" t="str">
            <v>03</v>
          </cell>
          <cell r="P310">
            <v>3.2</v>
          </cell>
          <cell r="Q310">
            <v>0</v>
          </cell>
          <cell r="R310" t="str">
            <v>1</v>
          </cell>
          <cell r="S310" t="str">
            <v>20</v>
          </cell>
          <cell r="T310">
            <v>93</v>
          </cell>
          <cell r="U310">
            <v>12</v>
          </cell>
          <cell r="V310">
            <v>93</v>
          </cell>
          <cell r="W310">
            <v>12</v>
          </cell>
          <cell r="X310">
            <v>93</v>
          </cell>
          <cell r="AB310" t="str">
            <v>14</v>
          </cell>
          <cell r="AC310">
            <v>10</v>
          </cell>
          <cell r="AF310" t="str">
            <v>00</v>
          </cell>
          <cell r="AG310">
            <v>300418306</v>
          </cell>
          <cell r="AI310">
            <v>300418306</v>
          </cell>
          <cell r="AJ310">
            <v>38453543.380000003</v>
          </cell>
        </row>
        <row r="311">
          <cell r="A311" t="str">
            <v>02</v>
          </cell>
          <cell r="B311" t="str">
            <v>71</v>
          </cell>
          <cell r="C311" t="str">
            <v>3945</v>
          </cell>
          <cell r="D311" t="str">
            <v>Прицеп ЧМЗАП-83992</v>
          </cell>
          <cell r="E311" t="str">
            <v>гос N АВ7688 ш000003</v>
          </cell>
          <cell r="F311" t="str">
            <v>8</v>
          </cell>
          <cell r="G311" t="str">
            <v>01</v>
          </cell>
          <cell r="H311">
            <v>75000</v>
          </cell>
          <cell r="I311">
            <v>6225</v>
          </cell>
          <cell r="J311">
            <v>0</v>
          </cell>
          <cell r="K311">
            <v>1.02</v>
          </cell>
          <cell r="L311" t="str">
            <v>23</v>
          </cell>
          <cell r="M311" t="str">
            <v>50413</v>
          </cell>
          <cell r="N311" t="str">
            <v>15 3420208</v>
          </cell>
          <cell r="O311" t="str">
            <v>073</v>
          </cell>
          <cell r="P311">
            <v>8.3000000000000007</v>
          </cell>
          <cell r="Q311">
            <v>0</v>
          </cell>
          <cell r="R311" t="str">
            <v>1</v>
          </cell>
          <cell r="S311" t="str">
            <v>50</v>
          </cell>
          <cell r="T311">
            <v>93</v>
          </cell>
          <cell r="U311">
            <v>12</v>
          </cell>
          <cell r="V311">
            <v>93</v>
          </cell>
          <cell r="W311">
            <v>12</v>
          </cell>
          <cell r="X311">
            <v>93</v>
          </cell>
          <cell r="AF311" t="str">
            <v>00</v>
          </cell>
          <cell r="AI311">
            <v>73600000</v>
          </cell>
          <cell r="AJ311">
            <v>24435200.100000001</v>
          </cell>
        </row>
        <row r="312">
          <cell r="A312" t="str">
            <v>02</v>
          </cell>
          <cell r="B312" t="str">
            <v>51</v>
          </cell>
          <cell r="C312" t="str">
            <v>3946</v>
          </cell>
          <cell r="D312" t="str">
            <v>1рактор МТЗ-80</v>
          </cell>
          <cell r="G312" t="str">
            <v>01</v>
          </cell>
          <cell r="H312">
            <v>49500</v>
          </cell>
          <cell r="I312">
            <v>4504.5</v>
          </cell>
          <cell r="J312">
            <v>0</v>
          </cell>
          <cell r="K312">
            <v>0.88</v>
          </cell>
          <cell r="L312" t="str">
            <v>20</v>
          </cell>
          <cell r="M312" t="str">
            <v>40609</v>
          </cell>
          <cell r="N312" t="str">
            <v>14 2918103</v>
          </cell>
          <cell r="O312" t="str">
            <v>064</v>
          </cell>
          <cell r="P312">
            <v>9.1</v>
          </cell>
          <cell r="Q312">
            <v>0</v>
          </cell>
          <cell r="R312" t="str">
            <v>1</v>
          </cell>
          <cell r="S312" t="str">
            <v>40</v>
          </cell>
          <cell r="T312">
            <v>93</v>
          </cell>
          <cell r="U312">
            <v>12</v>
          </cell>
          <cell r="V312">
            <v>93</v>
          </cell>
          <cell r="W312">
            <v>12</v>
          </cell>
          <cell r="X312">
            <v>93</v>
          </cell>
          <cell r="AF312" t="str">
            <v>00</v>
          </cell>
          <cell r="AI312">
            <v>55967078</v>
          </cell>
          <cell r="AJ312">
            <v>20372016.379999999</v>
          </cell>
        </row>
        <row r="313">
          <cell r="A313" t="str">
            <v>02</v>
          </cell>
          <cell r="B313" t="str">
            <v>03</v>
          </cell>
          <cell r="C313" t="str">
            <v>3949</v>
          </cell>
          <cell r="D313" t="str">
            <v>Биллиард</v>
          </cell>
          <cell r="G313" t="str">
            <v>01</v>
          </cell>
          <cell r="H313">
            <v>3483.65</v>
          </cell>
          <cell r="I313">
            <v>348.36</v>
          </cell>
          <cell r="J313">
            <v>0</v>
          </cell>
          <cell r="K313">
            <v>0.96</v>
          </cell>
          <cell r="L313" t="str">
            <v>26</v>
          </cell>
          <cell r="M313" t="str">
            <v>49110</v>
          </cell>
          <cell r="N313" t="str">
            <v>16 3693572</v>
          </cell>
          <cell r="O313" t="str">
            <v>067</v>
          </cell>
          <cell r="P313">
            <v>10</v>
          </cell>
          <cell r="Q313">
            <v>0</v>
          </cell>
          <cell r="R313" t="str">
            <v>1</v>
          </cell>
          <cell r="S313" t="str">
            <v>49</v>
          </cell>
          <cell r="T313">
            <v>93</v>
          </cell>
          <cell r="U313">
            <v>12</v>
          </cell>
          <cell r="V313">
            <v>93</v>
          </cell>
          <cell r="W313">
            <v>12</v>
          </cell>
          <cell r="X313">
            <v>93</v>
          </cell>
          <cell r="AB313" t="str">
            <v>14</v>
          </cell>
          <cell r="AC313">
            <v>8</v>
          </cell>
          <cell r="AF313" t="str">
            <v>00</v>
          </cell>
          <cell r="AI313">
            <v>3628800</v>
          </cell>
          <cell r="AJ313">
            <v>1451520</v>
          </cell>
        </row>
        <row r="314">
          <cell r="A314" t="str">
            <v>02</v>
          </cell>
          <cell r="B314" t="str">
            <v>71</v>
          </cell>
          <cell r="C314" t="str">
            <v>3950</v>
          </cell>
          <cell r="D314" t="str">
            <v>АВТОПОГРУЗЧИК</v>
          </cell>
          <cell r="G314" t="str">
            <v>01</v>
          </cell>
          <cell r="H314">
            <v>235040</v>
          </cell>
          <cell r="I314">
            <v>29380</v>
          </cell>
          <cell r="J314">
            <v>0</v>
          </cell>
          <cell r="K314">
            <v>0.97</v>
          </cell>
          <cell r="L314" t="str">
            <v>23</v>
          </cell>
          <cell r="M314" t="str">
            <v>41719</v>
          </cell>
          <cell r="N314" t="str">
            <v>14 2915541</v>
          </cell>
          <cell r="O314" t="str">
            <v>067</v>
          </cell>
          <cell r="P314">
            <v>12.5</v>
          </cell>
          <cell r="Q314">
            <v>0</v>
          </cell>
          <cell r="R314" t="str">
            <v>1</v>
          </cell>
          <cell r="S314" t="str">
            <v>41</v>
          </cell>
          <cell r="T314">
            <v>93</v>
          </cell>
          <cell r="U314">
            <v>12</v>
          </cell>
          <cell r="V314">
            <v>93</v>
          </cell>
          <cell r="W314">
            <v>12</v>
          </cell>
          <cell r="X314">
            <v>93</v>
          </cell>
          <cell r="AB314" t="str">
            <v>14</v>
          </cell>
          <cell r="AC314">
            <v>9</v>
          </cell>
          <cell r="AF314" t="str">
            <v>00</v>
          </cell>
          <cell r="AI314">
            <v>242373095</v>
          </cell>
          <cell r="AJ314">
            <v>121186547.63</v>
          </cell>
        </row>
        <row r="315">
          <cell r="A315" t="str">
            <v>02</v>
          </cell>
          <cell r="B315" t="str">
            <v>23</v>
          </cell>
          <cell r="C315" t="str">
            <v>4002</v>
          </cell>
          <cell r="D315" t="str">
            <v>ГАЗ-66 спец.лаборат.</v>
          </cell>
          <cell r="E315" t="str">
            <v>ЛКС-10Ц Nо21-56 КШФ</v>
          </cell>
          <cell r="F315" t="str">
            <v>дв0086090 ш0661495</v>
          </cell>
          <cell r="G315" t="str">
            <v>01</v>
          </cell>
          <cell r="H315">
            <v>138000</v>
          </cell>
          <cell r="I315">
            <v>41400</v>
          </cell>
          <cell r="J315">
            <v>0</v>
          </cell>
          <cell r="K315">
            <v>1.19</v>
          </cell>
          <cell r="L315" t="str">
            <v>23</v>
          </cell>
          <cell r="M315" t="str">
            <v>50426</v>
          </cell>
          <cell r="N315" t="str">
            <v>15 3410359</v>
          </cell>
          <cell r="O315" t="str">
            <v>073</v>
          </cell>
          <cell r="P315">
            <v>10</v>
          </cell>
          <cell r="Q315">
            <v>0</v>
          </cell>
          <cell r="R315" t="str">
            <v>1</v>
          </cell>
          <cell r="S315" t="str">
            <v>50</v>
          </cell>
          <cell r="T315">
            <v>91</v>
          </cell>
          <cell r="U315">
            <v>12</v>
          </cell>
          <cell r="V315">
            <v>91</v>
          </cell>
          <cell r="W315">
            <v>12</v>
          </cell>
          <cell r="X315">
            <v>91</v>
          </cell>
          <cell r="AF315" t="str">
            <v>00</v>
          </cell>
          <cell r="AI315">
            <v>115555556</v>
          </cell>
          <cell r="AJ315">
            <v>69333333.780000001</v>
          </cell>
        </row>
        <row r="316">
          <cell r="A316" t="str">
            <v>02</v>
          </cell>
          <cell r="B316" t="str">
            <v>05</v>
          </cell>
          <cell r="C316" t="str">
            <v>4008</v>
          </cell>
          <cell r="D316" t="str">
            <v>Трубоукладчик ТГ-124</v>
          </cell>
          <cell r="G316" t="str">
            <v>01</v>
          </cell>
          <cell r="H316">
            <v>287020</v>
          </cell>
          <cell r="I316">
            <v>86106</v>
          </cell>
          <cell r="J316">
            <v>0</v>
          </cell>
          <cell r="K316">
            <v>1.06</v>
          </cell>
          <cell r="L316" t="str">
            <v>20</v>
          </cell>
          <cell r="M316" t="str">
            <v>41723</v>
          </cell>
          <cell r="N316" t="str">
            <v>14 2915246</v>
          </cell>
          <cell r="O316" t="str">
            <v>067</v>
          </cell>
          <cell r="P316">
            <v>10</v>
          </cell>
          <cell r="Q316">
            <v>0</v>
          </cell>
          <cell r="R316" t="str">
            <v>1</v>
          </cell>
          <cell r="S316" t="str">
            <v>41</v>
          </cell>
          <cell r="T316">
            <v>91</v>
          </cell>
          <cell r="U316">
            <v>12</v>
          </cell>
          <cell r="V316">
            <v>91</v>
          </cell>
          <cell r="W316">
            <v>12</v>
          </cell>
          <cell r="X316">
            <v>91</v>
          </cell>
          <cell r="AB316" t="str">
            <v>14</v>
          </cell>
          <cell r="AC316">
            <v>9</v>
          </cell>
          <cell r="AF316" t="str">
            <v>00</v>
          </cell>
          <cell r="AI316">
            <v>271111111</v>
          </cell>
          <cell r="AJ316">
            <v>162666666.59999999</v>
          </cell>
        </row>
        <row r="317">
          <cell r="A317" t="str">
            <v>02</v>
          </cell>
          <cell r="B317" t="str">
            <v>02</v>
          </cell>
          <cell r="C317" t="str">
            <v>4009</v>
          </cell>
          <cell r="D317" t="str">
            <v>ЭТР 223 экскаватор</v>
          </cell>
          <cell r="E317" t="str">
            <v>роторный</v>
          </cell>
          <cell r="G317" t="str">
            <v>01</v>
          </cell>
          <cell r="H317">
            <v>278050</v>
          </cell>
          <cell r="I317">
            <v>67195.42</v>
          </cell>
          <cell r="J317">
            <v>0</v>
          </cell>
          <cell r="K317">
            <v>1</v>
          </cell>
          <cell r="L317" t="str">
            <v>20</v>
          </cell>
          <cell r="M317" t="str">
            <v>41802</v>
          </cell>
          <cell r="N317" t="str">
            <v>14 2924335</v>
          </cell>
          <cell r="O317" t="str">
            <v>064</v>
          </cell>
          <cell r="P317">
            <v>10</v>
          </cell>
          <cell r="Q317">
            <v>0</v>
          </cell>
          <cell r="R317" t="str">
            <v>1</v>
          </cell>
          <cell r="S317" t="str">
            <v>41</v>
          </cell>
          <cell r="T317">
            <v>0</v>
          </cell>
          <cell r="U317">
            <v>7</v>
          </cell>
          <cell r="V317">
            <v>92</v>
          </cell>
          <cell r="W317">
            <v>7</v>
          </cell>
          <cell r="X317">
            <v>92</v>
          </cell>
          <cell r="AF317" t="str">
            <v>00</v>
          </cell>
          <cell r="AI317">
            <v>278376284</v>
          </cell>
          <cell r="AJ317">
            <v>150787154.19999999</v>
          </cell>
        </row>
        <row r="318">
          <cell r="A318" t="str">
            <v>02</v>
          </cell>
          <cell r="B318" t="str">
            <v>11</v>
          </cell>
          <cell r="C318" t="str">
            <v>4009/1</v>
          </cell>
          <cell r="D318" t="str">
            <v>Бетонный з-д/емкость</v>
          </cell>
          <cell r="E318" t="str">
            <v xml:space="preserve"> для смешивания 2 шт</v>
          </cell>
          <cell r="G318" t="str">
            <v>01</v>
          </cell>
          <cell r="H318">
            <v>152666.79999999999</v>
          </cell>
          <cell r="I318">
            <v>76486.070000000007</v>
          </cell>
          <cell r="J318">
            <v>0</v>
          </cell>
          <cell r="K318">
            <v>1.22</v>
          </cell>
          <cell r="L318" t="str">
            <v>20</v>
          </cell>
          <cell r="M318" t="str">
            <v>44166</v>
          </cell>
          <cell r="N318" t="str">
            <v>12 2812000</v>
          </cell>
          <cell r="O318" t="str">
            <v>067</v>
          </cell>
          <cell r="P318">
            <v>16.7</v>
          </cell>
          <cell r="Q318">
            <v>0</v>
          </cell>
          <cell r="R318" t="str">
            <v>1</v>
          </cell>
          <cell r="S318" t="str">
            <v>44</v>
          </cell>
          <cell r="T318">
            <v>91</v>
          </cell>
          <cell r="U318">
            <v>12</v>
          </cell>
          <cell r="V318">
            <v>91</v>
          </cell>
          <cell r="W318">
            <v>12</v>
          </cell>
          <cell r="X318">
            <v>91</v>
          </cell>
          <cell r="AB318" t="str">
            <v>14</v>
          </cell>
          <cell r="AC318">
            <v>9</v>
          </cell>
          <cell r="AF318" t="str">
            <v>00</v>
          </cell>
          <cell r="AG318">
            <v>125600000</v>
          </cell>
          <cell r="AI318">
            <v>125600000</v>
          </cell>
          <cell r="AJ318">
            <v>125600000</v>
          </cell>
        </row>
        <row r="319">
          <cell r="A319" t="str">
            <v>02</v>
          </cell>
          <cell r="B319" t="str">
            <v>11</v>
          </cell>
          <cell r="C319" t="str">
            <v>4010</v>
          </cell>
          <cell r="D319" t="str">
            <v>Полигон жби/кран коз</v>
          </cell>
          <cell r="E319" t="str">
            <v>ловой грузоподьем.5</v>
          </cell>
          <cell r="G319" t="str">
            <v>01</v>
          </cell>
          <cell r="H319">
            <v>41808.230000000003</v>
          </cell>
          <cell r="I319">
            <v>6271.23</v>
          </cell>
          <cell r="J319">
            <v>0</v>
          </cell>
          <cell r="K319">
            <v>1.51</v>
          </cell>
          <cell r="L319" t="str">
            <v>20</v>
          </cell>
          <cell r="M319" t="str">
            <v>41704</v>
          </cell>
          <cell r="N319" t="str">
            <v>14 2915161</v>
          </cell>
          <cell r="O319" t="str">
            <v>064</v>
          </cell>
          <cell r="P319">
            <v>5</v>
          </cell>
          <cell r="Q319">
            <v>0</v>
          </cell>
          <cell r="R319" t="str">
            <v>1</v>
          </cell>
          <cell r="S319" t="str">
            <v>41</v>
          </cell>
          <cell r="T319">
            <v>91</v>
          </cell>
          <cell r="U319">
            <v>12</v>
          </cell>
          <cell r="V319">
            <v>91</v>
          </cell>
          <cell r="W319">
            <v>12</v>
          </cell>
          <cell r="X319">
            <v>91</v>
          </cell>
          <cell r="AB319" t="str">
            <v>14</v>
          </cell>
          <cell r="AC319">
            <v>2</v>
          </cell>
          <cell r="AD319" t="str">
            <v>2</v>
          </cell>
          <cell r="AF319" t="str">
            <v>00</v>
          </cell>
          <cell r="AI319">
            <v>27687569</v>
          </cell>
          <cell r="AJ319">
            <v>8306270.3499999996</v>
          </cell>
        </row>
        <row r="320">
          <cell r="A320" t="str">
            <v>02</v>
          </cell>
          <cell r="B320" t="str">
            <v>11</v>
          </cell>
          <cell r="C320" t="str">
            <v>4012</v>
          </cell>
          <cell r="D320" t="str">
            <v>Полигон жби/трансфор</v>
          </cell>
          <cell r="E320" t="str">
            <v>матор тдм 400-6</v>
          </cell>
          <cell r="G320" t="str">
            <v>01</v>
          </cell>
          <cell r="H320">
            <v>23278</v>
          </cell>
          <cell r="I320">
            <v>3072.7</v>
          </cell>
          <cell r="J320">
            <v>0</v>
          </cell>
          <cell r="K320">
            <v>0.56999999999999995</v>
          </cell>
          <cell r="L320" t="str">
            <v>20</v>
          </cell>
          <cell r="M320" t="str">
            <v>40701</v>
          </cell>
          <cell r="N320" t="str">
            <v>14 2922805</v>
          </cell>
          <cell r="O320" t="str">
            <v>067</v>
          </cell>
          <cell r="P320">
            <v>4.4000000000000004</v>
          </cell>
          <cell r="Q320">
            <v>0</v>
          </cell>
          <cell r="R320" t="str">
            <v>1</v>
          </cell>
          <cell r="S320" t="str">
            <v>40</v>
          </cell>
          <cell r="T320">
            <v>91</v>
          </cell>
          <cell r="U320">
            <v>12</v>
          </cell>
          <cell r="V320">
            <v>91</v>
          </cell>
          <cell r="W320">
            <v>12</v>
          </cell>
          <cell r="X320">
            <v>91</v>
          </cell>
          <cell r="AB320" t="str">
            <v>14</v>
          </cell>
          <cell r="AC320">
            <v>2</v>
          </cell>
          <cell r="AD320" t="str">
            <v>2</v>
          </cell>
          <cell r="AF320" t="str">
            <v>00</v>
          </cell>
          <cell r="AI320">
            <v>40537488</v>
          </cell>
          <cell r="AJ320">
            <v>10701896.42</v>
          </cell>
        </row>
        <row r="321">
          <cell r="A321" t="str">
            <v>02</v>
          </cell>
          <cell r="B321" t="str">
            <v>02</v>
          </cell>
          <cell r="C321" t="str">
            <v>4013</v>
          </cell>
          <cell r="D321" t="str">
            <v>Бульдозер т-170</v>
          </cell>
          <cell r="G321" t="str">
            <v>01</v>
          </cell>
          <cell r="H321">
            <v>250000</v>
          </cell>
          <cell r="I321">
            <v>93750</v>
          </cell>
          <cell r="J321">
            <v>0</v>
          </cell>
          <cell r="K321">
            <v>1.24</v>
          </cell>
          <cell r="L321" t="str">
            <v>20</v>
          </cell>
          <cell r="M321" t="str">
            <v>41815</v>
          </cell>
          <cell r="N321" t="str">
            <v>14 2924340</v>
          </cell>
          <cell r="O321" t="str">
            <v>067</v>
          </cell>
          <cell r="P321">
            <v>12.5</v>
          </cell>
          <cell r="Q321">
            <v>0</v>
          </cell>
          <cell r="R321" t="str">
            <v>1</v>
          </cell>
          <cell r="S321" t="str">
            <v>41</v>
          </cell>
          <cell r="T321">
            <v>91</v>
          </cell>
          <cell r="U321">
            <v>12</v>
          </cell>
          <cell r="V321">
            <v>91</v>
          </cell>
          <cell r="W321">
            <v>12</v>
          </cell>
          <cell r="X321">
            <v>91</v>
          </cell>
          <cell r="AB321" t="str">
            <v>14</v>
          </cell>
          <cell r="AC321">
            <v>12</v>
          </cell>
          <cell r="AF321" t="str">
            <v>00</v>
          </cell>
          <cell r="AI321">
            <v>201481481</v>
          </cell>
          <cell r="AJ321">
            <v>151111110.75</v>
          </cell>
        </row>
        <row r="322">
          <cell r="A322" t="str">
            <v>02</v>
          </cell>
          <cell r="B322" t="str">
            <v>71</v>
          </cell>
          <cell r="C322" t="str">
            <v>4014</v>
          </cell>
          <cell r="D322" t="str">
            <v>Эксковатор емкость к</v>
          </cell>
          <cell r="E322" t="str">
            <v>овша 1м3</v>
          </cell>
          <cell r="F322" t="str">
            <v>26583</v>
          </cell>
          <cell r="G322" t="str">
            <v>01</v>
          </cell>
          <cell r="H322">
            <v>136080</v>
          </cell>
          <cell r="I322">
            <v>51030</v>
          </cell>
          <cell r="J322">
            <v>0</v>
          </cell>
          <cell r="K322">
            <v>1.45</v>
          </cell>
          <cell r="L322" t="str">
            <v>23</v>
          </cell>
          <cell r="M322" t="str">
            <v>41800</v>
          </cell>
          <cell r="N322" t="str">
            <v>14 2924331</v>
          </cell>
          <cell r="O322" t="str">
            <v>064</v>
          </cell>
          <cell r="P322">
            <v>12.5</v>
          </cell>
          <cell r="Q322">
            <v>0</v>
          </cell>
          <cell r="R322" t="str">
            <v>1</v>
          </cell>
          <cell r="S322" t="str">
            <v>41</v>
          </cell>
          <cell r="T322">
            <v>83</v>
          </cell>
          <cell r="U322">
            <v>12</v>
          </cell>
          <cell r="V322">
            <v>91</v>
          </cell>
          <cell r="W322">
            <v>12</v>
          </cell>
          <cell r="X322">
            <v>91</v>
          </cell>
          <cell r="AF322" t="str">
            <v>00</v>
          </cell>
          <cell r="AI322">
            <v>93849600</v>
          </cell>
          <cell r="AJ322">
            <v>70387200</v>
          </cell>
        </row>
        <row r="323">
          <cell r="A323" t="str">
            <v>02</v>
          </cell>
          <cell r="B323" t="str">
            <v>05</v>
          </cell>
          <cell r="C323" t="str">
            <v>4015</v>
          </cell>
          <cell r="D323" t="str">
            <v>Трубоукладчик на т-1</v>
          </cell>
          <cell r="E323" t="str">
            <v>70</v>
          </cell>
          <cell r="F323" t="str">
            <v>92999</v>
          </cell>
          <cell r="G323" t="str">
            <v>01</v>
          </cell>
          <cell r="H323">
            <v>43684.57</v>
          </cell>
          <cell r="I323">
            <v>13105.37</v>
          </cell>
          <cell r="J323">
            <v>0</v>
          </cell>
          <cell r="K323">
            <v>1.21</v>
          </cell>
          <cell r="L323" t="str">
            <v>20</v>
          </cell>
          <cell r="M323" t="str">
            <v>41723</v>
          </cell>
          <cell r="N323" t="str">
            <v>14 2915246</v>
          </cell>
          <cell r="O323" t="str">
            <v>067</v>
          </cell>
          <cell r="P323">
            <v>10</v>
          </cell>
          <cell r="Q323">
            <v>0</v>
          </cell>
          <cell r="R323" t="str">
            <v>1</v>
          </cell>
          <cell r="S323" t="str">
            <v>41</v>
          </cell>
          <cell r="T323">
            <v>91</v>
          </cell>
          <cell r="U323">
            <v>12</v>
          </cell>
          <cell r="V323">
            <v>91</v>
          </cell>
          <cell r="W323">
            <v>12</v>
          </cell>
          <cell r="X323">
            <v>91</v>
          </cell>
          <cell r="AB323" t="str">
            <v>14</v>
          </cell>
          <cell r="AC323">
            <v>12</v>
          </cell>
          <cell r="AF323" t="str">
            <v>00</v>
          </cell>
          <cell r="AI323">
            <v>36102947</v>
          </cell>
          <cell r="AJ323">
            <v>21661768.100000001</v>
          </cell>
        </row>
        <row r="324">
          <cell r="A324" t="str">
            <v>02</v>
          </cell>
          <cell r="B324" t="str">
            <v>80</v>
          </cell>
          <cell r="C324" t="str">
            <v>4018</v>
          </cell>
          <cell r="D324" t="str">
            <v>Персональный компьют</v>
          </cell>
          <cell r="E324" t="str">
            <v>ер</v>
          </cell>
          <cell r="G324" t="str">
            <v>01</v>
          </cell>
          <cell r="H324">
            <v>2800</v>
          </cell>
          <cell r="I324">
            <v>840</v>
          </cell>
          <cell r="J324">
            <v>10128.4</v>
          </cell>
          <cell r="K324">
            <v>0.17</v>
          </cell>
          <cell r="L324" t="str">
            <v>26</v>
          </cell>
          <cell r="M324" t="str">
            <v>48008</v>
          </cell>
          <cell r="N324" t="str">
            <v>14 3020203</v>
          </cell>
          <cell r="O324" t="str">
            <v>063</v>
          </cell>
          <cell r="P324">
            <v>10</v>
          </cell>
          <cell r="Q324">
            <v>0</v>
          </cell>
          <cell r="R324" t="str">
            <v>1</v>
          </cell>
          <cell r="S324" t="str">
            <v>48</v>
          </cell>
          <cell r="T324">
            <v>91</v>
          </cell>
          <cell r="U324">
            <v>12</v>
          </cell>
          <cell r="V324">
            <v>91</v>
          </cell>
          <cell r="W324">
            <v>12</v>
          </cell>
          <cell r="X324">
            <v>91</v>
          </cell>
          <cell r="Y324">
            <v>6</v>
          </cell>
          <cell r="Z324">
            <v>99</v>
          </cell>
          <cell r="AF324" t="str">
            <v>00</v>
          </cell>
          <cell r="AI324">
            <v>16565796</v>
          </cell>
          <cell r="AJ324">
            <v>9939477.8000000007</v>
          </cell>
        </row>
        <row r="325">
          <cell r="A325" t="str">
            <v>02</v>
          </cell>
          <cell r="B325" t="str">
            <v>99</v>
          </cell>
          <cell r="C325" t="str">
            <v>4023</v>
          </cell>
          <cell r="D325" t="str">
            <v>Холодильник "Орск"</v>
          </cell>
          <cell r="G325" t="str">
            <v>01</v>
          </cell>
          <cell r="H325">
            <v>1250</v>
          </cell>
          <cell r="I325">
            <v>708.33</v>
          </cell>
          <cell r="J325">
            <v>0</v>
          </cell>
          <cell r="K325">
            <v>0.3</v>
          </cell>
          <cell r="L325" t="str">
            <v>20</v>
          </cell>
          <cell r="M325" t="str">
            <v>45800</v>
          </cell>
          <cell r="N325" t="str">
            <v>16 2930100</v>
          </cell>
          <cell r="O325" t="str">
            <v>063</v>
          </cell>
          <cell r="P325">
            <v>10</v>
          </cell>
          <cell r="Q325">
            <v>0</v>
          </cell>
          <cell r="R325" t="str">
            <v>1</v>
          </cell>
          <cell r="S325" t="str">
            <v>45</v>
          </cell>
          <cell r="T325">
            <v>0</v>
          </cell>
          <cell r="U325">
            <v>4</v>
          </cell>
          <cell r="V325">
            <v>89</v>
          </cell>
          <cell r="W325">
            <v>4</v>
          </cell>
          <cell r="X325">
            <v>89</v>
          </cell>
          <cell r="AF325" t="str">
            <v>00</v>
          </cell>
          <cell r="AI325">
            <v>4133376</v>
          </cell>
          <cell r="AJ325">
            <v>3582259.2000000002</v>
          </cell>
        </row>
        <row r="326">
          <cell r="A326" t="str">
            <v>02</v>
          </cell>
          <cell r="B326" t="str">
            <v>04</v>
          </cell>
          <cell r="C326" t="str">
            <v>4024</v>
          </cell>
          <cell r="D326" t="str">
            <v>Кресло</v>
          </cell>
          <cell r="G326" t="str">
            <v>01</v>
          </cell>
          <cell r="H326">
            <v>450</v>
          </cell>
          <cell r="I326">
            <v>135</v>
          </cell>
          <cell r="J326">
            <v>0</v>
          </cell>
          <cell r="K326">
            <v>0.64</v>
          </cell>
          <cell r="L326" t="str">
            <v>23</v>
          </cell>
          <cell r="M326" t="str">
            <v>70003</v>
          </cell>
          <cell r="N326" t="str">
            <v>16 3612395</v>
          </cell>
          <cell r="O326" t="str">
            <v>08</v>
          </cell>
          <cell r="P326">
            <v>10</v>
          </cell>
          <cell r="Q326">
            <v>0</v>
          </cell>
          <cell r="R326" t="str">
            <v>1</v>
          </cell>
          <cell r="S326" t="str">
            <v>70</v>
          </cell>
          <cell r="T326">
            <v>91</v>
          </cell>
          <cell r="U326">
            <v>12</v>
          </cell>
          <cell r="V326">
            <v>91</v>
          </cell>
          <cell r="W326">
            <v>12</v>
          </cell>
          <cell r="X326">
            <v>91</v>
          </cell>
          <cell r="AB326" t="str">
            <v>14</v>
          </cell>
          <cell r="AC326">
            <v>5</v>
          </cell>
          <cell r="AF326" t="str">
            <v>00</v>
          </cell>
          <cell r="AI326">
            <v>701568</v>
          </cell>
          <cell r="AJ326">
            <v>420940.4</v>
          </cell>
        </row>
        <row r="327">
          <cell r="A327" t="str">
            <v>02</v>
          </cell>
          <cell r="B327" t="str">
            <v>04</v>
          </cell>
          <cell r="C327" t="str">
            <v>4025</v>
          </cell>
          <cell r="D327" t="str">
            <v>Кресло</v>
          </cell>
          <cell r="G327" t="str">
            <v>01</v>
          </cell>
          <cell r="H327">
            <v>450</v>
          </cell>
          <cell r="I327">
            <v>135</v>
          </cell>
          <cell r="J327">
            <v>0</v>
          </cell>
          <cell r="K327">
            <v>0.64</v>
          </cell>
          <cell r="L327" t="str">
            <v>23</v>
          </cell>
          <cell r="M327" t="str">
            <v>70003</v>
          </cell>
          <cell r="N327" t="str">
            <v>16 3612395</v>
          </cell>
          <cell r="O327" t="str">
            <v>08</v>
          </cell>
          <cell r="P327">
            <v>10</v>
          </cell>
          <cell r="Q327">
            <v>0</v>
          </cell>
          <cell r="R327" t="str">
            <v>1</v>
          </cell>
          <cell r="S327" t="str">
            <v>70</v>
          </cell>
          <cell r="T327">
            <v>91</v>
          </cell>
          <cell r="U327">
            <v>12</v>
          </cell>
          <cell r="V327">
            <v>91</v>
          </cell>
          <cell r="W327">
            <v>12</v>
          </cell>
          <cell r="X327">
            <v>91</v>
          </cell>
          <cell r="AB327" t="str">
            <v>14</v>
          </cell>
          <cell r="AC327">
            <v>5</v>
          </cell>
          <cell r="AF327" t="str">
            <v>00</v>
          </cell>
          <cell r="AI327">
            <v>701568</v>
          </cell>
          <cell r="AJ327">
            <v>420940.4</v>
          </cell>
        </row>
        <row r="328">
          <cell r="A328" t="str">
            <v>02</v>
          </cell>
          <cell r="B328" t="str">
            <v>04</v>
          </cell>
          <cell r="C328" t="str">
            <v>4026</v>
          </cell>
          <cell r="D328" t="str">
            <v>Кресло</v>
          </cell>
          <cell r="G328" t="str">
            <v>01</v>
          </cell>
          <cell r="H328">
            <v>450</v>
          </cell>
          <cell r="I328">
            <v>135</v>
          </cell>
          <cell r="J328">
            <v>0</v>
          </cell>
          <cell r="K328">
            <v>0.64</v>
          </cell>
          <cell r="L328" t="str">
            <v>23</v>
          </cell>
          <cell r="M328" t="str">
            <v>70003</v>
          </cell>
          <cell r="N328" t="str">
            <v>16 3612395</v>
          </cell>
          <cell r="O328" t="str">
            <v>08</v>
          </cell>
          <cell r="P328">
            <v>10</v>
          </cell>
          <cell r="Q328">
            <v>0</v>
          </cell>
          <cell r="R328" t="str">
            <v>1</v>
          </cell>
          <cell r="S328" t="str">
            <v>70</v>
          </cell>
          <cell r="T328">
            <v>91</v>
          </cell>
          <cell r="U328">
            <v>12</v>
          </cell>
          <cell r="V328">
            <v>91</v>
          </cell>
          <cell r="W328">
            <v>12</v>
          </cell>
          <cell r="X328">
            <v>91</v>
          </cell>
          <cell r="AB328" t="str">
            <v>14</v>
          </cell>
          <cell r="AC328">
            <v>5</v>
          </cell>
          <cell r="AF328" t="str">
            <v>00</v>
          </cell>
          <cell r="AI328">
            <v>701568</v>
          </cell>
          <cell r="AJ328">
            <v>420940.4</v>
          </cell>
        </row>
        <row r="329">
          <cell r="A329" t="str">
            <v>02</v>
          </cell>
          <cell r="B329" t="str">
            <v>03</v>
          </cell>
          <cell r="C329" t="str">
            <v>4027</v>
          </cell>
          <cell r="D329" t="str">
            <v>Ванна двухсекционная</v>
          </cell>
          <cell r="G329" t="str">
            <v>01</v>
          </cell>
          <cell r="H329">
            <v>785</v>
          </cell>
          <cell r="I329">
            <v>131.88</v>
          </cell>
          <cell r="J329">
            <v>0</v>
          </cell>
          <cell r="K329">
            <v>0.9</v>
          </cell>
          <cell r="L329" t="str">
            <v>26</v>
          </cell>
          <cell r="M329" t="str">
            <v>70010</v>
          </cell>
          <cell r="N329" t="str">
            <v>14 2945112</v>
          </cell>
          <cell r="O329" t="str">
            <v>08</v>
          </cell>
          <cell r="P329">
            <v>5.6</v>
          </cell>
          <cell r="Q329">
            <v>0</v>
          </cell>
          <cell r="R329" t="str">
            <v>1</v>
          </cell>
          <cell r="S329" t="str">
            <v>70</v>
          </cell>
          <cell r="T329">
            <v>91</v>
          </cell>
          <cell r="U329">
            <v>12</v>
          </cell>
          <cell r="V329">
            <v>91</v>
          </cell>
          <cell r="W329">
            <v>12</v>
          </cell>
          <cell r="X329">
            <v>91</v>
          </cell>
          <cell r="AB329" t="str">
            <v>14</v>
          </cell>
          <cell r="AC329">
            <v>8</v>
          </cell>
          <cell r="AF329" t="str">
            <v>00</v>
          </cell>
          <cell r="AI329">
            <v>871949</v>
          </cell>
          <cell r="AJ329">
            <v>292974.43</v>
          </cell>
        </row>
        <row r="330">
          <cell r="A330" t="str">
            <v>02</v>
          </cell>
          <cell r="B330" t="str">
            <v>11</v>
          </cell>
          <cell r="C330" t="str">
            <v>4028</v>
          </cell>
          <cell r="D330" t="str">
            <v>Полигон жби растворо</v>
          </cell>
          <cell r="E330" t="str">
            <v>-бетонный з-д</v>
          </cell>
          <cell r="G330" t="str">
            <v>01</v>
          </cell>
          <cell r="H330">
            <v>647400</v>
          </cell>
          <cell r="I330">
            <v>242775</v>
          </cell>
          <cell r="J330">
            <v>0</v>
          </cell>
          <cell r="K330">
            <v>0.98</v>
          </cell>
          <cell r="L330" t="str">
            <v>20</v>
          </cell>
          <cell r="M330" t="str">
            <v>42500</v>
          </cell>
          <cell r="N330" t="str">
            <v>14 2924625</v>
          </cell>
          <cell r="O330" t="str">
            <v>067</v>
          </cell>
          <cell r="P330">
            <v>12.5</v>
          </cell>
          <cell r="Q330">
            <v>0</v>
          </cell>
          <cell r="R330" t="str">
            <v>1</v>
          </cell>
          <cell r="S330" t="str">
            <v>42</v>
          </cell>
          <cell r="T330">
            <v>91</v>
          </cell>
          <cell r="U330">
            <v>12</v>
          </cell>
          <cell r="V330">
            <v>91</v>
          </cell>
          <cell r="W330">
            <v>12</v>
          </cell>
          <cell r="X330">
            <v>91</v>
          </cell>
          <cell r="AB330" t="str">
            <v>14</v>
          </cell>
          <cell r="AC330">
            <v>9</v>
          </cell>
          <cell r="AD330" t="str">
            <v>2</v>
          </cell>
          <cell r="AF330" t="str">
            <v>00</v>
          </cell>
          <cell r="AI330">
            <v>662563505</v>
          </cell>
          <cell r="AJ330">
            <v>496922628.38</v>
          </cell>
        </row>
        <row r="331">
          <cell r="A331" t="str">
            <v>02</v>
          </cell>
          <cell r="B331" t="str">
            <v>03</v>
          </cell>
          <cell r="C331" t="str">
            <v>4028/1</v>
          </cell>
          <cell r="D331" t="str">
            <v>Ванна з-х секционная</v>
          </cell>
          <cell r="G331" t="str">
            <v>01</v>
          </cell>
          <cell r="H331">
            <v>1237</v>
          </cell>
          <cell r="I331">
            <v>207.82</v>
          </cell>
          <cell r="J331">
            <v>0</v>
          </cell>
          <cell r="K331">
            <v>1.08</v>
          </cell>
          <cell r="L331" t="str">
            <v>26</v>
          </cell>
          <cell r="M331" t="str">
            <v>70010</v>
          </cell>
          <cell r="N331" t="str">
            <v>14 2945112</v>
          </cell>
          <cell r="O331" t="str">
            <v>08</v>
          </cell>
          <cell r="P331">
            <v>5.6</v>
          </cell>
          <cell r="Q331">
            <v>0</v>
          </cell>
          <cell r="R331" t="str">
            <v>1</v>
          </cell>
          <cell r="S331" t="str">
            <v>70</v>
          </cell>
          <cell r="T331">
            <v>91</v>
          </cell>
          <cell r="U331">
            <v>12</v>
          </cell>
          <cell r="V331">
            <v>91</v>
          </cell>
          <cell r="W331">
            <v>12</v>
          </cell>
          <cell r="X331">
            <v>91</v>
          </cell>
          <cell r="AB331" t="str">
            <v>14</v>
          </cell>
          <cell r="AC331">
            <v>8</v>
          </cell>
          <cell r="AF331" t="str">
            <v>00</v>
          </cell>
          <cell r="AI331">
            <v>1140549</v>
          </cell>
          <cell r="AJ331">
            <v>383224.23</v>
          </cell>
        </row>
        <row r="332">
          <cell r="A332" t="str">
            <v>17</v>
          </cell>
          <cell r="B332" t="str">
            <v>82</v>
          </cell>
          <cell r="C332" t="str">
            <v>4029</v>
          </cell>
          <cell r="D332" t="str">
            <v>Стеллаж под тарелки</v>
          </cell>
          <cell r="G332" t="str">
            <v>01</v>
          </cell>
          <cell r="H332">
            <v>1050</v>
          </cell>
          <cell r="I332">
            <v>176.4</v>
          </cell>
          <cell r="J332">
            <v>0</v>
          </cell>
          <cell r="K332">
            <v>0.85</v>
          </cell>
          <cell r="L332" t="str">
            <v>29</v>
          </cell>
          <cell r="M332" t="str">
            <v>70010</v>
          </cell>
          <cell r="N332" t="str">
            <v>14 2945117</v>
          </cell>
          <cell r="O332" t="str">
            <v>08</v>
          </cell>
          <cell r="P332">
            <v>5.6</v>
          </cell>
          <cell r="Q332">
            <v>0</v>
          </cell>
          <cell r="R332" t="str">
            <v>1</v>
          </cell>
          <cell r="S332" t="str">
            <v>70</v>
          </cell>
          <cell r="T332">
            <v>91</v>
          </cell>
          <cell r="U332">
            <v>12</v>
          </cell>
          <cell r="V332">
            <v>91</v>
          </cell>
          <cell r="W332">
            <v>12</v>
          </cell>
          <cell r="X332">
            <v>91</v>
          </cell>
          <cell r="AB332" t="str">
            <v>14</v>
          </cell>
          <cell r="AC332">
            <v>8</v>
          </cell>
          <cell r="AF332" t="str">
            <v>17</v>
          </cell>
          <cell r="AI332">
            <v>1228746</v>
          </cell>
          <cell r="AJ332">
            <v>412858.33</v>
          </cell>
        </row>
        <row r="333">
          <cell r="A333" t="str">
            <v>16</v>
          </cell>
          <cell r="B333" t="str">
            <v>06</v>
          </cell>
          <cell r="C333" t="str">
            <v>4030/2</v>
          </cell>
          <cell r="D333" t="str">
            <v>Спорткомплекс для Ту</v>
          </cell>
          <cell r="E333" t="str">
            <v>р.Базы</v>
          </cell>
          <cell r="G333" t="str">
            <v>01</v>
          </cell>
          <cell r="H333">
            <v>4198.1400000000003</v>
          </cell>
          <cell r="I333">
            <v>1259.44</v>
          </cell>
          <cell r="J333">
            <v>0</v>
          </cell>
          <cell r="K333">
            <v>1.22</v>
          </cell>
          <cell r="L333" t="str">
            <v>88/1</v>
          </cell>
          <cell r="M333" t="str">
            <v>49110</v>
          </cell>
          <cell r="N333" t="str">
            <v>12 4528471</v>
          </cell>
          <cell r="O333" t="str">
            <v>067</v>
          </cell>
          <cell r="P333">
            <v>10</v>
          </cell>
          <cell r="Q333">
            <v>0</v>
          </cell>
          <cell r="R333" t="str">
            <v>1</v>
          </cell>
          <cell r="S333" t="str">
            <v>49</v>
          </cell>
          <cell r="T333">
            <v>91</v>
          </cell>
          <cell r="U333">
            <v>12</v>
          </cell>
          <cell r="V333">
            <v>91</v>
          </cell>
          <cell r="W333">
            <v>12</v>
          </cell>
          <cell r="X333">
            <v>91</v>
          </cell>
          <cell r="AF333" t="str">
            <v>16</v>
          </cell>
          <cell r="AI333">
            <v>3453840</v>
          </cell>
          <cell r="AJ333">
            <v>2072304</v>
          </cell>
        </row>
        <row r="334">
          <cell r="A334" t="str">
            <v>17</v>
          </cell>
          <cell r="B334" t="str">
            <v>82</v>
          </cell>
          <cell r="C334" t="str">
            <v>4031</v>
          </cell>
          <cell r="D334" t="str">
            <v>Стол разделочный</v>
          </cell>
          <cell r="G334" t="str">
            <v>01</v>
          </cell>
          <cell r="H334">
            <v>400</v>
          </cell>
          <cell r="I334">
            <v>67.2</v>
          </cell>
          <cell r="J334">
            <v>0</v>
          </cell>
          <cell r="K334">
            <v>0.45</v>
          </cell>
          <cell r="L334" t="str">
            <v>29</v>
          </cell>
          <cell r="M334" t="str">
            <v>70010</v>
          </cell>
          <cell r="N334" t="str">
            <v>14 2945117</v>
          </cell>
          <cell r="O334" t="str">
            <v>08</v>
          </cell>
          <cell r="P334">
            <v>5.6</v>
          </cell>
          <cell r="Q334">
            <v>0</v>
          </cell>
          <cell r="R334" t="str">
            <v>1</v>
          </cell>
          <cell r="S334" t="str">
            <v>70</v>
          </cell>
          <cell r="T334">
            <v>91</v>
          </cell>
          <cell r="U334">
            <v>12</v>
          </cell>
          <cell r="V334">
            <v>91</v>
          </cell>
          <cell r="W334">
            <v>12</v>
          </cell>
          <cell r="X334">
            <v>91</v>
          </cell>
          <cell r="AB334" t="str">
            <v>14</v>
          </cell>
          <cell r="AC334">
            <v>8</v>
          </cell>
          <cell r="AF334" t="str">
            <v>17</v>
          </cell>
          <cell r="AI334">
            <v>887985</v>
          </cell>
          <cell r="AJ334">
            <v>298362.48</v>
          </cell>
        </row>
        <row r="335">
          <cell r="A335" t="str">
            <v>02</v>
          </cell>
          <cell r="B335" t="str">
            <v>90</v>
          </cell>
          <cell r="C335" t="str">
            <v>4033</v>
          </cell>
          <cell r="D335" t="str">
            <v>Телевизор Рекорд-гор</v>
          </cell>
          <cell r="E335" t="str">
            <v>изонт селена</v>
          </cell>
          <cell r="F335" t="str">
            <v>07106734</v>
          </cell>
          <cell r="G335" t="str">
            <v>01</v>
          </cell>
          <cell r="H335">
            <v>640</v>
          </cell>
          <cell r="I335">
            <v>201.6</v>
          </cell>
          <cell r="J335">
            <v>0</v>
          </cell>
          <cell r="K335">
            <v>0.03</v>
          </cell>
          <cell r="L335" t="str">
            <v>23</v>
          </cell>
          <cell r="M335" t="str">
            <v>45625</v>
          </cell>
          <cell r="N335" t="str">
            <v>14 3230100</v>
          </cell>
          <cell r="O335" t="str">
            <v>067</v>
          </cell>
          <cell r="P335">
            <v>10.5</v>
          </cell>
          <cell r="Q335">
            <v>0</v>
          </cell>
          <cell r="R335" t="str">
            <v>1</v>
          </cell>
          <cell r="S335" t="str">
            <v>45</v>
          </cell>
          <cell r="T335">
            <v>91</v>
          </cell>
          <cell r="U335">
            <v>12</v>
          </cell>
          <cell r="V335">
            <v>91</v>
          </cell>
          <cell r="W335">
            <v>12</v>
          </cell>
          <cell r="X335">
            <v>91</v>
          </cell>
          <cell r="AF335" t="str">
            <v>00</v>
          </cell>
          <cell r="AI335">
            <v>19408896</v>
          </cell>
          <cell r="AJ335">
            <v>12227604.24</v>
          </cell>
        </row>
        <row r="336">
          <cell r="A336" t="str">
            <v>02</v>
          </cell>
          <cell r="B336" t="str">
            <v>70</v>
          </cell>
          <cell r="C336" t="str">
            <v>4037</v>
          </cell>
          <cell r="D336" t="str">
            <v>Вагон жилой</v>
          </cell>
          <cell r="E336" t="str">
            <v>дерево-мет. 3 х 6</v>
          </cell>
          <cell r="G336" t="str">
            <v>01</v>
          </cell>
          <cell r="H336">
            <v>28800</v>
          </cell>
          <cell r="I336">
            <v>19800</v>
          </cell>
          <cell r="J336">
            <v>0</v>
          </cell>
          <cell r="K336">
            <v>0.39</v>
          </cell>
          <cell r="L336" t="str">
            <v>20</v>
          </cell>
          <cell r="M336" t="str">
            <v>10010</v>
          </cell>
          <cell r="N336" t="str">
            <v>13 2022261</v>
          </cell>
          <cell r="O336" t="str">
            <v>01</v>
          </cell>
          <cell r="P336">
            <v>12.5</v>
          </cell>
          <cell r="Q336">
            <v>0</v>
          </cell>
          <cell r="R336" t="str">
            <v>1</v>
          </cell>
          <cell r="S336" t="str">
            <v>10</v>
          </cell>
          <cell r="T336">
            <v>89</v>
          </cell>
          <cell r="U336">
            <v>6</v>
          </cell>
          <cell r="V336">
            <v>89</v>
          </cell>
          <cell r="W336">
            <v>6</v>
          </cell>
          <cell r="X336">
            <v>89</v>
          </cell>
          <cell r="AF336" t="str">
            <v>00</v>
          </cell>
          <cell r="AI336">
            <v>73472000</v>
          </cell>
          <cell r="AJ336">
            <v>73472000</v>
          </cell>
        </row>
        <row r="337">
          <cell r="A337" t="str">
            <v>02</v>
          </cell>
          <cell r="B337" t="str">
            <v>41</v>
          </cell>
          <cell r="C337" t="str">
            <v>4040</v>
          </cell>
          <cell r="D337" t="str">
            <v>Станция питания СПП-</v>
          </cell>
          <cell r="E337" t="str">
            <v>1</v>
          </cell>
          <cell r="G337" t="str">
            <v>01</v>
          </cell>
          <cell r="H337">
            <v>4712</v>
          </cell>
          <cell r="I337">
            <v>1767</v>
          </cell>
          <cell r="J337">
            <v>0</v>
          </cell>
          <cell r="K337">
            <v>1.01</v>
          </cell>
          <cell r="L337" t="str">
            <v>20</v>
          </cell>
          <cell r="M337" t="str">
            <v>42500</v>
          </cell>
          <cell r="N337" t="str">
            <v>14 3120000</v>
          </cell>
          <cell r="O337" t="str">
            <v>067</v>
          </cell>
          <cell r="P337">
            <v>12.5</v>
          </cell>
          <cell r="Q337">
            <v>0</v>
          </cell>
          <cell r="R337" t="str">
            <v>1</v>
          </cell>
          <cell r="S337" t="str">
            <v>42</v>
          </cell>
          <cell r="T337">
            <v>91</v>
          </cell>
          <cell r="U337">
            <v>12</v>
          </cell>
          <cell r="V337">
            <v>91</v>
          </cell>
          <cell r="W337">
            <v>12</v>
          </cell>
          <cell r="X337">
            <v>91</v>
          </cell>
          <cell r="AB337" t="str">
            <v>14</v>
          </cell>
          <cell r="AC337">
            <v>9</v>
          </cell>
          <cell r="AF337" t="str">
            <v>00</v>
          </cell>
          <cell r="AI337">
            <v>4650048</v>
          </cell>
          <cell r="AJ337">
            <v>3487536</v>
          </cell>
        </row>
        <row r="338">
          <cell r="A338" t="str">
            <v>02</v>
          </cell>
          <cell r="B338" t="str">
            <v>41</v>
          </cell>
          <cell r="C338" t="str">
            <v>4041</v>
          </cell>
          <cell r="D338" t="str">
            <v>Станция питания СПП-</v>
          </cell>
          <cell r="E338" t="str">
            <v>1</v>
          </cell>
          <cell r="G338" t="str">
            <v>01</v>
          </cell>
          <cell r="H338">
            <v>4712</v>
          </cell>
          <cell r="I338">
            <v>1767</v>
          </cell>
          <cell r="J338">
            <v>0</v>
          </cell>
          <cell r="K338">
            <v>1.01</v>
          </cell>
          <cell r="L338" t="str">
            <v>20</v>
          </cell>
          <cell r="M338" t="str">
            <v>42500</v>
          </cell>
          <cell r="N338" t="str">
            <v>14 3120000</v>
          </cell>
          <cell r="O338" t="str">
            <v>067</v>
          </cell>
          <cell r="P338">
            <v>12.5</v>
          </cell>
          <cell r="Q338">
            <v>0</v>
          </cell>
          <cell r="R338" t="str">
            <v>1</v>
          </cell>
          <cell r="S338" t="str">
            <v>42</v>
          </cell>
          <cell r="T338">
            <v>91</v>
          </cell>
          <cell r="U338">
            <v>12</v>
          </cell>
          <cell r="V338">
            <v>91</v>
          </cell>
          <cell r="W338">
            <v>12</v>
          </cell>
          <cell r="X338">
            <v>91</v>
          </cell>
          <cell r="AB338" t="str">
            <v>14</v>
          </cell>
          <cell r="AC338">
            <v>9</v>
          </cell>
          <cell r="AF338" t="str">
            <v>00</v>
          </cell>
          <cell r="AI338">
            <v>4650048</v>
          </cell>
          <cell r="AJ338">
            <v>3487536</v>
          </cell>
        </row>
        <row r="339">
          <cell r="A339" t="str">
            <v>02</v>
          </cell>
          <cell r="B339" t="str">
            <v>71</v>
          </cell>
          <cell r="C339" t="str">
            <v>4041/1</v>
          </cell>
          <cell r="D339" t="str">
            <v>ЧМЗАП 9990 п/прицеп</v>
          </cell>
          <cell r="F339" t="str">
            <v>М0003879</v>
          </cell>
          <cell r="G339" t="str">
            <v>01</v>
          </cell>
          <cell r="H339">
            <v>75000</v>
          </cell>
          <cell r="I339">
            <v>18675</v>
          </cell>
          <cell r="J339">
            <v>0</v>
          </cell>
          <cell r="K339">
            <v>0.94</v>
          </cell>
          <cell r="L339" t="str">
            <v>23</v>
          </cell>
          <cell r="M339" t="str">
            <v>50413</v>
          </cell>
          <cell r="N339" t="str">
            <v>15 3420209</v>
          </cell>
          <cell r="O339" t="str">
            <v>073</v>
          </cell>
          <cell r="P339">
            <v>8.3000000000000007</v>
          </cell>
          <cell r="Q339">
            <v>0</v>
          </cell>
          <cell r="R339" t="str">
            <v>1</v>
          </cell>
          <cell r="S339" t="str">
            <v>50</v>
          </cell>
          <cell r="T339">
            <v>91</v>
          </cell>
          <cell r="U339">
            <v>12</v>
          </cell>
          <cell r="V339">
            <v>91</v>
          </cell>
          <cell r="W339">
            <v>12</v>
          </cell>
          <cell r="X339">
            <v>91</v>
          </cell>
          <cell r="AB339" t="str">
            <v>14</v>
          </cell>
          <cell r="AC339">
            <v>11</v>
          </cell>
          <cell r="AF339" t="str">
            <v>00</v>
          </cell>
          <cell r="AI339">
            <v>79506173</v>
          </cell>
          <cell r="AJ339">
            <v>39594074.340000004</v>
          </cell>
        </row>
        <row r="340">
          <cell r="A340" t="str">
            <v>02</v>
          </cell>
          <cell r="B340" t="str">
            <v>41</v>
          </cell>
          <cell r="C340" t="str">
            <v>4042</v>
          </cell>
          <cell r="D340" t="str">
            <v>Станция питания СПП-</v>
          </cell>
          <cell r="E340" t="str">
            <v>1</v>
          </cell>
          <cell r="G340" t="str">
            <v>01</v>
          </cell>
          <cell r="H340">
            <v>4712</v>
          </cell>
          <cell r="I340">
            <v>1767</v>
          </cell>
          <cell r="J340">
            <v>0</v>
          </cell>
          <cell r="K340">
            <v>1.01</v>
          </cell>
          <cell r="L340" t="str">
            <v>20</v>
          </cell>
          <cell r="M340" t="str">
            <v>42500</v>
          </cell>
          <cell r="N340" t="str">
            <v>14 3120000</v>
          </cell>
          <cell r="O340" t="str">
            <v>067</v>
          </cell>
          <cell r="P340">
            <v>12.5</v>
          </cell>
          <cell r="Q340">
            <v>0</v>
          </cell>
          <cell r="R340" t="str">
            <v>1</v>
          </cell>
          <cell r="S340" t="str">
            <v>42</v>
          </cell>
          <cell r="T340">
            <v>91</v>
          </cell>
          <cell r="U340">
            <v>12</v>
          </cell>
          <cell r="V340">
            <v>91</v>
          </cell>
          <cell r="W340">
            <v>12</v>
          </cell>
          <cell r="X340">
            <v>91</v>
          </cell>
          <cell r="AB340" t="str">
            <v>14</v>
          </cell>
          <cell r="AC340">
            <v>9</v>
          </cell>
          <cell r="AF340" t="str">
            <v>00</v>
          </cell>
          <cell r="AI340">
            <v>4650048</v>
          </cell>
          <cell r="AJ340">
            <v>3487536</v>
          </cell>
        </row>
        <row r="341">
          <cell r="A341" t="str">
            <v>02</v>
          </cell>
          <cell r="B341" t="str">
            <v>71</v>
          </cell>
          <cell r="C341" t="str">
            <v>4042/1</v>
          </cell>
          <cell r="D341" t="str">
            <v>МАЗ-537 No 44-53КШЧ</v>
          </cell>
          <cell r="E341" t="str">
            <v>тягач дв9104К12679</v>
          </cell>
          <cell r="F341" t="str">
            <v>ОМО62775 ш91052757</v>
          </cell>
          <cell r="G341" t="str">
            <v>01</v>
          </cell>
          <cell r="H341">
            <v>100000</v>
          </cell>
          <cell r="I341">
            <v>24900</v>
          </cell>
          <cell r="J341">
            <v>0</v>
          </cell>
          <cell r="K341">
            <v>0.45</v>
          </cell>
          <cell r="L341" t="str">
            <v>23</v>
          </cell>
          <cell r="M341" t="str">
            <v>50413</v>
          </cell>
          <cell r="N341" t="str">
            <v>15 3410213</v>
          </cell>
          <cell r="O341" t="str">
            <v>073</v>
          </cell>
          <cell r="P341">
            <v>8.3000000000000007</v>
          </cell>
          <cell r="Q341">
            <v>0</v>
          </cell>
          <cell r="R341" t="str">
            <v>1</v>
          </cell>
          <cell r="S341" t="str">
            <v>50</v>
          </cell>
          <cell r="T341">
            <v>91</v>
          </cell>
          <cell r="U341">
            <v>12</v>
          </cell>
          <cell r="V341">
            <v>91</v>
          </cell>
          <cell r="W341">
            <v>12</v>
          </cell>
          <cell r="X341">
            <v>91</v>
          </cell>
          <cell r="AB341" t="str">
            <v>14</v>
          </cell>
          <cell r="AC341">
            <v>11</v>
          </cell>
          <cell r="AF341" t="str">
            <v>00</v>
          </cell>
          <cell r="AI341">
            <v>221234568</v>
          </cell>
          <cell r="AJ341">
            <v>110174814.92</v>
          </cell>
        </row>
        <row r="342">
          <cell r="A342" t="str">
            <v>02</v>
          </cell>
          <cell r="B342" t="str">
            <v>41</v>
          </cell>
          <cell r="C342" t="str">
            <v>4043/1</v>
          </cell>
          <cell r="D342" t="str">
            <v>Станция питания СПП-</v>
          </cell>
          <cell r="E342" t="str">
            <v>1</v>
          </cell>
          <cell r="G342" t="str">
            <v>01</v>
          </cell>
          <cell r="H342">
            <v>4712</v>
          </cell>
          <cell r="I342">
            <v>1767</v>
          </cell>
          <cell r="J342">
            <v>0</v>
          </cell>
          <cell r="K342">
            <v>1.01</v>
          </cell>
          <cell r="L342" t="str">
            <v>20</v>
          </cell>
          <cell r="M342" t="str">
            <v>42500</v>
          </cell>
          <cell r="N342" t="str">
            <v>14 3120000</v>
          </cell>
          <cell r="O342" t="str">
            <v>067</v>
          </cell>
          <cell r="P342">
            <v>12.5</v>
          </cell>
          <cell r="Q342">
            <v>0</v>
          </cell>
          <cell r="R342" t="str">
            <v>1</v>
          </cell>
          <cell r="S342" t="str">
            <v>42</v>
          </cell>
          <cell r="T342">
            <v>91</v>
          </cell>
          <cell r="U342">
            <v>12</v>
          </cell>
          <cell r="V342">
            <v>91</v>
          </cell>
          <cell r="W342">
            <v>12</v>
          </cell>
          <cell r="X342">
            <v>91</v>
          </cell>
          <cell r="AB342" t="str">
            <v>14</v>
          </cell>
          <cell r="AC342">
            <v>9</v>
          </cell>
          <cell r="AF342" t="str">
            <v>00</v>
          </cell>
          <cell r="AI342">
            <v>4650048</v>
          </cell>
          <cell r="AJ342">
            <v>3487536</v>
          </cell>
        </row>
        <row r="343">
          <cell r="A343" t="str">
            <v>02</v>
          </cell>
          <cell r="B343" t="str">
            <v>11</v>
          </cell>
          <cell r="C343" t="str">
            <v>4044/1</v>
          </cell>
          <cell r="D343" t="str">
            <v>Полигон ЖБИ кран коз</v>
          </cell>
          <cell r="E343" t="str">
            <v>ловой грузоподьемнос</v>
          </cell>
          <cell r="G343" t="str">
            <v>01</v>
          </cell>
          <cell r="H343">
            <v>28795.07</v>
          </cell>
          <cell r="I343">
            <v>4319.26</v>
          </cell>
          <cell r="J343">
            <v>0</v>
          </cell>
          <cell r="K343">
            <v>1.04</v>
          </cell>
          <cell r="L343" t="str">
            <v>20</v>
          </cell>
          <cell r="M343" t="str">
            <v>41704</v>
          </cell>
          <cell r="N343" t="str">
            <v>14 2915161</v>
          </cell>
          <cell r="O343" t="str">
            <v>064</v>
          </cell>
          <cell r="P343">
            <v>5</v>
          </cell>
          <cell r="Q343">
            <v>0</v>
          </cell>
          <cell r="R343" t="str">
            <v>1</v>
          </cell>
          <cell r="S343" t="str">
            <v>41</v>
          </cell>
          <cell r="T343">
            <v>91</v>
          </cell>
          <cell r="U343">
            <v>12</v>
          </cell>
          <cell r="V343">
            <v>91</v>
          </cell>
          <cell r="W343">
            <v>12</v>
          </cell>
          <cell r="X343">
            <v>91</v>
          </cell>
          <cell r="AB343" t="str">
            <v>14</v>
          </cell>
          <cell r="AC343">
            <v>9</v>
          </cell>
          <cell r="AD343" t="str">
            <v>2</v>
          </cell>
          <cell r="AF343" t="str">
            <v>00</v>
          </cell>
          <cell r="AG343">
            <v>27687569</v>
          </cell>
          <cell r="AI343">
            <v>27687569</v>
          </cell>
          <cell r="AJ343">
            <v>8306270.3499999996</v>
          </cell>
        </row>
        <row r="344">
          <cell r="A344" t="str">
            <v>02</v>
          </cell>
          <cell r="B344" t="str">
            <v>11</v>
          </cell>
          <cell r="C344" t="str">
            <v>4045/1</v>
          </cell>
          <cell r="D344" t="str">
            <v>Полигон ЖБИ трансфор</v>
          </cell>
          <cell r="E344" t="str">
            <v>матор ТДМ 400/6</v>
          </cell>
          <cell r="G344" t="str">
            <v>01</v>
          </cell>
          <cell r="H344">
            <v>23278</v>
          </cell>
          <cell r="I344">
            <v>3072.7</v>
          </cell>
          <cell r="J344">
            <v>0</v>
          </cell>
          <cell r="K344">
            <v>0.56999999999999995</v>
          </cell>
          <cell r="L344" t="str">
            <v>20</v>
          </cell>
          <cell r="M344" t="str">
            <v>40701</v>
          </cell>
          <cell r="N344" t="str">
            <v>14 2922805</v>
          </cell>
          <cell r="O344" t="str">
            <v>067</v>
          </cell>
          <cell r="P344">
            <v>4.4000000000000004</v>
          </cell>
          <cell r="Q344">
            <v>0</v>
          </cell>
          <cell r="R344" t="str">
            <v>1</v>
          </cell>
          <cell r="S344" t="str">
            <v>40</v>
          </cell>
          <cell r="T344">
            <v>91</v>
          </cell>
          <cell r="U344">
            <v>12</v>
          </cell>
          <cell r="V344">
            <v>91</v>
          </cell>
          <cell r="W344">
            <v>12</v>
          </cell>
          <cell r="X344">
            <v>91</v>
          </cell>
          <cell r="AB344" t="str">
            <v>14</v>
          </cell>
          <cell r="AC344">
            <v>2</v>
          </cell>
          <cell r="AD344" t="str">
            <v>2</v>
          </cell>
          <cell r="AF344" t="str">
            <v>00</v>
          </cell>
          <cell r="AI344">
            <v>40537488</v>
          </cell>
          <cell r="AJ344">
            <v>10701896.42</v>
          </cell>
        </row>
        <row r="345">
          <cell r="A345" t="str">
            <v>02</v>
          </cell>
          <cell r="B345" t="str">
            <v>23</v>
          </cell>
          <cell r="C345" t="str">
            <v>4047</v>
          </cell>
          <cell r="D345" t="str">
            <v>КРАЗ-255Б1А спец.пле</v>
          </cell>
          <cell r="E345" t="str">
            <v>тевоз ПВ-204 N 22-99</v>
          </cell>
          <cell r="F345" t="str">
            <v>КШФ дв24224 ш709847</v>
          </cell>
          <cell r="G345" t="str">
            <v>01</v>
          </cell>
          <cell r="H345">
            <v>129605</v>
          </cell>
          <cell r="I345">
            <v>47554.87</v>
          </cell>
          <cell r="J345">
            <v>0</v>
          </cell>
          <cell r="K345">
            <v>0.71</v>
          </cell>
          <cell r="L345" t="str">
            <v>23</v>
          </cell>
          <cell r="M345" t="str">
            <v>50403</v>
          </cell>
          <cell r="N345" t="str">
            <v>14 2928262</v>
          </cell>
          <cell r="O345" t="str">
            <v>075</v>
          </cell>
          <cell r="P345">
            <v>0.37</v>
          </cell>
          <cell r="Q345">
            <v>0</v>
          </cell>
          <cell r="R345" t="str">
            <v>1</v>
          </cell>
          <cell r="S345" t="str">
            <v>50</v>
          </cell>
          <cell r="T345">
            <v>91</v>
          </cell>
          <cell r="U345">
            <v>12</v>
          </cell>
          <cell r="V345">
            <v>91</v>
          </cell>
          <cell r="W345">
            <v>12</v>
          </cell>
          <cell r="X345">
            <v>91</v>
          </cell>
          <cell r="AF345" t="str">
            <v>00</v>
          </cell>
          <cell r="AI345">
            <v>183703704</v>
          </cell>
          <cell r="AJ345">
            <v>118988250.84999999</v>
          </cell>
        </row>
        <row r="346">
          <cell r="A346" t="str">
            <v>02</v>
          </cell>
          <cell r="B346" t="str">
            <v>23</v>
          </cell>
          <cell r="C346" t="str">
            <v>4048</v>
          </cell>
          <cell r="D346" t="str">
            <v>ЗИЛ-131 спец.лаборат</v>
          </cell>
          <cell r="E346" t="str">
            <v>ория ППЛ Nо24-05 КШХ</v>
          </cell>
          <cell r="F346" t="str">
            <v>дв862974 ш0945300</v>
          </cell>
          <cell r="G346" t="str">
            <v>01</v>
          </cell>
          <cell r="H346">
            <v>122000</v>
          </cell>
          <cell r="I346">
            <v>36600</v>
          </cell>
          <cell r="J346">
            <v>0</v>
          </cell>
          <cell r="K346">
            <v>1.02</v>
          </cell>
          <cell r="L346" t="str">
            <v>23</v>
          </cell>
          <cell r="M346" t="str">
            <v>50426</v>
          </cell>
          <cell r="N346" t="str">
            <v>15 3410359</v>
          </cell>
          <cell r="O346" t="str">
            <v>073</v>
          </cell>
          <cell r="P346">
            <v>10</v>
          </cell>
          <cell r="Q346">
            <v>0</v>
          </cell>
          <cell r="R346" t="str">
            <v>1</v>
          </cell>
          <cell r="S346" t="str">
            <v>50</v>
          </cell>
          <cell r="T346">
            <v>91</v>
          </cell>
          <cell r="U346">
            <v>12</v>
          </cell>
          <cell r="V346">
            <v>91</v>
          </cell>
          <cell r="W346">
            <v>12</v>
          </cell>
          <cell r="X346">
            <v>91</v>
          </cell>
          <cell r="AF346" t="str">
            <v>00</v>
          </cell>
          <cell r="AI346">
            <v>120000000</v>
          </cell>
          <cell r="AJ346">
            <v>72000000</v>
          </cell>
        </row>
        <row r="347">
          <cell r="A347" t="str">
            <v>02</v>
          </cell>
          <cell r="B347" t="str">
            <v>10</v>
          </cell>
          <cell r="C347" t="str">
            <v>4048/1</v>
          </cell>
          <cell r="D347" t="str">
            <v>Агрегат резервного п</v>
          </cell>
          <cell r="E347" t="str">
            <v>итания и эл.сварки</v>
          </cell>
          <cell r="G347" t="str">
            <v>01</v>
          </cell>
          <cell r="H347">
            <v>511863</v>
          </cell>
          <cell r="I347">
            <v>239920.43</v>
          </cell>
          <cell r="J347">
            <v>0</v>
          </cell>
          <cell r="K347">
            <v>1.01</v>
          </cell>
          <cell r="L347" t="str">
            <v>20</v>
          </cell>
          <cell r="M347" t="str">
            <v>42500</v>
          </cell>
          <cell r="N347" t="str">
            <v>14 3114160</v>
          </cell>
          <cell r="O347" t="str">
            <v>067</v>
          </cell>
          <cell r="P347">
            <v>15.62</v>
          </cell>
          <cell r="Q347">
            <v>0</v>
          </cell>
          <cell r="R347" t="str">
            <v>1</v>
          </cell>
          <cell r="S347" t="str">
            <v>42</v>
          </cell>
          <cell r="T347">
            <v>91</v>
          </cell>
          <cell r="U347">
            <v>12</v>
          </cell>
          <cell r="V347">
            <v>91</v>
          </cell>
          <cell r="W347">
            <v>12</v>
          </cell>
          <cell r="X347">
            <v>91</v>
          </cell>
          <cell r="AF347" t="str">
            <v>00</v>
          </cell>
          <cell r="AI347">
            <v>505440000</v>
          </cell>
          <cell r="AJ347">
            <v>473759021</v>
          </cell>
        </row>
        <row r="348">
          <cell r="A348" t="str">
            <v>02</v>
          </cell>
          <cell r="B348" t="str">
            <v>11</v>
          </cell>
          <cell r="C348" t="str">
            <v>4049</v>
          </cell>
          <cell r="D348" t="str">
            <v>Агрегат приемораздат</v>
          </cell>
          <cell r="E348" t="str">
            <v>очный</v>
          </cell>
          <cell r="G348" t="str">
            <v>01</v>
          </cell>
          <cell r="H348">
            <v>4000</v>
          </cell>
          <cell r="I348">
            <v>1500</v>
          </cell>
          <cell r="J348">
            <v>0</v>
          </cell>
          <cell r="K348">
            <v>1.03</v>
          </cell>
          <cell r="L348" t="str">
            <v>20</v>
          </cell>
          <cell r="M348" t="str">
            <v>42500</v>
          </cell>
          <cell r="N348" t="str">
            <v>14 2924540</v>
          </cell>
          <cell r="O348" t="str">
            <v>067</v>
          </cell>
          <cell r="P348">
            <v>12.5</v>
          </cell>
          <cell r="Q348">
            <v>0</v>
          </cell>
          <cell r="R348" t="str">
            <v>1</v>
          </cell>
          <cell r="S348" t="str">
            <v>42</v>
          </cell>
          <cell r="T348">
            <v>91</v>
          </cell>
          <cell r="U348">
            <v>12</v>
          </cell>
          <cell r="V348">
            <v>91</v>
          </cell>
          <cell r="W348">
            <v>12</v>
          </cell>
          <cell r="X348">
            <v>91</v>
          </cell>
          <cell r="AB348" t="str">
            <v>14</v>
          </cell>
          <cell r="AC348">
            <v>2</v>
          </cell>
          <cell r="AD348" t="str">
            <v>2</v>
          </cell>
          <cell r="AF348" t="str">
            <v>00</v>
          </cell>
          <cell r="AI348">
            <v>3900070</v>
          </cell>
          <cell r="AJ348">
            <v>2925055.25</v>
          </cell>
        </row>
        <row r="349">
          <cell r="A349" t="str">
            <v>02</v>
          </cell>
          <cell r="B349" t="str">
            <v>05</v>
          </cell>
          <cell r="C349" t="str">
            <v>4100</v>
          </cell>
          <cell r="D349" t="str">
            <v>Индукционный трубока</v>
          </cell>
          <cell r="E349" t="str">
            <v>белеискатель УПИК-1</v>
          </cell>
          <cell r="F349" t="str">
            <v>Ленинград</v>
          </cell>
          <cell r="G349" t="str">
            <v>01</v>
          </cell>
          <cell r="H349">
            <v>1173.56</v>
          </cell>
          <cell r="I349">
            <v>325.47000000000003</v>
          </cell>
          <cell r="J349">
            <v>0</v>
          </cell>
          <cell r="K349">
            <v>1.21</v>
          </cell>
          <cell r="L349" t="str">
            <v>20</v>
          </cell>
          <cell r="M349" t="str">
            <v>47024</v>
          </cell>
          <cell r="N349" t="str">
            <v>14 3915230</v>
          </cell>
          <cell r="O349" t="str">
            <v>063</v>
          </cell>
          <cell r="P349">
            <v>10.4</v>
          </cell>
          <cell r="Q349">
            <v>0</v>
          </cell>
          <cell r="R349" t="str">
            <v>1</v>
          </cell>
          <cell r="S349" t="str">
            <v>47</v>
          </cell>
          <cell r="T349">
            <v>92</v>
          </cell>
          <cell r="U349">
            <v>4</v>
          </cell>
          <cell r="V349">
            <v>92</v>
          </cell>
          <cell r="W349">
            <v>4</v>
          </cell>
          <cell r="X349">
            <v>92</v>
          </cell>
          <cell r="AF349" t="str">
            <v>00</v>
          </cell>
          <cell r="AI349">
            <v>969884</v>
          </cell>
          <cell r="AJ349">
            <v>571584.81000000006</v>
          </cell>
        </row>
        <row r="350">
          <cell r="A350" t="str">
            <v>02</v>
          </cell>
          <cell r="B350" t="str">
            <v>80</v>
          </cell>
          <cell r="C350" t="str">
            <v>4102</v>
          </cell>
          <cell r="D350" t="str">
            <v>Видеокамера PANASONI</v>
          </cell>
          <cell r="E350" t="str">
            <v>C</v>
          </cell>
          <cell r="G350" t="str">
            <v>01</v>
          </cell>
          <cell r="H350">
            <v>8500</v>
          </cell>
          <cell r="I350">
            <v>2744.79</v>
          </cell>
          <cell r="J350">
            <v>0</v>
          </cell>
          <cell r="K350">
            <v>0.09</v>
          </cell>
          <cell r="L350" t="str">
            <v>88/2</v>
          </cell>
          <cell r="M350" t="str">
            <v>45620</v>
          </cell>
          <cell r="N350" t="str">
            <v>14 3290154</v>
          </cell>
          <cell r="O350" t="str">
            <v>067</v>
          </cell>
          <cell r="P350">
            <v>12.5</v>
          </cell>
          <cell r="Q350">
            <v>0</v>
          </cell>
          <cell r="R350" t="str">
            <v>1</v>
          </cell>
          <cell r="S350" t="str">
            <v>45</v>
          </cell>
          <cell r="T350">
            <v>92</v>
          </cell>
          <cell r="U350">
            <v>5</v>
          </cell>
          <cell r="V350">
            <v>92</v>
          </cell>
          <cell r="W350">
            <v>5</v>
          </cell>
          <cell r="X350">
            <v>92</v>
          </cell>
          <cell r="AF350" t="str">
            <v>00</v>
          </cell>
          <cell r="AI350">
            <v>92587622</v>
          </cell>
          <cell r="AJ350">
            <v>64618444.25</v>
          </cell>
        </row>
        <row r="351">
          <cell r="A351" t="str">
            <v>17</v>
          </cell>
          <cell r="B351" t="str">
            <v>82</v>
          </cell>
          <cell r="C351" t="str">
            <v>4103</v>
          </cell>
          <cell r="D351" t="str">
            <v>Мясорубка</v>
          </cell>
          <cell r="F351" t="str">
            <v>3510</v>
          </cell>
          <cell r="G351" t="str">
            <v>01</v>
          </cell>
          <cell r="H351">
            <v>3490</v>
          </cell>
          <cell r="I351">
            <v>1289.26</v>
          </cell>
          <cell r="J351">
            <v>0</v>
          </cell>
          <cell r="K351">
            <v>0.97</v>
          </cell>
          <cell r="L351" t="str">
            <v>29</v>
          </cell>
          <cell r="M351" t="str">
            <v>45803</v>
          </cell>
          <cell r="N351" t="str">
            <v>14 2945102</v>
          </cell>
          <cell r="O351" t="str">
            <v>067</v>
          </cell>
          <cell r="P351">
            <v>14.3</v>
          </cell>
          <cell r="Q351">
            <v>0</v>
          </cell>
          <cell r="R351" t="str">
            <v>1</v>
          </cell>
          <cell r="S351" t="str">
            <v>45</v>
          </cell>
          <cell r="T351">
            <v>92</v>
          </cell>
          <cell r="U351">
            <v>5</v>
          </cell>
          <cell r="V351">
            <v>92</v>
          </cell>
          <cell r="W351">
            <v>5</v>
          </cell>
          <cell r="X351">
            <v>92</v>
          </cell>
          <cell r="AB351" t="str">
            <v>14</v>
          </cell>
          <cell r="AC351">
            <v>8</v>
          </cell>
          <cell r="AF351" t="str">
            <v>17</v>
          </cell>
          <cell r="AI351">
            <v>3597048</v>
          </cell>
          <cell r="AJ351">
            <v>2871943.59</v>
          </cell>
        </row>
        <row r="352">
          <cell r="A352" t="str">
            <v>17</v>
          </cell>
          <cell r="B352" t="str">
            <v>82</v>
          </cell>
          <cell r="C352" t="str">
            <v>4104</v>
          </cell>
          <cell r="D352" t="str">
            <v>Картофелечистка</v>
          </cell>
          <cell r="F352" t="str">
            <v>9599</v>
          </cell>
          <cell r="G352" t="str">
            <v>01</v>
          </cell>
          <cell r="H352">
            <v>3145</v>
          </cell>
          <cell r="I352">
            <v>1161.82</v>
          </cell>
          <cell r="J352">
            <v>0</v>
          </cell>
          <cell r="K352">
            <v>0.72</v>
          </cell>
          <cell r="L352" t="str">
            <v>29</v>
          </cell>
          <cell r="M352" t="str">
            <v>45803</v>
          </cell>
          <cell r="N352" t="str">
            <v>14 2945101</v>
          </cell>
          <cell r="O352" t="str">
            <v>067</v>
          </cell>
          <cell r="P352">
            <v>14.3</v>
          </cell>
          <cell r="Q352">
            <v>0</v>
          </cell>
          <cell r="R352" t="str">
            <v>1</v>
          </cell>
          <cell r="S352" t="str">
            <v>45</v>
          </cell>
          <cell r="T352">
            <v>91</v>
          </cell>
          <cell r="U352">
            <v>5</v>
          </cell>
          <cell r="V352">
            <v>92</v>
          </cell>
          <cell r="W352">
            <v>5</v>
          </cell>
          <cell r="X352">
            <v>92</v>
          </cell>
          <cell r="AB352" t="str">
            <v>14</v>
          </cell>
          <cell r="AC352">
            <v>8</v>
          </cell>
          <cell r="AF352" t="str">
            <v>17</v>
          </cell>
          <cell r="AI352">
            <v>4342993</v>
          </cell>
          <cell r="AJ352">
            <v>3467518</v>
          </cell>
        </row>
        <row r="353">
          <cell r="A353" t="str">
            <v>02</v>
          </cell>
          <cell r="B353" t="str">
            <v>23</v>
          </cell>
          <cell r="C353" t="str">
            <v>4105</v>
          </cell>
          <cell r="D353" t="str">
            <v>ГАЗ-53-12-01 NoВ640Х</v>
          </cell>
          <cell r="E353" t="str">
            <v>О спец.бензовоз</v>
          </cell>
          <cell r="F353" t="str">
            <v>ш1399127 дв б/н</v>
          </cell>
          <cell r="G353" t="str">
            <v>01</v>
          </cell>
          <cell r="H353">
            <v>75688.89</v>
          </cell>
          <cell r="I353">
            <v>19552.96</v>
          </cell>
          <cell r="J353">
            <v>0</v>
          </cell>
          <cell r="K353">
            <v>1.31</v>
          </cell>
          <cell r="L353" t="str">
            <v>23</v>
          </cell>
          <cell r="M353" t="str">
            <v>50426</v>
          </cell>
          <cell r="N353" t="str">
            <v>15 3410361</v>
          </cell>
          <cell r="O353" t="str">
            <v>073</v>
          </cell>
          <cell r="P353">
            <v>10</v>
          </cell>
          <cell r="Q353">
            <v>0</v>
          </cell>
          <cell r="R353" t="str">
            <v>1</v>
          </cell>
          <cell r="S353" t="str">
            <v>50</v>
          </cell>
          <cell r="T353">
            <v>91</v>
          </cell>
          <cell r="U353">
            <v>5</v>
          </cell>
          <cell r="V353">
            <v>92</v>
          </cell>
          <cell r="W353">
            <v>5</v>
          </cell>
          <cell r="X353">
            <v>92</v>
          </cell>
          <cell r="AF353" t="str">
            <v>00</v>
          </cell>
          <cell r="AI353">
            <v>57777778</v>
          </cell>
          <cell r="AJ353">
            <v>32259258.920000002</v>
          </cell>
        </row>
        <row r="354">
          <cell r="A354" t="str">
            <v>02</v>
          </cell>
          <cell r="B354" t="str">
            <v>02</v>
          </cell>
          <cell r="C354" t="str">
            <v>4111</v>
          </cell>
          <cell r="D354" t="str">
            <v>Емкость под топливо</v>
          </cell>
          <cell r="E354" t="str">
            <v>10 м куб труба 1020</v>
          </cell>
          <cell r="G354" t="str">
            <v>01</v>
          </cell>
          <cell r="H354">
            <v>5289.9</v>
          </cell>
          <cell r="I354">
            <v>2115.96</v>
          </cell>
          <cell r="J354">
            <v>0</v>
          </cell>
          <cell r="K354">
            <v>1.17</v>
          </cell>
          <cell r="L354" t="str">
            <v>20</v>
          </cell>
          <cell r="M354" t="str">
            <v>20238</v>
          </cell>
          <cell r="N354" t="str">
            <v>14 2918512</v>
          </cell>
          <cell r="O354" t="str">
            <v>03</v>
          </cell>
          <cell r="P354">
            <v>5</v>
          </cell>
          <cell r="Q354">
            <v>0</v>
          </cell>
          <cell r="R354" t="str">
            <v>1</v>
          </cell>
          <cell r="S354" t="str">
            <v>20</v>
          </cell>
          <cell r="T354">
            <v>81</v>
          </cell>
          <cell r="U354">
            <v>3</v>
          </cell>
          <cell r="V354">
            <v>81</v>
          </cell>
          <cell r="W354">
            <v>3</v>
          </cell>
          <cell r="X354">
            <v>81</v>
          </cell>
          <cell r="AF354" t="str">
            <v>00</v>
          </cell>
          <cell r="AI354">
            <v>4521283</v>
          </cell>
          <cell r="AJ354">
            <v>2486705.7400000002</v>
          </cell>
        </row>
        <row r="355">
          <cell r="A355" t="str">
            <v>02</v>
          </cell>
          <cell r="B355" t="str">
            <v>23</v>
          </cell>
          <cell r="C355" t="str">
            <v>4111/2</v>
          </cell>
          <cell r="D355" t="str">
            <v>Насос к 90/85 с эл.д</v>
          </cell>
          <cell r="E355" t="str">
            <v>вигателем</v>
          </cell>
          <cell r="G355" t="str">
            <v>01</v>
          </cell>
          <cell r="H355">
            <v>130.97</v>
          </cell>
          <cell r="I355">
            <v>12.11</v>
          </cell>
          <cell r="J355">
            <v>0</v>
          </cell>
          <cell r="K355">
            <v>1.06</v>
          </cell>
          <cell r="L355" t="str">
            <v>23</v>
          </cell>
          <cell r="M355" t="str">
            <v>40700</v>
          </cell>
          <cell r="N355" t="str">
            <v>14 2912100</v>
          </cell>
          <cell r="O355" t="str">
            <v>067</v>
          </cell>
          <cell r="P355">
            <v>3.7</v>
          </cell>
          <cell r="Q355">
            <v>0</v>
          </cell>
          <cell r="R355" t="str">
            <v>1</v>
          </cell>
          <cell r="S355" t="str">
            <v>40</v>
          </cell>
          <cell r="T355">
            <v>92</v>
          </cell>
          <cell r="U355">
            <v>6</v>
          </cell>
          <cell r="V355">
            <v>92</v>
          </cell>
          <cell r="W355">
            <v>6</v>
          </cell>
          <cell r="X355">
            <v>92</v>
          </cell>
          <cell r="AF355" t="str">
            <v>00</v>
          </cell>
          <cell r="AI355">
            <v>123552</v>
          </cell>
          <cell r="AJ355">
            <v>25142.73</v>
          </cell>
        </row>
        <row r="356">
          <cell r="A356" t="str">
            <v>02</v>
          </cell>
          <cell r="B356" t="str">
            <v>71</v>
          </cell>
          <cell r="C356" t="str">
            <v>4112/1</v>
          </cell>
          <cell r="D356" t="str">
            <v>Внутриплощадочные эл</v>
          </cell>
          <cell r="E356" t="str">
            <v>.сети</v>
          </cell>
          <cell r="G356" t="str">
            <v>01</v>
          </cell>
          <cell r="H356">
            <v>49820.58</v>
          </cell>
          <cell r="I356">
            <v>16523.82</v>
          </cell>
          <cell r="J356">
            <v>0</v>
          </cell>
          <cell r="K356">
            <v>1.27</v>
          </cell>
          <cell r="L356" t="str">
            <v>23</v>
          </cell>
          <cell r="M356" t="str">
            <v>30015</v>
          </cell>
          <cell r="N356" t="str">
            <v>14 3131101</v>
          </cell>
          <cell r="O356" t="str">
            <v>05</v>
          </cell>
          <cell r="P356">
            <v>2</v>
          </cell>
          <cell r="Q356">
            <v>0</v>
          </cell>
          <cell r="R356" t="str">
            <v>1</v>
          </cell>
          <cell r="S356" t="str">
            <v>30</v>
          </cell>
          <cell r="T356">
            <v>78</v>
          </cell>
          <cell r="U356">
            <v>5</v>
          </cell>
          <cell r="V356">
            <v>78</v>
          </cell>
          <cell r="W356">
            <v>5</v>
          </cell>
          <cell r="X356">
            <v>78</v>
          </cell>
          <cell r="AF356" t="str">
            <v>00</v>
          </cell>
          <cell r="AI356">
            <v>39228800</v>
          </cell>
          <cell r="AJ356">
            <v>15364612.609999999</v>
          </cell>
        </row>
        <row r="357">
          <cell r="A357" t="str">
            <v>02</v>
          </cell>
          <cell r="B357" t="str">
            <v>71</v>
          </cell>
          <cell r="C357" t="str">
            <v>4113/1</v>
          </cell>
          <cell r="D357" t="str">
            <v>Внешние сети водопро</v>
          </cell>
          <cell r="E357" t="str">
            <v>вода</v>
          </cell>
          <cell r="G357" t="str">
            <v>01</v>
          </cell>
          <cell r="H357">
            <v>246820</v>
          </cell>
          <cell r="I357">
            <v>204654.92</v>
          </cell>
          <cell r="J357">
            <v>0</v>
          </cell>
          <cell r="K357">
            <v>1.06</v>
          </cell>
          <cell r="L357" t="str">
            <v>23</v>
          </cell>
          <cell r="M357" t="str">
            <v>30109</v>
          </cell>
          <cell r="N357" t="str">
            <v>12 4527351</v>
          </cell>
          <cell r="O357" t="str">
            <v>05</v>
          </cell>
          <cell r="P357">
            <v>5</v>
          </cell>
          <cell r="Q357">
            <v>0</v>
          </cell>
          <cell r="R357" t="str">
            <v>1</v>
          </cell>
          <cell r="S357" t="str">
            <v>30</v>
          </cell>
          <cell r="T357">
            <v>78</v>
          </cell>
          <cell r="U357">
            <v>5</v>
          </cell>
          <cell r="V357">
            <v>78</v>
          </cell>
          <cell r="W357">
            <v>5</v>
          </cell>
          <cell r="X357">
            <v>78</v>
          </cell>
          <cell r="AF357" t="str">
            <v>00</v>
          </cell>
          <cell r="AI357">
            <v>232814400</v>
          </cell>
          <cell r="AJ357">
            <v>227964100</v>
          </cell>
        </row>
        <row r="358">
          <cell r="A358" t="str">
            <v>02</v>
          </cell>
          <cell r="B358" t="str">
            <v>71</v>
          </cell>
          <cell r="C358" t="str">
            <v>4115/1</v>
          </cell>
          <cell r="D358" t="str">
            <v>Материальный склад с</v>
          </cell>
          <cell r="E358" t="str">
            <v xml:space="preserve"> навесом</v>
          </cell>
          <cell r="G358" t="str">
            <v>01</v>
          </cell>
          <cell r="H358">
            <v>862530</v>
          </cell>
          <cell r="I358">
            <v>357590.51</v>
          </cell>
          <cell r="J358">
            <v>0</v>
          </cell>
          <cell r="K358">
            <v>1.2</v>
          </cell>
          <cell r="L358" t="str">
            <v>23</v>
          </cell>
          <cell r="M358" t="str">
            <v>10004</v>
          </cell>
          <cell r="N358" t="str">
            <v>11 4527204</v>
          </cell>
          <cell r="O358" t="str">
            <v>01</v>
          </cell>
          <cell r="P358">
            <v>2.5</v>
          </cell>
          <cell r="Q358">
            <v>0</v>
          </cell>
          <cell r="R358" t="str">
            <v>1</v>
          </cell>
          <cell r="S358" t="str">
            <v>10</v>
          </cell>
          <cell r="T358">
            <v>78</v>
          </cell>
          <cell r="U358">
            <v>5</v>
          </cell>
          <cell r="V358">
            <v>78</v>
          </cell>
          <cell r="W358">
            <v>5</v>
          </cell>
          <cell r="X358">
            <v>78</v>
          </cell>
          <cell r="AF358" t="str">
            <v>00</v>
          </cell>
          <cell r="AI358">
            <v>719107200</v>
          </cell>
          <cell r="AJ358">
            <v>352062854</v>
          </cell>
        </row>
        <row r="359">
          <cell r="A359" t="str">
            <v>02</v>
          </cell>
          <cell r="B359" t="str">
            <v>23</v>
          </cell>
          <cell r="C359" t="str">
            <v>4116/1</v>
          </cell>
          <cell r="D359" t="str">
            <v>Пристройка к авторем</v>
          </cell>
          <cell r="E359" t="str">
            <v>.мастерской</v>
          </cell>
          <cell r="G359" t="str">
            <v>01</v>
          </cell>
          <cell r="H359">
            <v>865140</v>
          </cell>
          <cell r="I359">
            <v>302799</v>
          </cell>
          <cell r="J359">
            <v>0</v>
          </cell>
          <cell r="K359">
            <v>0.91</v>
          </cell>
          <cell r="L359" t="str">
            <v>23</v>
          </cell>
          <cell r="M359" t="str">
            <v>10004</v>
          </cell>
          <cell r="N359" t="str">
            <v>11 4526332</v>
          </cell>
          <cell r="O359" t="str">
            <v>01</v>
          </cell>
          <cell r="P359">
            <v>2.5</v>
          </cell>
          <cell r="Q359">
            <v>0</v>
          </cell>
          <cell r="R359" t="str">
            <v>1</v>
          </cell>
          <cell r="S359" t="str">
            <v>10</v>
          </cell>
          <cell r="T359">
            <v>80</v>
          </cell>
          <cell r="U359">
            <v>12</v>
          </cell>
          <cell r="V359">
            <v>80</v>
          </cell>
          <cell r="W359">
            <v>12</v>
          </cell>
          <cell r="X359">
            <v>80</v>
          </cell>
          <cell r="AF359" t="str">
            <v>00</v>
          </cell>
          <cell r="AI359">
            <v>949432736</v>
          </cell>
          <cell r="AJ359">
            <v>403508913.42000002</v>
          </cell>
        </row>
        <row r="360">
          <cell r="A360" t="str">
            <v>02</v>
          </cell>
          <cell r="B360" t="str">
            <v>23</v>
          </cell>
          <cell r="C360" t="str">
            <v>4117/1</v>
          </cell>
          <cell r="D360" t="str">
            <v>Подъездная дорога с</v>
          </cell>
          <cell r="E360" t="str">
            <v>ограждениями</v>
          </cell>
          <cell r="G360" t="str">
            <v>01</v>
          </cell>
          <cell r="H360">
            <v>987710</v>
          </cell>
          <cell r="I360">
            <v>537314.24</v>
          </cell>
          <cell r="J360">
            <v>0</v>
          </cell>
          <cell r="K360">
            <v>1.2</v>
          </cell>
          <cell r="L360" t="str">
            <v>23</v>
          </cell>
          <cell r="M360" t="str">
            <v>20224</v>
          </cell>
          <cell r="N360" t="str">
            <v>12 4526371</v>
          </cell>
          <cell r="O360" t="str">
            <v>03</v>
          </cell>
          <cell r="P360">
            <v>3.2</v>
          </cell>
          <cell r="Q360">
            <v>0</v>
          </cell>
          <cell r="R360" t="str">
            <v>1</v>
          </cell>
          <cell r="S360" t="str">
            <v>20</v>
          </cell>
          <cell r="T360">
            <v>77</v>
          </cell>
          <cell r="U360">
            <v>12</v>
          </cell>
          <cell r="V360">
            <v>77</v>
          </cell>
          <cell r="W360">
            <v>12</v>
          </cell>
          <cell r="X360">
            <v>77</v>
          </cell>
          <cell r="AF360" t="str">
            <v>00</v>
          </cell>
          <cell r="AI360">
            <v>821205728</v>
          </cell>
          <cell r="AJ360">
            <v>525571665.63</v>
          </cell>
        </row>
        <row r="361">
          <cell r="A361" t="str">
            <v>02</v>
          </cell>
          <cell r="B361" t="str">
            <v>23</v>
          </cell>
          <cell r="C361" t="str">
            <v>4118/1</v>
          </cell>
          <cell r="D361" t="str">
            <v>Авторемонтная мастер</v>
          </cell>
          <cell r="E361" t="str">
            <v>ская на тер. МТБ</v>
          </cell>
          <cell r="G361" t="str">
            <v>01</v>
          </cell>
          <cell r="H361">
            <v>1862620</v>
          </cell>
          <cell r="I361">
            <v>772211.21</v>
          </cell>
          <cell r="J361">
            <v>0</v>
          </cell>
          <cell r="K361">
            <v>1.1599999999999999</v>
          </cell>
          <cell r="L361" t="str">
            <v>23</v>
          </cell>
          <cell r="M361" t="str">
            <v>10004</v>
          </cell>
          <cell r="N361" t="str">
            <v>11 4526332</v>
          </cell>
          <cell r="O361" t="str">
            <v>01</v>
          </cell>
          <cell r="P361">
            <v>2.5</v>
          </cell>
          <cell r="Q361">
            <v>0</v>
          </cell>
          <cell r="R361" t="str">
            <v>1</v>
          </cell>
          <cell r="S361" t="str">
            <v>10</v>
          </cell>
          <cell r="T361">
            <v>78</v>
          </cell>
          <cell r="U361">
            <v>5</v>
          </cell>
          <cell r="V361">
            <v>78</v>
          </cell>
          <cell r="W361">
            <v>5</v>
          </cell>
          <cell r="X361">
            <v>78</v>
          </cell>
          <cell r="AF361" t="str">
            <v>00</v>
          </cell>
          <cell r="AI361">
            <v>1603076384</v>
          </cell>
          <cell r="AJ361">
            <v>784839480.38999999</v>
          </cell>
        </row>
        <row r="362">
          <cell r="A362" t="str">
            <v>02</v>
          </cell>
          <cell r="B362" t="str">
            <v>55</v>
          </cell>
          <cell r="C362" t="str">
            <v>4119</v>
          </cell>
          <cell r="D362" t="str">
            <v>Материальный склад</v>
          </cell>
          <cell r="G362" t="str">
            <v>01</v>
          </cell>
          <cell r="H362">
            <v>616000</v>
          </cell>
          <cell r="I362">
            <v>255383.33</v>
          </cell>
          <cell r="J362">
            <v>0</v>
          </cell>
          <cell r="K362">
            <v>1.19</v>
          </cell>
          <cell r="L362" t="str">
            <v>26</v>
          </cell>
          <cell r="M362" t="str">
            <v>10004</v>
          </cell>
          <cell r="N362" t="str">
            <v>11 4522341</v>
          </cell>
          <cell r="O362" t="str">
            <v>01</v>
          </cell>
          <cell r="P362">
            <v>2.5</v>
          </cell>
          <cell r="Q362">
            <v>0</v>
          </cell>
          <cell r="R362" t="str">
            <v>1</v>
          </cell>
          <cell r="S362" t="str">
            <v>10</v>
          </cell>
          <cell r="T362">
            <v>78</v>
          </cell>
          <cell r="U362">
            <v>5</v>
          </cell>
          <cell r="V362">
            <v>78</v>
          </cell>
          <cell r="W362">
            <v>5</v>
          </cell>
          <cell r="X362">
            <v>78</v>
          </cell>
          <cell r="AF362" t="str">
            <v>00</v>
          </cell>
          <cell r="AI362">
            <v>517977600</v>
          </cell>
          <cell r="AJ362">
            <v>253593200</v>
          </cell>
        </row>
        <row r="363">
          <cell r="A363" t="str">
            <v>02</v>
          </cell>
          <cell r="B363" t="str">
            <v>55</v>
          </cell>
          <cell r="C363" t="str">
            <v>4120</v>
          </cell>
          <cell r="D363" t="str">
            <v>Пожарный резервуар</v>
          </cell>
          <cell r="G363" t="str">
            <v>01</v>
          </cell>
          <cell r="H363">
            <v>67300</v>
          </cell>
          <cell r="I363">
            <v>27901.48</v>
          </cell>
          <cell r="J363">
            <v>0</v>
          </cell>
          <cell r="K363">
            <v>1.2</v>
          </cell>
          <cell r="L363" t="str">
            <v>26</v>
          </cell>
          <cell r="M363" t="str">
            <v>20237</v>
          </cell>
          <cell r="N363" t="str">
            <v>12 2812000</v>
          </cell>
          <cell r="O363" t="str">
            <v>03</v>
          </cell>
          <cell r="P363">
            <v>2.5</v>
          </cell>
          <cell r="Q363">
            <v>0</v>
          </cell>
          <cell r="R363" t="str">
            <v>1</v>
          </cell>
          <cell r="S363" t="str">
            <v>20</v>
          </cell>
          <cell r="T363">
            <v>78</v>
          </cell>
          <cell r="U363">
            <v>5</v>
          </cell>
          <cell r="V363">
            <v>78</v>
          </cell>
          <cell r="W363">
            <v>5</v>
          </cell>
          <cell r="X363">
            <v>78</v>
          </cell>
          <cell r="AF363" t="str">
            <v>00</v>
          </cell>
          <cell r="AI363">
            <v>56022400</v>
          </cell>
          <cell r="AJ363">
            <v>27427649</v>
          </cell>
        </row>
        <row r="364">
          <cell r="A364" t="str">
            <v>02</v>
          </cell>
          <cell r="B364" t="str">
            <v>55</v>
          </cell>
          <cell r="C364" t="str">
            <v>4121</v>
          </cell>
          <cell r="D364" t="str">
            <v>Материальный склад б</v>
          </cell>
          <cell r="E364" t="str">
            <v>азы</v>
          </cell>
          <cell r="G364" t="str">
            <v>01</v>
          </cell>
          <cell r="H364">
            <v>746480</v>
          </cell>
          <cell r="I364">
            <v>354578</v>
          </cell>
          <cell r="J364">
            <v>0</v>
          </cell>
          <cell r="K364">
            <v>1.04</v>
          </cell>
          <cell r="L364" t="str">
            <v>26</v>
          </cell>
          <cell r="M364" t="str">
            <v>10004</v>
          </cell>
          <cell r="N364" t="str">
            <v>11 4522341</v>
          </cell>
          <cell r="O364" t="str">
            <v>01</v>
          </cell>
          <cell r="P364">
            <v>2.5</v>
          </cell>
          <cell r="Q364">
            <v>0</v>
          </cell>
          <cell r="R364" t="str">
            <v>1</v>
          </cell>
          <cell r="S364" t="str">
            <v>10</v>
          </cell>
          <cell r="T364">
            <v>75</v>
          </cell>
          <cell r="U364">
            <v>12</v>
          </cell>
          <cell r="V364">
            <v>75</v>
          </cell>
          <cell r="W364">
            <v>12</v>
          </cell>
          <cell r="X364">
            <v>75</v>
          </cell>
          <cell r="AF364" t="str">
            <v>00</v>
          </cell>
          <cell r="AI364">
            <v>716967328</v>
          </cell>
          <cell r="AJ364">
            <v>394332029.57999998</v>
          </cell>
        </row>
        <row r="365">
          <cell r="A365" t="str">
            <v>02</v>
          </cell>
          <cell r="B365" t="str">
            <v>15</v>
          </cell>
          <cell r="C365" t="str">
            <v>4125</v>
          </cell>
          <cell r="D365" t="str">
            <v>Вагон-столовая</v>
          </cell>
          <cell r="G365" t="str">
            <v>01</v>
          </cell>
          <cell r="H365">
            <v>5282.82</v>
          </cell>
          <cell r="I365">
            <v>1650.88</v>
          </cell>
          <cell r="J365">
            <v>0</v>
          </cell>
          <cell r="K365">
            <v>1.5</v>
          </cell>
          <cell r="L365" t="str">
            <v>88/2</v>
          </cell>
          <cell r="M365" t="str">
            <v>10010</v>
          </cell>
          <cell r="N365" t="str">
            <v>13 0001020</v>
          </cell>
          <cell r="O365" t="str">
            <v>01</v>
          </cell>
          <cell r="P365">
            <v>12.5</v>
          </cell>
          <cell r="Q365">
            <v>0</v>
          </cell>
          <cell r="R365" t="str">
            <v>1</v>
          </cell>
          <cell r="S365" t="str">
            <v>10</v>
          </cell>
          <cell r="T365">
            <v>92</v>
          </cell>
          <cell r="U365">
            <v>6</v>
          </cell>
          <cell r="V365">
            <v>92</v>
          </cell>
          <cell r="W365">
            <v>6</v>
          </cell>
          <cell r="X365">
            <v>92</v>
          </cell>
          <cell r="AB365" t="str">
            <v>14</v>
          </cell>
          <cell r="AC365">
            <v>10</v>
          </cell>
          <cell r="AF365" t="str">
            <v>00</v>
          </cell>
          <cell r="AI365">
            <v>3521880</v>
          </cell>
          <cell r="AJ365">
            <v>2421293</v>
          </cell>
        </row>
        <row r="366">
          <cell r="A366" t="str">
            <v>02</v>
          </cell>
          <cell r="B366" t="str">
            <v>71</v>
          </cell>
          <cell r="C366" t="str">
            <v>4126</v>
          </cell>
          <cell r="D366" t="str">
            <v>Лабороторно-бытовой</v>
          </cell>
          <cell r="E366" t="str">
            <v>корпус с пристроем Р</v>
          </cell>
          <cell r="G366" t="str">
            <v>01</v>
          </cell>
          <cell r="H366">
            <v>5107200</v>
          </cell>
          <cell r="I366">
            <v>694579.19999999995</v>
          </cell>
          <cell r="J366">
            <v>0</v>
          </cell>
          <cell r="K366">
            <v>1.29</v>
          </cell>
          <cell r="L366" t="str">
            <v>23</v>
          </cell>
          <cell r="M366" t="str">
            <v>10003</v>
          </cell>
          <cell r="N366" t="str">
            <v>11 4526675</v>
          </cell>
          <cell r="O366" t="str">
            <v>01</v>
          </cell>
          <cell r="P366">
            <v>1.7</v>
          </cell>
          <cell r="Q366">
            <v>0</v>
          </cell>
          <cell r="R366" t="str">
            <v>1</v>
          </cell>
          <cell r="S366" t="str">
            <v>10</v>
          </cell>
          <cell r="T366">
            <v>86</v>
          </cell>
          <cell r="U366">
            <v>12</v>
          </cell>
          <cell r="V366">
            <v>86</v>
          </cell>
          <cell r="W366">
            <v>12</v>
          </cell>
          <cell r="X366">
            <v>86</v>
          </cell>
          <cell r="AF366" t="str">
            <v>00</v>
          </cell>
          <cell r="AI366">
            <v>3948437996</v>
          </cell>
          <cell r="AJ366">
            <v>738357904.75999999</v>
          </cell>
        </row>
        <row r="367">
          <cell r="A367" t="str">
            <v>02</v>
          </cell>
          <cell r="B367" t="str">
            <v>71</v>
          </cell>
          <cell r="C367" t="str">
            <v>4126/1</v>
          </cell>
          <cell r="D367" t="str">
            <v>Сварочный аппарат ПТ</v>
          </cell>
          <cell r="E367" t="str">
            <v>Г с ВДУ-506</v>
          </cell>
          <cell r="G367" t="str">
            <v>01</v>
          </cell>
          <cell r="H367">
            <v>10750</v>
          </cell>
          <cell r="I367">
            <v>2956.25</v>
          </cell>
          <cell r="J367">
            <v>0</v>
          </cell>
          <cell r="K367">
            <v>1.08</v>
          </cell>
          <cell r="L367" t="str">
            <v>23</v>
          </cell>
          <cell r="M367" t="str">
            <v>42502</v>
          </cell>
          <cell r="N367" t="str">
            <v>14 2947193</v>
          </cell>
          <cell r="O367" t="str">
            <v>067</v>
          </cell>
          <cell r="P367">
            <v>11</v>
          </cell>
          <cell r="Q367">
            <v>0</v>
          </cell>
          <cell r="R367" t="str">
            <v>1</v>
          </cell>
          <cell r="S367" t="str">
            <v>42</v>
          </cell>
          <cell r="T367">
            <v>92</v>
          </cell>
          <cell r="U367">
            <v>6</v>
          </cell>
          <cell r="V367">
            <v>92</v>
          </cell>
          <cell r="W367">
            <v>6</v>
          </cell>
          <cell r="X367">
            <v>92</v>
          </cell>
          <cell r="AB367" t="str">
            <v>14</v>
          </cell>
          <cell r="AC367">
            <v>8</v>
          </cell>
          <cell r="AF367" t="str">
            <v>00</v>
          </cell>
          <cell r="AI367">
            <v>9996480</v>
          </cell>
          <cell r="AJ367">
            <v>6047870.4000000004</v>
          </cell>
        </row>
        <row r="368">
          <cell r="A368" t="str">
            <v>02</v>
          </cell>
          <cell r="B368" t="str">
            <v>90</v>
          </cell>
          <cell r="C368" t="str">
            <v>4127</v>
          </cell>
          <cell r="D368" t="str">
            <v>Лесопильная рама цех</v>
          </cell>
          <cell r="E368" t="str">
            <v xml:space="preserve"> с навесом</v>
          </cell>
          <cell r="G368" t="str">
            <v>01</v>
          </cell>
          <cell r="H368">
            <v>102061.17</v>
          </cell>
          <cell r="I368">
            <v>35721.410000000003</v>
          </cell>
          <cell r="J368">
            <v>0</v>
          </cell>
          <cell r="K368">
            <v>1.27</v>
          </cell>
          <cell r="L368" t="str">
            <v>23</v>
          </cell>
          <cell r="M368" t="str">
            <v>10004</v>
          </cell>
          <cell r="N368" t="str">
            <v>14 2922630</v>
          </cell>
          <cell r="O368" t="str">
            <v>01</v>
          </cell>
          <cell r="P368">
            <v>2.5</v>
          </cell>
          <cell r="Q368">
            <v>0</v>
          </cell>
          <cell r="R368" t="str">
            <v>1</v>
          </cell>
          <cell r="S368" t="str">
            <v>10</v>
          </cell>
          <cell r="T368">
            <v>80</v>
          </cell>
          <cell r="U368">
            <v>12</v>
          </cell>
          <cell r="V368">
            <v>80</v>
          </cell>
          <cell r="W368">
            <v>12</v>
          </cell>
          <cell r="X368">
            <v>80</v>
          </cell>
          <cell r="AF368" t="str">
            <v>00</v>
          </cell>
          <cell r="AI368">
            <v>80363123</v>
          </cell>
          <cell r="AJ368">
            <v>34154326.740000002</v>
          </cell>
        </row>
        <row r="369">
          <cell r="A369" t="str">
            <v>02</v>
          </cell>
          <cell r="B369" t="str">
            <v>23</v>
          </cell>
          <cell r="C369" t="str">
            <v>4128</v>
          </cell>
          <cell r="D369" t="str">
            <v>УАЗ-3741 ПЭЛХЗМ эл.</v>
          </cell>
          <cell r="E369" t="str">
            <v>лаборатория NоВ911ОВ</v>
          </cell>
          <cell r="F369" t="str">
            <v>д11002217 ш0119156</v>
          </cell>
          <cell r="G369" t="str">
            <v>01</v>
          </cell>
          <cell r="H369">
            <v>80190</v>
          </cell>
          <cell r="I369">
            <v>28667.93</v>
          </cell>
          <cell r="J369">
            <v>0</v>
          </cell>
          <cell r="K369">
            <v>1.35</v>
          </cell>
          <cell r="L369" t="str">
            <v>23</v>
          </cell>
          <cell r="M369" t="str">
            <v>50401</v>
          </cell>
          <cell r="N369" t="str">
            <v>15 3410165</v>
          </cell>
          <cell r="O369" t="str">
            <v>075</v>
          </cell>
          <cell r="P369">
            <v>14.3</v>
          </cell>
          <cell r="Q369">
            <v>0</v>
          </cell>
          <cell r="R369" t="str">
            <v>1</v>
          </cell>
          <cell r="S369" t="str">
            <v>50</v>
          </cell>
          <cell r="T369">
            <v>91</v>
          </cell>
          <cell r="U369">
            <v>6</v>
          </cell>
          <cell r="V369">
            <v>92</v>
          </cell>
          <cell r="W369">
            <v>6</v>
          </cell>
          <cell r="X369">
            <v>92</v>
          </cell>
          <cell r="AF369" t="str">
            <v>00</v>
          </cell>
          <cell r="AI369">
            <v>59400000</v>
          </cell>
          <cell r="AJ369">
            <v>46718100</v>
          </cell>
        </row>
        <row r="370">
          <cell r="A370" t="str">
            <v>02</v>
          </cell>
          <cell r="B370" t="str">
            <v>03</v>
          </cell>
          <cell r="C370" t="str">
            <v>4151</v>
          </cell>
          <cell r="D370" t="str">
            <v>Кран башенный КБ-100</v>
          </cell>
          <cell r="E370" t="str">
            <v xml:space="preserve"> 3А-К</v>
          </cell>
          <cell r="G370" t="str">
            <v>01</v>
          </cell>
          <cell r="H370">
            <v>114000</v>
          </cell>
          <cell r="I370">
            <v>68400</v>
          </cell>
          <cell r="J370">
            <v>0</v>
          </cell>
          <cell r="K370">
            <v>0.64</v>
          </cell>
          <cell r="L370" t="str">
            <v>26</v>
          </cell>
          <cell r="M370" t="str">
            <v>41700</v>
          </cell>
          <cell r="N370" t="str">
            <v>14 2915244</v>
          </cell>
          <cell r="O370" t="str">
            <v>064</v>
          </cell>
          <cell r="P370">
            <v>10</v>
          </cell>
          <cell r="Q370">
            <v>0</v>
          </cell>
          <cell r="R370" t="str">
            <v>1</v>
          </cell>
          <cell r="S370" t="str">
            <v>41</v>
          </cell>
          <cell r="T370">
            <v>88</v>
          </cell>
          <cell r="U370">
            <v>12</v>
          </cell>
          <cell r="V370">
            <v>88</v>
          </cell>
          <cell r="W370">
            <v>12</v>
          </cell>
          <cell r="X370">
            <v>88</v>
          </cell>
          <cell r="AF370" t="str">
            <v>00</v>
          </cell>
          <cell r="AI370">
            <v>178287977</v>
          </cell>
          <cell r="AJ370">
            <v>160459179.15000001</v>
          </cell>
        </row>
        <row r="371">
          <cell r="A371" t="str">
            <v>02</v>
          </cell>
          <cell r="B371" t="str">
            <v>70</v>
          </cell>
          <cell r="C371" t="str">
            <v>4154</v>
          </cell>
          <cell r="D371" t="str">
            <v>Кран РДК-250</v>
          </cell>
          <cell r="G371" t="str">
            <v>01</v>
          </cell>
          <cell r="H371">
            <v>194998</v>
          </cell>
          <cell r="I371">
            <v>194998</v>
          </cell>
          <cell r="J371">
            <v>0</v>
          </cell>
          <cell r="K371">
            <v>0.94</v>
          </cell>
          <cell r="L371" t="str">
            <v>20</v>
          </cell>
          <cell r="M371" t="str">
            <v>41701</v>
          </cell>
          <cell r="N371" t="str">
            <v>14 2915243</v>
          </cell>
          <cell r="O371" t="str">
            <v>067</v>
          </cell>
          <cell r="P371">
            <v>9.1</v>
          </cell>
          <cell r="Q371">
            <v>0</v>
          </cell>
          <cell r="R371" t="str">
            <v>1</v>
          </cell>
          <cell r="S371" t="str">
            <v>41</v>
          </cell>
          <cell r="T371">
            <v>83</v>
          </cell>
          <cell r="U371">
            <v>12</v>
          </cell>
          <cell r="V371">
            <v>83</v>
          </cell>
          <cell r="W371">
            <v>12</v>
          </cell>
          <cell r="X371">
            <v>83</v>
          </cell>
          <cell r="AF371" t="str">
            <v>00</v>
          </cell>
          <cell r="AI371">
            <v>207407407</v>
          </cell>
          <cell r="AJ371">
            <v>207407407</v>
          </cell>
        </row>
        <row r="372">
          <cell r="A372" t="str">
            <v>02</v>
          </cell>
          <cell r="B372" t="str">
            <v>71</v>
          </cell>
          <cell r="C372" t="str">
            <v>4155</v>
          </cell>
          <cell r="D372" t="str">
            <v>Кран РДК-160-2</v>
          </cell>
          <cell r="G372" t="str">
            <v>01</v>
          </cell>
          <cell r="H372">
            <v>189600</v>
          </cell>
          <cell r="I372">
            <v>189600</v>
          </cell>
          <cell r="J372">
            <v>0</v>
          </cell>
          <cell r="K372">
            <v>1</v>
          </cell>
          <cell r="L372" t="str">
            <v>23</v>
          </cell>
          <cell r="M372" t="str">
            <v>41701</v>
          </cell>
          <cell r="N372" t="str">
            <v>14 2915243</v>
          </cell>
          <cell r="O372" t="str">
            <v>067</v>
          </cell>
          <cell r="P372">
            <v>9.1</v>
          </cell>
          <cell r="Q372">
            <v>0</v>
          </cell>
          <cell r="R372" t="str">
            <v>1</v>
          </cell>
          <cell r="S372" t="str">
            <v>41</v>
          </cell>
          <cell r="T372">
            <v>80</v>
          </cell>
          <cell r="U372">
            <v>12</v>
          </cell>
          <cell r="V372">
            <v>80</v>
          </cell>
          <cell r="W372">
            <v>12</v>
          </cell>
          <cell r="X372">
            <v>80</v>
          </cell>
          <cell r="AF372" t="str">
            <v>00</v>
          </cell>
          <cell r="AI372">
            <v>190123457</v>
          </cell>
          <cell r="AJ372">
            <v>190123457</v>
          </cell>
        </row>
        <row r="373">
          <cell r="A373" t="str">
            <v>02</v>
          </cell>
          <cell r="B373" t="str">
            <v>71</v>
          </cell>
          <cell r="C373" t="str">
            <v>4156</v>
          </cell>
          <cell r="D373" t="str">
            <v>Кран РДК-25</v>
          </cell>
          <cell r="G373" t="str">
            <v>01</v>
          </cell>
          <cell r="H373">
            <v>194998</v>
          </cell>
          <cell r="I373">
            <v>194998</v>
          </cell>
          <cell r="J373">
            <v>0</v>
          </cell>
          <cell r="K373">
            <v>0.94</v>
          </cell>
          <cell r="L373" t="str">
            <v>23</v>
          </cell>
          <cell r="M373" t="str">
            <v>41701</v>
          </cell>
          <cell r="N373" t="str">
            <v>14 2915243</v>
          </cell>
          <cell r="O373" t="str">
            <v>067</v>
          </cell>
          <cell r="P373">
            <v>9.1</v>
          </cell>
          <cell r="Q373">
            <v>0</v>
          </cell>
          <cell r="R373" t="str">
            <v>1</v>
          </cell>
          <cell r="S373" t="str">
            <v>41</v>
          </cell>
          <cell r="T373">
            <v>78</v>
          </cell>
          <cell r="U373">
            <v>6</v>
          </cell>
          <cell r="V373">
            <v>78</v>
          </cell>
          <cell r="W373">
            <v>6</v>
          </cell>
          <cell r="X373">
            <v>78</v>
          </cell>
          <cell r="AB373" t="str">
            <v>14</v>
          </cell>
          <cell r="AC373">
            <v>6</v>
          </cell>
          <cell r="AF373" t="str">
            <v>00</v>
          </cell>
          <cell r="AI373">
            <v>207407407</v>
          </cell>
          <cell r="AJ373">
            <v>207407407</v>
          </cell>
        </row>
        <row r="374">
          <cell r="A374" t="str">
            <v>02</v>
          </cell>
          <cell r="B374" t="str">
            <v>02</v>
          </cell>
          <cell r="C374" t="str">
            <v>4157</v>
          </cell>
          <cell r="D374" t="str">
            <v>Кран РДК-160</v>
          </cell>
          <cell r="G374" t="str">
            <v>01</v>
          </cell>
          <cell r="H374">
            <v>189600</v>
          </cell>
          <cell r="I374">
            <v>189600</v>
          </cell>
          <cell r="J374">
            <v>0</v>
          </cell>
          <cell r="K374">
            <v>1</v>
          </cell>
          <cell r="L374" t="str">
            <v>20</v>
          </cell>
          <cell r="M374" t="str">
            <v>41701</v>
          </cell>
          <cell r="N374" t="str">
            <v>14 2915243</v>
          </cell>
          <cell r="O374" t="str">
            <v>067</v>
          </cell>
          <cell r="P374">
            <v>9.1</v>
          </cell>
          <cell r="Q374">
            <v>0</v>
          </cell>
          <cell r="R374" t="str">
            <v>1</v>
          </cell>
          <cell r="S374" t="str">
            <v>41</v>
          </cell>
          <cell r="T374">
            <v>84</v>
          </cell>
          <cell r="U374">
            <v>12</v>
          </cell>
          <cell r="V374">
            <v>84</v>
          </cell>
          <cell r="W374">
            <v>12</v>
          </cell>
          <cell r="X374">
            <v>84</v>
          </cell>
          <cell r="AB374" t="str">
            <v>14</v>
          </cell>
          <cell r="AC374">
            <v>12</v>
          </cell>
          <cell r="AF374" t="str">
            <v>00</v>
          </cell>
          <cell r="AI374">
            <v>190123457</v>
          </cell>
          <cell r="AJ374">
            <v>190123457</v>
          </cell>
        </row>
        <row r="375">
          <cell r="A375" t="str">
            <v>02</v>
          </cell>
          <cell r="B375" t="str">
            <v>90</v>
          </cell>
          <cell r="C375" t="str">
            <v>4191</v>
          </cell>
          <cell r="D375" t="str">
            <v>Заточной станок ТГ-П</v>
          </cell>
          <cell r="E375" t="str">
            <v>А-5</v>
          </cell>
          <cell r="G375" t="str">
            <v>01</v>
          </cell>
          <cell r="H375">
            <v>3735</v>
          </cell>
          <cell r="I375">
            <v>1851.94</v>
          </cell>
          <cell r="J375">
            <v>0</v>
          </cell>
          <cell r="K375">
            <v>0.9</v>
          </cell>
          <cell r="L375" t="str">
            <v>23</v>
          </cell>
          <cell r="M375" t="str">
            <v>41000</v>
          </cell>
          <cell r="N375" t="str">
            <v>14 2922130</v>
          </cell>
          <cell r="O375" t="str">
            <v>067</v>
          </cell>
          <cell r="P375">
            <v>3.5</v>
          </cell>
          <cell r="Q375">
            <v>0</v>
          </cell>
          <cell r="R375" t="str">
            <v>1</v>
          </cell>
          <cell r="S375" t="str">
            <v>41</v>
          </cell>
          <cell r="T375">
            <v>80</v>
          </cell>
          <cell r="U375">
            <v>10</v>
          </cell>
          <cell r="V375">
            <v>80</v>
          </cell>
          <cell r="W375">
            <v>10</v>
          </cell>
          <cell r="X375">
            <v>80</v>
          </cell>
          <cell r="AF375" t="str">
            <v>00</v>
          </cell>
          <cell r="AI375">
            <v>4143260</v>
          </cell>
          <cell r="AJ375">
            <v>2489409</v>
          </cell>
        </row>
        <row r="376">
          <cell r="A376" t="str">
            <v>02</v>
          </cell>
          <cell r="B376" t="str">
            <v>05</v>
          </cell>
          <cell r="C376" t="str">
            <v>4195</v>
          </cell>
          <cell r="D376" t="str">
            <v>Вагон жилой 3 х 9</v>
          </cell>
          <cell r="E376" t="str">
            <v>дерево-мет.</v>
          </cell>
          <cell r="G376" t="str">
            <v>01</v>
          </cell>
          <cell r="H376">
            <v>85000</v>
          </cell>
          <cell r="I376">
            <v>58437.5</v>
          </cell>
          <cell r="J376">
            <v>0</v>
          </cell>
          <cell r="K376">
            <v>1.1599999999999999</v>
          </cell>
          <cell r="L376" t="str">
            <v>20</v>
          </cell>
          <cell r="M376" t="str">
            <v>10010</v>
          </cell>
          <cell r="N376" t="str">
            <v>13 2022231</v>
          </cell>
          <cell r="O376" t="str">
            <v>01</v>
          </cell>
          <cell r="P376">
            <v>12.5</v>
          </cell>
          <cell r="Q376">
            <v>0</v>
          </cell>
          <cell r="R376" t="str">
            <v>1</v>
          </cell>
          <cell r="S376" t="str">
            <v>10</v>
          </cell>
          <cell r="T376">
            <v>89</v>
          </cell>
          <cell r="U376">
            <v>6</v>
          </cell>
          <cell r="V376">
            <v>89</v>
          </cell>
          <cell r="W376">
            <v>6</v>
          </cell>
          <cell r="X376">
            <v>89</v>
          </cell>
          <cell r="AA376" t="str">
            <v>1</v>
          </cell>
          <cell r="AB376" t="str">
            <v>15</v>
          </cell>
          <cell r="AC376">
            <v>6</v>
          </cell>
          <cell r="AF376" t="str">
            <v>00</v>
          </cell>
          <cell r="AI376">
            <v>73472000</v>
          </cell>
          <cell r="AJ376">
            <v>73472000</v>
          </cell>
        </row>
        <row r="377">
          <cell r="A377" t="str">
            <v>02</v>
          </cell>
          <cell r="B377" t="str">
            <v>80</v>
          </cell>
          <cell r="C377" t="str">
            <v>4315</v>
          </cell>
          <cell r="D377" t="str">
            <v>Телефакс</v>
          </cell>
          <cell r="G377" t="str">
            <v>01</v>
          </cell>
          <cell r="H377">
            <v>3282</v>
          </cell>
          <cell r="I377">
            <v>1179.33</v>
          </cell>
          <cell r="J377">
            <v>0</v>
          </cell>
          <cell r="K377">
            <v>0.02</v>
          </cell>
          <cell r="L377" t="str">
            <v>26</v>
          </cell>
          <cell r="M377" t="str">
            <v>45605</v>
          </cell>
          <cell r="N377" t="str">
            <v>14 3222146</v>
          </cell>
          <cell r="O377" t="str">
            <v>067</v>
          </cell>
          <cell r="P377">
            <v>7.7</v>
          </cell>
          <cell r="Q377">
            <v>0</v>
          </cell>
          <cell r="R377" t="str">
            <v>1</v>
          </cell>
          <cell r="S377" t="str">
            <v>45</v>
          </cell>
          <cell r="T377">
            <v>0</v>
          </cell>
          <cell r="U377">
            <v>4</v>
          </cell>
          <cell r="V377">
            <v>90</v>
          </cell>
          <cell r="W377">
            <v>4</v>
          </cell>
          <cell r="X377">
            <v>90</v>
          </cell>
          <cell r="AF377" t="str">
            <v>00</v>
          </cell>
          <cell r="AI377">
            <v>157852800</v>
          </cell>
          <cell r="AJ377">
            <v>93185769.599999994</v>
          </cell>
        </row>
        <row r="378">
          <cell r="A378" t="str">
            <v>02</v>
          </cell>
          <cell r="B378" t="str">
            <v>80</v>
          </cell>
          <cell r="C378" t="str">
            <v>4316</v>
          </cell>
          <cell r="D378" t="str">
            <v>Компьютер IBM PC AT</v>
          </cell>
          <cell r="G378" t="str">
            <v>01</v>
          </cell>
          <cell r="H378">
            <v>2500</v>
          </cell>
          <cell r="I378">
            <v>1187.5</v>
          </cell>
          <cell r="J378">
            <v>16500</v>
          </cell>
          <cell r="K378">
            <v>0.1</v>
          </cell>
          <cell r="L378" t="str">
            <v>26</v>
          </cell>
          <cell r="M378" t="str">
            <v>48008</v>
          </cell>
          <cell r="N378" t="str">
            <v>14 3020203</v>
          </cell>
          <cell r="O378" t="str">
            <v>063</v>
          </cell>
          <cell r="P378">
            <v>10</v>
          </cell>
          <cell r="Q378">
            <v>0</v>
          </cell>
          <cell r="R378" t="str">
            <v>1</v>
          </cell>
          <cell r="S378" t="str">
            <v>48</v>
          </cell>
          <cell r="T378">
            <v>0</v>
          </cell>
          <cell r="U378">
            <v>3</v>
          </cell>
          <cell r="V378">
            <v>90</v>
          </cell>
          <cell r="W378">
            <v>3</v>
          </cell>
          <cell r="X378">
            <v>90</v>
          </cell>
          <cell r="Y378">
            <v>3</v>
          </cell>
          <cell r="Z378">
            <v>99</v>
          </cell>
          <cell r="AF378" t="str">
            <v>00</v>
          </cell>
          <cell r="AI378">
            <v>24488100</v>
          </cell>
          <cell r="AJ378">
            <v>18978277.5</v>
          </cell>
        </row>
        <row r="379">
          <cell r="A379" t="str">
            <v>02</v>
          </cell>
          <cell r="B379" t="str">
            <v>80</v>
          </cell>
          <cell r="C379" t="str">
            <v>4317</v>
          </cell>
          <cell r="D379" t="str">
            <v>Компьютер IBM PC/XT</v>
          </cell>
          <cell r="G379" t="str">
            <v>01</v>
          </cell>
          <cell r="H379">
            <v>2500</v>
          </cell>
          <cell r="I379">
            <v>1020.83</v>
          </cell>
          <cell r="J379">
            <v>0</v>
          </cell>
          <cell r="K379">
            <v>0.13</v>
          </cell>
          <cell r="L379" t="str">
            <v>26</v>
          </cell>
          <cell r="M379" t="str">
            <v>48008</v>
          </cell>
          <cell r="N379" t="str">
            <v>14 3020203</v>
          </cell>
          <cell r="O379" t="str">
            <v>063</v>
          </cell>
          <cell r="P379">
            <v>10</v>
          </cell>
          <cell r="Q379">
            <v>0</v>
          </cell>
          <cell r="R379" t="str">
            <v>1</v>
          </cell>
          <cell r="S379" t="str">
            <v>48</v>
          </cell>
          <cell r="T379">
            <v>0</v>
          </cell>
          <cell r="U379">
            <v>11</v>
          </cell>
          <cell r="V379">
            <v>90</v>
          </cell>
          <cell r="W379">
            <v>11</v>
          </cell>
          <cell r="X379">
            <v>90</v>
          </cell>
          <cell r="AB379" t="str">
            <v>14</v>
          </cell>
          <cell r="AC379">
            <v>8</v>
          </cell>
          <cell r="AF379" t="str">
            <v>00</v>
          </cell>
          <cell r="AI379">
            <v>19240650</v>
          </cell>
          <cell r="AJ379">
            <v>13628793.75</v>
          </cell>
        </row>
        <row r="380">
          <cell r="A380" t="str">
            <v>02</v>
          </cell>
          <cell r="B380" t="str">
            <v>23</v>
          </cell>
          <cell r="C380" t="str">
            <v>5005</v>
          </cell>
          <cell r="D380" t="str">
            <v>КРАЗ-255-Б No Т669КВ</v>
          </cell>
          <cell r="E380" t="str">
            <v xml:space="preserve"> груз.плетевоз</v>
          </cell>
          <cell r="F380" t="str">
            <v>дв8838005 ш633011</v>
          </cell>
          <cell r="G380" t="str">
            <v>01</v>
          </cell>
          <cell r="H380">
            <v>129605</v>
          </cell>
          <cell r="I380">
            <v>129605</v>
          </cell>
          <cell r="J380">
            <v>0</v>
          </cell>
          <cell r="K380">
            <v>1.04</v>
          </cell>
          <cell r="L380" t="str">
            <v>23</v>
          </cell>
          <cell r="M380" t="str">
            <v>50402</v>
          </cell>
          <cell r="N380" t="str">
            <v>14 2928262</v>
          </cell>
          <cell r="O380" t="str">
            <v>075</v>
          </cell>
          <cell r="P380">
            <v>0.37</v>
          </cell>
          <cell r="Q380">
            <v>0</v>
          </cell>
          <cell r="R380" t="str">
            <v>1</v>
          </cell>
          <cell r="S380" t="str">
            <v>50</v>
          </cell>
          <cell r="T380">
            <v>88</v>
          </cell>
          <cell r="U380">
            <v>1</v>
          </cell>
          <cell r="V380">
            <v>88</v>
          </cell>
          <cell r="W380">
            <v>1</v>
          </cell>
          <cell r="X380">
            <v>88</v>
          </cell>
          <cell r="AF380" t="str">
            <v>00</v>
          </cell>
          <cell r="AI380">
            <v>124444444</v>
          </cell>
          <cell r="AJ380">
            <v>124444444</v>
          </cell>
        </row>
        <row r="381">
          <cell r="A381" t="str">
            <v>02</v>
          </cell>
          <cell r="B381" t="str">
            <v>23</v>
          </cell>
          <cell r="C381" t="str">
            <v>5015</v>
          </cell>
          <cell r="D381" t="str">
            <v>ГАЗ 6612 No 46-79кшр</v>
          </cell>
          <cell r="E381" t="str">
            <v>фургон груз.такси</v>
          </cell>
          <cell r="F381" t="str">
            <v>дв0220203 ш0516157</v>
          </cell>
          <cell r="G381" t="str">
            <v>01</v>
          </cell>
          <cell r="H381">
            <v>62000</v>
          </cell>
          <cell r="I381">
            <v>39226.71</v>
          </cell>
          <cell r="J381">
            <v>0</v>
          </cell>
          <cell r="K381">
            <v>0.54</v>
          </cell>
          <cell r="L381" t="str">
            <v>23</v>
          </cell>
          <cell r="M381" t="str">
            <v>50402</v>
          </cell>
          <cell r="N381" t="str">
            <v>15 3410349</v>
          </cell>
          <cell r="O381" t="str">
            <v>075</v>
          </cell>
          <cell r="P381">
            <v>0.37</v>
          </cell>
          <cell r="Q381">
            <v>0</v>
          </cell>
          <cell r="R381" t="str">
            <v>1</v>
          </cell>
          <cell r="S381" t="str">
            <v>50</v>
          </cell>
          <cell r="T381">
            <v>87</v>
          </cell>
          <cell r="U381">
            <v>11</v>
          </cell>
          <cell r="V381">
            <v>87</v>
          </cell>
          <cell r="W381">
            <v>11</v>
          </cell>
          <cell r="X381">
            <v>87</v>
          </cell>
          <cell r="AF381" t="str">
            <v>00</v>
          </cell>
          <cell r="AI381">
            <v>115555556</v>
          </cell>
          <cell r="AJ381">
            <v>75217711.400000006</v>
          </cell>
        </row>
        <row r="382">
          <cell r="A382" t="str">
            <v>02</v>
          </cell>
          <cell r="B382" t="str">
            <v>23</v>
          </cell>
          <cell r="C382" t="str">
            <v>6003</v>
          </cell>
          <cell r="D382" t="str">
            <v>А/м татра экскаватор</v>
          </cell>
          <cell r="E382" t="str">
            <v>планир.УДС-114 д1498</v>
          </cell>
          <cell r="F382" t="str">
            <v>ш24062 Nо09-04 КШШ</v>
          </cell>
          <cell r="G382" t="str">
            <v>01</v>
          </cell>
          <cell r="H382">
            <v>332426.8</v>
          </cell>
          <cell r="I382">
            <v>22161.79</v>
          </cell>
          <cell r="J382">
            <v>0</v>
          </cell>
          <cell r="K382">
            <v>1.51</v>
          </cell>
          <cell r="L382" t="str">
            <v>23</v>
          </cell>
          <cell r="M382" t="str">
            <v>50426</v>
          </cell>
          <cell r="N382" t="str">
            <v>14 2924332</v>
          </cell>
          <cell r="O382" t="str">
            <v>073</v>
          </cell>
          <cell r="P382">
            <v>10</v>
          </cell>
          <cell r="Q382">
            <v>0</v>
          </cell>
          <cell r="R382" t="str">
            <v>1</v>
          </cell>
          <cell r="S382" t="str">
            <v>50</v>
          </cell>
          <cell r="T382">
            <v>94</v>
          </cell>
          <cell r="U382">
            <v>4</v>
          </cell>
          <cell r="V382">
            <v>94</v>
          </cell>
          <cell r="W382">
            <v>4</v>
          </cell>
          <cell r="X382">
            <v>94</v>
          </cell>
          <cell r="AF382" t="str">
            <v>00</v>
          </cell>
          <cell r="AI382">
            <v>220150196</v>
          </cell>
          <cell r="AJ382">
            <v>80721738.620000005</v>
          </cell>
        </row>
        <row r="383">
          <cell r="A383" t="str">
            <v>02</v>
          </cell>
          <cell r="B383" t="str">
            <v>80</v>
          </cell>
          <cell r="C383" t="str">
            <v>6004</v>
          </cell>
          <cell r="D383" t="str">
            <v>Персональный компьют</v>
          </cell>
          <cell r="E383" t="str">
            <v>ер c принтером EPSON</v>
          </cell>
          <cell r="F383" t="str">
            <v>Япония</v>
          </cell>
          <cell r="G383" t="str">
            <v>01</v>
          </cell>
          <cell r="H383">
            <v>14093.9</v>
          </cell>
          <cell r="I383">
            <v>186.67</v>
          </cell>
          <cell r="J383">
            <v>0</v>
          </cell>
          <cell r="K383">
            <v>0.26</v>
          </cell>
          <cell r="L383" t="str">
            <v>26</v>
          </cell>
          <cell r="M383" t="str">
            <v>48008</v>
          </cell>
          <cell r="N383" t="str">
            <v>14 3020203</v>
          </cell>
          <cell r="O383" t="str">
            <v>063</v>
          </cell>
          <cell r="P383">
            <v>10</v>
          </cell>
          <cell r="Q383">
            <v>0</v>
          </cell>
          <cell r="R383" t="str">
            <v>1</v>
          </cell>
          <cell r="S383" t="str">
            <v>48</v>
          </cell>
          <cell r="T383">
            <v>94</v>
          </cell>
          <cell r="U383">
            <v>4</v>
          </cell>
          <cell r="V383">
            <v>94</v>
          </cell>
          <cell r="W383">
            <v>4</v>
          </cell>
          <cell r="X383">
            <v>94</v>
          </cell>
          <cell r="Y383">
            <v>10</v>
          </cell>
          <cell r="Z383">
            <v>98</v>
          </cell>
          <cell r="AF383" t="str">
            <v>00</v>
          </cell>
          <cell r="AI383">
            <v>10834532</v>
          </cell>
          <cell r="AJ383">
            <v>3972661.82</v>
          </cell>
        </row>
        <row r="384">
          <cell r="A384" t="str">
            <v>02</v>
          </cell>
          <cell r="B384" t="str">
            <v>02</v>
          </cell>
          <cell r="C384" t="str">
            <v>6005</v>
          </cell>
          <cell r="D384" t="str">
            <v>Эксковатор гидравлич</v>
          </cell>
          <cell r="E384" t="str">
            <v>еский</v>
          </cell>
          <cell r="G384" t="str">
            <v>01</v>
          </cell>
          <cell r="H384">
            <v>620400</v>
          </cell>
          <cell r="I384">
            <v>31847.200000000001</v>
          </cell>
          <cell r="J384">
            <v>0</v>
          </cell>
          <cell r="K384">
            <v>0.48</v>
          </cell>
          <cell r="L384" t="str">
            <v>20</v>
          </cell>
          <cell r="M384" t="str">
            <v>41804</v>
          </cell>
          <cell r="N384" t="str">
            <v>14 2924331</v>
          </cell>
          <cell r="O384" t="str">
            <v>064</v>
          </cell>
          <cell r="P384">
            <v>7.7</v>
          </cell>
          <cell r="Q384">
            <v>0</v>
          </cell>
          <cell r="R384" t="str">
            <v>1</v>
          </cell>
          <cell r="S384" t="str">
            <v>41</v>
          </cell>
          <cell r="T384">
            <v>94</v>
          </cell>
          <cell r="U384">
            <v>4</v>
          </cell>
          <cell r="V384">
            <v>94</v>
          </cell>
          <cell r="W384">
            <v>4</v>
          </cell>
          <cell r="X384">
            <v>94</v>
          </cell>
          <cell r="AB384" t="str">
            <v>14</v>
          </cell>
          <cell r="AC384">
            <v>3</v>
          </cell>
          <cell r="AF384" t="str">
            <v>00</v>
          </cell>
          <cell r="AI384">
            <v>1304996608</v>
          </cell>
          <cell r="AJ384">
            <v>368444042.20999998</v>
          </cell>
        </row>
        <row r="385">
          <cell r="A385" t="str">
            <v>02</v>
          </cell>
          <cell r="B385" t="str">
            <v>15</v>
          </cell>
          <cell r="C385" t="str">
            <v>6015</v>
          </cell>
          <cell r="D385" t="str">
            <v>Вагон домик/фургон/</v>
          </cell>
          <cell r="G385" t="str">
            <v>01</v>
          </cell>
          <cell r="H385">
            <v>8736</v>
          </cell>
          <cell r="I385">
            <v>273</v>
          </cell>
          <cell r="J385">
            <v>0</v>
          </cell>
          <cell r="K385">
            <v>1.5</v>
          </cell>
          <cell r="L385" t="str">
            <v>88/2</v>
          </cell>
          <cell r="M385" t="str">
            <v>10010</v>
          </cell>
          <cell r="N385" t="str">
            <v>13 0001020</v>
          </cell>
          <cell r="O385" t="str">
            <v>01</v>
          </cell>
          <cell r="P385">
            <v>12.5</v>
          </cell>
          <cell r="Q385">
            <v>0</v>
          </cell>
          <cell r="R385" t="str">
            <v>1</v>
          </cell>
          <cell r="S385" t="str">
            <v>10</v>
          </cell>
          <cell r="T385">
            <v>93</v>
          </cell>
          <cell r="U385">
            <v>9</v>
          </cell>
          <cell r="V385">
            <v>94</v>
          </cell>
          <cell r="W385">
            <v>9</v>
          </cell>
          <cell r="X385">
            <v>94</v>
          </cell>
          <cell r="AB385" t="str">
            <v>14</v>
          </cell>
          <cell r="AC385">
            <v>10</v>
          </cell>
          <cell r="AF385" t="str">
            <v>00</v>
          </cell>
          <cell r="AI385">
            <v>5824000</v>
          </cell>
          <cell r="AJ385">
            <v>2366000.0699999998</v>
          </cell>
        </row>
        <row r="386">
          <cell r="A386" t="str">
            <v>02</v>
          </cell>
          <cell r="B386" t="str">
            <v>80</v>
          </cell>
          <cell r="C386" t="str">
            <v>6016</v>
          </cell>
          <cell r="D386" t="str">
            <v>Персональный компьют</v>
          </cell>
          <cell r="E386" t="str">
            <v>ер с принтером EPSON</v>
          </cell>
          <cell r="F386" t="str">
            <v>в к-те с кабелем Япо</v>
          </cell>
          <cell r="G386" t="str">
            <v>01</v>
          </cell>
          <cell r="H386">
            <v>14093.9</v>
          </cell>
          <cell r="I386">
            <v>70</v>
          </cell>
          <cell r="J386">
            <v>0</v>
          </cell>
          <cell r="K386">
            <v>0.35</v>
          </cell>
          <cell r="L386" t="str">
            <v>26</v>
          </cell>
          <cell r="M386" t="str">
            <v>48008</v>
          </cell>
          <cell r="N386" t="str">
            <v>14 3020203</v>
          </cell>
          <cell r="O386" t="str">
            <v>063</v>
          </cell>
          <cell r="P386">
            <v>10</v>
          </cell>
          <cell r="Q386">
            <v>0</v>
          </cell>
          <cell r="R386" t="str">
            <v>1</v>
          </cell>
          <cell r="S386" t="str">
            <v>48</v>
          </cell>
          <cell r="T386">
            <v>94</v>
          </cell>
          <cell r="U386">
            <v>9</v>
          </cell>
          <cell r="V386">
            <v>94</v>
          </cell>
          <cell r="W386">
            <v>9</v>
          </cell>
          <cell r="X386">
            <v>94</v>
          </cell>
          <cell r="Y386">
            <v>10</v>
          </cell>
          <cell r="Z386">
            <v>98</v>
          </cell>
          <cell r="AF386" t="str">
            <v>00</v>
          </cell>
          <cell r="AI386">
            <v>8089187</v>
          </cell>
          <cell r="AJ386">
            <v>2628985.7400000002</v>
          </cell>
        </row>
        <row r="387">
          <cell r="A387" t="str">
            <v>02</v>
          </cell>
          <cell r="B387" t="str">
            <v>80</v>
          </cell>
          <cell r="C387" t="str">
            <v>6017</v>
          </cell>
          <cell r="D387" t="str">
            <v>Блок бесперебойного</v>
          </cell>
          <cell r="E387" t="str">
            <v>питания для компьюте</v>
          </cell>
          <cell r="G387" t="str">
            <v>01</v>
          </cell>
          <cell r="H387">
            <v>1266</v>
          </cell>
          <cell r="I387">
            <v>31.65</v>
          </cell>
          <cell r="J387">
            <v>0</v>
          </cell>
          <cell r="K387">
            <v>0.21</v>
          </cell>
          <cell r="L387" t="str">
            <v>26</v>
          </cell>
          <cell r="M387" t="str">
            <v>48008</v>
          </cell>
          <cell r="N387" t="str">
            <v>14 3190290</v>
          </cell>
          <cell r="O387" t="str">
            <v>063</v>
          </cell>
          <cell r="P387">
            <v>10</v>
          </cell>
          <cell r="Q387">
            <v>0</v>
          </cell>
          <cell r="R387" t="str">
            <v>1</v>
          </cell>
          <cell r="S387" t="str">
            <v>48</v>
          </cell>
          <cell r="T387">
            <v>94</v>
          </cell>
          <cell r="U387">
            <v>9</v>
          </cell>
          <cell r="V387">
            <v>94</v>
          </cell>
          <cell r="W387">
            <v>9</v>
          </cell>
          <cell r="X387">
            <v>94</v>
          </cell>
          <cell r="AF387" t="str">
            <v>00</v>
          </cell>
          <cell r="AI387">
            <v>6127139</v>
          </cell>
          <cell r="AJ387">
            <v>1991320.14</v>
          </cell>
        </row>
        <row r="388">
          <cell r="A388" t="str">
            <v>02</v>
          </cell>
          <cell r="B388" t="str">
            <v>80</v>
          </cell>
          <cell r="C388" t="str">
            <v>6018</v>
          </cell>
          <cell r="D388" t="str">
            <v>Копировальный аппара</v>
          </cell>
          <cell r="E388" t="str">
            <v>т КАНОН цветной</v>
          </cell>
          <cell r="G388" t="str">
            <v>01</v>
          </cell>
          <cell r="H388">
            <v>11940</v>
          </cell>
          <cell r="I388">
            <v>373.12</v>
          </cell>
          <cell r="J388">
            <v>0</v>
          </cell>
          <cell r="K388">
            <v>0.14000000000000001</v>
          </cell>
          <cell r="L388" t="str">
            <v>26</v>
          </cell>
          <cell r="M388" t="str">
            <v>44804</v>
          </cell>
          <cell r="N388" t="str">
            <v>14 3010210</v>
          </cell>
          <cell r="O388" t="str">
            <v>063</v>
          </cell>
          <cell r="P388">
            <v>12.5</v>
          </cell>
          <cell r="Q388">
            <v>0</v>
          </cell>
          <cell r="R388" t="str">
            <v>1</v>
          </cell>
          <cell r="S388" t="str">
            <v>48</v>
          </cell>
          <cell r="T388">
            <v>94</v>
          </cell>
          <cell r="U388">
            <v>9</v>
          </cell>
          <cell r="V388">
            <v>94</v>
          </cell>
          <cell r="W388">
            <v>9</v>
          </cell>
          <cell r="X388">
            <v>94</v>
          </cell>
          <cell r="AF388" t="str">
            <v>00</v>
          </cell>
          <cell r="AI388">
            <v>82725124</v>
          </cell>
          <cell r="AJ388">
            <v>26885665.23</v>
          </cell>
        </row>
        <row r="389">
          <cell r="A389" t="str">
            <v>02</v>
          </cell>
          <cell r="B389" t="str">
            <v>80</v>
          </cell>
          <cell r="C389" t="str">
            <v>6019</v>
          </cell>
          <cell r="D389" t="str">
            <v>Пишущая машинка ОПТИ</v>
          </cell>
          <cell r="E389" t="str">
            <v>МА</v>
          </cell>
          <cell r="G389" t="str">
            <v>01</v>
          </cell>
          <cell r="H389">
            <v>1322</v>
          </cell>
          <cell r="I389">
            <v>41.31</v>
          </cell>
          <cell r="J389">
            <v>0</v>
          </cell>
          <cell r="K389">
            <v>0.56999999999999995</v>
          </cell>
          <cell r="L389" t="str">
            <v>26</v>
          </cell>
          <cell r="M389" t="str">
            <v>44811</v>
          </cell>
          <cell r="N389" t="str">
            <v>14 3010102</v>
          </cell>
          <cell r="O389" t="str">
            <v>063</v>
          </cell>
          <cell r="P389">
            <v>12.5</v>
          </cell>
          <cell r="Q389">
            <v>0</v>
          </cell>
          <cell r="R389" t="str">
            <v>1</v>
          </cell>
          <cell r="S389" t="str">
            <v>44</v>
          </cell>
          <cell r="T389">
            <v>94</v>
          </cell>
          <cell r="U389">
            <v>9</v>
          </cell>
          <cell r="V389">
            <v>94</v>
          </cell>
          <cell r="W389">
            <v>9</v>
          </cell>
          <cell r="X389">
            <v>94</v>
          </cell>
          <cell r="AF389" t="str">
            <v>00</v>
          </cell>
          <cell r="AI389">
            <v>2299603</v>
          </cell>
          <cell r="AJ389">
            <v>934213.77</v>
          </cell>
        </row>
        <row r="390">
          <cell r="A390" t="str">
            <v>02</v>
          </cell>
          <cell r="B390" t="str">
            <v>80</v>
          </cell>
          <cell r="C390" t="str">
            <v>6020</v>
          </cell>
          <cell r="D390" t="str">
            <v>Пишущая машинка ОПТИ</v>
          </cell>
          <cell r="E390" t="str">
            <v>МА</v>
          </cell>
          <cell r="G390" t="str">
            <v>01</v>
          </cell>
          <cell r="H390">
            <v>1322</v>
          </cell>
          <cell r="I390">
            <v>41.31</v>
          </cell>
          <cell r="J390">
            <v>0</v>
          </cell>
          <cell r="K390">
            <v>0.56999999999999995</v>
          </cell>
          <cell r="L390" t="str">
            <v>26</v>
          </cell>
          <cell r="M390" t="str">
            <v>44811</v>
          </cell>
          <cell r="N390" t="str">
            <v>14 3010102</v>
          </cell>
          <cell r="O390" t="str">
            <v>063</v>
          </cell>
          <cell r="P390">
            <v>12.5</v>
          </cell>
          <cell r="Q390">
            <v>0</v>
          </cell>
          <cell r="R390" t="str">
            <v>1</v>
          </cell>
          <cell r="S390" t="str">
            <v>44</v>
          </cell>
          <cell r="T390">
            <v>94</v>
          </cell>
          <cell r="U390">
            <v>9</v>
          </cell>
          <cell r="V390">
            <v>94</v>
          </cell>
          <cell r="W390">
            <v>9</v>
          </cell>
          <cell r="X390">
            <v>94</v>
          </cell>
          <cell r="AF390" t="str">
            <v>00</v>
          </cell>
          <cell r="AI390">
            <v>2299603</v>
          </cell>
          <cell r="AJ390">
            <v>934213.77</v>
          </cell>
        </row>
        <row r="391">
          <cell r="A391" t="str">
            <v>02</v>
          </cell>
          <cell r="B391" t="str">
            <v>12</v>
          </cell>
          <cell r="C391" t="str">
            <v>6022</v>
          </cell>
          <cell r="D391" t="str">
            <v>Автопоилка ВУК-3</v>
          </cell>
          <cell r="F391" t="str">
            <v>735684</v>
          </cell>
          <cell r="G391" t="str">
            <v>01</v>
          </cell>
          <cell r="H391">
            <v>5254</v>
          </cell>
          <cell r="I391">
            <v>262.7</v>
          </cell>
          <cell r="J391">
            <v>0</v>
          </cell>
          <cell r="K391">
            <v>1</v>
          </cell>
          <cell r="L391" t="str">
            <v>88/4</v>
          </cell>
          <cell r="M391" t="str">
            <v>45744</v>
          </cell>
          <cell r="N391" t="str">
            <v>14 2921000</v>
          </cell>
          <cell r="O391" t="str">
            <v>063</v>
          </cell>
          <cell r="P391">
            <v>20</v>
          </cell>
          <cell r="Q391">
            <v>0</v>
          </cell>
          <cell r="R391" t="str">
            <v>1</v>
          </cell>
          <cell r="S391" t="str">
            <v>45</v>
          </cell>
          <cell r="T391">
            <v>94</v>
          </cell>
          <cell r="U391">
            <v>9</v>
          </cell>
          <cell r="V391">
            <v>94</v>
          </cell>
          <cell r="W391">
            <v>9</v>
          </cell>
          <cell r="X391">
            <v>94</v>
          </cell>
          <cell r="AF391" t="str">
            <v>00</v>
          </cell>
          <cell r="AI391">
            <v>5251293</v>
          </cell>
          <cell r="AJ391">
            <v>3413340.45</v>
          </cell>
        </row>
        <row r="392">
          <cell r="A392" t="str">
            <v>02</v>
          </cell>
          <cell r="B392" t="str">
            <v>23</v>
          </cell>
          <cell r="C392" t="str">
            <v>6023</v>
          </cell>
          <cell r="D392" t="str">
            <v>Полуприцеп МАЗ-5247</v>
          </cell>
          <cell r="E392" t="str">
            <v>60тонн Nо АА36-32</v>
          </cell>
          <cell r="G392" t="str">
            <v>01</v>
          </cell>
          <cell r="H392">
            <v>34933.33</v>
          </cell>
          <cell r="I392">
            <v>5641.73</v>
          </cell>
          <cell r="J392">
            <v>0</v>
          </cell>
          <cell r="K392">
            <v>1.31</v>
          </cell>
          <cell r="L392" t="str">
            <v>23</v>
          </cell>
          <cell r="M392" t="str">
            <v>50413</v>
          </cell>
          <cell r="N392" t="str">
            <v>15 3420183</v>
          </cell>
          <cell r="O392" t="str">
            <v>073</v>
          </cell>
          <cell r="P392">
            <v>8.3000000000000007</v>
          </cell>
          <cell r="Q392">
            <v>0</v>
          </cell>
          <cell r="R392" t="str">
            <v>1</v>
          </cell>
          <cell r="S392" t="str">
            <v>50</v>
          </cell>
          <cell r="T392">
            <v>65</v>
          </cell>
          <cell r="U392">
            <v>9</v>
          </cell>
          <cell r="V392">
            <v>94</v>
          </cell>
          <cell r="W392">
            <v>9</v>
          </cell>
          <cell r="X392">
            <v>94</v>
          </cell>
          <cell r="AF392" t="str">
            <v>00</v>
          </cell>
          <cell r="AI392">
            <v>26666667</v>
          </cell>
          <cell r="AJ392">
            <v>10946666.76</v>
          </cell>
        </row>
        <row r="393">
          <cell r="A393" t="str">
            <v>02</v>
          </cell>
          <cell r="B393" t="str">
            <v>23</v>
          </cell>
          <cell r="C393" t="str">
            <v>6024</v>
          </cell>
          <cell r="D393" t="str">
            <v>Автомашина ЗИЛ ММЗ 4</v>
          </cell>
          <cell r="E393" t="str">
            <v>502 дв029425 ш б/н</v>
          </cell>
          <cell r="F393" t="str">
            <v>Nо В 876 ОВ</v>
          </cell>
          <cell r="G393" t="str">
            <v>01</v>
          </cell>
          <cell r="H393">
            <v>95000</v>
          </cell>
          <cell r="I393">
            <v>14070.19</v>
          </cell>
          <cell r="J393">
            <v>0</v>
          </cell>
          <cell r="K393">
            <v>1.1499999999999999</v>
          </cell>
          <cell r="L393" t="str">
            <v>23</v>
          </cell>
          <cell r="M393" t="str">
            <v>50402</v>
          </cell>
          <cell r="N393" t="str">
            <v>15 3410222</v>
          </cell>
          <cell r="O393" t="str">
            <v>075</v>
          </cell>
          <cell r="P393">
            <v>0.37</v>
          </cell>
          <cell r="Q393">
            <v>0</v>
          </cell>
          <cell r="R393" t="str">
            <v>1</v>
          </cell>
          <cell r="S393" t="str">
            <v>50</v>
          </cell>
          <cell r="T393">
            <v>92</v>
          </cell>
          <cell r="U393">
            <v>9</v>
          </cell>
          <cell r="V393">
            <v>94</v>
          </cell>
          <cell r="W393">
            <v>9</v>
          </cell>
          <cell r="X393">
            <v>94</v>
          </cell>
          <cell r="AF393" t="str">
            <v>00</v>
          </cell>
          <cell r="AI393">
            <v>82962963</v>
          </cell>
          <cell r="AJ393">
            <v>42645750.539999999</v>
          </cell>
        </row>
        <row r="394">
          <cell r="A394" t="str">
            <v>02</v>
          </cell>
          <cell r="B394" t="str">
            <v>23</v>
          </cell>
          <cell r="C394" t="str">
            <v>6032</v>
          </cell>
          <cell r="D394" t="str">
            <v>Спецтягач гN-E778ЕУ</v>
          </cell>
          <cell r="E394" t="str">
            <v>КШШ КАМАЗ-5410 груз.</v>
          </cell>
          <cell r="F394" t="str">
            <v>дв273406 ш2060706</v>
          </cell>
          <cell r="G394" t="str">
            <v>01</v>
          </cell>
          <cell r="H394">
            <v>235000</v>
          </cell>
          <cell r="I394">
            <v>14687.5</v>
          </cell>
          <cell r="J394">
            <v>0</v>
          </cell>
          <cell r="K394">
            <v>0.73</v>
          </cell>
          <cell r="L394" t="str">
            <v>23</v>
          </cell>
          <cell r="M394" t="str">
            <v>50428</v>
          </cell>
          <cell r="N394" t="str">
            <v>15 3410371</v>
          </cell>
          <cell r="O394" t="str">
            <v>064</v>
          </cell>
          <cell r="P394">
            <v>12.5</v>
          </cell>
          <cell r="Q394">
            <v>0</v>
          </cell>
          <cell r="R394" t="str">
            <v>1</v>
          </cell>
          <cell r="S394" t="str">
            <v>50</v>
          </cell>
          <cell r="T394">
            <v>93</v>
          </cell>
          <cell r="U394">
            <v>6</v>
          </cell>
          <cell r="V394">
            <v>94</v>
          </cell>
          <cell r="W394">
            <v>6</v>
          </cell>
          <cell r="X394">
            <v>94</v>
          </cell>
          <cell r="AF394" t="str">
            <v>00</v>
          </cell>
          <cell r="AI394">
            <v>320061627</v>
          </cell>
          <cell r="AJ394">
            <v>140026961.78999999</v>
          </cell>
        </row>
        <row r="395">
          <cell r="A395" t="str">
            <v>15</v>
          </cell>
          <cell r="B395" t="str">
            <v>81</v>
          </cell>
          <cell r="C395" t="str">
            <v>6033</v>
          </cell>
          <cell r="D395" t="str">
            <v>Персональный компьют</v>
          </cell>
          <cell r="E395" t="str">
            <v>ер сист. миокард</v>
          </cell>
          <cell r="G395" t="str">
            <v>01</v>
          </cell>
          <cell r="H395">
            <v>2800</v>
          </cell>
          <cell r="I395">
            <v>140</v>
          </cell>
          <cell r="J395">
            <v>0</v>
          </cell>
          <cell r="K395">
            <v>0.18</v>
          </cell>
          <cell r="L395" t="str">
            <v>88/2</v>
          </cell>
          <cell r="M395" t="str">
            <v>48008</v>
          </cell>
          <cell r="N395" t="str">
            <v>14 3311269</v>
          </cell>
          <cell r="O395" t="str">
            <v>063</v>
          </cell>
          <cell r="P395">
            <v>10</v>
          </cell>
          <cell r="Q395">
            <v>0</v>
          </cell>
          <cell r="R395" t="str">
            <v>1</v>
          </cell>
          <cell r="S395" t="str">
            <v>48</v>
          </cell>
          <cell r="T395">
            <v>94</v>
          </cell>
          <cell r="U395">
            <v>6</v>
          </cell>
          <cell r="V395">
            <v>94</v>
          </cell>
          <cell r="W395">
            <v>6</v>
          </cell>
          <cell r="X395">
            <v>94</v>
          </cell>
          <cell r="AB395" t="str">
            <v>14</v>
          </cell>
          <cell r="AC395">
            <v>2</v>
          </cell>
          <cell r="AF395" t="str">
            <v>15</v>
          </cell>
          <cell r="AI395">
            <v>15630514</v>
          </cell>
          <cell r="AJ395">
            <v>5470679.8200000003</v>
          </cell>
        </row>
        <row r="396">
          <cell r="A396" t="str">
            <v>02</v>
          </cell>
          <cell r="B396" t="str">
            <v>23</v>
          </cell>
          <cell r="C396" t="str">
            <v>6035</v>
          </cell>
          <cell r="D396" t="str">
            <v>Топливозаправщик УРА</v>
          </cell>
          <cell r="E396" t="str">
            <v>Л-4320 гос.09-35 КШШ</v>
          </cell>
          <cell r="F396" t="str">
            <v>дв28223  ш214995</v>
          </cell>
          <cell r="G396" t="str">
            <v>01</v>
          </cell>
          <cell r="H396">
            <v>149721</v>
          </cell>
          <cell r="I396">
            <v>7486.05</v>
          </cell>
          <cell r="J396">
            <v>0</v>
          </cell>
          <cell r="K396">
            <v>1.07</v>
          </cell>
          <cell r="L396" t="str">
            <v>23</v>
          </cell>
          <cell r="M396" t="str">
            <v>50426</v>
          </cell>
          <cell r="N396" t="str">
            <v>15 3410362</v>
          </cell>
          <cell r="O396" t="str">
            <v>073</v>
          </cell>
          <cell r="P396">
            <v>10</v>
          </cell>
          <cell r="Q396">
            <v>0</v>
          </cell>
          <cell r="R396" t="str">
            <v>1</v>
          </cell>
          <cell r="S396" t="str">
            <v>50</v>
          </cell>
          <cell r="T396">
            <v>94</v>
          </cell>
          <cell r="U396">
            <v>6</v>
          </cell>
          <cell r="V396">
            <v>94</v>
          </cell>
          <cell r="W396">
            <v>6</v>
          </cell>
          <cell r="X396">
            <v>94</v>
          </cell>
          <cell r="AF396" t="str">
            <v>00</v>
          </cell>
          <cell r="AI396">
            <v>140345679</v>
          </cell>
          <cell r="AJ396">
            <v>49120987.770000003</v>
          </cell>
        </row>
        <row r="397">
          <cell r="A397" t="str">
            <v>02</v>
          </cell>
          <cell r="B397" t="str">
            <v>23</v>
          </cell>
          <cell r="C397" t="str">
            <v>6036</v>
          </cell>
          <cell r="D397" t="str">
            <v>Топливозаправщик УРА</v>
          </cell>
          <cell r="E397" t="str">
            <v>Л-4320 гос.09-34 КШШ</v>
          </cell>
          <cell r="F397" t="str">
            <v>дв27776  ш214925</v>
          </cell>
          <cell r="G397" t="str">
            <v>01</v>
          </cell>
          <cell r="H397">
            <v>149721</v>
          </cell>
          <cell r="I397">
            <v>7486.05</v>
          </cell>
          <cell r="J397">
            <v>0</v>
          </cell>
          <cell r="K397">
            <v>1.07</v>
          </cell>
          <cell r="L397" t="str">
            <v>23</v>
          </cell>
          <cell r="M397" t="str">
            <v>50426</v>
          </cell>
          <cell r="N397" t="str">
            <v>15 3410362</v>
          </cell>
          <cell r="O397" t="str">
            <v>073</v>
          </cell>
          <cell r="P397">
            <v>10</v>
          </cell>
          <cell r="Q397">
            <v>0</v>
          </cell>
          <cell r="R397" t="str">
            <v>1</v>
          </cell>
          <cell r="S397" t="str">
            <v>50</v>
          </cell>
          <cell r="T397">
            <v>94</v>
          </cell>
          <cell r="U397">
            <v>6</v>
          </cell>
          <cell r="V397">
            <v>94</v>
          </cell>
          <cell r="W397">
            <v>6</v>
          </cell>
          <cell r="X397">
            <v>94</v>
          </cell>
          <cell r="AF397" t="str">
            <v>00</v>
          </cell>
          <cell r="AI397">
            <v>140345679</v>
          </cell>
          <cell r="AJ397">
            <v>49120987.770000003</v>
          </cell>
        </row>
        <row r="398">
          <cell r="A398" t="str">
            <v>02</v>
          </cell>
          <cell r="B398" t="str">
            <v>23</v>
          </cell>
          <cell r="C398" t="str">
            <v>6037</v>
          </cell>
          <cell r="D398" t="str">
            <v>Прицеп заправщик</v>
          </cell>
          <cell r="E398" t="str">
            <v>ПАЗС-86332 N39-13ЕЮ</v>
          </cell>
          <cell r="G398" t="str">
            <v>01</v>
          </cell>
          <cell r="H398">
            <v>73616.509999999995</v>
          </cell>
          <cell r="I398">
            <v>4601.03</v>
          </cell>
          <cell r="J398">
            <v>0</v>
          </cell>
          <cell r="K398">
            <v>1.31</v>
          </cell>
          <cell r="L398" t="str">
            <v>23</v>
          </cell>
          <cell r="M398" t="str">
            <v>50410</v>
          </cell>
          <cell r="N398" t="str">
            <v>15 3420193</v>
          </cell>
          <cell r="O398" t="str">
            <v>073</v>
          </cell>
          <cell r="P398">
            <v>12.5</v>
          </cell>
          <cell r="Q398">
            <v>0</v>
          </cell>
          <cell r="R398" t="str">
            <v>1</v>
          </cell>
          <cell r="S398" t="str">
            <v>50</v>
          </cell>
          <cell r="T398">
            <v>94</v>
          </cell>
          <cell r="U398">
            <v>6</v>
          </cell>
          <cell r="V398">
            <v>94</v>
          </cell>
          <cell r="W398">
            <v>6</v>
          </cell>
          <cell r="X398">
            <v>94</v>
          </cell>
          <cell r="AF398" t="str">
            <v>00</v>
          </cell>
          <cell r="AI398">
            <v>56195812</v>
          </cell>
          <cell r="AJ398">
            <v>24585667.710000001</v>
          </cell>
        </row>
        <row r="399">
          <cell r="A399" t="str">
            <v>02</v>
          </cell>
          <cell r="B399" t="str">
            <v>23</v>
          </cell>
          <cell r="C399" t="str">
            <v>6038</v>
          </cell>
          <cell r="D399" t="str">
            <v>Прицеп заправщик</v>
          </cell>
          <cell r="E399" t="str">
            <v>ПАЗС-86332 N39-14ЕЮ</v>
          </cell>
          <cell r="G399" t="str">
            <v>01</v>
          </cell>
          <cell r="H399">
            <v>73616.509999999995</v>
          </cell>
          <cell r="I399">
            <v>4601.03</v>
          </cell>
          <cell r="J399">
            <v>0</v>
          </cell>
          <cell r="K399">
            <v>1.31</v>
          </cell>
          <cell r="L399" t="str">
            <v>23</v>
          </cell>
          <cell r="M399" t="str">
            <v>50410</v>
          </cell>
          <cell r="N399" t="str">
            <v>15 3420193</v>
          </cell>
          <cell r="O399" t="str">
            <v>073</v>
          </cell>
          <cell r="P399">
            <v>12.5</v>
          </cell>
          <cell r="Q399">
            <v>0</v>
          </cell>
          <cell r="R399" t="str">
            <v>1</v>
          </cell>
          <cell r="S399" t="str">
            <v>50</v>
          </cell>
          <cell r="T399">
            <v>94</v>
          </cell>
          <cell r="U399">
            <v>6</v>
          </cell>
          <cell r="V399">
            <v>94</v>
          </cell>
          <cell r="W399">
            <v>6</v>
          </cell>
          <cell r="X399">
            <v>94</v>
          </cell>
          <cell r="AF399" t="str">
            <v>00</v>
          </cell>
          <cell r="AI399">
            <v>56195812</v>
          </cell>
          <cell r="AJ399">
            <v>24585667.710000001</v>
          </cell>
        </row>
        <row r="400">
          <cell r="A400" t="str">
            <v>02</v>
          </cell>
          <cell r="B400" t="str">
            <v>99</v>
          </cell>
          <cell r="C400" t="str">
            <v>6039</v>
          </cell>
          <cell r="D400" t="str">
            <v>Бульдозер катерпилле</v>
          </cell>
          <cell r="E400" t="str">
            <v>р DZH</v>
          </cell>
          <cell r="F400" t="str">
            <v>Америка</v>
          </cell>
          <cell r="G400" t="str">
            <v>01</v>
          </cell>
          <cell r="H400">
            <v>1420000</v>
          </cell>
          <cell r="I400">
            <v>71000</v>
          </cell>
          <cell r="J400">
            <v>1446345.49</v>
          </cell>
          <cell r="K400">
            <v>1.24</v>
          </cell>
          <cell r="L400" t="str">
            <v>20</v>
          </cell>
          <cell r="M400" t="str">
            <v>41816</v>
          </cell>
          <cell r="N400" t="str">
            <v>14 2924340</v>
          </cell>
          <cell r="O400" t="str">
            <v>067</v>
          </cell>
          <cell r="P400">
            <v>10</v>
          </cell>
          <cell r="Q400">
            <v>0</v>
          </cell>
          <cell r="R400" t="str">
            <v>1</v>
          </cell>
          <cell r="S400" t="str">
            <v>41</v>
          </cell>
          <cell r="T400">
            <v>94</v>
          </cell>
          <cell r="U400">
            <v>6</v>
          </cell>
          <cell r="V400">
            <v>94</v>
          </cell>
          <cell r="W400">
            <v>6</v>
          </cell>
          <cell r="X400">
            <v>94</v>
          </cell>
          <cell r="Y400">
            <v>12</v>
          </cell>
          <cell r="Z400">
            <v>97</v>
          </cell>
          <cell r="AB400" t="str">
            <v>14</v>
          </cell>
          <cell r="AC400">
            <v>7</v>
          </cell>
          <cell r="AF400" t="str">
            <v>00</v>
          </cell>
          <cell r="AI400">
            <v>1195803498</v>
          </cell>
          <cell r="AJ400">
            <v>400089382.62</v>
          </cell>
        </row>
        <row r="401">
          <cell r="A401" t="str">
            <v>02</v>
          </cell>
          <cell r="B401" t="str">
            <v>05</v>
          </cell>
          <cell r="C401" t="str">
            <v>6040</v>
          </cell>
          <cell r="D401" t="str">
            <v>Бульдозер катерпилле</v>
          </cell>
          <cell r="E401" t="str">
            <v>р DZH</v>
          </cell>
          <cell r="G401" t="str">
            <v>01</v>
          </cell>
          <cell r="H401">
            <v>1420000</v>
          </cell>
          <cell r="I401">
            <v>71000</v>
          </cell>
          <cell r="J401">
            <v>1446345.49</v>
          </cell>
          <cell r="K401">
            <v>1.24</v>
          </cell>
          <cell r="L401" t="str">
            <v>20</v>
          </cell>
          <cell r="M401" t="str">
            <v>41816</v>
          </cell>
          <cell r="N401" t="str">
            <v>14 2924340</v>
          </cell>
          <cell r="O401" t="str">
            <v>067</v>
          </cell>
          <cell r="P401">
            <v>10</v>
          </cell>
          <cell r="Q401">
            <v>0</v>
          </cell>
          <cell r="R401" t="str">
            <v>1</v>
          </cell>
          <cell r="S401" t="str">
            <v>41</v>
          </cell>
          <cell r="T401">
            <v>94</v>
          </cell>
          <cell r="U401">
            <v>6</v>
          </cell>
          <cell r="V401">
            <v>94</v>
          </cell>
          <cell r="W401">
            <v>6</v>
          </cell>
          <cell r="X401">
            <v>94</v>
          </cell>
          <cell r="Y401">
            <v>12</v>
          </cell>
          <cell r="Z401">
            <v>97</v>
          </cell>
          <cell r="AB401" t="str">
            <v>14</v>
          </cell>
          <cell r="AC401">
            <v>3</v>
          </cell>
          <cell r="AF401" t="str">
            <v>00</v>
          </cell>
          <cell r="AI401">
            <v>1195803502</v>
          </cell>
          <cell r="AJ401">
            <v>400089382.30000001</v>
          </cell>
        </row>
        <row r="402">
          <cell r="A402" t="str">
            <v>02</v>
          </cell>
          <cell r="B402" t="str">
            <v>02</v>
          </cell>
          <cell r="C402" t="str">
            <v>6041</v>
          </cell>
          <cell r="D402" t="str">
            <v>Бульдозер катерпилле</v>
          </cell>
          <cell r="E402" t="str">
            <v>р DZH</v>
          </cell>
          <cell r="F402" t="str">
            <v>Япония</v>
          </cell>
          <cell r="G402" t="str">
            <v>01</v>
          </cell>
          <cell r="H402">
            <v>1420000</v>
          </cell>
          <cell r="I402">
            <v>71000</v>
          </cell>
          <cell r="J402">
            <v>1446345.49</v>
          </cell>
          <cell r="K402">
            <v>1.24</v>
          </cell>
          <cell r="L402" t="str">
            <v>20</v>
          </cell>
          <cell r="M402" t="str">
            <v>41816</v>
          </cell>
          <cell r="N402" t="str">
            <v>14 2924340</v>
          </cell>
          <cell r="O402" t="str">
            <v>067</v>
          </cell>
          <cell r="P402">
            <v>10</v>
          </cell>
          <cell r="Q402">
            <v>0</v>
          </cell>
          <cell r="R402" t="str">
            <v>1</v>
          </cell>
          <cell r="S402" t="str">
            <v>41</v>
          </cell>
          <cell r="T402">
            <v>94</v>
          </cell>
          <cell r="U402">
            <v>6</v>
          </cell>
          <cell r="V402">
            <v>94</v>
          </cell>
          <cell r="W402">
            <v>6</v>
          </cell>
          <cell r="X402">
            <v>94</v>
          </cell>
          <cell r="Y402">
            <v>12</v>
          </cell>
          <cell r="Z402">
            <v>97</v>
          </cell>
          <cell r="AB402" t="str">
            <v>14</v>
          </cell>
          <cell r="AC402">
            <v>9</v>
          </cell>
          <cell r="AF402" t="str">
            <v>00</v>
          </cell>
          <cell r="AI402">
            <v>1195803502</v>
          </cell>
          <cell r="AJ402">
            <v>400089382.62</v>
          </cell>
        </row>
        <row r="403">
          <cell r="A403" t="str">
            <v>02</v>
          </cell>
          <cell r="B403" t="str">
            <v>02</v>
          </cell>
          <cell r="C403" t="str">
            <v>6042</v>
          </cell>
          <cell r="D403" t="str">
            <v>Бульдозер катерпилле</v>
          </cell>
          <cell r="E403" t="str">
            <v>р DZH</v>
          </cell>
          <cell r="G403" t="str">
            <v>01</v>
          </cell>
          <cell r="H403">
            <v>1420000</v>
          </cell>
          <cell r="I403">
            <v>71000</v>
          </cell>
          <cell r="J403">
            <v>1446345.49</v>
          </cell>
          <cell r="K403">
            <v>1.24</v>
          </cell>
          <cell r="L403" t="str">
            <v>20</v>
          </cell>
          <cell r="M403" t="str">
            <v>41816</v>
          </cell>
          <cell r="N403" t="str">
            <v>14 2924340</v>
          </cell>
          <cell r="O403" t="str">
            <v>067</v>
          </cell>
          <cell r="P403">
            <v>10</v>
          </cell>
          <cell r="Q403">
            <v>0</v>
          </cell>
          <cell r="R403" t="str">
            <v>1</v>
          </cell>
          <cell r="S403" t="str">
            <v>41</v>
          </cell>
          <cell r="T403">
            <v>94</v>
          </cell>
          <cell r="U403">
            <v>6</v>
          </cell>
          <cell r="V403">
            <v>94</v>
          </cell>
          <cell r="W403">
            <v>6</v>
          </cell>
          <cell r="X403">
            <v>94</v>
          </cell>
          <cell r="Y403">
            <v>12</v>
          </cell>
          <cell r="Z403">
            <v>97</v>
          </cell>
          <cell r="AB403" t="str">
            <v>14</v>
          </cell>
          <cell r="AC403">
            <v>12</v>
          </cell>
          <cell r="AF403" t="str">
            <v>00</v>
          </cell>
          <cell r="AI403">
            <v>1195803502</v>
          </cell>
          <cell r="AJ403">
            <v>400089382.62</v>
          </cell>
        </row>
        <row r="404">
          <cell r="A404" t="str">
            <v>02</v>
          </cell>
          <cell r="B404" t="str">
            <v>02</v>
          </cell>
          <cell r="C404" t="str">
            <v>6043</v>
          </cell>
          <cell r="D404" t="str">
            <v>Бульдозер катерпилле</v>
          </cell>
          <cell r="E404" t="str">
            <v>р DZH</v>
          </cell>
          <cell r="F404" t="str">
            <v>Америка</v>
          </cell>
          <cell r="G404" t="str">
            <v>01</v>
          </cell>
          <cell r="H404">
            <v>1420000</v>
          </cell>
          <cell r="I404">
            <v>71000</v>
          </cell>
          <cell r="J404">
            <v>1446345.49</v>
          </cell>
          <cell r="K404">
            <v>1.24</v>
          </cell>
          <cell r="L404" t="str">
            <v>20</v>
          </cell>
          <cell r="M404" t="str">
            <v>41816</v>
          </cell>
          <cell r="N404" t="str">
            <v>14 2924340</v>
          </cell>
          <cell r="O404" t="str">
            <v>067</v>
          </cell>
          <cell r="P404">
            <v>10</v>
          </cell>
          <cell r="Q404">
            <v>0</v>
          </cell>
          <cell r="R404" t="str">
            <v>1</v>
          </cell>
          <cell r="S404" t="str">
            <v>41</v>
          </cell>
          <cell r="T404">
            <v>94</v>
          </cell>
          <cell r="U404">
            <v>6</v>
          </cell>
          <cell r="V404">
            <v>94</v>
          </cell>
          <cell r="W404">
            <v>6</v>
          </cell>
          <cell r="X404">
            <v>94</v>
          </cell>
          <cell r="Y404">
            <v>12</v>
          </cell>
          <cell r="Z404">
            <v>97</v>
          </cell>
          <cell r="AB404" t="str">
            <v>14</v>
          </cell>
          <cell r="AC404">
            <v>10</v>
          </cell>
          <cell r="AF404" t="str">
            <v>00</v>
          </cell>
          <cell r="AI404">
            <v>1195803502</v>
          </cell>
          <cell r="AJ404">
            <v>400089382.62</v>
          </cell>
        </row>
        <row r="405">
          <cell r="A405" t="str">
            <v>02</v>
          </cell>
          <cell r="B405" t="str">
            <v>99</v>
          </cell>
          <cell r="C405" t="str">
            <v>6044</v>
          </cell>
          <cell r="D405" t="str">
            <v>Бульдозер катерпилле</v>
          </cell>
          <cell r="E405" t="str">
            <v>р  DZH</v>
          </cell>
          <cell r="F405" t="str">
            <v>Америка</v>
          </cell>
          <cell r="G405" t="str">
            <v>01</v>
          </cell>
          <cell r="H405">
            <v>1420000</v>
          </cell>
          <cell r="I405">
            <v>71000</v>
          </cell>
          <cell r="J405">
            <v>1446345.49</v>
          </cell>
          <cell r="K405">
            <v>1.24</v>
          </cell>
          <cell r="L405" t="str">
            <v>20</v>
          </cell>
          <cell r="M405" t="str">
            <v>41816</v>
          </cell>
          <cell r="N405" t="str">
            <v>14 2924340</v>
          </cell>
          <cell r="O405" t="str">
            <v>067</v>
          </cell>
          <cell r="P405">
            <v>10</v>
          </cell>
          <cell r="Q405">
            <v>0</v>
          </cell>
          <cell r="R405" t="str">
            <v>1</v>
          </cell>
          <cell r="S405" t="str">
            <v>41</v>
          </cell>
          <cell r="T405">
            <v>94</v>
          </cell>
          <cell r="U405">
            <v>6</v>
          </cell>
          <cell r="V405">
            <v>94</v>
          </cell>
          <cell r="W405">
            <v>6</v>
          </cell>
          <cell r="X405">
            <v>94</v>
          </cell>
          <cell r="Y405">
            <v>12</v>
          </cell>
          <cell r="Z405">
            <v>97</v>
          </cell>
          <cell r="AB405" t="str">
            <v>14</v>
          </cell>
          <cell r="AC405">
            <v>12</v>
          </cell>
          <cell r="AF405" t="str">
            <v>00</v>
          </cell>
          <cell r="AI405">
            <v>1195803502</v>
          </cell>
          <cell r="AJ405">
            <v>400089382.62</v>
          </cell>
        </row>
        <row r="406">
          <cell r="A406" t="str">
            <v>02</v>
          </cell>
          <cell r="B406" t="str">
            <v>23</v>
          </cell>
          <cell r="C406" t="str">
            <v>6045</v>
          </cell>
          <cell r="D406" t="str">
            <v>ГАЗ-САЗ-3511-66 бур.</v>
          </cell>
          <cell r="E406" t="str">
            <v>уст-ка спец.БМ-30гос</v>
          </cell>
          <cell r="F406" t="str">
            <v>N09-05КШШ дв217360</v>
          </cell>
          <cell r="G406" t="str">
            <v>01</v>
          </cell>
          <cell r="H406">
            <v>138000</v>
          </cell>
          <cell r="I406">
            <v>13800</v>
          </cell>
          <cell r="J406">
            <v>232855</v>
          </cell>
          <cell r="K406">
            <v>0.97</v>
          </cell>
          <cell r="L406" t="str">
            <v>23</v>
          </cell>
          <cell r="M406" t="str">
            <v>42700</v>
          </cell>
          <cell r="N406" t="str">
            <v>14 2924452</v>
          </cell>
          <cell r="O406" t="str">
            <v>064</v>
          </cell>
          <cell r="P406">
            <v>20</v>
          </cell>
          <cell r="Q406">
            <v>0</v>
          </cell>
          <cell r="R406" t="str">
            <v>1</v>
          </cell>
          <cell r="S406" t="str">
            <v>42</v>
          </cell>
          <cell r="T406">
            <v>94</v>
          </cell>
          <cell r="U406">
            <v>6</v>
          </cell>
          <cell r="V406">
            <v>94</v>
          </cell>
          <cell r="W406">
            <v>6</v>
          </cell>
          <cell r="X406">
            <v>94</v>
          </cell>
          <cell r="Y406">
            <v>3</v>
          </cell>
          <cell r="Z406">
            <v>99</v>
          </cell>
          <cell r="AF406" t="str">
            <v>00</v>
          </cell>
          <cell r="AI406">
            <v>142222222</v>
          </cell>
          <cell r="AJ406">
            <v>99555555.480000004</v>
          </cell>
        </row>
        <row r="407">
          <cell r="A407" t="str">
            <v>02</v>
          </cell>
          <cell r="B407" t="str">
            <v>23</v>
          </cell>
          <cell r="C407" t="str">
            <v>6053</v>
          </cell>
          <cell r="D407" t="str">
            <v>А/м джип Судзуки лег</v>
          </cell>
          <cell r="E407" t="str">
            <v>ковая Nо 99-14 РТМ</v>
          </cell>
          <cell r="F407" t="str">
            <v>дв540875 ш133688</v>
          </cell>
          <cell r="G407" t="str">
            <v>01</v>
          </cell>
          <cell r="H407">
            <v>178000</v>
          </cell>
          <cell r="I407">
            <v>9879</v>
          </cell>
          <cell r="J407">
            <v>0</v>
          </cell>
          <cell r="K407">
            <v>1</v>
          </cell>
          <cell r="L407" t="str">
            <v>26</v>
          </cell>
          <cell r="M407" t="str">
            <v>50418</v>
          </cell>
          <cell r="N407" t="str">
            <v>15 3410120</v>
          </cell>
          <cell r="O407" t="str">
            <v>071</v>
          </cell>
          <cell r="P407">
            <v>11.1</v>
          </cell>
          <cell r="Q407">
            <v>0</v>
          </cell>
          <cell r="R407" t="str">
            <v>1</v>
          </cell>
          <cell r="S407" t="str">
            <v>50</v>
          </cell>
          <cell r="T407">
            <v>94</v>
          </cell>
          <cell r="U407">
            <v>6</v>
          </cell>
          <cell r="V407">
            <v>94</v>
          </cell>
          <cell r="W407">
            <v>6</v>
          </cell>
          <cell r="X407">
            <v>94</v>
          </cell>
          <cell r="AF407" t="str">
            <v>00</v>
          </cell>
          <cell r="AI407">
            <v>177488689</v>
          </cell>
          <cell r="AJ407">
            <v>68954355.599999994</v>
          </cell>
        </row>
        <row r="408">
          <cell r="A408" t="str">
            <v>02</v>
          </cell>
          <cell r="B408" t="str">
            <v>23</v>
          </cell>
          <cell r="C408" t="str">
            <v>6054</v>
          </cell>
          <cell r="D408" t="str">
            <v>А/м джип Судзуки лег</v>
          </cell>
          <cell r="E408" t="str">
            <v>ковая Nо 99-15 РТМ</v>
          </cell>
          <cell r="F408" t="str">
            <v>дв541363 ш134067</v>
          </cell>
          <cell r="G408" t="str">
            <v>01</v>
          </cell>
          <cell r="H408">
            <v>178000</v>
          </cell>
          <cell r="I408">
            <v>9879</v>
          </cell>
          <cell r="J408">
            <v>0</v>
          </cell>
          <cell r="K408">
            <v>1</v>
          </cell>
          <cell r="L408" t="str">
            <v>26</v>
          </cell>
          <cell r="M408" t="str">
            <v>50418</v>
          </cell>
          <cell r="N408" t="str">
            <v>15 3410120</v>
          </cell>
          <cell r="O408" t="str">
            <v>071</v>
          </cell>
          <cell r="P408">
            <v>11.1</v>
          </cell>
          <cell r="Q408">
            <v>0</v>
          </cell>
          <cell r="R408" t="str">
            <v>1</v>
          </cell>
          <cell r="S408" t="str">
            <v>50</v>
          </cell>
          <cell r="T408">
            <v>94</v>
          </cell>
          <cell r="U408">
            <v>6</v>
          </cell>
          <cell r="V408">
            <v>94</v>
          </cell>
          <cell r="W408">
            <v>6</v>
          </cell>
          <cell r="X408">
            <v>94</v>
          </cell>
          <cell r="AF408" t="str">
            <v>00</v>
          </cell>
          <cell r="AI408">
            <v>177488689</v>
          </cell>
          <cell r="AJ408">
            <v>68954355.599999994</v>
          </cell>
        </row>
        <row r="409">
          <cell r="A409" t="str">
            <v>02</v>
          </cell>
          <cell r="B409" t="str">
            <v>23</v>
          </cell>
          <cell r="C409" t="str">
            <v>6057</v>
          </cell>
          <cell r="D409" t="str">
            <v>ЗИЛ-131 МШТС-2 гидро</v>
          </cell>
          <cell r="E409" t="str">
            <v>подъемник госN 09-91</v>
          </cell>
          <cell r="F409" t="str">
            <v>КШМ дв048623 ш041672</v>
          </cell>
          <cell r="G409" t="str">
            <v>01</v>
          </cell>
          <cell r="H409">
            <v>206790</v>
          </cell>
          <cell r="I409">
            <v>13027.77</v>
          </cell>
          <cell r="J409">
            <v>0</v>
          </cell>
          <cell r="K409">
            <v>1.45</v>
          </cell>
          <cell r="L409" t="str">
            <v>23</v>
          </cell>
          <cell r="M409" t="str">
            <v>41707</v>
          </cell>
          <cell r="N409" t="str">
            <v>14 3410421</v>
          </cell>
          <cell r="O409" t="str">
            <v>067</v>
          </cell>
          <cell r="P409">
            <v>18.899999999999999</v>
          </cell>
          <cell r="Q409">
            <v>0</v>
          </cell>
          <cell r="R409" t="str">
            <v>1</v>
          </cell>
          <cell r="S409" t="str">
            <v>41</v>
          </cell>
          <cell r="T409">
            <v>94</v>
          </cell>
          <cell r="U409">
            <v>8</v>
          </cell>
          <cell r="V409">
            <v>94</v>
          </cell>
          <cell r="W409">
            <v>8</v>
          </cell>
          <cell r="X409">
            <v>94</v>
          </cell>
          <cell r="AF409" t="str">
            <v>00</v>
          </cell>
          <cell r="AI409">
            <v>142222222</v>
          </cell>
          <cell r="AJ409">
            <v>89599999.930000007</v>
          </cell>
        </row>
        <row r="410">
          <cell r="A410" t="str">
            <v>02</v>
          </cell>
          <cell r="B410" t="str">
            <v>80</v>
          </cell>
          <cell r="C410" t="str">
            <v>6058</v>
          </cell>
          <cell r="D410" t="str">
            <v>Мебель офисная</v>
          </cell>
          <cell r="G410" t="str">
            <v>01</v>
          </cell>
          <cell r="H410">
            <v>64505.63</v>
          </cell>
          <cell r="I410">
            <v>2150.19</v>
          </cell>
          <cell r="J410">
            <v>0</v>
          </cell>
          <cell r="K410">
            <v>0.91</v>
          </cell>
          <cell r="L410" t="str">
            <v>26</v>
          </cell>
          <cell r="M410" t="str">
            <v>70003</v>
          </cell>
          <cell r="N410" t="str">
            <v>16 3612510</v>
          </cell>
          <cell r="O410" t="str">
            <v>08</v>
          </cell>
          <cell r="P410">
            <v>10</v>
          </cell>
          <cell r="Q410">
            <v>0</v>
          </cell>
          <cell r="R410" t="str">
            <v>1</v>
          </cell>
          <cell r="S410" t="str">
            <v>70</v>
          </cell>
          <cell r="T410">
            <v>94</v>
          </cell>
          <cell r="U410">
            <v>8</v>
          </cell>
          <cell r="V410">
            <v>94</v>
          </cell>
          <cell r="W410">
            <v>8</v>
          </cell>
          <cell r="X410">
            <v>94</v>
          </cell>
          <cell r="AF410" t="str">
            <v>00</v>
          </cell>
          <cell r="AI410">
            <v>70885307</v>
          </cell>
          <cell r="AJ410">
            <v>23628435.629999999</v>
          </cell>
        </row>
        <row r="411">
          <cell r="A411" t="str">
            <v>02</v>
          </cell>
          <cell r="B411" t="str">
            <v>51</v>
          </cell>
          <cell r="C411" t="str">
            <v>6059</v>
          </cell>
          <cell r="D411" t="str">
            <v>Станция катодной защ</v>
          </cell>
          <cell r="E411" t="str">
            <v>иты</v>
          </cell>
          <cell r="G411" t="str">
            <v>01</v>
          </cell>
          <cell r="H411">
            <v>729.77</v>
          </cell>
          <cell r="I411">
            <v>18.73</v>
          </cell>
          <cell r="J411">
            <v>0</v>
          </cell>
          <cell r="K411">
            <v>1.21</v>
          </cell>
          <cell r="L411" t="str">
            <v>20</v>
          </cell>
          <cell r="M411" t="str">
            <v>47044</v>
          </cell>
          <cell r="N411" t="str">
            <v>14 3440122</v>
          </cell>
          <cell r="O411" t="str">
            <v>063</v>
          </cell>
          <cell r="P411">
            <v>7.7</v>
          </cell>
          <cell r="Q411">
            <v>0</v>
          </cell>
          <cell r="R411" t="str">
            <v>1</v>
          </cell>
          <cell r="S411" t="str">
            <v>47</v>
          </cell>
          <cell r="T411">
            <v>92</v>
          </cell>
          <cell r="U411">
            <v>8</v>
          </cell>
          <cell r="V411">
            <v>94</v>
          </cell>
          <cell r="W411">
            <v>8</v>
          </cell>
          <cell r="X411">
            <v>94</v>
          </cell>
          <cell r="AB411" t="str">
            <v>14</v>
          </cell>
          <cell r="AC411">
            <v>9</v>
          </cell>
          <cell r="AF411" t="str">
            <v>00</v>
          </cell>
          <cell r="AI411">
            <v>603118</v>
          </cell>
          <cell r="AJ411">
            <v>154800.35</v>
          </cell>
        </row>
        <row r="412">
          <cell r="A412" t="str">
            <v>15</v>
          </cell>
          <cell r="B412" t="str">
            <v>81</v>
          </cell>
          <cell r="C412" t="str">
            <v>6060</v>
          </cell>
          <cell r="D412" t="str">
            <v>Стоматологическое об</v>
          </cell>
          <cell r="E412" t="str">
            <v>орудование</v>
          </cell>
          <cell r="G412" t="str">
            <v>01</v>
          </cell>
          <cell r="H412">
            <v>57241</v>
          </cell>
          <cell r="I412">
            <v>1431.03</v>
          </cell>
          <cell r="J412">
            <v>0</v>
          </cell>
          <cell r="K412">
            <v>0.22</v>
          </cell>
          <cell r="L412" t="str">
            <v>88/2</v>
          </cell>
          <cell r="M412" t="str">
            <v>46012</v>
          </cell>
          <cell r="N412" t="str">
            <v>14 3311322</v>
          </cell>
          <cell r="O412" t="str">
            <v>067</v>
          </cell>
          <cell r="P412">
            <v>10</v>
          </cell>
          <cell r="Q412">
            <v>0</v>
          </cell>
          <cell r="R412" t="str">
            <v>1</v>
          </cell>
          <cell r="S412" t="str">
            <v>46</v>
          </cell>
          <cell r="T412">
            <v>94</v>
          </cell>
          <cell r="U412">
            <v>9</v>
          </cell>
          <cell r="V412">
            <v>94</v>
          </cell>
          <cell r="W412">
            <v>9</v>
          </cell>
          <cell r="X412">
            <v>94</v>
          </cell>
          <cell r="AF412" t="str">
            <v>15</v>
          </cell>
          <cell r="AI412">
            <v>260220560</v>
          </cell>
          <cell r="AJ412">
            <v>84571682.069999993</v>
          </cell>
        </row>
        <row r="413">
          <cell r="A413" t="str">
            <v>02</v>
          </cell>
          <cell r="B413" t="str">
            <v>03</v>
          </cell>
          <cell r="C413" t="str">
            <v>6061</v>
          </cell>
          <cell r="D413" t="str">
            <v>Вагон дом металличес</v>
          </cell>
          <cell r="E413" t="str">
            <v>кий 6 х3.1м Финский</v>
          </cell>
          <cell r="G413" t="str">
            <v>01</v>
          </cell>
          <cell r="H413">
            <v>38200</v>
          </cell>
          <cell r="I413">
            <v>1193.75</v>
          </cell>
          <cell r="J413">
            <v>0</v>
          </cell>
          <cell r="K413">
            <v>1.5</v>
          </cell>
          <cell r="L413" t="str">
            <v>26</v>
          </cell>
          <cell r="M413" t="str">
            <v>10010</v>
          </cell>
          <cell r="N413" t="str">
            <v>13 3420175</v>
          </cell>
          <cell r="O413" t="str">
            <v>01</v>
          </cell>
          <cell r="P413">
            <v>12.5</v>
          </cell>
          <cell r="Q413">
            <v>0</v>
          </cell>
          <cell r="R413" t="str">
            <v>1</v>
          </cell>
          <cell r="S413" t="str">
            <v>10</v>
          </cell>
          <cell r="T413">
            <v>94</v>
          </cell>
          <cell r="U413">
            <v>9</v>
          </cell>
          <cell r="V413">
            <v>94</v>
          </cell>
          <cell r="W413">
            <v>9</v>
          </cell>
          <cell r="X413">
            <v>94</v>
          </cell>
          <cell r="AB413" t="str">
            <v>14</v>
          </cell>
          <cell r="AC413">
            <v>6</v>
          </cell>
          <cell r="AF413" t="str">
            <v>00</v>
          </cell>
          <cell r="AG413">
            <v>25500000</v>
          </cell>
          <cell r="AI413">
            <v>25500000</v>
          </cell>
          <cell r="AJ413">
            <v>10359375</v>
          </cell>
        </row>
        <row r="414">
          <cell r="A414" t="str">
            <v>02</v>
          </cell>
          <cell r="B414" t="str">
            <v>03</v>
          </cell>
          <cell r="C414" t="str">
            <v>6062</v>
          </cell>
          <cell r="D414" t="str">
            <v>Вагон дом металличес</v>
          </cell>
          <cell r="E414" t="str">
            <v>кий 6 х 3.1м Финский</v>
          </cell>
          <cell r="G414" t="str">
            <v>01</v>
          </cell>
          <cell r="H414">
            <v>38200</v>
          </cell>
          <cell r="I414">
            <v>1193.75</v>
          </cell>
          <cell r="J414">
            <v>0</v>
          </cell>
          <cell r="K414">
            <v>1.5</v>
          </cell>
          <cell r="L414" t="str">
            <v>26</v>
          </cell>
          <cell r="M414" t="str">
            <v>10010</v>
          </cell>
          <cell r="N414" t="str">
            <v>13 3420175</v>
          </cell>
          <cell r="O414" t="str">
            <v>01</v>
          </cell>
          <cell r="P414">
            <v>12.5</v>
          </cell>
          <cell r="Q414">
            <v>0</v>
          </cell>
          <cell r="R414" t="str">
            <v>1</v>
          </cell>
          <cell r="S414" t="str">
            <v>10</v>
          </cell>
          <cell r="T414">
            <v>94</v>
          </cell>
          <cell r="U414">
            <v>9</v>
          </cell>
          <cell r="V414">
            <v>94</v>
          </cell>
          <cell r="W414">
            <v>9</v>
          </cell>
          <cell r="X414">
            <v>94</v>
          </cell>
          <cell r="AB414" t="str">
            <v>14</v>
          </cell>
          <cell r="AC414">
            <v>6</v>
          </cell>
          <cell r="AF414" t="str">
            <v>00</v>
          </cell>
          <cell r="AG414">
            <v>25500000</v>
          </cell>
          <cell r="AI414">
            <v>25500000</v>
          </cell>
          <cell r="AJ414">
            <v>10359375</v>
          </cell>
        </row>
        <row r="415">
          <cell r="A415" t="str">
            <v>02</v>
          </cell>
          <cell r="B415" t="str">
            <v>02</v>
          </cell>
          <cell r="C415" t="str">
            <v>6063</v>
          </cell>
          <cell r="D415" t="str">
            <v>Вагон дом</v>
          </cell>
          <cell r="E415" t="str">
            <v>дерево-металлич.</v>
          </cell>
          <cell r="F415" t="str">
            <v>Финляндия</v>
          </cell>
          <cell r="G415" t="str">
            <v>01</v>
          </cell>
          <cell r="H415">
            <v>85000</v>
          </cell>
          <cell r="I415">
            <v>2656.25</v>
          </cell>
          <cell r="J415">
            <v>0</v>
          </cell>
          <cell r="K415">
            <v>0.8</v>
          </cell>
          <cell r="L415" t="str">
            <v>20</v>
          </cell>
          <cell r="M415" t="str">
            <v>10010</v>
          </cell>
          <cell r="N415" t="str">
            <v>13 2022261</v>
          </cell>
          <cell r="O415" t="str">
            <v>01</v>
          </cell>
          <cell r="P415">
            <v>12.5</v>
          </cell>
          <cell r="Q415">
            <v>0</v>
          </cell>
          <cell r="R415" t="str">
            <v>1</v>
          </cell>
          <cell r="S415" t="str">
            <v>10</v>
          </cell>
          <cell r="T415">
            <v>94</v>
          </cell>
          <cell r="U415">
            <v>9</v>
          </cell>
          <cell r="V415">
            <v>94</v>
          </cell>
          <cell r="W415">
            <v>9</v>
          </cell>
          <cell r="X415">
            <v>94</v>
          </cell>
          <cell r="AF415" t="str">
            <v>00</v>
          </cell>
          <cell r="AI415">
            <v>105829033</v>
          </cell>
          <cell r="AJ415">
            <v>42993044.649999999</v>
          </cell>
        </row>
        <row r="416">
          <cell r="A416" t="str">
            <v>02</v>
          </cell>
          <cell r="B416" t="str">
            <v>02</v>
          </cell>
          <cell r="C416" t="str">
            <v>6064</v>
          </cell>
          <cell r="D416" t="str">
            <v>Вагон дом</v>
          </cell>
          <cell r="E416" t="str">
            <v>дерево-метал.Финлян-</v>
          </cell>
          <cell r="F416" t="str">
            <v>дия</v>
          </cell>
          <cell r="G416" t="str">
            <v>01</v>
          </cell>
          <cell r="H416">
            <v>85000</v>
          </cell>
          <cell r="I416">
            <v>2656.25</v>
          </cell>
          <cell r="J416">
            <v>0</v>
          </cell>
          <cell r="K416">
            <v>0.8</v>
          </cell>
          <cell r="L416" t="str">
            <v>20</v>
          </cell>
          <cell r="M416" t="str">
            <v>10010</v>
          </cell>
          <cell r="N416" t="str">
            <v>13 2022261</v>
          </cell>
          <cell r="O416" t="str">
            <v>01</v>
          </cell>
          <cell r="P416">
            <v>12.5</v>
          </cell>
          <cell r="Q416">
            <v>0</v>
          </cell>
          <cell r="R416" t="str">
            <v>1</v>
          </cell>
          <cell r="S416" t="str">
            <v>10</v>
          </cell>
          <cell r="T416">
            <v>94</v>
          </cell>
          <cell r="U416">
            <v>9</v>
          </cell>
          <cell r="V416">
            <v>94</v>
          </cell>
          <cell r="W416">
            <v>9</v>
          </cell>
          <cell r="X416">
            <v>94</v>
          </cell>
          <cell r="AF416" t="str">
            <v>00</v>
          </cell>
          <cell r="AI416">
            <v>105829033</v>
          </cell>
          <cell r="AJ416">
            <v>42993044.649999999</v>
          </cell>
        </row>
        <row r="417">
          <cell r="A417" t="str">
            <v>02</v>
          </cell>
          <cell r="B417" t="str">
            <v>02</v>
          </cell>
          <cell r="C417" t="str">
            <v>6065</v>
          </cell>
          <cell r="D417" t="str">
            <v>вагон дом</v>
          </cell>
          <cell r="E417" t="str">
            <v>дерево-метал.Финлян-</v>
          </cell>
          <cell r="F417" t="str">
            <v>дия</v>
          </cell>
          <cell r="G417" t="str">
            <v>01</v>
          </cell>
          <cell r="H417">
            <v>85000</v>
          </cell>
          <cell r="I417">
            <v>2656.25</v>
          </cell>
          <cell r="J417">
            <v>0</v>
          </cell>
          <cell r="K417">
            <v>0.8</v>
          </cell>
          <cell r="L417" t="str">
            <v>20</v>
          </cell>
          <cell r="M417" t="str">
            <v>10010</v>
          </cell>
          <cell r="N417" t="str">
            <v>13 2022261</v>
          </cell>
          <cell r="O417" t="str">
            <v>01</v>
          </cell>
          <cell r="P417">
            <v>12.5</v>
          </cell>
          <cell r="Q417">
            <v>0</v>
          </cell>
          <cell r="R417" t="str">
            <v>1</v>
          </cell>
          <cell r="S417" t="str">
            <v>10</v>
          </cell>
          <cell r="T417">
            <v>94</v>
          </cell>
          <cell r="U417">
            <v>9</v>
          </cell>
          <cell r="V417">
            <v>94</v>
          </cell>
          <cell r="W417">
            <v>9</v>
          </cell>
          <cell r="X417">
            <v>94</v>
          </cell>
          <cell r="AF417" t="str">
            <v>00</v>
          </cell>
          <cell r="AI417">
            <v>105829033</v>
          </cell>
          <cell r="AJ417">
            <v>42993044.649999999</v>
          </cell>
        </row>
        <row r="418">
          <cell r="A418" t="str">
            <v>02</v>
          </cell>
          <cell r="B418" t="str">
            <v>02</v>
          </cell>
          <cell r="C418" t="str">
            <v>6066</v>
          </cell>
          <cell r="D418" t="str">
            <v>Вагон дом</v>
          </cell>
          <cell r="E418" t="str">
            <v>дерево-метал.Финлянд</v>
          </cell>
          <cell r="F418" t="str">
            <v>ия</v>
          </cell>
          <cell r="G418" t="str">
            <v>01</v>
          </cell>
          <cell r="H418">
            <v>85000</v>
          </cell>
          <cell r="I418">
            <v>2656.25</v>
          </cell>
          <cell r="J418">
            <v>0</v>
          </cell>
          <cell r="K418">
            <v>0.8</v>
          </cell>
          <cell r="L418" t="str">
            <v>20</v>
          </cell>
          <cell r="M418" t="str">
            <v>10010</v>
          </cell>
          <cell r="N418" t="str">
            <v>13 2022261</v>
          </cell>
          <cell r="O418" t="str">
            <v>01</v>
          </cell>
          <cell r="P418">
            <v>12.5</v>
          </cell>
          <cell r="Q418">
            <v>0</v>
          </cell>
          <cell r="R418" t="str">
            <v>1</v>
          </cell>
          <cell r="S418" t="str">
            <v>10</v>
          </cell>
          <cell r="T418">
            <v>94</v>
          </cell>
          <cell r="U418">
            <v>9</v>
          </cell>
          <cell r="V418">
            <v>94</v>
          </cell>
          <cell r="W418">
            <v>9</v>
          </cell>
          <cell r="X418">
            <v>94</v>
          </cell>
          <cell r="AF418" t="str">
            <v>00</v>
          </cell>
          <cell r="AI418">
            <v>105829033</v>
          </cell>
          <cell r="AJ418">
            <v>42993044.649999999</v>
          </cell>
        </row>
        <row r="419">
          <cell r="A419" t="str">
            <v>02</v>
          </cell>
          <cell r="B419" t="str">
            <v>02</v>
          </cell>
          <cell r="C419" t="str">
            <v>6067</v>
          </cell>
          <cell r="D419" t="str">
            <v>Вагон дом</v>
          </cell>
          <cell r="E419" t="str">
            <v>дерево-метал.Финлянд</v>
          </cell>
          <cell r="F419" t="str">
            <v>ия</v>
          </cell>
          <cell r="G419" t="str">
            <v>01</v>
          </cell>
          <cell r="H419">
            <v>85000</v>
          </cell>
          <cell r="I419">
            <v>2656.25</v>
          </cell>
          <cell r="J419">
            <v>0</v>
          </cell>
          <cell r="K419">
            <v>0.8</v>
          </cell>
          <cell r="L419" t="str">
            <v>20</v>
          </cell>
          <cell r="M419" t="str">
            <v>10010</v>
          </cell>
          <cell r="N419" t="str">
            <v>13 2022261</v>
          </cell>
          <cell r="O419" t="str">
            <v>01</v>
          </cell>
          <cell r="P419">
            <v>12.5</v>
          </cell>
          <cell r="Q419">
            <v>0</v>
          </cell>
          <cell r="R419" t="str">
            <v>1</v>
          </cell>
          <cell r="S419" t="str">
            <v>10</v>
          </cell>
          <cell r="T419">
            <v>94</v>
          </cell>
          <cell r="U419">
            <v>9</v>
          </cell>
          <cell r="V419">
            <v>94</v>
          </cell>
          <cell r="W419">
            <v>9</v>
          </cell>
          <cell r="X419">
            <v>94</v>
          </cell>
          <cell r="AF419" t="str">
            <v>00</v>
          </cell>
          <cell r="AI419">
            <v>105829033</v>
          </cell>
          <cell r="AJ419">
            <v>42993044.649999999</v>
          </cell>
        </row>
        <row r="420">
          <cell r="A420" t="str">
            <v>02</v>
          </cell>
          <cell r="B420" t="str">
            <v>02</v>
          </cell>
          <cell r="C420" t="str">
            <v>6068</v>
          </cell>
          <cell r="D420" t="str">
            <v>Вагон дом</v>
          </cell>
          <cell r="E420" t="str">
            <v>дерево-метал.Финлянд</v>
          </cell>
          <cell r="F420" t="str">
            <v>ия</v>
          </cell>
          <cell r="G420" t="str">
            <v>01</v>
          </cell>
          <cell r="H420">
            <v>85000</v>
          </cell>
          <cell r="I420">
            <v>2656.25</v>
          </cell>
          <cell r="J420">
            <v>0</v>
          </cell>
          <cell r="K420">
            <v>0.8</v>
          </cell>
          <cell r="L420" t="str">
            <v>20</v>
          </cell>
          <cell r="M420" t="str">
            <v>10010</v>
          </cell>
          <cell r="N420" t="str">
            <v>13 2022261</v>
          </cell>
          <cell r="O420" t="str">
            <v>01</v>
          </cell>
          <cell r="P420">
            <v>12.5</v>
          </cell>
          <cell r="Q420">
            <v>0</v>
          </cell>
          <cell r="R420" t="str">
            <v>1</v>
          </cell>
          <cell r="S420" t="str">
            <v>10</v>
          </cell>
          <cell r="T420">
            <v>94</v>
          </cell>
          <cell r="U420">
            <v>9</v>
          </cell>
          <cell r="V420">
            <v>94</v>
          </cell>
          <cell r="W420">
            <v>9</v>
          </cell>
          <cell r="X420">
            <v>94</v>
          </cell>
          <cell r="AF420" t="str">
            <v>00</v>
          </cell>
          <cell r="AI420">
            <v>105829033</v>
          </cell>
          <cell r="AJ420">
            <v>42993044.649999999</v>
          </cell>
        </row>
        <row r="421">
          <cell r="A421" t="str">
            <v>02</v>
          </cell>
          <cell r="B421" t="str">
            <v>02</v>
          </cell>
          <cell r="C421" t="str">
            <v>6070</v>
          </cell>
          <cell r="D421" t="str">
            <v>Вагон дом</v>
          </cell>
          <cell r="E421" t="str">
            <v>дерево-метал.Финлянд</v>
          </cell>
          <cell r="F421" t="str">
            <v>ия</v>
          </cell>
          <cell r="G421" t="str">
            <v>01</v>
          </cell>
          <cell r="H421">
            <v>85000</v>
          </cell>
          <cell r="I421">
            <v>2656.25</v>
          </cell>
          <cell r="J421">
            <v>0</v>
          </cell>
          <cell r="K421">
            <v>0.8</v>
          </cell>
          <cell r="L421" t="str">
            <v>20</v>
          </cell>
          <cell r="M421" t="str">
            <v>10010</v>
          </cell>
          <cell r="N421" t="str">
            <v>13 2022261</v>
          </cell>
          <cell r="O421" t="str">
            <v>01</v>
          </cell>
          <cell r="P421">
            <v>12.5</v>
          </cell>
          <cell r="Q421">
            <v>0</v>
          </cell>
          <cell r="R421" t="str">
            <v>1</v>
          </cell>
          <cell r="S421" t="str">
            <v>10</v>
          </cell>
          <cell r="T421">
            <v>94</v>
          </cell>
          <cell r="U421">
            <v>9</v>
          </cell>
          <cell r="V421">
            <v>94</v>
          </cell>
          <cell r="W421">
            <v>9</v>
          </cell>
          <cell r="X421">
            <v>94</v>
          </cell>
          <cell r="AF421" t="str">
            <v>00</v>
          </cell>
          <cell r="AI421">
            <v>105829033</v>
          </cell>
          <cell r="AJ421">
            <v>42993044.649999999</v>
          </cell>
        </row>
        <row r="422">
          <cell r="A422" t="str">
            <v>02</v>
          </cell>
          <cell r="B422" t="str">
            <v>02</v>
          </cell>
          <cell r="C422" t="str">
            <v>6071</v>
          </cell>
          <cell r="D422" t="str">
            <v>Вагон дом</v>
          </cell>
          <cell r="E422" t="str">
            <v>дерево-метал.Финлянд</v>
          </cell>
          <cell r="F422" t="str">
            <v>ия</v>
          </cell>
          <cell r="G422" t="str">
            <v>01</v>
          </cell>
          <cell r="H422">
            <v>85000</v>
          </cell>
          <cell r="I422">
            <v>2656.25</v>
          </cell>
          <cell r="J422">
            <v>0</v>
          </cell>
          <cell r="K422">
            <v>0.8</v>
          </cell>
          <cell r="L422" t="str">
            <v>20</v>
          </cell>
          <cell r="M422" t="str">
            <v>10010</v>
          </cell>
          <cell r="N422" t="str">
            <v>13 2022261</v>
          </cell>
          <cell r="O422" t="str">
            <v>01</v>
          </cell>
          <cell r="P422">
            <v>12.5</v>
          </cell>
          <cell r="Q422">
            <v>0</v>
          </cell>
          <cell r="R422" t="str">
            <v>1</v>
          </cell>
          <cell r="S422" t="str">
            <v>10</v>
          </cell>
          <cell r="T422">
            <v>94</v>
          </cell>
          <cell r="U422">
            <v>9</v>
          </cell>
          <cell r="V422">
            <v>94</v>
          </cell>
          <cell r="W422">
            <v>9</v>
          </cell>
          <cell r="X422">
            <v>94</v>
          </cell>
          <cell r="AF422" t="str">
            <v>00</v>
          </cell>
          <cell r="AI422">
            <v>105829033</v>
          </cell>
          <cell r="AJ422">
            <v>42993044.649999999</v>
          </cell>
        </row>
        <row r="423">
          <cell r="A423" t="str">
            <v>02</v>
          </cell>
          <cell r="B423" t="str">
            <v>02</v>
          </cell>
          <cell r="C423" t="str">
            <v>6072</v>
          </cell>
          <cell r="D423" t="str">
            <v>Вагон дом</v>
          </cell>
          <cell r="E423" t="str">
            <v>дерево-метал.Финлянд</v>
          </cell>
          <cell r="F423" t="str">
            <v>ия</v>
          </cell>
          <cell r="G423" t="str">
            <v>01</v>
          </cell>
          <cell r="H423">
            <v>85000</v>
          </cell>
          <cell r="I423">
            <v>2656.25</v>
          </cell>
          <cell r="J423">
            <v>0</v>
          </cell>
          <cell r="K423">
            <v>0.8</v>
          </cell>
          <cell r="L423" t="str">
            <v>20</v>
          </cell>
          <cell r="M423" t="str">
            <v>10010</v>
          </cell>
          <cell r="N423" t="str">
            <v>13 2022261</v>
          </cell>
          <cell r="O423" t="str">
            <v>01</v>
          </cell>
          <cell r="P423">
            <v>12.5</v>
          </cell>
          <cell r="Q423">
            <v>0</v>
          </cell>
          <cell r="R423" t="str">
            <v>1</v>
          </cell>
          <cell r="S423" t="str">
            <v>10</v>
          </cell>
          <cell r="T423">
            <v>94</v>
          </cell>
          <cell r="U423">
            <v>9</v>
          </cell>
          <cell r="V423">
            <v>94</v>
          </cell>
          <cell r="W423">
            <v>9</v>
          </cell>
          <cell r="X423">
            <v>94</v>
          </cell>
          <cell r="AF423" t="str">
            <v>00</v>
          </cell>
          <cell r="AI423">
            <v>105829033</v>
          </cell>
          <cell r="AJ423">
            <v>42993044.649999999</v>
          </cell>
        </row>
        <row r="424">
          <cell r="A424" t="str">
            <v>02</v>
          </cell>
          <cell r="B424" t="str">
            <v>02</v>
          </cell>
          <cell r="C424" t="str">
            <v>6073</v>
          </cell>
          <cell r="D424" t="str">
            <v>вагон дом</v>
          </cell>
          <cell r="E424" t="str">
            <v>дерево-метал.Финлянд</v>
          </cell>
          <cell r="F424" t="str">
            <v>ия</v>
          </cell>
          <cell r="G424" t="str">
            <v>01</v>
          </cell>
          <cell r="H424">
            <v>85000</v>
          </cell>
          <cell r="I424">
            <v>2656.25</v>
          </cell>
          <cell r="J424">
            <v>0</v>
          </cell>
          <cell r="K424">
            <v>0.8</v>
          </cell>
          <cell r="L424" t="str">
            <v>20</v>
          </cell>
          <cell r="M424" t="str">
            <v>10010</v>
          </cell>
          <cell r="N424" t="str">
            <v>13 2022261</v>
          </cell>
          <cell r="O424" t="str">
            <v>01</v>
          </cell>
          <cell r="P424">
            <v>12.5</v>
          </cell>
          <cell r="Q424">
            <v>0</v>
          </cell>
          <cell r="R424" t="str">
            <v>1</v>
          </cell>
          <cell r="S424" t="str">
            <v>10</v>
          </cell>
          <cell r="T424">
            <v>94</v>
          </cell>
          <cell r="U424">
            <v>9</v>
          </cell>
          <cell r="V424">
            <v>94</v>
          </cell>
          <cell r="W424">
            <v>9</v>
          </cell>
          <cell r="X424">
            <v>94</v>
          </cell>
          <cell r="AF424" t="str">
            <v>00</v>
          </cell>
          <cell r="AI424">
            <v>105829033</v>
          </cell>
          <cell r="AJ424">
            <v>42993044.649999999</v>
          </cell>
        </row>
        <row r="425">
          <cell r="A425" t="str">
            <v>02</v>
          </cell>
          <cell r="B425" t="str">
            <v>02</v>
          </cell>
          <cell r="C425" t="str">
            <v>6074</v>
          </cell>
          <cell r="D425" t="str">
            <v>Вагон дом</v>
          </cell>
          <cell r="E425" t="str">
            <v>дерево-метал.Финлянд</v>
          </cell>
          <cell r="F425" t="str">
            <v>ия</v>
          </cell>
          <cell r="G425" t="str">
            <v>01</v>
          </cell>
          <cell r="H425">
            <v>85000</v>
          </cell>
          <cell r="I425">
            <v>2656.25</v>
          </cell>
          <cell r="J425">
            <v>0</v>
          </cell>
          <cell r="K425">
            <v>0.8</v>
          </cell>
          <cell r="L425" t="str">
            <v>20</v>
          </cell>
          <cell r="M425" t="str">
            <v>10010</v>
          </cell>
          <cell r="N425" t="str">
            <v>13 2022261</v>
          </cell>
          <cell r="O425" t="str">
            <v>01</v>
          </cell>
          <cell r="P425">
            <v>12.5</v>
          </cell>
          <cell r="Q425">
            <v>0</v>
          </cell>
          <cell r="R425" t="str">
            <v>1</v>
          </cell>
          <cell r="S425" t="str">
            <v>10</v>
          </cell>
          <cell r="T425">
            <v>94</v>
          </cell>
          <cell r="U425">
            <v>9</v>
          </cell>
          <cell r="V425">
            <v>94</v>
          </cell>
          <cell r="W425">
            <v>9</v>
          </cell>
          <cell r="X425">
            <v>94</v>
          </cell>
          <cell r="AF425" t="str">
            <v>00</v>
          </cell>
          <cell r="AI425">
            <v>105829033</v>
          </cell>
          <cell r="AJ425">
            <v>42993044.649999999</v>
          </cell>
        </row>
        <row r="426">
          <cell r="A426" t="str">
            <v>02</v>
          </cell>
          <cell r="B426" t="str">
            <v>02</v>
          </cell>
          <cell r="C426" t="str">
            <v>6075</v>
          </cell>
          <cell r="D426" t="str">
            <v>Вагон дом командирск</v>
          </cell>
          <cell r="E426" t="str">
            <v>дерево-металлич.</v>
          </cell>
          <cell r="F426" t="str">
            <v>Финляндия</v>
          </cell>
          <cell r="G426" t="str">
            <v>01</v>
          </cell>
          <cell r="H426">
            <v>85000</v>
          </cell>
          <cell r="I426">
            <v>2516.4299999999998</v>
          </cell>
          <cell r="J426">
            <v>0</v>
          </cell>
          <cell r="K426">
            <v>0.76</v>
          </cell>
          <cell r="L426" t="str">
            <v>20</v>
          </cell>
          <cell r="M426" t="str">
            <v>10010</v>
          </cell>
          <cell r="N426" t="str">
            <v>13 2022261</v>
          </cell>
          <cell r="O426" t="str">
            <v>01</v>
          </cell>
          <cell r="P426">
            <v>12.5</v>
          </cell>
          <cell r="Q426">
            <v>0</v>
          </cell>
          <cell r="R426" t="str">
            <v>1</v>
          </cell>
          <cell r="S426" t="str">
            <v>10</v>
          </cell>
          <cell r="T426">
            <v>94</v>
          </cell>
          <cell r="U426">
            <v>9</v>
          </cell>
          <cell r="V426">
            <v>94</v>
          </cell>
          <cell r="W426">
            <v>9</v>
          </cell>
          <cell r="X426">
            <v>94</v>
          </cell>
          <cell r="AF426" t="str">
            <v>00</v>
          </cell>
          <cell r="AI426">
            <v>111709069</v>
          </cell>
          <cell r="AJ426">
            <v>45198058.149999999</v>
          </cell>
        </row>
        <row r="427">
          <cell r="A427" t="str">
            <v>02</v>
          </cell>
          <cell r="B427" t="str">
            <v>02</v>
          </cell>
          <cell r="C427" t="str">
            <v>6076</v>
          </cell>
          <cell r="D427" t="str">
            <v>Вагон дом</v>
          </cell>
          <cell r="E427" t="str">
            <v>дерево-металлич.</v>
          </cell>
          <cell r="F427" t="str">
            <v>3 х 9</v>
          </cell>
          <cell r="G427" t="str">
            <v>01</v>
          </cell>
          <cell r="H427">
            <v>85000</v>
          </cell>
          <cell r="I427">
            <v>2656.25</v>
          </cell>
          <cell r="J427">
            <v>0</v>
          </cell>
          <cell r="K427">
            <v>0.15</v>
          </cell>
          <cell r="L427" t="str">
            <v>20</v>
          </cell>
          <cell r="M427" t="str">
            <v>10010</v>
          </cell>
          <cell r="N427" t="str">
            <v>13 2022261</v>
          </cell>
          <cell r="O427" t="str">
            <v>01</v>
          </cell>
          <cell r="P427">
            <v>12.5</v>
          </cell>
          <cell r="Q427">
            <v>0</v>
          </cell>
          <cell r="R427" t="str">
            <v>1</v>
          </cell>
          <cell r="S427" t="str">
            <v>10</v>
          </cell>
          <cell r="T427">
            <v>94</v>
          </cell>
          <cell r="U427">
            <v>9</v>
          </cell>
          <cell r="V427">
            <v>94</v>
          </cell>
          <cell r="W427">
            <v>9</v>
          </cell>
          <cell r="X427">
            <v>94</v>
          </cell>
          <cell r="AF427" t="str">
            <v>00</v>
          </cell>
          <cell r="AI427">
            <v>565600762</v>
          </cell>
          <cell r="AJ427">
            <v>229775309.47</v>
          </cell>
        </row>
        <row r="428">
          <cell r="A428" t="str">
            <v>02</v>
          </cell>
          <cell r="B428" t="str">
            <v>02</v>
          </cell>
          <cell r="C428" t="str">
            <v>6077</v>
          </cell>
          <cell r="D428" t="str">
            <v>вагон дом</v>
          </cell>
          <cell r="E428" t="str">
            <v>дерево-металлич.</v>
          </cell>
          <cell r="F428" t="str">
            <v>Финляндия</v>
          </cell>
          <cell r="G428" t="str">
            <v>01</v>
          </cell>
          <cell r="H428">
            <v>84714.28</v>
          </cell>
          <cell r="I428">
            <v>2647.32</v>
          </cell>
          <cell r="J428">
            <v>0</v>
          </cell>
          <cell r="K428">
            <v>1.5</v>
          </cell>
          <cell r="L428" t="str">
            <v>20</v>
          </cell>
          <cell r="M428" t="str">
            <v>10010</v>
          </cell>
          <cell r="N428" t="str">
            <v>13 2022261</v>
          </cell>
          <cell r="O428" t="str">
            <v>01</v>
          </cell>
          <cell r="P428">
            <v>12.5</v>
          </cell>
          <cell r="Q428">
            <v>0</v>
          </cell>
          <cell r="R428" t="str">
            <v>1</v>
          </cell>
          <cell r="S428" t="str">
            <v>10</v>
          </cell>
          <cell r="T428">
            <v>94</v>
          </cell>
          <cell r="U428">
            <v>9</v>
          </cell>
          <cell r="V428">
            <v>94</v>
          </cell>
          <cell r="W428">
            <v>9</v>
          </cell>
          <cell r="X428">
            <v>94</v>
          </cell>
          <cell r="AF428" t="str">
            <v>00</v>
          </cell>
          <cell r="AI428">
            <v>56476188</v>
          </cell>
          <cell r="AJ428">
            <v>22943451.48</v>
          </cell>
        </row>
        <row r="429">
          <cell r="A429" t="str">
            <v>02</v>
          </cell>
          <cell r="B429" t="str">
            <v>12</v>
          </cell>
          <cell r="C429" t="str">
            <v>6080</v>
          </cell>
          <cell r="D429" t="str">
            <v>Сцепка-сп-11</v>
          </cell>
          <cell r="G429" t="str">
            <v>01</v>
          </cell>
          <cell r="H429">
            <v>4449.84</v>
          </cell>
          <cell r="I429">
            <v>222.49</v>
          </cell>
          <cell r="J429">
            <v>0</v>
          </cell>
          <cell r="K429">
            <v>1.31</v>
          </cell>
          <cell r="L429" t="str">
            <v>88/4</v>
          </cell>
          <cell r="M429" t="str">
            <v>45744</v>
          </cell>
          <cell r="N429" t="str">
            <v>14 2921000</v>
          </cell>
          <cell r="O429" t="str">
            <v>063</v>
          </cell>
          <cell r="P429">
            <v>20</v>
          </cell>
          <cell r="Q429">
            <v>0</v>
          </cell>
          <cell r="R429" t="str">
            <v>1</v>
          </cell>
          <cell r="S429" t="str">
            <v>45</v>
          </cell>
          <cell r="T429">
            <v>93</v>
          </cell>
          <cell r="U429">
            <v>9</v>
          </cell>
          <cell r="V429">
            <v>94</v>
          </cell>
          <cell r="W429">
            <v>9</v>
          </cell>
          <cell r="X429">
            <v>94</v>
          </cell>
          <cell r="AF429" t="str">
            <v>00</v>
          </cell>
          <cell r="AI429">
            <v>3396823</v>
          </cell>
          <cell r="AJ429">
            <v>2207935.02</v>
          </cell>
        </row>
        <row r="430">
          <cell r="A430" t="str">
            <v>02</v>
          </cell>
          <cell r="B430" t="str">
            <v>12</v>
          </cell>
          <cell r="C430" t="str">
            <v>6081</v>
          </cell>
          <cell r="D430" t="str">
            <v>Сцепка сп-11</v>
          </cell>
          <cell r="G430" t="str">
            <v>01</v>
          </cell>
          <cell r="H430">
            <v>6100</v>
          </cell>
          <cell r="I430">
            <v>305</v>
          </cell>
          <cell r="J430">
            <v>0</v>
          </cell>
          <cell r="K430">
            <v>1.2</v>
          </cell>
          <cell r="L430" t="str">
            <v>88/4</v>
          </cell>
          <cell r="M430" t="str">
            <v>45744</v>
          </cell>
          <cell r="N430" t="str">
            <v>14 2921000</v>
          </cell>
          <cell r="O430" t="str">
            <v>063</v>
          </cell>
          <cell r="P430">
            <v>20</v>
          </cell>
          <cell r="Q430">
            <v>0</v>
          </cell>
          <cell r="R430" t="str">
            <v>1</v>
          </cell>
          <cell r="S430" t="str">
            <v>45</v>
          </cell>
          <cell r="T430">
            <v>94</v>
          </cell>
          <cell r="U430">
            <v>9</v>
          </cell>
          <cell r="V430">
            <v>94</v>
          </cell>
          <cell r="W430">
            <v>9</v>
          </cell>
          <cell r="X430">
            <v>94</v>
          </cell>
          <cell r="AF430" t="str">
            <v>00</v>
          </cell>
          <cell r="AI430">
            <v>5095233</v>
          </cell>
          <cell r="AJ430">
            <v>3311901.45</v>
          </cell>
        </row>
        <row r="431">
          <cell r="A431" t="str">
            <v>02</v>
          </cell>
          <cell r="B431" t="str">
            <v>12</v>
          </cell>
          <cell r="C431" t="str">
            <v>6082</v>
          </cell>
          <cell r="D431" t="str">
            <v>жатка жвн-6</v>
          </cell>
          <cell r="F431" t="str">
            <v>673503</v>
          </cell>
          <cell r="G431" t="str">
            <v>01</v>
          </cell>
          <cell r="H431">
            <v>12258.08</v>
          </cell>
          <cell r="I431">
            <v>383.07</v>
          </cell>
          <cell r="J431">
            <v>0</v>
          </cell>
          <cell r="K431">
            <v>1.21</v>
          </cell>
          <cell r="L431" t="str">
            <v>88/4</v>
          </cell>
          <cell r="M431" t="str">
            <v>45701</v>
          </cell>
          <cell r="N431" t="str">
            <v>14 2921000</v>
          </cell>
          <cell r="O431" t="str">
            <v>062</v>
          </cell>
          <cell r="P431">
            <v>12.5</v>
          </cell>
          <cell r="Q431">
            <v>0</v>
          </cell>
          <cell r="R431" t="str">
            <v>1</v>
          </cell>
          <cell r="S431" t="str">
            <v>45</v>
          </cell>
          <cell r="T431">
            <v>94</v>
          </cell>
          <cell r="U431">
            <v>9</v>
          </cell>
          <cell r="V431">
            <v>94</v>
          </cell>
          <cell r="W431">
            <v>9</v>
          </cell>
          <cell r="X431">
            <v>94</v>
          </cell>
          <cell r="AF431" t="str">
            <v>00</v>
          </cell>
          <cell r="AI431">
            <v>10130647</v>
          </cell>
          <cell r="AJ431">
            <v>4115575.29</v>
          </cell>
        </row>
        <row r="432">
          <cell r="A432" t="str">
            <v>02</v>
          </cell>
          <cell r="B432" t="str">
            <v>12</v>
          </cell>
          <cell r="C432" t="str">
            <v>6083</v>
          </cell>
          <cell r="D432" t="str">
            <v>Жатка жвн-6</v>
          </cell>
          <cell r="F432" t="str">
            <v>673410</v>
          </cell>
          <cell r="G432" t="str">
            <v>01</v>
          </cell>
          <cell r="H432">
            <v>12258.08</v>
          </cell>
          <cell r="I432">
            <v>383.07</v>
          </cell>
          <cell r="J432">
            <v>0</v>
          </cell>
          <cell r="K432">
            <v>1.21</v>
          </cell>
          <cell r="L432" t="str">
            <v>88/4</v>
          </cell>
          <cell r="M432" t="str">
            <v>45701</v>
          </cell>
          <cell r="N432" t="str">
            <v>14 2921000</v>
          </cell>
          <cell r="O432" t="str">
            <v>062</v>
          </cell>
          <cell r="P432">
            <v>12.5</v>
          </cell>
          <cell r="Q432">
            <v>0</v>
          </cell>
          <cell r="R432" t="str">
            <v>1</v>
          </cell>
          <cell r="S432" t="str">
            <v>45</v>
          </cell>
          <cell r="T432">
            <v>94</v>
          </cell>
          <cell r="U432">
            <v>9</v>
          </cell>
          <cell r="V432">
            <v>94</v>
          </cell>
          <cell r="W432">
            <v>9</v>
          </cell>
          <cell r="X432">
            <v>94</v>
          </cell>
          <cell r="AF432" t="str">
            <v>00</v>
          </cell>
          <cell r="AI432">
            <v>10130647</v>
          </cell>
          <cell r="AJ432">
            <v>4115575.29</v>
          </cell>
        </row>
        <row r="433">
          <cell r="A433" t="str">
            <v>02</v>
          </cell>
          <cell r="B433" t="str">
            <v>12</v>
          </cell>
          <cell r="C433" t="str">
            <v>6085</v>
          </cell>
          <cell r="D433" t="str">
            <v>Сцепка</v>
          </cell>
          <cell r="G433" t="str">
            <v>01</v>
          </cell>
          <cell r="H433">
            <v>6100</v>
          </cell>
          <cell r="I433">
            <v>305</v>
          </cell>
          <cell r="J433">
            <v>0</v>
          </cell>
          <cell r="K433">
            <v>0.9</v>
          </cell>
          <cell r="L433" t="str">
            <v>88/4</v>
          </cell>
          <cell r="M433" t="str">
            <v>45744</v>
          </cell>
          <cell r="N433" t="str">
            <v>14 2921000</v>
          </cell>
          <cell r="O433" t="str">
            <v>063</v>
          </cell>
          <cell r="P433">
            <v>20</v>
          </cell>
          <cell r="Q433">
            <v>0</v>
          </cell>
          <cell r="R433" t="str">
            <v>1</v>
          </cell>
          <cell r="S433" t="str">
            <v>45</v>
          </cell>
          <cell r="T433">
            <v>94</v>
          </cell>
          <cell r="U433">
            <v>9</v>
          </cell>
          <cell r="V433">
            <v>94</v>
          </cell>
          <cell r="W433">
            <v>9</v>
          </cell>
          <cell r="X433">
            <v>94</v>
          </cell>
          <cell r="AF433" t="str">
            <v>00</v>
          </cell>
          <cell r="AI433">
            <v>6743118</v>
          </cell>
          <cell r="AJ433">
            <v>4383026.7</v>
          </cell>
        </row>
        <row r="434">
          <cell r="A434" t="str">
            <v>02</v>
          </cell>
          <cell r="B434" t="str">
            <v>12</v>
          </cell>
          <cell r="C434" t="str">
            <v>6086</v>
          </cell>
          <cell r="D434" t="str">
            <v>Сцепка сп-11</v>
          </cell>
          <cell r="G434" t="str">
            <v>01</v>
          </cell>
          <cell r="H434">
            <v>6100</v>
          </cell>
          <cell r="I434">
            <v>305</v>
          </cell>
          <cell r="J434">
            <v>0</v>
          </cell>
          <cell r="K434">
            <v>0.9</v>
          </cell>
          <cell r="L434" t="str">
            <v>88/4</v>
          </cell>
          <cell r="M434" t="str">
            <v>45744</v>
          </cell>
          <cell r="N434" t="str">
            <v>14 2921000</v>
          </cell>
          <cell r="O434" t="str">
            <v>063</v>
          </cell>
          <cell r="P434">
            <v>20</v>
          </cell>
          <cell r="Q434">
            <v>0</v>
          </cell>
          <cell r="R434" t="str">
            <v>1</v>
          </cell>
          <cell r="S434" t="str">
            <v>45</v>
          </cell>
          <cell r="T434">
            <v>94</v>
          </cell>
          <cell r="U434">
            <v>9</v>
          </cell>
          <cell r="V434">
            <v>94</v>
          </cell>
          <cell r="W434">
            <v>9</v>
          </cell>
          <cell r="X434">
            <v>94</v>
          </cell>
          <cell r="AF434" t="str">
            <v>00</v>
          </cell>
          <cell r="AI434">
            <v>6743118</v>
          </cell>
          <cell r="AJ434">
            <v>4383026.7</v>
          </cell>
        </row>
        <row r="435">
          <cell r="A435" t="str">
            <v>02</v>
          </cell>
          <cell r="B435" t="str">
            <v>02</v>
          </cell>
          <cell r="C435" t="str">
            <v>6103</v>
          </cell>
          <cell r="D435" t="str">
            <v>Чешский комплекс</v>
          </cell>
          <cell r="E435" t="str">
            <v>дерево-метал.12х20</v>
          </cell>
          <cell r="F435" t="str">
            <v>Чехия</v>
          </cell>
          <cell r="G435" t="str">
            <v>01</v>
          </cell>
          <cell r="H435">
            <v>312500</v>
          </cell>
          <cell r="I435">
            <v>195312.5</v>
          </cell>
          <cell r="J435">
            <v>0</v>
          </cell>
          <cell r="K435">
            <v>0.11</v>
          </cell>
          <cell r="L435" t="str">
            <v>20</v>
          </cell>
          <cell r="M435" t="str">
            <v>10008</v>
          </cell>
          <cell r="N435" t="str">
            <v>13 4527614</v>
          </cell>
          <cell r="O435" t="str">
            <v>01</v>
          </cell>
          <cell r="P435">
            <v>5</v>
          </cell>
          <cell r="Q435">
            <v>0</v>
          </cell>
          <cell r="R435" t="str">
            <v>1</v>
          </cell>
          <cell r="S435" t="str">
            <v>10</v>
          </cell>
          <cell r="T435">
            <v>82</v>
          </cell>
          <cell r="U435">
            <v>6</v>
          </cell>
          <cell r="V435">
            <v>82</v>
          </cell>
          <cell r="W435">
            <v>6</v>
          </cell>
          <cell r="X435">
            <v>82</v>
          </cell>
          <cell r="AB435" t="str">
            <v>14</v>
          </cell>
          <cell r="AC435">
            <v>2</v>
          </cell>
          <cell r="AF435" t="str">
            <v>00</v>
          </cell>
          <cell r="AI435">
            <v>2816679488</v>
          </cell>
          <cell r="AJ435">
            <v>2182926602.6399999</v>
          </cell>
        </row>
        <row r="436">
          <cell r="A436" t="str">
            <v>02</v>
          </cell>
          <cell r="B436" t="str">
            <v>02</v>
          </cell>
          <cell r="C436" t="str">
            <v>6115</v>
          </cell>
          <cell r="D436" t="str">
            <v>Сварочное оборудован</v>
          </cell>
          <cell r="E436" t="str">
            <v>ие АС-42</v>
          </cell>
          <cell r="G436" t="str">
            <v>01</v>
          </cell>
          <cell r="H436">
            <v>58100</v>
          </cell>
          <cell r="I436">
            <v>27113.33</v>
          </cell>
          <cell r="J436">
            <v>0</v>
          </cell>
          <cell r="K436">
            <v>0.16</v>
          </cell>
          <cell r="L436" t="str">
            <v>20</v>
          </cell>
          <cell r="M436" t="str">
            <v>42503</v>
          </cell>
          <cell r="N436" t="str">
            <v>14 2947193</v>
          </cell>
          <cell r="O436" t="str">
            <v>067</v>
          </cell>
          <cell r="P436">
            <v>17.5</v>
          </cell>
          <cell r="Q436">
            <v>0</v>
          </cell>
          <cell r="R436" t="str">
            <v>1</v>
          </cell>
          <cell r="S436" t="str">
            <v>42</v>
          </cell>
          <cell r="T436">
            <v>90</v>
          </cell>
          <cell r="U436">
            <v>4</v>
          </cell>
          <cell r="V436">
            <v>92</v>
          </cell>
          <cell r="W436">
            <v>4</v>
          </cell>
          <cell r="X436">
            <v>92</v>
          </cell>
          <cell r="AF436" t="str">
            <v>00</v>
          </cell>
          <cell r="AI436">
            <v>365251162</v>
          </cell>
          <cell r="AJ436">
            <v>362207402.05000001</v>
          </cell>
        </row>
        <row r="437">
          <cell r="A437" t="str">
            <v>16</v>
          </cell>
          <cell r="B437" t="str">
            <v>06</v>
          </cell>
          <cell r="C437" t="str">
            <v>6121</v>
          </cell>
          <cell r="D437" t="str">
            <v>Брандвахта</v>
          </cell>
          <cell r="G437" t="str">
            <v>01</v>
          </cell>
          <cell r="H437">
            <v>750000</v>
          </cell>
          <cell r="I437">
            <v>226625</v>
          </cell>
          <cell r="J437">
            <v>0</v>
          </cell>
          <cell r="K437">
            <v>0.32</v>
          </cell>
          <cell r="L437" t="str">
            <v>88/1</v>
          </cell>
          <cell r="M437" t="str">
            <v>50222</v>
          </cell>
          <cell r="N437" t="str">
            <v>15 3511174</v>
          </cell>
          <cell r="O437" t="str">
            <v>075</v>
          </cell>
          <cell r="P437">
            <v>3.7</v>
          </cell>
          <cell r="Q437">
            <v>0</v>
          </cell>
          <cell r="R437" t="str">
            <v>1</v>
          </cell>
          <cell r="S437" t="str">
            <v>50</v>
          </cell>
          <cell r="T437">
            <v>86</v>
          </cell>
          <cell r="U437">
            <v>10</v>
          </cell>
          <cell r="V437">
            <v>86</v>
          </cell>
          <cell r="W437">
            <v>10</v>
          </cell>
          <cell r="X437">
            <v>86</v>
          </cell>
          <cell r="AF437" t="str">
            <v>16</v>
          </cell>
          <cell r="AI437">
            <v>2313504781</v>
          </cell>
          <cell r="AJ437">
            <v>955863058.89999998</v>
          </cell>
        </row>
        <row r="438">
          <cell r="A438" t="str">
            <v>16</v>
          </cell>
          <cell r="B438" t="str">
            <v>06</v>
          </cell>
          <cell r="C438" t="str">
            <v>6122</v>
          </cell>
          <cell r="D438" t="str">
            <v>Дом каркасный деревя</v>
          </cell>
          <cell r="E438" t="str">
            <v>нный 12 х 6 /фиброли</v>
          </cell>
          <cell r="F438" t="str">
            <v>товый/</v>
          </cell>
          <cell r="G438" t="str">
            <v>01</v>
          </cell>
          <cell r="H438">
            <v>53500</v>
          </cell>
          <cell r="I438">
            <v>18724.689999999999</v>
          </cell>
          <cell r="J438">
            <v>0</v>
          </cell>
          <cell r="K438">
            <v>1.02</v>
          </cell>
          <cell r="L438" t="str">
            <v>88/1</v>
          </cell>
          <cell r="M438" t="str">
            <v>10004</v>
          </cell>
          <cell r="N438" t="str">
            <v>13 2022231</v>
          </cell>
          <cell r="O438" t="str">
            <v>01</v>
          </cell>
          <cell r="P438">
            <v>2.5</v>
          </cell>
          <cell r="Q438">
            <v>0</v>
          </cell>
          <cell r="R438" t="str">
            <v>1</v>
          </cell>
          <cell r="S438" t="str">
            <v>10</v>
          </cell>
          <cell r="T438">
            <v>80</v>
          </cell>
          <cell r="U438">
            <v>12</v>
          </cell>
          <cell r="V438">
            <v>80</v>
          </cell>
          <cell r="W438">
            <v>12</v>
          </cell>
          <cell r="X438">
            <v>80</v>
          </cell>
          <cell r="AF438" t="str">
            <v>16</v>
          </cell>
          <cell r="AI438">
            <v>52262838</v>
          </cell>
          <cell r="AJ438">
            <v>22211405.68</v>
          </cell>
        </row>
        <row r="439">
          <cell r="A439" t="str">
            <v>16</v>
          </cell>
          <cell r="B439" t="str">
            <v>06</v>
          </cell>
          <cell r="C439" t="str">
            <v>6123</v>
          </cell>
          <cell r="D439" t="str">
            <v>Вагон-домик металлич</v>
          </cell>
          <cell r="E439" t="str">
            <v>еский 8 х 3м</v>
          </cell>
          <cell r="G439" t="str">
            <v>01</v>
          </cell>
          <cell r="H439">
            <v>20349.72</v>
          </cell>
          <cell r="I439">
            <v>20349.72</v>
          </cell>
          <cell r="J439">
            <v>0</v>
          </cell>
          <cell r="K439">
            <v>1.1299999999999999</v>
          </cell>
          <cell r="L439" t="str">
            <v>88/1</v>
          </cell>
          <cell r="M439" t="str">
            <v>10010</v>
          </cell>
          <cell r="N439" t="str">
            <v>13 3420175</v>
          </cell>
          <cell r="O439" t="str">
            <v>01</v>
          </cell>
          <cell r="P439">
            <v>12.5</v>
          </cell>
          <cell r="Q439">
            <v>0</v>
          </cell>
          <cell r="R439" t="str">
            <v>1</v>
          </cell>
          <cell r="S439" t="str">
            <v>10</v>
          </cell>
          <cell r="T439">
            <v>79</v>
          </cell>
          <cell r="U439">
            <v>8</v>
          </cell>
          <cell r="V439">
            <v>79</v>
          </cell>
          <cell r="W439">
            <v>8</v>
          </cell>
          <cell r="X439">
            <v>79</v>
          </cell>
          <cell r="AF439" t="str">
            <v>16</v>
          </cell>
          <cell r="AI439">
            <v>18000640</v>
          </cell>
          <cell r="AJ439">
            <v>18000640</v>
          </cell>
        </row>
        <row r="440">
          <cell r="A440" t="str">
            <v>16</v>
          </cell>
          <cell r="B440" t="str">
            <v>06</v>
          </cell>
          <cell r="C440" t="str">
            <v>6124</v>
          </cell>
          <cell r="D440" t="str">
            <v>Вагон жилой ВГ-114 м</v>
          </cell>
          <cell r="E440" t="str">
            <v>етал. 8 х 3м</v>
          </cell>
          <cell r="F440" t="str">
            <v>мед.пункт</v>
          </cell>
          <cell r="G440" t="str">
            <v>01</v>
          </cell>
          <cell r="H440">
            <v>38200</v>
          </cell>
          <cell r="I440">
            <v>38200</v>
          </cell>
          <cell r="J440">
            <v>0</v>
          </cell>
          <cell r="K440">
            <v>1.01</v>
          </cell>
          <cell r="L440" t="str">
            <v>88/1</v>
          </cell>
          <cell r="M440" t="str">
            <v>10010</v>
          </cell>
          <cell r="N440" t="str">
            <v>13 3420175</v>
          </cell>
          <cell r="O440" t="str">
            <v>01</v>
          </cell>
          <cell r="P440">
            <v>12.5</v>
          </cell>
          <cell r="Q440">
            <v>0</v>
          </cell>
          <cell r="R440" t="str">
            <v>1</v>
          </cell>
          <cell r="S440" t="str">
            <v>10</v>
          </cell>
          <cell r="T440">
            <v>79</v>
          </cell>
          <cell r="U440">
            <v>12</v>
          </cell>
          <cell r="V440">
            <v>79</v>
          </cell>
          <cell r="W440">
            <v>12</v>
          </cell>
          <cell r="X440">
            <v>79</v>
          </cell>
          <cell r="AF440" t="str">
            <v>16</v>
          </cell>
          <cell r="AI440">
            <v>37874816</v>
          </cell>
          <cell r="AJ440">
            <v>37874816</v>
          </cell>
        </row>
        <row r="441">
          <cell r="A441" t="str">
            <v>02</v>
          </cell>
          <cell r="B441" t="str">
            <v>23</v>
          </cell>
          <cell r="C441" t="str">
            <v>6605</v>
          </cell>
          <cell r="D441" t="str">
            <v>А/м ВАЗ-2106 легков.</v>
          </cell>
          <cell r="E441" t="str">
            <v>Nо В 408 ВТ</v>
          </cell>
          <cell r="F441" t="str">
            <v>куз3342055 дв б/н</v>
          </cell>
          <cell r="G441" t="str">
            <v>01</v>
          </cell>
          <cell r="H441">
            <v>24624</v>
          </cell>
          <cell r="I441">
            <v>293.44</v>
          </cell>
          <cell r="J441">
            <v>0</v>
          </cell>
          <cell r="K441">
            <v>0.62</v>
          </cell>
          <cell r="L441" t="str">
            <v>26</v>
          </cell>
          <cell r="M441" t="str">
            <v>50416</v>
          </cell>
          <cell r="N441" t="str">
            <v>15 3410110</v>
          </cell>
          <cell r="O441" t="str">
            <v>071</v>
          </cell>
          <cell r="P441">
            <v>14.3</v>
          </cell>
          <cell r="Q441">
            <v>0</v>
          </cell>
          <cell r="R441" t="str">
            <v>1</v>
          </cell>
          <cell r="S441" t="str">
            <v>50</v>
          </cell>
          <cell r="T441">
            <v>94</v>
          </cell>
          <cell r="U441">
            <v>11</v>
          </cell>
          <cell r="V441">
            <v>94</v>
          </cell>
          <cell r="W441">
            <v>11</v>
          </cell>
          <cell r="X441">
            <v>94</v>
          </cell>
          <cell r="AF441" t="str">
            <v>00</v>
          </cell>
          <cell r="AI441">
            <v>39600000</v>
          </cell>
          <cell r="AJ441">
            <v>17460300</v>
          </cell>
        </row>
        <row r="442">
          <cell r="A442" t="str">
            <v>02</v>
          </cell>
          <cell r="B442" t="str">
            <v>80</v>
          </cell>
          <cell r="C442" t="str">
            <v>6608</v>
          </cell>
          <cell r="D442" t="str">
            <v>Телефакс F 130В</v>
          </cell>
          <cell r="G442" t="str">
            <v>01</v>
          </cell>
          <cell r="H442">
            <v>1713</v>
          </cell>
          <cell r="I442">
            <v>0</v>
          </cell>
          <cell r="J442">
            <v>0</v>
          </cell>
          <cell r="K442">
            <v>0.17</v>
          </cell>
          <cell r="L442" t="str">
            <v>26</v>
          </cell>
          <cell r="M442" t="str">
            <v>45605</v>
          </cell>
          <cell r="N442" t="str">
            <v>14 3222146</v>
          </cell>
          <cell r="O442" t="str">
            <v>067</v>
          </cell>
          <cell r="P442">
            <v>7.7</v>
          </cell>
          <cell r="Q442">
            <v>0</v>
          </cell>
          <cell r="R442" t="str">
            <v>1</v>
          </cell>
          <cell r="S442" t="str">
            <v>45</v>
          </cell>
          <cell r="T442">
            <v>94</v>
          </cell>
          <cell r="U442">
            <v>12</v>
          </cell>
          <cell r="V442">
            <v>94</v>
          </cell>
          <cell r="W442">
            <v>12</v>
          </cell>
          <cell r="X442">
            <v>94</v>
          </cell>
          <cell r="AF442" t="str">
            <v>00</v>
          </cell>
          <cell r="AI442">
            <v>10011600</v>
          </cell>
          <cell r="AJ442">
            <v>2312679.6</v>
          </cell>
        </row>
        <row r="443">
          <cell r="A443" t="str">
            <v>02</v>
          </cell>
          <cell r="B443" t="str">
            <v>80</v>
          </cell>
          <cell r="C443" t="str">
            <v>6609</v>
          </cell>
          <cell r="D443" t="str">
            <v>Копировальный аппара</v>
          </cell>
          <cell r="E443" t="str">
            <v>т А У</v>
          </cell>
          <cell r="G443" t="str">
            <v>01</v>
          </cell>
          <cell r="H443">
            <v>3185</v>
          </cell>
          <cell r="I443">
            <v>0</v>
          </cell>
          <cell r="J443">
            <v>0</v>
          </cell>
          <cell r="K443">
            <v>0.21</v>
          </cell>
          <cell r="L443" t="str">
            <v>26</v>
          </cell>
          <cell r="M443" t="str">
            <v>44804</v>
          </cell>
          <cell r="N443" t="str">
            <v>14 3010210</v>
          </cell>
          <cell r="O443" t="str">
            <v>063</v>
          </cell>
          <cell r="P443">
            <v>12.5</v>
          </cell>
          <cell r="Q443">
            <v>0</v>
          </cell>
          <cell r="R443" t="str">
            <v>1</v>
          </cell>
          <cell r="S443" t="str">
            <v>48</v>
          </cell>
          <cell r="T443">
            <v>94</v>
          </cell>
          <cell r="U443">
            <v>12</v>
          </cell>
          <cell r="V443">
            <v>94</v>
          </cell>
          <cell r="W443">
            <v>12</v>
          </cell>
          <cell r="X443">
            <v>94</v>
          </cell>
          <cell r="AF443" t="str">
            <v>00</v>
          </cell>
          <cell r="AI443">
            <v>14927000</v>
          </cell>
          <cell r="AJ443">
            <v>4478100</v>
          </cell>
        </row>
        <row r="444">
          <cell r="A444" t="str">
            <v>02</v>
          </cell>
          <cell r="B444" t="str">
            <v>71</v>
          </cell>
          <cell r="C444" t="str">
            <v>6610</v>
          </cell>
          <cell r="D444" t="str">
            <v>Электростанция АД-60</v>
          </cell>
          <cell r="G444" t="str">
            <v>01</v>
          </cell>
          <cell r="H444">
            <v>43160</v>
          </cell>
          <cell r="I444">
            <v>0</v>
          </cell>
          <cell r="J444">
            <v>0</v>
          </cell>
          <cell r="K444">
            <v>0.46</v>
          </cell>
          <cell r="L444" t="str">
            <v>23</v>
          </cell>
          <cell r="M444" t="str">
            <v>40307</v>
          </cell>
          <cell r="N444" t="str">
            <v>14 2911102</v>
          </cell>
          <cell r="O444" t="str">
            <v>067</v>
          </cell>
          <cell r="P444">
            <v>14.3</v>
          </cell>
          <cell r="Q444">
            <v>0</v>
          </cell>
          <cell r="R444" t="str">
            <v>1</v>
          </cell>
          <cell r="S444" t="str">
            <v>40</v>
          </cell>
          <cell r="T444">
            <v>94</v>
          </cell>
          <cell r="U444">
            <v>12</v>
          </cell>
          <cell r="V444">
            <v>94</v>
          </cell>
          <cell r="W444">
            <v>12</v>
          </cell>
          <cell r="X444">
            <v>94</v>
          </cell>
          <cell r="AF444" t="str">
            <v>00</v>
          </cell>
          <cell r="AI444">
            <v>93073169</v>
          </cell>
          <cell r="AJ444">
            <v>39928389.5</v>
          </cell>
        </row>
        <row r="445">
          <cell r="A445" t="str">
            <v>02</v>
          </cell>
          <cell r="B445" t="str">
            <v>23</v>
          </cell>
          <cell r="C445" t="str">
            <v>6611</v>
          </cell>
          <cell r="D445" t="str">
            <v>А/м УАЗ-АПВ-У-05фер-</v>
          </cell>
          <cell r="E445" t="str">
            <v>мер Nо А 832 РН</v>
          </cell>
          <cell r="F445" t="str">
            <v>дв41110896 ш2994339</v>
          </cell>
          <cell r="G445" t="str">
            <v>01</v>
          </cell>
          <cell r="H445">
            <v>53990</v>
          </cell>
          <cell r="I445">
            <v>0</v>
          </cell>
          <cell r="J445">
            <v>0</v>
          </cell>
          <cell r="K445">
            <v>0.77</v>
          </cell>
          <cell r="L445" t="str">
            <v>23</v>
          </cell>
          <cell r="M445" t="str">
            <v>50401</v>
          </cell>
          <cell r="N445" t="str">
            <v>15 3410170</v>
          </cell>
          <cell r="O445" t="str">
            <v>075</v>
          </cell>
          <cell r="P445">
            <v>14.3</v>
          </cell>
          <cell r="Q445">
            <v>0</v>
          </cell>
          <cell r="R445" t="str">
            <v>1</v>
          </cell>
          <cell r="S445" t="str">
            <v>50</v>
          </cell>
          <cell r="T445">
            <v>94</v>
          </cell>
          <cell r="U445">
            <v>12</v>
          </cell>
          <cell r="V445">
            <v>94</v>
          </cell>
          <cell r="W445">
            <v>12</v>
          </cell>
          <cell r="X445">
            <v>94</v>
          </cell>
          <cell r="AF445" t="str">
            <v>00</v>
          </cell>
          <cell r="AI445">
            <v>70351805</v>
          </cell>
          <cell r="AJ445">
            <v>30180924.350000001</v>
          </cell>
        </row>
        <row r="446">
          <cell r="A446" t="str">
            <v>02</v>
          </cell>
          <cell r="B446" t="str">
            <v>71</v>
          </cell>
          <cell r="C446" t="str">
            <v>6612</v>
          </cell>
          <cell r="D446" t="str">
            <v>Кран балка опорная 5</v>
          </cell>
          <cell r="E446" t="str">
            <v>тн пролет 10.5м высо</v>
          </cell>
          <cell r="G446" t="str">
            <v>01</v>
          </cell>
          <cell r="H446">
            <v>20450</v>
          </cell>
          <cell r="I446">
            <v>0</v>
          </cell>
          <cell r="J446">
            <v>0</v>
          </cell>
          <cell r="K446">
            <v>0.53</v>
          </cell>
          <cell r="L446" t="str">
            <v>23</v>
          </cell>
          <cell r="M446" t="str">
            <v>41704</v>
          </cell>
          <cell r="N446" t="str">
            <v>14 2915289</v>
          </cell>
          <cell r="O446" t="str">
            <v>065</v>
          </cell>
          <cell r="P446">
            <v>5</v>
          </cell>
          <cell r="Q446">
            <v>0</v>
          </cell>
          <cell r="R446" t="str">
            <v>1</v>
          </cell>
          <cell r="S446" t="str">
            <v>41</v>
          </cell>
          <cell r="T446">
            <v>94</v>
          </cell>
          <cell r="U446">
            <v>12</v>
          </cell>
          <cell r="V446">
            <v>94</v>
          </cell>
          <cell r="W446">
            <v>12</v>
          </cell>
          <cell r="X446">
            <v>94</v>
          </cell>
          <cell r="AF446" t="str">
            <v>00</v>
          </cell>
          <cell r="AI446">
            <v>38926828</v>
          </cell>
          <cell r="AJ446">
            <v>5839024.2000000002</v>
          </cell>
        </row>
        <row r="447">
          <cell r="A447" t="str">
            <v>02</v>
          </cell>
          <cell r="B447" t="str">
            <v>02</v>
          </cell>
          <cell r="C447" t="str">
            <v>6613</v>
          </cell>
          <cell r="D447" t="str">
            <v>Телевизор КВ-2511</v>
          </cell>
          <cell r="E447" t="str">
            <v>SONY Япония</v>
          </cell>
          <cell r="G447" t="str">
            <v>01</v>
          </cell>
          <cell r="H447">
            <v>4005</v>
          </cell>
          <cell r="I447">
            <v>0</v>
          </cell>
          <cell r="J447">
            <v>0</v>
          </cell>
          <cell r="K447">
            <v>0.43</v>
          </cell>
          <cell r="L447" t="str">
            <v>20</v>
          </cell>
          <cell r="M447" t="str">
            <v>45625</v>
          </cell>
          <cell r="N447" t="str">
            <v>14 3230100</v>
          </cell>
          <cell r="O447" t="str">
            <v>067</v>
          </cell>
          <cell r="P447">
            <v>10.5</v>
          </cell>
          <cell r="Q447">
            <v>0</v>
          </cell>
          <cell r="R447" t="str">
            <v>1</v>
          </cell>
          <cell r="S447" t="str">
            <v>45</v>
          </cell>
          <cell r="T447">
            <v>94</v>
          </cell>
          <cell r="U447">
            <v>12</v>
          </cell>
          <cell r="V447">
            <v>94</v>
          </cell>
          <cell r="W447">
            <v>12</v>
          </cell>
          <cell r="X447">
            <v>94</v>
          </cell>
          <cell r="AF447" t="str">
            <v>00</v>
          </cell>
          <cell r="AI447">
            <v>9314342</v>
          </cell>
          <cell r="AJ447">
            <v>419145.39</v>
          </cell>
        </row>
        <row r="448">
          <cell r="A448" t="str">
            <v>02</v>
          </cell>
          <cell r="B448" t="str">
            <v>02</v>
          </cell>
          <cell r="C448" t="str">
            <v>6614</v>
          </cell>
          <cell r="D448" t="str">
            <v>Эксковатор роторный</v>
          </cell>
          <cell r="E448" t="str">
            <v>ЭТР-254-01 А  дв.ямз</v>
          </cell>
          <cell r="F448" t="str">
            <v>31</v>
          </cell>
          <cell r="G448" t="str">
            <v>01</v>
          </cell>
          <cell r="H448">
            <v>415000</v>
          </cell>
          <cell r="I448">
            <v>0</v>
          </cell>
          <cell r="J448">
            <v>0</v>
          </cell>
          <cell r="K448">
            <v>0.56000000000000005</v>
          </cell>
          <cell r="L448" t="str">
            <v>20</v>
          </cell>
          <cell r="M448" t="str">
            <v>41809</v>
          </cell>
          <cell r="N448" t="str">
            <v>14 2924335</v>
          </cell>
          <cell r="O448" t="str">
            <v>067</v>
          </cell>
          <cell r="P448">
            <v>5</v>
          </cell>
          <cell r="Q448">
            <v>0</v>
          </cell>
          <cell r="R448" t="str">
            <v>1</v>
          </cell>
          <cell r="S448" t="str">
            <v>41</v>
          </cell>
          <cell r="T448">
            <v>91</v>
          </cell>
          <cell r="U448">
            <v>12</v>
          </cell>
          <cell r="V448">
            <v>94</v>
          </cell>
          <cell r="W448">
            <v>12</v>
          </cell>
          <cell r="X448">
            <v>94</v>
          </cell>
          <cell r="AB448" t="str">
            <v>14</v>
          </cell>
          <cell r="AC448">
            <v>6</v>
          </cell>
          <cell r="AF448" t="str">
            <v>00</v>
          </cell>
          <cell r="AI448">
            <v>737560977</v>
          </cell>
          <cell r="AJ448">
            <v>110634146.55</v>
          </cell>
        </row>
        <row r="449">
          <cell r="A449" t="str">
            <v>02</v>
          </cell>
          <cell r="B449" t="str">
            <v>23</v>
          </cell>
          <cell r="C449" t="str">
            <v>6615</v>
          </cell>
          <cell r="D449" t="str">
            <v>Автомагнитола  с кол</v>
          </cell>
          <cell r="E449" t="str">
            <v>онками FILIPS</v>
          </cell>
          <cell r="F449" t="str">
            <v>Голландия</v>
          </cell>
          <cell r="G449" t="str">
            <v>01</v>
          </cell>
          <cell r="H449">
            <v>445.04</v>
          </cell>
          <cell r="I449">
            <v>0</v>
          </cell>
          <cell r="J449">
            <v>0</v>
          </cell>
          <cell r="K449">
            <v>0.26</v>
          </cell>
          <cell r="L449" t="str">
            <v>23</v>
          </cell>
          <cell r="M449" t="str">
            <v>45624</v>
          </cell>
          <cell r="N449" t="str">
            <v>14 3230114</v>
          </cell>
          <cell r="O449" t="str">
            <v>067</v>
          </cell>
          <cell r="P449">
            <v>7.8</v>
          </cell>
          <cell r="Q449">
            <v>0</v>
          </cell>
          <cell r="R449" t="str">
            <v>1</v>
          </cell>
          <cell r="S449" t="str">
            <v>45</v>
          </cell>
          <cell r="T449">
            <v>91</v>
          </cell>
          <cell r="U449">
            <v>12</v>
          </cell>
          <cell r="V449">
            <v>94</v>
          </cell>
          <cell r="W449">
            <v>12</v>
          </cell>
          <cell r="X449">
            <v>94</v>
          </cell>
          <cell r="AF449" t="str">
            <v>00</v>
          </cell>
          <cell r="AI449">
            <v>1712194</v>
          </cell>
          <cell r="AJ449">
            <v>400653.4</v>
          </cell>
        </row>
        <row r="450">
          <cell r="A450" t="str">
            <v>02</v>
          </cell>
          <cell r="B450" t="str">
            <v>23</v>
          </cell>
          <cell r="C450" t="str">
            <v>6616</v>
          </cell>
          <cell r="D450" t="str">
            <v>Автомагнитола с коло</v>
          </cell>
          <cell r="E450" t="str">
            <v>нками FILIPS</v>
          </cell>
          <cell r="F450" t="str">
            <v>Голландия</v>
          </cell>
          <cell r="G450" t="str">
            <v>01</v>
          </cell>
          <cell r="H450">
            <v>445.04</v>
          </cell>
          <cell r="I450">
            <v>0</v>
          </cell>
          <cell r="J450">
            <v>0</v>
          </cell>
          <cell r="K450">
            <v>0.26</v>
          </cell>
          <cell r="L450" t="str">
            <v>23</v>
          </cell>
          <cell r="M450" t="str">
            <v>45624</v>
          </cell>
          <cell r="N450" t="str">
            <v>14 3230114</v>
          </cell>
          <cell r="O450" t="str">
            <v>067</v>
          </cell>
          <cell r="P450">
            <v>7.8</v>
          </cell>
          <cell r="Q450">
            <v>0</v>
          </cell>
          <cell r="R450" t="str">
            <v>1</v>
          </cell>
          <cell r="S450" t="str">
            <v>45</v>
          </cell>
          <cell r="T450">
            <v>91</v>
          </cell>
          <cell r="U450">
            <v>12</v>
          </cell>
          <cell r="V450">
            <v>94</v>
          </cell>
          <cell r="W450">
            <v>12</v>
          </cell>
          <cell r="X450">
            <v>94</v>
          </cell>
          <cell r="AF450" t="str">
            <v>00</v>
          </cell>
          <cell r="AI450">
            <v>1712194</v>
          </cell>
          <cell r="AJ450">
            <v>400653.4</v>
          </cell>
        </row>
        <row r="451">
          <cell r="A451" t="str">
            <v>02</v>
          </cell>
          <cell r="B451" t="str">
            <v>90</v>
          </cell>
          <cell r="C451" t="str">
            <v>6617</v>
          </cell>
          <cell r="D451" t="str">
            <v>Водоподогреватель</v>
          </cell>
          <cell r="F451" t="str">
            <v>494495496</v>
          </cell>
          <cell r="G451" t="str">
            <v>01</v>
          </cell>
          <cell r="H451">
            <v>14973</v>
          </cell>
          <cell r="I451">
            <v>0</v>
          </cell>
          <cell r="J451">
            <v>0</v>
          </cell>
          <cell r="K451">
            <v>1.1399999999999999</v>
          </cell>
          <cell r="L451" t="str">
            <v>23</v>
          </cell>
          <cell r="M451" t="str">
            <v>45802</v>
          </cell>
          <cell r="N451" t="str">
            <v>14 2914000</v>
          </cell>
          <cell r="O451" t="str">
            <v>067</v>
          </cell>
          <cell r="P451">
            <v>16.7</v>
          </cell>
          <cell r="Q451">
            <v>0</v>
          </cell>
          <cell r="R451" t="str">
            <v>1</v>
          </cell>
          <cell r="S451" t="str">
            <v>45</v>
          </cell>
          <cell r="T451">
            <v>94</v>
          </cell>
          <cell r="U451">
            <v>12</v>
          </cell>
          <cell r="V451">
            <v>94</v>
          </cell>
          <cell r="W451">
            <v>12</v>
          </cell>
          <cell r="X451">
            <v>94</v>
          </cell>
          <cell r="AF451" t="str">
            <v>00</v>
          </cell>
          <cell r="AI451">
            <v>13157705</v>
          </cell>
          <cell r="AJ451">
            <v>6592010.21</v>
          </cell>
        </row>
        <row r="452">
          <cell r="A452" t="str">
            <v>02</v>
          </cell>
          <cell r="B452" t="str">
            <v>23</v>
          </cell>
          <cell r="C452" t="str">
            <v>6618</v>
          </cell>
          <cell r="D452" t="str">
            <v>А/м УАЗ 3741ПЭЛХЗМ</v>
          </cell>
          <cell r="E452" t="str">
            <v>фургон ш270740 дв407</v>
          </cell>
          <cell r="F452" t="str">
            <v>02982 госN45-40 КШЧ</v>
          </cell>
          <cell r="G452" t="str">
            <v>01</v>
          </cell>
          <cell r="H452">
            <v>139733.32999999999</v>
          </cell>
          <cell r="I452">
            <v>0</v>
          </cell>
          <cell r="J452">
            <v>0</v>
          </cell>
          <cell r="K452">
            <v>1.31</v>
          </cell>
          <cell r="L452" t="str">
            <v>23</v>
          </cell>
          <cell r="M452" t="str">
            <v>41701</v>
          </cell>
          <cell r="N452" t="str">
            <v>15 3410160</v>
          </cell>
          <cell r="O452" t="str">
            <v>067</v>
          </cell>
          <cell r="P452">
            <v>9.1</v>
          </cell>
          <cell r="Q452">
            <v>0</v>
          </cell>
          <cell r="R452" t="str">
            <v>1</v>
          </cell>
          <cell r="S452" t="str">
            <v>41</v>
          </cell>
          <cell r="T452">
            <v>91</v>
          </cell>
          <cell r="U452">
            <v>12</v>
          </cell>
          <cell r="V452">
            <v>94</v>
          </cell>
          <cell r="W452">
            <v>12</v>
          </cell>
          <cell r="X452">
            <v>94</v>
          </cell>
          <cell r="AF452" t="str">
            <v>00</v>
          </cell>
          <cell r="AI452">
            <v>106666667</v>
          </cell>
          <cell r="AJ452">
            <v>29120000.09</v>
          </cell>
        </row>
        <row r="453">
          <cell r="A453" t="str">
            <v>02</v>
          </cell>
          <cell r="B453" t="str">
            <v>23</v>
          </cell>
          <cell r="C453" t="str">
            <v>6619</v>
          </cell>
          <cell r="D453" t="str">
            <v>Автомашина ЗИЛ 131А</v>
          </cell>
          <cell r="E453" t="str">
            <v>ПЭЛЭХЗ-М д047599</v>
          </cell>
          <cell r="F453" t="str">
            <v>ш041457 Nо45-41 КШЧ</v>
          </cell>
          <cell r="G453" t="str">
            <v>01</v>
          </cell>
          <cell r="H453">
            <v>122000</v>
          </cell>
          <cell r="I453">
            <v>0</v>
          </cell>
          <cell r="J453">
            <v>0</v>
          </cell>
          <cell r="K453">
            <v>1.02</v>
          </cell>
          <cell r="L453" t="str">
            <v>23</v>
          </cell>
          <cell r="M453" t="str">
            <v>50420</v>
          </cell>
          <cell r="N453" t="str">
            <v>15 3410359</v>
          </cell>
          <cell r="O453" t="str">
            <v>072</v>
          </cell>
          <cell r="P453">
            <v>14.3</v>
          </cell>
          <cell r="Q453">
            <v>0</v>
          </cell>
          <cell r="R453" t="str">
            <v>1</v>
          </cell>
          <cell r="S453" t="str">
            <v>50</v>
          </cell>
          <cell r="T453">
            <v>94</v>
          </cell>
          <cell r="U453">
            <v>12</v>
          </cell>
          <cell r="V453">
            <v>94</v>
          </cell>
          <cell r="W453">
            <v>12</v>
          </cell>
          <cell r="X453">
            <v>94</v>
          </cell>
          <cell r="AF453" t="str">
            <v>00</v>
          </cell>
          <cell r="AI453">
            <v>120000000</v>
          </cell>
          <cell r="AJ453">
            <v>51480000</v>
          </cell>
        </row>
        <row r="454">
          <cell r="A454" t="str">
            <v>02</v>
          </cell>
          <cell r="B454" t="str">
            <v>03</v>
          </cell>
          <cell r="C454" t="str">
            <v>6620</v>
          </cell>
          <cell r="D454" t="str">
            <v>Электростанция</v>
          </cell>
          <cell r="E454" t="str">
            <v>2 2СД-М1</v>
          </cell>
          <cell r="G454" t="str">
            <v>01</v>
          </cell>
          <cell r="H454">
            <v>2018.61</v>
          </cell>
          <cell r="I454">
            <v>0</v>
          </cell>
          <cell r="J454">
            <v>0</v>
          </cell>
          <cell r="K454">
            <v>1.21</v>
          </cell>
          <cell r="L454" t="str">
            <v>26</v>
          </cell>
          <cell r="M454" t="str">
            <v>40307</v>
          </cell>
          <cell r="N454" t="str">
            <v>14 2911101</v>
          </cell>
          <cell r="O454" t="str">
            <v>067</v>
          </cell>
          <cell r="P454">
            <v>14.3</v>
          </cell>
          <cell r="Q454">
            <v>0</v>
          </cell>
          <cell r="R454" t="str">
            <v>1</v>
          </cell>
          <cell r="S454" t="str">
            <v>40</v>
          </cell>
          <cell r="T454">
            <v>80</v>
          </cell>
          <cell r="U454">
            <v>12</v>
          </cell>
          <cell r="V454">
            <v>94</v>
          </cell>
          <cell r="W454">
            <v>12</v>
          </cell>
          <cell r="X454">
            <v>94</v>
          </cell>
          <cell r="AB454" t="str">
            <v>14</v>
          </cell>
          <cell r="AC454">
            <v>8</v>
          </cell>
          <cell r="AF454" t="str">
            <v>00</v>
          </cell>
          <cell r="AI454">
            <v>1668276</v>
          </cell>
          <cell r="AJ454">
            <v>715690.4</v>
          </cell>
        </row>
        <row r="455">
          <cell r="A455" t="str">
            <v>02</v>
          </cell>
          <cell r="B455" t="str">
            <v>23</v>
          </cell>
          <cell r="C455" t="str">
            <v>6623</v>
          </cell>
          <cell r="D455" t="str">
            <v>А/м ЗИЛ-131 ВАХТАдля</v>
          </cell>
          <cell r="E455" t="str">
            <v>перевозки людей д013</v>
          </cell>
          <cell r="F455" t="str">
            <v>211 ш028130 NоА840РН</v>
          </cell>
          <cell r="G455" t="str">
            <v>01</v>
          </cell>
          <cell r="H455">
            <v>75321.94</v>
          </cell>
          <cell r="I455">
            <v>0</v>
          </cell>
          <cell r="J455">
            <v>85880</v>
          </cell>
          <cell r="K455">
            <v>0.67</v>
          </cell>
          <cell r="L455" t="str">
            <v>23</v>
          </cell>
          <cell r="M455" t="str">
            <v>50420</v>
          </cell>
          <cell r="N455" t="str">
            <v>15 3410359</v>
          </cell>
          <cell r="O455" t="str">
            <v>072</v>
          </cell>
          <cell r="P455">
            <v>14.3</v>
          </cell>
          <cell r="Q455">
            <v>0</v>
          </cell>
          <cell r="R455" t="str">
            <v>1</v>
          </cell>
          <cell r="S455" t="str">
            <v>50</v>
          </cell>
          <cell r="T455">
            <v>93</v>
          </cell>
          <cell r="U455">
            <v>12</v>
          </cell>
          <cell r="V455">
            <v>94</v>
          </cell>
          <cell r="W455">
            <v>12</v>
          </cell>
          <cell r="X455">
            <v>94</v>
          </cell>
          <cell r="Y455">
            <v>4</v>
          </cell>
          <cell r="Z455">
            <v>95</v>
          </cell>
          <cell r="AF455" t="str">
            <v>00</v>
          </cell>
          <cell r="AI455">
            <v>128888889</v>
          </cell>
          <cell r="AJ455">
            <v>55250393.740000002</v>
          </cell>
        </row>
        <row r="456">
          <cell r="A456" t="str">
            <v>02</v>
          </cell>
          <cell r="B456" t="str">
            <v>23</v>
          </cell>
          <cell r="C456" t="str">
            <v>6624</v>
          </cell>
          <cell r="D456" t="str">
            <v>А/м ЗИЛ-131 ВАХТАдля</v>
          </cell>
          <cell r="E456" t="str">
            <v>перевоз.людей д11525</v>
          </cell>
          <cell r="F456" t="str">
            <v>ш026663 NоА 839 РН</v>
          </cell>
          <cell r="G456" t="str">
            <v>01</v>
          </cell>
          <cell r="H456">
            <v>75321.94</v>
          </cell>
          <cell r="I456">
            <v>0</v>
          </cell>
          <cell r="J456">
            <v>85880</v>
          </cell>
          <cell r="K456">
            <v>0.67</v>
          </cell>
          <cell r="L456" t="str">
            <v>23</v>
          </cell>
          <cell r="M456" t="str">
            <v>50420</v>
          </cell>
          <cell r="N456" t="str">
            <v>15 3410359</v>
          </cell>
          <cell r="O456" t="str">
            <v>072</v>
          </cell>
          <cell r="P456">
            <v>14.3</v>
          </cell>
          <cell r="Q456">
            <v>0</v>
          </cell>
          <cell r="R456" t="str">
            <v>1</v>
          </cell>
          <cell r="S456" t="str">
            <v>40</v>
          </cell>
          <cell r="T456">
            <v>93</v>
          </cell>
          <cell r="U456">
            <v>12</v>
          </cell>
          <cell r="V456">
            <v>94</v>
          </cell>
          <cell r="W456">
            <v>12</v>
          </cell>
          <cell r="X456">
            <v>94</v>
          </cell>
          <cell r="Y456">
            <v>4</v>
          </cell>
          <cell r="Z456">
            <v>95</v>
          </cell>
          <cell r="AF456" t="str">
            <v>00</v>
          </cell>
          <cell r="AI456">
            <v>128888889</v>
          </cell>
          <cell r="AJ456">
            <v>55250393.740000002</v>
          </cell>
        </row>
        <row r="457">
          <cell r="A457" t="str">
            <v>02</v>
          </cell>
          <cell r="B457" t="str">
            <v>05</v>
          </cell>
          <cell r="C457" t="str">
            <v>6662</v>
          </cell>
          <cell r="D457" t="str">
            <v>Водолазное оборудова</v>
          </cell>
          <cell r="E457" t="str">
            <v>ние</v>
          </cell>
          <cell r="F457" t="str">
            <v>Франция-Германия</v>
          </cell>
          <cell r="G457" t="str">
            <v>01</v>
          </cell>
          <cell r="H457">
            <v>4606928.49</v>
          </cell>
          <cell r="I457">
            <v>0</v>
          </cell>
          <cell r="J457">
            <v>6211000</v>
          </cell>
          <cell r="K457">
            <v>1.1100000000000001</v>
          </cell>
          <cell r="L457" t="str">
            <v>20</v>
          </cell>
          <cell r="M457" t="str">
            <v>42401</v>
          </cell>
          <cell r="N457" t="str">
            <v>14 3513176</v>
          </cell>
          <cell r="O457" t="str">
            <v>067</v>
          </cell>
          <cell r="P457">
            <v>11</v>
          </cell>
          <cell r="Q457">
            <v>0</v>
          </cell>
          <cell r="R457" t="str">
            <v>1</v>
          </cell>
          <cell r="S457" t="str">
            <v>42</v>
          </cell>
          <cell r="T457">
            <v>94</v>
          </cell>
          <cell r="U457">
            <v>12</v>
          </cell>
          <cell r="V457">
            <v>94</v>
          </cell>
          <cell r="W457">
            <v>12</v>
          </cell>
          <cell r="X457">
            <v>94</v>
          </cell>
          <cell r="Y457">
            <v>7</v>
          </cell>
          <cell r="Z457">
            <v>95</v>
          </cell>
          <cell r="AF457" t="str">
            <v>00</v>
          </cell>
          <cell r="AI457">
            <v>5613209028</v>
          </cell>
          <cell r="AJ457">
            <v>1785503501.05</v>
          </cell>
        </row>
        <row r="458">
          <cell r="A458" t="str">
            <v>02</v>
          </cell>
          <cell r="B458" t="str">
            <v>02</v>
          </cell>
          <cell r="C458" t="str">
            <v>6069</v>
          </cell>
          <cell r="D458" t="str">
            <v>Вагон дом</v>
          </cell>
          <cell r="E458" t="str">
            <v>дерево-метал.Финлянд</v>
          </cell>
          <cell r="F458" t="str">
            <v>ия</v>
          </cell>
          <cell r="G458" t="str">
            <v>01</v>
          </cell>
          <cell r="H458">
            <v>85000</v>
          </cell>
          <cell r="I458">
            <v>2656.25</v>
          </cell>
          <cell r="J458">
            <v>0</v>
          </cell>
          <cell r="K458">
            <v>0.8</v>
          </cell>
          <cell r="L458" t="str">
            <v>20</v>
          </cell>
          <cell r="M458" t="str">
            <v>10010</v>
          </cell>
          <cell r="N458" t="str">
            <v>13 2022261</v>
          </cell>
          <cell r="O458" t="str">
            <v>01</v>
          </cell>
          <cell r="P458">
            <v>12.5</v>
          </cell>
          <cell r="Q458">
            <v>0</v>
          </cell>
          <cell r="R458" t="str">
            <v>1</v>
          </cell>
          <cell r="S458" t="str">
            <v>10</v>
          </cell>
          <cell r="T458">
            <v>94</v>
          </cell>
          <cell r="U458">
            <v>9</v>
          </cell>
          <cell r="V458">
            <v>94</v>
          </cell>
          <cell r="W458">
            <v>9</v>
          </cell>
          <cell r="X458">
            <v>94</v>
          </cell>
          <cell r="AF458" t="str">
            <v>00</v>
          </cell>
          <cell r="AI458">
            <v>105829033</v>
          </cell>
          <cell r="AJ458">
            <v>42993044.649999999</v>
          </cell>
        </row>
        <row r="459">
          <cell r="A459" t="str">
            <v>02</v>
          </cell>
          <cell r="B459" t="str">
            <v>41</v>
          </cell>
          <cell r="C459" t="str">
            <v>7890</v>
          </cell>
          <cell r="D459" t="str">
            <v>Ренгенаппарат "Арина</v>
          </cell>
          <cell r="E459" t="str">
            <v>" 02</v>
          </cell>
          <cell r="F459" t="str">
            <v>5261</v>
          </cell>
          <cell r="G459" t="str">
            <v>01</v>
          </cell>
          <cell r="H459">
            <v>5885.3</v>
          </cell>
          <cell r="I459">
            <v>2307.37</v>
          </cell>
          <cell r="J459">
            <v>0</v>
          </cell>
          <cell r="K459">
            <v>1.21</v>
          </cell>
          <cell r="L459" t="str">
            <v>20</v>
          </cell>
          <cell r="M459" t="str">
            <v>47024</v>
          </cell>
          <cell r="N459" t="str">
            <v>14 3313341</v>
          </cell>
          <cell r="O459" t="str">
            <v>063</v>
          </cell>
          <cell r="P459">
            <v>10.4</v>
          </cell>
          <cell r="Q459">
            <v>0</v>
          </cell>
          <cell r="R459" t="str">
            <v>1</v>
          </cell>
          <cell r="S459" t="str">
            <v>47</v>
          </cell>
          <cell r="T459">
            <v>91</v>
          </cell>
          <cell r="U459">
            <v>3</v>
          </cell>
          <cell r="V459">
            <v>91</v>
          </cell>
          <cell r="W459">
            <v>3</v>
          </cell>
          <cell r="X459">
            <v>91</v>
          </cell>
          <cell r="AF459" t="str">
            <v>00</v>
          </cell>
          <cell r="AI459">
            <v>4863888</v>
          </cell>
          <cell r="AJ459">
            <v>3424449.38</v>
          </cell>
        </row>
        <row r="460">
          <cell r="A460" t="str">
            <v>02</v>
          </cell>
          <cell r="B460" t="str">
            <v>23</v>
          </cell>
          <cell r="C460" t="str">
            <v>3384</v>
          </cell>
          <cell r="D460" t="str">
            <v>СКАТ-25 а/кран монта</v>
          </cell>
          <cell r="E460" t="str">
            <v>жный автомоб-й спец.</v>
          </cell>
          <cell r="F460" t="str">
            <v>госN А866РН дв942818</v>
          </cell>
          <cell r="G460" t="str">
            <v>01</v>
          </cell>
          <cell r="H460">
            <v>44154.01</v>
          </cell>
          <cell r="I460">
            <v>0</v>
          </cell>
          <cell r="J460">
            <v>512510</v>
          </cell>
          <cell r="K460">
            <v>0.81</v>
          </cell>
          <cell r="L460" t="str">
            <v>23</v>
          </cell>
          <cell r="M460" t="str">
            <v>41701</v>
          </cell>
          <cell r="N460" t="str">
            <v>14 2915242</v>
          </cell>
          <cell r="O460" t="str">
            <v>067</v>
          </cell>
          <cell r="P460">
            <v>9.1</v>
          </cell>
          <cell r="Q460">
            <v>0</v>
          </cell>
          <cell r="R460" t="str">
            <v>1</v>
          </cell>
          <cell r="S460" t="str">
            <v>41</v>
          </cell>
          <cell r="T460">
            <v>93</v>
          </cell>
          <cell r="U460">
            <v>1</v>
          </cell>
          <cell r="V460">
            <v>95</v>
          </cell>
          <cell r="W460">
            <v>1</v>
          </cell>
          <cell r="X460">
            <v>95</v>
          </cell>
          <cell r="Y460">
            <v>4</v>
          </cell>
          <cell r="Z460">
            <v>95</v>
          </cell>
          <cell r="AD460" t="str">
            <v>0</v>
          </cell>
          <cell r="AE460" t="str">
            <v>0</v>
          </cell>
          <cell r="AF460" t="str">
            <v>00</v>
          </cell>
          <cell r="AI460">
            <v>634150016</v>
          </cell>
          <cell r="AJ460">
            <v>159207099.30000001</v>
          </cell>
        </row>
        <row r="461">
          <cell r="A461" t="str">
            <v>15</v>
          </cell>
          <cell r="B461" t="str">
            <v>81</v>
          </cell>
          <cell r="C461" t="str">
            <v>3385</v>
          </cell>
          <cell r="D461" t="str">
            <v>Диван 3-х местный</v>
          </cell>
          <cell r="G461" t="str">
            <v>01</v>
          </cell>
          <cell r="H461">
            <v>1500</v>
          </cell>
          <cell r="I461">
            <v>0</v>
          </cell>
          <cell r="J461">
            <v>0</v>
          </cell>
          <cell r="K461">
            <v>0.7</v>
          </cell>
          <cell r="L461" t="str">
            <v>88/2</v>
          </cell>
          <cell r="M461" t="str">
            <v>70003</v>
          </cell>
          <cell r="N461" t="str">
            <v>16 3612441</v>
          </cell>
          <cell r="O461" t="str">
            <v>08</v>
          </cell>
          <cell r="P461">
            <v>10</v>
          </cell>
          <cell r="Q461">
            <v>0</v>
          </cell>
          <cell r="R461" t="str">
            <v>1</v>
          </cell>
          <cell r="S461" t="str">
            <v>70</v>
          </cell>
          <cell r="T461">
            <v>94</v>
          </cell>
          <cell r="U461">
            <v>1</v>
          </cell>
          <cell r="V461">
            <v>95</v>
          </cell>
          <cell r="W461">
            <v>1</v>
          </cell>
          <cell r="X461">
            <v>95</v>
          </cell>
          <cell r="Y461">
            <v>0</v>
          </cell>
          <cell r="Z461">
            <v>0</v>
          </cell>
          <cell r="AD461" t="str">
            <v>0</v>
          </cell>
          <cell r="AE461" t="str">
            <v>0</v>
          </cell>
          <cell r="AF461" t="str">
            <v>15</v>
          </cell>
          <cell r="AI461">
            <v>2146320</v>
          </cell>
          <cell r="AJ461">
            <v>626010</v>
          </cell>
        </row>
        <row r="462">
          <cell r="A462" t="str">
            <v>15</v>
          </cell>
          <cell r="B462" t="str">
            <v>81</v>
          </cell>
          <cell r="C462" t="str">
            <v>3386</v>
          </cell>
          <cell r="D462" t="str">
            <v>Диван 3-х местный</v>
          </cell>
          <cell r="G462" t="str">
            <v>01</v>
          </cell>
          <cell r="H462">
            <v>1500</v>
          </cell>
          <cell r="I462">
            <v>0</v>
          </cell>
          <cell r="J462">
            <v>0</v>
          </cell>
          <cell r="K462">
            <v>0.7</v>
          </cell>
          <cell r="L462" t="str">
            <v>88/2</v>
          </cell>
          <cell r="M462" t="str">
            <v>70003</v>
          </cell>
          <cell r="N462" t="str">
            <v>16 3612441</v>
          </cell>
          <cell r="O462" t="str">
            <v>08</v>
          </cell>
          <cell r="P462">
            <v>10</v>
          </cell>
          <cell r="Q462">
            <v>0</v>
          </cell>
          <cell r="R462" t="str">
            <v>1</v>
          </cell>
          <cell r="S462" t="str">
            <v>70</v>
          </cell>
          <cell r="T462">
            <v>94</v>
          </cell>
          <cell r="U462">
            <v>1</v>
          </cell>
          <cell r="V462">
            <v>95</v>
          </cell>
          <cell r="W462">
            <v>1</v>
          </cell>
          <cell r="X462">
            <v>95</v>
          </cell>
          <cell r="Y462">
            <v>0</v>
          </cell>
          <cell r="Z462">
            <v>0</v>
          </cell>
          <cell r="AD462" t="str">
            <v>0</v>
          </cell>
          <cell r="AE462" t="str">
            <v>0</v>
          </cell>
          <cell r="AF462" t="str">
            <v>15</v>
          </cell>
          <cell r="AI462">
            <v>2146320</v>
          </cell>
          <cell r="AJ462">
            <v>626010</v>
          </cell>
        </row>
        <row r="463">
          <cell r="A463" t="str">
            <v>02</v>
          </cell>
          <cell r="B463" t="str">
            <v>80</v>
          </cell>
          <cell r="C463" t="str">
            <v>3387</v>
          </cell>
          <cell r="D463" t="str">
            <v>Диван 2-х местный</v>
          </cell>
          <cell r="G463" t="str">
            <v>01</v>
          </cell>
          <cell r="H463">
            <v>1154.1400000000001</v>
          </cell>
          <cell r="I463">
            <v>0</v>
          </cell>
          <cell r="J463">
            <v>0</v>
          </cell>
          <cell r="K463">
            <v>0.91</v>
          </cell>
          <cell r="L463" t="str">
            <v>88/2</v>
          </cell>
          <cell r="M463" t="str">
            <v>70003</v>
          </cell>
          <cell r="N463" t="str">
            <v>16 3612441</v>
          </cell>
          <cell r="O463" t="str">
            <v>08</v>
          </cell>
          <cell r="P463">
            <v>10</v>
          </cell>
          <cell r="Q463">
            <v>0</v>
          </cell>
          <cell r="R463" t="str">
            <v>1</v>
          </cell>
          <cell r="S463" t="str">
            <v>70</v>
          </cell>
          <cell r="T463">
            <v>94</v>
          </cell>
          <cell r="U463">
            <v>1</v>
          </cell>
          <cell r="V463">
            <v>95</v>
          </cell>
          <cell r="W463">
            <v>1</v>
          </cell>
          <cell r="X463">
            <v>95</v>
          </cell>
          <cell r="Y463">
            <v>0</v>
          </cell>
          <cell r="Z463">
            <v>0</v>
          </cell>
          <cell r="AD463" t="str">
            <v>0</v>
          </cell>
          <cell r="AE463" t="str">
            <v>0</v>
          </cell>
          <cell r="AF463" t="str">
            <v>00</v>
          </cell>
          <cell r="AI463">
            <v>1268280</v>
          </cell>
          <cell r="AJ463">
            <v>369915</v>
          </cell>
        </row>
        <row r="464">
          <cell r="A464" t="str">
            <v>02</v>
          </cell>
          <cell r="B464" t="str">
            <v>80</v>
          </cell>
          <cell r="C464" t="str">
            <v>3388</v>
          </cell>
          <cell r="D464" t="str">
            <v>Диван 2-х местный</v>
          </cell>
          <cell r="G464" t="str">
            <v>01</v>
          </cell>
          <cell r="H464">
            <v>1154.1400000000001</v>
          </cell>
          <cell r="I464">
            <v>0</v>
          </cell>
          <cell r="J464">
            <v>0</v>
          </cell>
          <cell r="K464">
            <v>0.91</v>
          </cell>
          <cell r="L464" t="str">
            <v>88/2</v>
          </cell>
          <cell r="M464" t="str">
            <v>70003</v>
          </cell>
          <cell r="N464" t="str">
            <v>16 3612441</v>
          </cell>
          <cell r="O464" t="str">
            <v>08</v>
          </cell>
          <cell r="P464">
            <v>10</v>
          </cell>
          <cell r="Q464">
            <v>0</v>
          </cell>
          <cell r="R464" t="str">
            <v>1</v>
          </cell>
          <cell r="S464" t="str">
            <v>70</v>
          </cell>
          <cell r="T464">
            <v>94</v>
          </cell>
          <cell r="U464">
            <v>1</v>
          </cell>
          <cell r="V464">
            <v>95</v>
          </cell>
          <cell r="W464">
            <v>1</v>
          </cell>
          <cell r="X464">
            <v>95</v>
          </cell>
          <cell r="Y464">
            <v>0</v>
          </cell>
          <cell r="Z464">
            <v>0</v>
          </cell>
          <cell r="AD464" t="str">
            <v>0</v>
          </cell>
          <cell r="AE464" t="str">
            <v>0</v>
          </cell>
          <cell r="AF464" t="str">
            <v>00</v>
          </cell>
          <cell r="AI464">
            <v>1268280</v>
          </cell>
          <cell r="AJ464">
            <v>369915</v>
          </cell>
        </row>
        <row r="465">
          <cell r="A465" t="str">
            <v>15</v>
          </cell>
          <cell r="B465" t="str">
            <v>81</v>
          </cell>
          <cell r="C465" t="str">
            <v>3389</v>
          </cell>
          <cell r="D465" t="str">
            <v>Кресло</v>
          </cell>
          <cell r="G465" t="str">
            <v>01</v>
          </cell>
          <cell r="H465">
            <v>450</v>
          </cell>
          <cell r="I465">
            <v>0</v>
          </cell>
          <cell r="J465">
            <v>0</v>
          </cell>
          <cell r="K465">
            <v>0.66</v>
          </cell>
          <cell r="L465" t="str">
            <v>88/2</v>
          </cell>
          <cell r="M465" t="str">
            <v>70003</v>
          </cell>
          <cell r="N465" t="str">
            <v>16 3612395</v>
          </cell>
          <cell r="O465" t="str">
            <v>08</v>
          </cell>
          <cell r="P465">
            <v>10</v>
          </cell>
          <cell r="Q465">
            <v>0</v>
          </cell>
          <cell r="R465" t="str">
            <v>1</v>
          </cell>
          <cell r="S465" t="str">
            <v>70</v>
          </cell>
          <cell r="T465">
            <v>94</v>
          </cell>
          <cell r="U465">
            <v>1</v>
          </cell>
          <cell r="V465">
            <v>95</v>
          </cell>
          <cell r="W465">
            <v>1</v>
          </cell>
          <cell r="X465">
            <v>95</v>
          </cell>
          <cell r="Y465">
            <v>0</v>
          </cell>
          <cell r="Z465">
            <v>0</v>
          </cell>
          <cell r="AD465" t="str">
            <v>0</v>
          </cell>
          <cell r="AE465" t="str">
            <v>0</v>
          </cell>
          <cell r="AF465" t="str">
            <v>15</v>
          </cell>
          <cell r="AI465">
            <v>682920</v>
          </cell>
          <cell r="AJ465">
            <v>199185</v>
          </cell>
        </row>
        <row r="466">
          <cell r="A466" t="str">
            <v>15</v>
          </cell>
          <cell r="B466" t="str">
            <v>81</v>
          </cell>
          <cell r="C466" t="str">
            <v>3390</v>
          </cell>
          <cell r="D466" t="str">
            <v>Стол</v>
          </cell>
          <cell r="G466" t="str">
            <v>01</v>
          </cell>
          <cell r="H466">
            <v>350</v>
          </cell>
          <cell r="I466">
            <v>0</v>
          </cell>
          <cell r="J466">
            <v>0</v>
          </cell>
          <cell r="K466">
            <v>0.45</v>
          </cell>
          <cell r="L466" t="str">
            <v>88/2</v>
          </cell>
          <cell r="M466" t="str">
            <v>70003</v>
          </cell>
          <cell r="N466" t="str">
            <v>16 3612421</v>
          </cell>
          <cell r="O466" t="str">
            <v>08</v>
          </cell>
          <cell r="P466">
            <v>10.1</v>
          </cell>
          <cell r="Q466">
            <v>0</v>
          </cell>
          <cell r="R466" t="str">
            <v>1</v>
          </cell>
          <cell r="S466" t="str">
            <v>70</v>
          </cell>
          <cell r="T466">
            <v>94</v>
          </cell>
          <cell r="U466">
            <v>1</v>
          </cell>
          <cell r="V466">
            <v>95</v>
          </cell>
          <cell r="W466">
            <v>1</v>
          </cell>
          <cell r="X466">
            <v>95</v>
          </cell>
          <cell r="Y466">
            <v>0</v>
          </cell>
          <cell r="Z466">
            <v>0</v>
          </cell>
          <cell r="AD466" t="str">
            <v>0</v>
          </cell>
          <cell r="AE466" t="str">
            <v>0</v>
          </cell>
          <cell r="AF466" t="str">
            <v>15</v>
          </cell>
          <cell r="AI466">
            <v>780480</v>
          </cell>
          <cell r="AJ466">
            <v>229916.4</v>
          </cell>
        </row>
        <row r="467">
          <cell r="A467" t="str">
            <v>02</v>
          </cell>
          <cell r="B467" t="str">
            <v>80</v>
          </cell>
          <cell r="C467" t="str">
            <v>3391</v>
          </cell>
          <cell r="D467" t="str">
            <v>Стол</v>
          </cell>
          <cell r="G467" t="str">
            <v>01</v>
          </cell>
          <cell r="H467">
            <v>350</v>
          </cell>
          <cell r="I467">
            <v>0</v>
          </cell>
          <cell r="J467">
            <v>0</v>
          </cell>
          <cell r="K467">
            <v>0.45</v>
          </cell>
          <cell r="L467" t="str">
            <v>26</v>
          </cell>
          <cell r="M467" t="str">
            <v>70003</v>
          </cell>
          <cell r="N467" t="str">
            <v>16 3612421</v>
          </cell>
          <cell r="O467" t="str">
            <v>08</v>
          </cell>
          <cell r="P467">
            <v>10.1</v>
          </cell>
          <cell r="Q467">
            <v>0</v>
          </cell>
          <cell r="R467" t="str">
            <v>1</v>
          </cell>
          <cell r="S467" t="str">
            <v>70</v>
          </cell>
          <cell r="T467">
            <v>94</v>
          </cell>
          <cell r="U467">
            <v>1</v>
          </cell>
          <cell r="V467">
            <v>95</v>
          </cell>
          <cell r="W467">
            <v>1</v>
          </cell>
          <cell r="X467">
            <v>95</v>
          </cell>
          <cell r="Y467">
            <v>0</v>
          </cell>
          <cell r="Z467">
            <v>0</v>
          </cell>
          <cell r="AD467" t="str">
            <v>0</v>
          </cell>
          <cell r="AE467" t="str">
            <v>0</v>
          </cell>
          <cell r="AF467" t="str">
            <v>00</v>
          </cell>
          <cell r="AI467">
            <v>780480</v>
          </cell>
          <cell r="AJ467">
            <v>229916.4</v>
          </cell>
        </row>
        <row r="468">
          <cell r="A468" t="str">
            <v>02</v>
          </cell>
          <cell r="B468" t="str">
            <v>71</v>
          </cell>
          <cell r="C468" t="str">
            <v>926</v>
          </cell>
          <cell r="D468" t="str">
            <v>Сварочный выпрямител</v>
          </cell>
          <cell r="E468" t="str">
            <v>ь ВДУ-50643</v>
          </cell>
          <cell r="G468" t="str">
            <v>01</v>
          </cell>
          <cell r="H468">
            <v>11313</v>
          </cell>
          <cell r="I468">
            <v>0</v>
          </cell>
          <cell r="J468">
            <v>0</v>
          </cell>
          <cell r="K468">
            <v>0.98</v>
          </cell>
          <cell r="L468" t="str">
            <v>23</v>
          </cell>
          <cell r="M468" t="str">
            <v>42502</v>
          </cell>
          <cell r="N468" t="str">
            <v>14 2922804</v>
          </cell>
          <cell r="O468" t="str">
            <v>067</v>
          </cell>
          <cell r="P468">
            <v>16.7</v>
          </cell>
          <cell r="Q468">
            <v>0</v>
          </cell>
          <cell r="R468" t="str">
            <v>1</v>
          </cell>
          <cell r="S468" t="str">
            <v>42</v>
          </cell>
          <cell r="T468">
            <v>93</v>
          </cell>
          <cell r="U468">
            <v>2</v>
          </cell>
          <cell r="V468">
            <v>95</v>
          </cell>
          <cell r="W468">
            <v>2</v>
          </cell>
          <cell r="X468">
            <v>95</v>
          </cell>
          <cell r="Y468">
            <v>0</v>
          </cell>
          <cell r="Z468">
            <v>0</v>
          </cell>
          <cell r="AD468" t="str">
            <v>0</v>
          </cell>
          <cell r="AE468" t="str">
            <v>0</v>
          </cell>
          <cell r="AF468" t="str">
            <v>00</v>
          </cell>
          <cell r="AI468">
            <v>11512080</v>
          </cell>
          <cell r="AJ468">
            <v>5447132.5199999996</v>
          </cell>
        </row>
        <row r="469">
          <cell r="A469" t="str">
            <v>02</v>
          </cell>
          <cell r="B469" t="str">
            <v>70</v>
          </cell>
          <cell r="C469" t="str">
            <v>927</v>
          </cell>
          <cell r="D469" t="str">
            <v>Сварочный выпрямител</v>
          </cell>
          <cell r="E469" t="str">
            <v>ь ВДУ-50643</v>
          </cell>
          <cell r="G469" t="str">
            <v>01</v>
          </cell>
          <cell r="H469">
            <v>11313</v>
          </cell>
          <cell r="I469">
            <v>0</v>
          </cell>
          <cell r="J469">
            <v>0</v>
          </cell>
          <cell r="K469">
            <v>0.98</v>
          </cell>
          <cell r="L469" t="str">
            <v>20</v>
          </cell>
          <cell r="M469" t="str">
            <v>42502</v>
          </cell>
          <cell r="N469" t="str">
            <v>14 2922804</v>
          </cell>
          <cell r="O469" t="str">
            <v>067</v>
          </cell>
          <cell r="P469">
            <v>16.7</v>
          </cell>
          <cell r="Q469">
            <v>0</v>
          </cell>
          <cell r="R469" t="str">
            <v>1</v>
          </cell>
          <cell r="S469" t="str">
            <v>42</v>
          </cell>
          <cell r="T469">
            <v>93</v>
          </cell>
          <cell r="U469">
            <v>2</v>
          </cell>
          <cell r="V469">
            <v>95</v>
          </cell>
          <cell r="W469">
            <v>2</v>
          </cell>
          <cell r="X469">
            <v>95</v>
          </cell>
          <cell r="Y469">
            <v>0</v>
          </cell>
          <cell r="Z469">
            <v>0</v>
          </cell>
          <cell r="AB469" t="str">
            <v>14</v>
          </cell>
          <cell r="AC469">
            <v>9</v>
          </cell>
          <cell r="AD469" t="str">
            <v>0</v>
          </cell>
          <cell r="AE469" t="str">
            <v>0</v>
          </cell>
          <cell r="AF469" t="str">
            <v>00</v>
          </cell>
          <cell r="AI469">
            <v>11512080</v>
          </cell>
          <cell r="AJ469">
            <v>5447132.5199999996</v>
          </cell>
        </row>
        <row r="470">
          <cell r="A470" t="str">
            <v>02</v>
          </cell>
          <cell r="B470" t="str">
            <v>08</v>
          </cell>
          <cell r="C470" t="str">
            <v>928</v>
          </cell>
          <cell r="D470" t="str">
            <v>Сварочный выпрямител</v>
          </cell>
          <cell r="E470" t="str">
            <v>ь ВДУ-50643</v>
          </cell>
          <cell r="G470" t="str">
            <v>01</v>
          </cell>
          <cell r="H470">
            <v>11313</v>
          </cell>
          <cell r="I470">
            <v>0</v>
          </cell>
          <cell r="J470">
            <v>0</v>
          </cell>
          <cell r="K470">
            <v>0.98</v>
          </cell>
          <cell r="L470" t="str">
            <v>20</v>
          </cell>
          <cell r="M470" t="str">
            <v>42502</v>
          </cell>
          <cell r="N470" t="str">
            <v>14 2922804</v>
          </cell>
          <cell r="O470" t="str">
            <v>067</v>
          </cell>
          <cell r="P470">
            <v>16.7</v>
          </cell>
          <cell r="Q470">
            <v>0</v>
          </cell>
          <cell r="R470" t="str">
            <v>1</v>
          </cell>
          <cell r="S470" t="str">
            <v>42</v>
          </cell>
          <cell r="T470">
            <v>93</v>
          </cell>
          <cell r="U470">
            <v>2</v>
          </cell>
          <cell r="V470">
            <v>95</v>
          </cell>
          <cell r="W470">
            <v>2</v>
          </cell>
          <cell r="X470">
            <v>95</v>
          </cell>
          <cell r="Y470">
            <v>0</v>
          </cell>
          <cell r="Z470">
            <v>0</v>
          </cell>
          <cell r="AB470" t="str">
            <v>14</v>
          </cell>
          <cell r="AC470">
            <v>9</v>
          </cell>
          <cell r="AD470" t="str">
            <v>0</v>
          </cell>
          <cell r="AE470" t="str">
            <v>0</v>
          </cell>
          <cell r="AF470" t="str">
            <v>00</v>
          </cell>
          <cell r="AI470">
            <v>11512080</v>
          </cell>
          <cell r="AJ470">
            <v>5447132.5199999996</v>
          </cell>
        </row>
        <row r="471">
          <cell r="A471" t="str">
            <v>02</v>
          </cell>
          <cell r="B471" t="str">
            <v>23</v>
          </cell>
          <cell r="C471" t="str">
            <v>931</v>
          </cell>
          <cell r="D471" t="str">
            <v>А/м ГАЗ-330210 груз.</v>
          </cell>
          <cell r="E471" t="str">
            <v>N А838 РН</v>
          </cell>
          <cell r="F471" t="str">
            <v>дв0164645 ш1512358</v>
          </cell>
          <cell r="G471" t="str">
            <v>01</v>
          </cell>
          <cell r="H471">
            <v>4426.04</v>
          </cell>
          <cell r="I471">
            <v>0</v>
          </cell>
          <cell r="J471">
            <v>33000</v>
          </cell>
          <cell r="K471">
            <v>0.93</v>
          </cell>
          <cell r="L471" t="str">
            <v>23</v>
          </cell>
          <cell r="M471" t="str">
            <v>50416</v>
          </cell>
          <cell r="N471" t="str">
            <v>15 3410192</v>
          </cell>
          <cell r="O471" t="str">
            <v>071</v>
          </cell>
          <cell r="P471">
            <v>14.3</v>
          </cell>
          <cell r="Q471">
            <v>0</v>
          </cell>
          <cell r="R471" t="str">
            <v>1</v>
          </cell>
          <cell r="S471" t="str">
            <v>50</v>
          </cell>
          <cell r="T471">
            <v>94</v>
          </cell>
          <cell r="U471">
            <v>1</v>
          </cell>
          <cell r="V471">
            <v>95</v>
          </cell>
          <cell r="W471">
            <v>1</v>
          </cell>
          <cell r="X471">
            <v>95</v>
          </cell>
          <cell r="Y471">
            <v>4</v>
          </cell>
          <cell r="Z471">
            <v>95</v>
          </cell>
          <cell r="AD471" t="str">
            <v>0</v>
          </cell>
          <cell r="AE471" t="str">
            <v>0</v>
          </cell>
          <cell r="AF471" t="str">
            <v>00</v>
          </cell>
          <cell r="AI471">
            <v>35448426</v>
          </cell>
          <cell r="AJ471">
            <v>14041742.640000001</v>
          </cell>
        </row>
        <row r="472">
          <cell r="A472" t="str">
            <v>02</v>
          </cell>
          <cell r="B472" t="str">
            <v>23</v>
          </cell>
          <cell r="C472" t="str">
            <v>1314</v>
          </cell>
          <cell r="D472" t="str">
            <v>КАМАЗ-551110 а/бето-</v>
          </cell>
          <cell r="E472" t="str">
            <v>новоз Nо А 342 УК</v>
          </cell>
          <cell r="F472" t="str">
            <v>дв027844 ш2073852</v>
          </cell>
          <cell r="G472" t="str">
            <v>01</v>
          </cell>
          <cell r="H472">
            <v>145833.57999999999</v>
          </cell>
          <cell r="I472">
            <v>0</v>
          </cell>
          <cell r="J472">
            <v>175000</v>
          </cell>
          <cell r="K472">
            <v>0.7</v>
          </cell>
          <cell r="L472" t="str">
            <v>23</v>
          </cell>
          <cell r="M472" t="str">
            <v>42000</v>
          </cell>
          <cell r="N472" t="str">
            <v>15 3410373</v>
          </cell>
          <cell r="O472" t="str">
            <v>064</v>
          </cell>
          <cell r="P472">
            <v>12.5</v>
          </cell>
          <cell r="Q472">
            <v>0</v>
          </cell>
          <cell r="R472" t="str">
            <v>1</v>
          </cell>
          <cell r="S472" t="str">
            <v>42</v>
          </cell>
          <cell r="T472">
            <v>94</v>
          </cell>
          <cell r="U472">
            <v>3</v>
          </cell>
          <cell r="V472">
            <v>95</v>
          </cell>
          <cell r="W472">
            <v>3</v>
          </cell>
          <cell r="X472">
            <v>95</v>
          </cell>
          <cell r="Y472">
            <v>4</v>
          </cell>
          <cell r="Z472">
            <v>95</v>
          </cell>
          <cell r="AD472" t="str">
            <v>0</v>
          </cell>
          <cell r="AE472" t="str">
            <v>0</v>
          </cell>
          <cell r="AF472" t="str">
            <v>00</v>
          </cell>
          <cell r="AI472">
            <v>248888889</v>
          </cell>
          <cell r="AJ472">
            <v>85123460.430000007</v>
          </cell>
        </row>
        <row r="473">
          <cell r="A473" t="str">
            <v>02</v>
          </cell>
          <cell r="B473" t="str">
            <v>05</v>
          </cell>
          <cell r="C473" t="str">
            <v>1317</v>
          </cell>
          <cell r="D473" t="str">
            <v>Компьютер-486 Корея</v>
          </cell>
          <cell r="E473" t="str">
            <v>с принтером EPSON</v>
          </cell>
          <cell r="F473" t="str">
            <v>Япония</v>
          </cell>
          <cell r="G473" t="str">
            <v>01</v>
          </cell>
          <cell r="H473">
            <v>5168.8999999999996</v>
          </cell>
          <cell r="I473">
            <v>0</v>
          </cell>
          <cell r="J473">
            <v>0</v>
          </cell>
          <cell r="K473">
            <v>0.23</v>
          </cell>
          <cell r="L473" t="str">
            <v>20</v>
          </cell>
          <cell r="M473" t="str">
            <v>48008</v>
          </cell>
          <cell r="N473" t="str">
            <v>14 3020204</v>
          </cell>
          <cell r="O473" t="str">
            <v>063</v>
          </cell>
          <cell r="P473">
            <v>10</v>
          </cell>
          <cell r="Q473">
            <v>0</v>
          </cell>
          <cell r="R473" t="str">
            <v>1</v>
          </cell>
          <cell r="S473" t="str">
            <v>48</v>
          </cell>
          <cell r="T473">
            <v>95</v>
          </cell>
          <cell r="U473">
            <v>3</v>
          </cell>
          <cell r="V473">
            <v>95</v>
          </cell>
          <cell r="W473">
            <v>3</v>
          </cell>
          <cell r="X473">
            <v>95</v>
          </cell>
          <cell r="Y473">
            <v>0</v>
          </cell>
          <cell r="Z473">
            <v>0</v>
          </cell>
          <cell r="AD473" t="str">
            <v>0</v>
          </cell>
          <cell r="AE473" t="str">
            <v>0</v>
          </cell>
          <cell r="AF473" t="str">
            <v>00</v>
          </cell>
          <cell r="AI473">
            <v>15485203</v>
          </cell>
          <cell r="AJ473">
            <v>4258430.83</v>
          </cell>
        </row>
        <row r="474">
          <cell r="A474" t="str">
            <v>02</v>
          </cell>
          <cell r="B474" t="str">
            <v>05</v>
          </cell>
          <cell r="C474" t="str">
            <v>1318</v>
          </cell>
          <cell r="D474" t="str">
            <v>Компьютер-386 Корея</v>
          </cell>
          <cell r="E474" t="str">
            <v>с принтером STIB</v>
          </cell>
          <cell r="F474" t="str">
            <v>США</v>
          </cell>
          <cell r="G474" t="str">
            <v>01</v>
          </cell>
          <cell r="H474">
            <v>6616.92</v>
          </cell>
          <cell r="I474">
            <v>0</v>
          </cell>
          <cell r="J474">
            <v>0</v>
          </cell>
          <cell r="K474">
            <v>0.28000000000000003</v>
          </cell>
          <cell r="L474" t="str">
            <v>20</v>
          </cell>
          <cell r="M474" t="str">
            <v>48008</v>
          </cell>
          <cell r="N474" t="str">
            <v>14 3020204</v>
          </cell>
          <cell r="O474" t="str">
            <v>063</v>
          </cell>
          <cell r="P474">
            <v>10</v>
          </cell>
          <cell r="Q474">
            <v>0</v>
          </cell>
          <cell r="R474" t="str">
            <v>1</v>
          </cell>
          <cell r="S474" t="str">
            <v>48</v>
          </cell>
          <cell r="T474">
            <v>95</v>
          </cell>
          <cell r="U474">
            <v>3</v>
          </cell>
          <cell r="V474">
            <v>95</v>
          </cell>
          <cell r="W474">
            <v>3</v>
          </cell>
          <cell r="X474">
            <v>95</v>
          </cell>
          <cell r="Y474">
            <v>0</v>
          </cell>
          <cell r="Z474">
            <v>0</v>
          </cell>
          <cell r="AB474" t="str">
            <v>14</v>
          </cell>
          <cell r="AC474">
            <v>5</v>
          </cell>
          <cell r="AD474" t="str">
            <v>0</v>
          </cell>
          <cell r="AE474" t="str">
            <v>0</v>
          </cell>
          <cell r="AF474" t="str">
            <v>00</v>
          </cell>
          <cell r="AI474">
            <v>9932496</v>
          </cell>
          <cell r="AJ474">
            <v>2731436.4</v>
          </cell>
        </row>
        <row r="475">
          <cell r="A475" t="str">
            <v>02</v>
          </cell>
          <cell r="B475" t="str">
            <v>99</v>
          </cell>
          <cell r="C475" t="str">
            <v>932</v>
          </cell>
          <cell r="D475" t="str">
            <v>Электропечь ЭПЭ 50/4</v>
          </cell>
          <cell r="G475" t="str">
            <v>01</v>
          </cell>
          <cell r="H475">
            <v>2800</v>
          </cell>
          <cell r="I475">
            <v>0</v>
          </cell>
          <cell r="J475">
            <v>0</v>
          </cell>
          <cell r="K475">
            <v>1.5</v>
          </cell>
          <cell r="L475" t="str">
            <v>20</v>
          </cell>
          <cell r="M475" t="str">
            <v>45804</v>
          </cell>
          <cell r="N475" t="str">
            <v>14 2914136</v>
          </cell>
          <cell r="O475" t="str">
            <v>067</v>
          </cell>
          <cell r="P475">
            <v>12.5</v>
          </cell>
          <cell r="Q475">
            <v>0</v>
          </cell>
          <cell r="R475" t="str">
            <v>1</v>
          </cell>
          <cell r="S475" t="str">
            <v>45</v>
          </cell>
          <cell r="T475">
            <v>95</v>
          </cell>
          <cell r="U475">
            <v>3</v>
          </cell>
          <cell r="V475">
            <v>95</v>
          </cell>
          <cell r="W475">
            <v>3</v>
          </cell>
          <cell r="X475">
            <v>95</v>
          </cell>
          <cell r="Y475">
            <v>0</v>
          </cell>
          <cell r="Z475">
            <v>0</v>
          </cell>
          <cell r="AB475" t="str">
            <v>14</v>
          </cell>
          <cell r="AC475">
            <v>9</v>
          </cell>
          <cell r="AD475" t="str">
            <v>0</v>
          </cell>
          <cell r="AE475" t="str">
            <v>0</v>
          </cell>
          <cell r="AF475" t="str">
            <v>00</v>
          </cell>
          <cell r="AI475">
            <v>1872000</v>
          </cell>
          <cell r="AJ475">
            <v>643500</v>
          </cell>
        </row>
        <row r="476">
          <cell r="A476" t="str">
            <v>02</v>
          </cell>
          <cell r="B476" t="str">
            <v>80</v>
          </cell>
          <cell r="C476" t="str">
            <v>934</v>
          </cell>
          <cell r="D476" t="str">
            <v>Набор посуды АСТРА</v>
          </cell>
          <cell r="G476" t="str">
            <v>01</v>
          </cell>
          <cell r="H476">
            <v>1890</v>
          </cell>
          <cell r="I476">
            <v>0</v>
          </cell>
          <cell r="J476">
            <v>0</v>
          </cell>
          <cell r="K476">
            <v>0.26</v>
          </cell>
          <cell r="L476" t="str">
            <v>88/2</v>
          </cell>
          <cell r="M476" t="str">
            <v>45804</v>
          </cell>
          <cell r="N476" t="str">
            <v>16 3697000</v>
          </cell>
          <cell r="O476" t="str">
            <v>067</v>
          </cell>
          <cell r="P476">
            <v>12.5</v>
          </cell>
          <cell r="Q476">
            <v>0</v>
          </cell>
          <cell r="R476" t="str">
            <v>1</v>
          </cell>
          <cell r="S476" t="str">
            <v>45</v>
          </cell>
          <cell r="T476">
            <v>95</v>
          </cell>
          <cell r="U476">
            <v>3</v>
          </cell>
          <cell r="V476">
            <v>95</v>
          </cell>
          <cell r="W476">
            <v>3</v>
          </cell>
          <cell r="X476">
            <v>95</v>
          </cell>
          <cell r="Y476">
            <v>0</v>
          </cell>
          <cell r="Z476">
            <v>0</v>
          </cell>
          <cell r="AB476" t="str">
            <v>14</v>
          </cell>
          <cell r="AC476">
            <v>6</v>
          </cell>
          <cell r="AD476" t="str">
            <v>0</v>
          </cell>
          <cell r="AE476" t="str">
            <v>0</v>
          </cell>
          <cell r="AF476" t="str">
            <v>00</v>
          </cell>
          <cell r="AI476">
            <v>7215929</v>
          </cell>
          <cell r="AJ476">
            <v>2480475.59</v>
          </cell>
        </row>
        <row r="477">
          <cell r="A477" t="str">
            <v>02</v>
          </cell>
          <cell r="B477" t="str">
            <v>03</v>
          </cell>
          <cell r="C477" t="str">
            <v>935</v>
          </cell>
          <cell r="D477" t="str">
            <v>Набор посуды СТАНДАР</v>
          </cell>
          <cell r="E477" t="str">
            <v>Т</v>
          </cell>
          <cell r="G477" t="str">
            <v>01</v>
          </cell>
          <cell r="H477">
            <v>2100</v>
          </cell>
          <cell r="I477">
            <v>0</v>
          </cell>
          <cell r="J477">
            <v>0</v>
          </cell>
          <cell r="K477">
            <v>0.25</v>
          </cell>
          <cell r="L477" t="str">
            <v>88</v>
          </cell>
          <cell r="M477" t="str">
            <v>45801</v>
          </cell>
          <cell r="N477" t="str">
            <v>16 2691533</v>
          </cell>
          <cell r="O477" t="str">
            <v>067</v>
          </cell>
          <cell r="P477">
            <v>12.5</v>
          </cell>
          <cell r="Q477">
            <v>0</v>
          </cell>
          <cell r="R477" t="str">
            <v>1</v>
          </cell>
          <cell r="S477" t="str">
            <v>45</v>
          </cell>
          <cell r="T477">
            <v>95</v>
          </cell>
          <cell r="U477">
            <v>3</v>
          </cell>
          <cell r="V477">
            <v>95</v>
          </cell>
          <cell r="W477">
            <v>3</v>
          </cell>
          <cell r="X477">
            <v>95</v>
          </cell>
          <cell r="Y477">
            <v>0</v>
          </cell>
          <cell r="Z477">
            <v>0</v>
          </cell>
          <cell r="AD477" t="str">
            <v>0</v>
          </cell>
          <cell r="AE477" t="str">
            <v>0</v>
          </cell>
          <cell r="AF477" t="str">
            <v>00</v>
          </cell>
          <cell r="AI477">
            <v>8570609</v>
          </cell>
          <cell r="AJ477">
            <v>2946146.84</v>
          </cell>
        </row>
        <row r="478">
          <cell r="A478" t="str">
            <v>02</v>
          </cell>
          <cell r="B478" t="str">
            <v>80</v>
          </cell>
          <cell r="C478" t="str">
            <v>936</v>
          </cell>
          <cell r="D478" t="str">
            <v>Набор посуды СТАНДАР</v>
          </cell>
          <cell r="E478" t="str">
            <v>Т</v>
          </cell>
          <cell r="G478" t="str">
            <v>01</v>
          </cell>
          <cell r="H478">
            <v>2100</v>
          </cell>
          <cell r="I478">
            <v>0</v>
          </cell>
          <cell r="J478">
            <v>0</v>
          </cell>
          <cell r="K478">
            <v>0.25</v>
          </cell>
          <cell r="L478" t="str">
            <v>88/2</v>
          </cell>
          <cell r="M478" t="str">
            <v>45804</v>
          </cell>
          <cell r="N478" t="str">
            <v>16 3697000</v>
          </cell>
          <cell r="O478" t="str">
            <v>067</v>
          </cell>
          <cell r="P478">
            <v>12.5</v>
          </cell>
          <cell r="Q478">
            <v>0</v>
          </cell>
          <cell r="R478" t="str">
            <v>1</v>
          </cell>
          <cell r="S478" t="str">
            <v>45</v>
          </cell>
          <cell r="T478">
            <v>95</v>
          </cell>
          <cell r="U478">
            <v>3</v>
          </cell>
          <cell r="V478">
            <v>95</v>
          </cell>
          <cell r="W478">
            <v>3</v>
          </cell>
          <cell r="X478">
            <v>95</v>
          </cell>
          <cell r="Y478">
            <v>0</v>
          </cell>
          <cell r="Z478">
            <v>0</v>
          </cell>
          <cell r="AB478" t="str">
            <v>14</v>
          </cell>
          <cell r="AC478">
            <v>6</v>
          </cell>
          <cell r="AD478" t="str">
            <v>0</v>
          </cell>
          <cell r="AE478" t="str">
            <v>0</v>
          </cell>
          <cell r="AF478" t="str">
            <v>00</v>
          </cell>
          <cell r="AI478">
            <v>8570609</v>
          </cell>
          <cell r="AJ478">
            <v>2946146.84</v>
          </cell>
        </row>
        <row r="479">
          <cell r="A479" t="str">
            <v>02</v>
          </cell>
          <cell r="B479" t="str">
            <v>51</v>
          </cell>
          <cell r="C479" t="str">
            <v>1319</v>
          </cell>
          <cell r="D479" t="str">
            <v>Телевизор КАСКАД</v>
          </cell>
          <cell r="E479" t="str">
            <v>черно-белый</v>
          </cell>
          <cell r="G479" t="str">
            <v>01</v>
          </cell>
          <cell r="H479">
            <v>520</v>
          </cell>
          <cell r="I479">
            <v>0</v>
          </cell>
          <cell r="J479">
            <v>0</v>
          </cell>
          <cell r="K479">
            <v>0.48</v>
          </cell>
          <cell r="L479" t="str">
            <v>20</v>
          </cell>
          <cell r="M479" t="str">
            <v>45625</v>
          </cell>
          <cell r="N479" t="str">
            <v>14 3230101</v>
          </cell>
          <cell r="O479" t="str">
            <v>067</v>
          </cell>
          <cell r="P479">
            <v>10.5</v>
          </cell>
          <cell r="Q479">
            <v>0</v>
          </cell>
          <cell r="R479" t="str">
            <v>1</v>
          </cell>
          <cell r="S479" t="str">
            <v>45</v>
          </cell>
          <cell r="T479">
            <v>95</v>
          </cell>
          <cell r="U479">
            <v>3</v>
          </cell>
          <cell r="V479">
            <v>95</v>
          </cell>
          <cell r="W479">
            <v>3</v>
          </cell>
          <cell r="X479">
            <v>95</v>
          </cell>
          <cell r="Y479">
            <v>0</v>
          </cell>
          <cell r="Z479">
            <v>0</v>
          </cell>
          <cell r="AD479" t="str">
            <v>0</v>
          </cell>
          <cell r="AE479" t="str">
            <v>0</v>
          </cell>
          <cell r="AF479" t="str">
            <v>00</v>
          </cell>
          <cell r="AI479">
            <v>1080000</v>
          </cell>
          <cell r="AJ479">
            <v>311850</v>
          </cell>
        </row>
        <row r="480">
          <cell r="A480" t="str">
            <v>02</v>
          </cell>
          <cell r="B480" t="str">
            <v>51</v>
          </cell>
          <cell r="C480" t="str">
            <v>1320</v>
          </cell>
          <cell r="D480" t="str">
            <v>Телевизор КАСКАД</v>
          </cell>
          <cell r="E480" t="str">
            <v>черно-белый</v>
          </cell>
          <cell r="G480" t="str">
            <v>01</v>
          </cell>
          <cell r="H480">
            <v>520</v>
          </cell>
          <cell r="I480">
            <v>0</v>
          </cell>
          <cell r="J480">
            <v>0</v>
          </cell>
          <cell r="K480">
            <v>0.48</v>
          </cell>
          <cell r="L480" t="str">
            <v>20</v>
          </cell>
          <cell r="M480" t="str">
            <v>45625</v>
          </cell>
          <cell r="N480" t="str">
            <v>14 3230101</v>
          </cell>
          <cell r="O480" t="str">
            <v>067</v>
          </cell>
          <cell r="P480">
            <v>10.5</v>
          </cell>
          <cell r="Q480">
            <v>0</v>
          </cell>
          <cell r="R480" t="str">
            <v>1</v>
          </cell>
          <cell r="S480" t="str">
            <v>45</v>
          </cell>
          <cell r="T480">
            <v>95</v>
          </cell>
          <cell r="U480">
            <v>3</v>
          </cell>
          <cell r="V480">
            <v>95</v>
          </cell>
          <cell r="W480">
            <v>3</v>
          </cell>
          <cell r="X480">
            <v>95</v>
          </cell>
          <cell r="Y480">
            <v>0</v>
          </cell>
          <cell r="Z480">
            <v>0</v>
          </cell>
          <cell r="AD480" t="str">
            <v>0</v>
          </cell>
          <cell r="AE480" t="str">
            <v>0</v>
          </cell>
          <cell r="AF480" t="str">
            <v>00</v>
          </cell>
          <cell r="AI480">
            <v>1080000</v>
          </cell>
          <cell r="AJ480">
            <v>311850</v>
          </cell>
        </row>
        <row r="481">
          <cell r="A481" t="str">
            <v>02</v>
          </cell>
          <cell r="B481" t="str">
            <v>51</v>
          </cell>
          <cell r="C481" t="str">
            <v>1321</v>
          </cell>
          <cell r="D481" t="str">
            <v>Телевизор КАСКАД</v>
          </cell>
          <cell r="E481" t="str">
            <v>черно-белый</v>
          </cell>
          <cell r="G481" t="str">
            <v>01</v>
          </cell>
          <cell r="H481">
            <v>520</v>
          </cell>
          <cell r="I481">
            <v>0</v>
          </cell>
          <cell r="J481">
            <v>0</v>
          </cell>
          <cell r="K481">
            <v>0.48</v>
          </cell>
          <cell r="L481" t="str">
            <v>20</v>
          </cell>
          <cell r="M481" t="str">
            <v>45625</v>
          </cell>
          <cell r="N481" t="str">
            <v>14 3230101</v>
          </cell>
          <cell r="O481" t="str">
            <v>067</v>
          </cell>
          <cell r="P481">
            <v>10.5</v>
          </cell>
          <cell r="Q481">
            <v>0</v>
          </cell>
          <cell r="R481" t="str">
            <v>1</v>
          </cell>
          <cell r="S481" t="str">
            <v>45</v>
          </cell>
          <cell r="T481">
            <v>95</v>
          </cell>
          <cell r="U481">
            <v>3</v>
          </cell>
          <cell r="V481">
            <v>95</v>
          </cell>
          <cell r="W481">
            <v>3</v>
          </cell>
          <cell r="X481">
            <v>95</v>
          </cell>
          <cell r="Y481">
            <v>0</v>
          </cell>
          <cell r="Z481">
            <v>0</v>
          </cell>
          <cell r="AD481" t="str">
            <v>0</v>
          </cell>
          <cell r="AE481" t="str">
            <v>0</v>
          </cell>
          <cell r="AF481" t="str">
            <v>00</v>
          </cell>
          <cell r="AI481">
            <v>1080000</v>
          </cell>
          <cell r="AJ481">
            <v>311850</v>
          </cell>
        </row>
        <row r="482">
          <cell r="A482" t="str">
            <v>17</v>
          </cell>
          <cell r="B482" t="str">
            <v>82</v>
          </cell>
          <cell r="C482" t="str">
            <v>1322</v>
          </cell>
          <cell r="D482" t="str">
            <v>Шкаф холодильный</v>
          </cell>
          <cell r="G482" t="str">
            <v>01</v>
          </cell>
          <cell r="H482">
            <v>6300</v>
          </cell>
          <cell r="I482">
            <v>0</v>
          </cell>
          <cell r="J482">
            <v>0</v>
          </cell>
          <cell r="K482">
            <v>0.97</v>
          </cell>
          <cell r="L482" t="str">
            <v>26</v>
          </cell>
          <cell r="M482" t="str">
            <v>45800</v>
          </cell>
          <cell r="N482" t="str">
            <v>16 2930100</v>
          </cell>
          <cell r="O482" t="str">
            <v>063</v>
          </cell>
          <cell r="P482">
            <v>10</v>
          </cell>
          <cell r="Q482">
            <v>0</v>
          </cell>
          <cell r="R482" t="str">
            <v>1</v>
          </cell>
          <cell r="S482" t="str">
            <v>45</v>
          </cell>
          <cell r="T482">
            <v>95</v>
          </cell>
          <cell r="U482">
            <v>3</v>
          </cell>
          <cell r="V482">
            <v>95</v>
          </cell>
          <cell r="W482">
            <v>3</v>
          </cell>
          <cell r="X482">
            <v>95</v>
          </cell>
          <cell r="Y482">
            <v>0</v>
          </cell>
          <cell r="Z482">
            <v>0</v>
          </cell>
          <cell r="AB482" t="str">
            <v>14</v>
          </cell>
          <cell r="AC482">
            <v>11</v>
          </cell>
          <cell r="AD482" t="str">
            <v>0</v>
          </cell>
          <cell r="AE482" t="str">
            <v>0</v>
          </cell>
          <cell r="AF482" t="str">
            <v>17</v>
          </cell>
          <cell r="AI482">
            <v>6487782</v>
          </cell>
          <cell r="AJ482">
            <v>1784140.05</v>
          </cell>
        </row>
        <row r="483">
          <cell r="A483" t="str">
            <v>02</v>
          </cell>
          <cell r="B483" t="str">
            <v>80</v>
          </cell>
          <cell r="C483" t="str">
            <v>937</v>
          </cell>
          <cell r="D483" t="str">
            <v>Набор посуды ПРИНЦ</v>
          </cell>
          <cell r="G483" t="str">
            <v>01</v>
          </cell>
          <cell r="H483">
            <v>2500</v>
          </cell>
          <cell r="I483">
            <v>0</v>
          </cell>
          <cell r="J483">
            <v>0</v>
          </cell>
          <cell r="K483">
            <v>0.21</v>
          </cell>
          <cell r="L483" t="str">
            <v>88/2</v>
          </cell>
          <cell r="M483" t="str">
            <v>45804</v>
          </cell>
          <cell r="N483" t="str">
            <v>16 3697000</v>
          </cell>
          <cell r="O483" t="str">
            <v>067</v>
          </cell>
          <cell r="P483">
            <v>12.5</v>
          </cell>
          <cell r="Q483">
            <v>0</v>
          </cell>
          <cell r="R483" t="str">
            <v>1</v>
          </cell>
          <cell r="S483" t="str">
            <v>45</v>
          </cell>
          <cell r="T483">
            <v>95</v>
          </cell>
          <cell r="U483">
            <v>3</v>
          </cell>
          <cell r="V483">
            <v>95</v>
          </cell>
          <cell r="W483">
            <v>3</v>
          </cell>
          <cell r="X483">
            <v>95</v>
          </cell>
          <cell r="Y483">
            <v>0</v>
          </cell>
          <cell r="Z483">
            <v>0</v>
          </cell>
          <cell r="AB483" t="str">
            <v>14</v>
          </cell>
          <cell r="AC483">
            <v>6</v>
          </cell>
          <cell r="AD483" t="str">
            <v>0</v>
          </cell>
          <cell r="AE483" t="str">
            <v>0</v>
          </cell>
          <cell r="AF483" t="str">
            <v>00</v>
          </cell>
          <cell r="AI483">
            <v>12183089</v>
          </cell>
          <cell r="AJ483">
            <v>4187936.84</v>
          </cell>
        </row>
        <row r="484">
          <cell r="A484" t="str">
            <v>02</v>
          </cell>
          <cell r="B484" t="str">
            <v>80</v>
          </cell>
          <cell r="C484" t="str">
            <v>938</v>
          </cell>
          <cell r="D484" t="str">
            <v>Набор посуды ПРИНЦ</v>
          </cell>
          <cell r="G484" t="str">
            <v>01</v>
          </cell>
          <cell r="H484">
            <v>2500</v>
          </cell>
          <cell r="I484">
            <v>0</v>
          </cell>
          <cell r="J484">
            <v>0</v>
          </cell>
          <cell r="K484">
            <v>0.21</v>
          </cell>
          <cell r="L484" t="str">
            <v>88/2</v>
          </cell>
          <cell r="M484" t="str">
            <v>45804</v>
          </cell>
          <cell r="N484" t="str">
            <v>16 3697000</v>
          </cell>
          <cell r="O484" t="str">
            <v>067</v>
          </cell>
          <cell r="P484">
            <v>12.5</v>
          </cell>
          <cell r="Q484">
            <v>0</v>
          </cell>
          <cell r="R484" t="str">
            <v>1</v>
          </cell>
          <cell r="S484" t="str">
            <v>45</v>
          </cell>
          <cell r="T484">
            <v>1</v>
          </cell>
          <cell r="U484">
            <v>3</v>
          </cell>
          <cell r="V484">
            <v>95</v>
          </cell>
          <cell r="W484">
            <v>3</v>
          </cell>
          <cell r="X484">
            <v>95</v>
          </cell>
          <cell r="Y484">
            <v>0</v>
          </cell>
          <cell r="Z484">
            <v>0</v>
          </cell>
          <cell r="AB484" t="str">
            <v>14</v>
          </cell>
          <cell r="AC484">
            <v>10</v>
          </cell>
          <cell r="AD484" t="str">
            <v>0</v>
          </cell>
          <cell r="AE484" t="str">
            <v>0</v>
          </cell>
          <cell r="AF484" t="str">
            <v>00</v>
          </cell>
          <cell r="AI484">
            <v>12183089</v>
          </cell>
          <cell r="AJ484">
            <v>4187936.84</v>
          </cell>
        </row>
        <row r="485">
          <cell r="A485" t="str">
            <v>02</v>
          </cell>
          <cell r="B485" t="str">
            <v>04</v>
          </cell>
          <cell r="C485" t="str">
            <v>1333</v>
          </cell>
          <cell r="D485" t="str">
            <v>Газосварочный перено</v>
          </cell>
          <cell r="E485" t="str">
            <v>сной аппарат</v>
          </cell>
          <cell r="G485" t="str">
            <v>01</v>
          </cell>
          <cell r="H485">
            <v>2450</v>
          </cell>
          <cell r="I485">
            <v>0</v>
          </cell>
          <cell r="J485">
            <v>0</v>
          </cell>
          <cell r="K485">
            <v>0.63</v>
          </cell>
          <cell r="L485" t="str">
            <v>23</v>
          </cell>
          <cell r="M485" t="str">
            <v>45502</v>
          </cell>
          <cell r="N485" t="str">
            <v>14 2947193</v>
          </cell>
          <cell r="O485" t="str">
            <v>067</v>
          </cell>
          <cell r="P485">
            <v>16.7</v>
          </cell>
          <cell r="Q485">
            <v>0</v>
          </cell>
          <cell r="R485" t="str">
            <v>1</v>
          </cell>
          <cell r="S485" t="str">
            <v>45</v>
          </cell>
          <cell r="T485">
            <v>95</v>
          </cell>
          <cell r="U485">
            <v>4</v>
          </cell>
          <cell r="V485">
            <v>95</v>
          </cell>
          <cell r="W485">
            <v>4</v>
          </cell>
          <cell r="X485">
            <v>95</v>
          </cell>
          <cell r="Y485">
            <v>0</v>
          </cell>
          <cell r="Z485">
            <v>0</v>
          </cell>
          <cell r="AB485" t="str">
            <v>14</v>
          </cell>
          <cell r="AC485">
            <v>2</v>
          </cell>
          <cell r="AD485" t="str">
            <v>0</v>
          </cell>
          <cell r="AE485" t="str">
            <v>1</v>
          </cell>
          <cell r="AF485" t="str">
            <v>00</v>
          </cell>
          <cell r="AI485">
            <v>3895000</v>
          </cell>
          <cell r="AJ485">
            <v>1734573.33</v>
          </cell>
        </row>
        <row r="486">
          <cell r="A486" t="str">
            <v>02</v>
          </cell>
          <cell r="B486" t="str">
            <v>71</v>
          </cell>
          <cell r="C486" t="str">
            <v>1344</v>
          </cell>
          <cell r="D486" t="str">
            <v>Выпрямитель ДУГА-305</v>
          </cell>
          <cell r="G486" t="str">
            <v>01</v>
          </cell>
          <cell r="H486">
            <v>3300</v>
          </cell>
          <cell r="I486">
            <v>0</v>
          </cell>
          <cell r="J486">
            <v>0</v>
          </cell>
          <cell r="K486">
            <v>1.1200000000000001</v>
          </cell>
          <cell r="L486" t="str">
            <v>23</v>
          </cell>
          <cell r="M486" t="str">
            <v>42502</v>
          </cell>
          <cell r="N486" t="str">
            <v>14 2922804</v>
          </cell>
          <cell r="O486" t="str">
            <v>067</v>
          </cell>
          <cell r="P486">
            <v>16.7</v>
          </cell>
          <cell r="Q486">
            <v>0</v>
          </cell>
          <cell r="R486" t="str">
            <v>1</v>
          </cell>
          <cell r="S486" t="str">
            <v>42</v>
          </cell>
          <cell r="T486">
            <v>95</v>
          </cell>
          <cell r="U486">
            <v>4</v>
          </cell>
          <cell r="V486">
            <v>95</v>
          </cell>
          <cell r="W486">
            <v>4</v>
          </cell>
          <cell r="X486">
            <v>95</v>
          </cell>
          <cell r="Y486">
            <v>0</v>
          </cell>
          <cell r="Z486">
            <v>0</v>
          </cell>
          <cell r="AD486" t="str">
            <v>0</v>
          </cell>
          <cell r="AE486" t="str">
            <v>0</v>
          </cell>
          <cell r="AF486" t="str">
            <v>00</v>
          </cell>
          <cell r="AI486">
            <v>2945000</v>
          </cell>
          <cell r="AJ486">
            <v>1311506.67</v>
          </cell>
        </row>
        <row r="487">
          <cell r="A487" t="str">
            <v>02</v>
          </cell>
          <cell r="B487" t="str">
            <v>70</v>
          </cell>
          <cell r="C487" t="str">
            <v>1345</v>
          </cell>
          <cell r="D487" t="str">
            <v>Выпрямитель ВДМ-800-</v>
          </cell>
          <cell r="E487" t="str">
            <v>01</v>
          </cell>
          <cell r="G487" t="str">
            <v>01</v>
          </cell>
          <cell r="H487">
            <v>11724.9</v>
          </cell>
          <cell r="I487">
            <v>0</v>
          </cell>
          <cell r="J487">
            <v>0</v>
          </cell>
          <cell r="K487">
            <v>1.21</v>
          </cell>
          <cell r="L487" t="str">
            <v>20</v>
          </cell>
          <cell r="M487" t="str">
            <v>42502</v>
          </cell>
          <cell r="N487" t="str">
            <v>14 2922804</v>
          </cell>
          <cell r="O487" t="str">
            <v>067</v>
          </cell>
          <cell r="P487">
            <v>16.7</v>
          </cell>
          <cell r="Q487">
            <v>0</v>
          </cell>
          <cell r="R487" t="str">
            <v>1</v>
          </cell>
          <cell r="S487" t="str">
            <v>42</v>
          </cell>
          <cell r="T487">
            <v>95</v>
          </cell>
          <cell r="U487">
            <v>4</v>
          </cell>
          <cell r="V487">
            <v>95</v>
          </cell>
          <cell r="W487">
            <v>4</v>
          </cell>
          <cell r="X487">
            <v>95</v>
          </cell>
          <cell r="Y487">
            <v>0</v>
          </cell>
          <cell r="Z487">
            <v>0</v>
          </cell>
          <cell r="AD487" t="str">
            <v>0</v>
          </cell>
          <cell r="AE487" t="str">
            <v>0</v>
          </cell>
          <cell r="AF487" t="str">
            <v>00</v>
          </cell>
          <cell r="AI487">
            <v>9690000</v>
          </cell>
          <cell r="AJ487">
            <v>4315280</v>
          </cell>
        </row>
        <row r="488">
          <cell r="A488" t="str">
            <v>02</v>
          </cell>
          <cell r="B488" t="str">
            <v>02</v>
          </cell>
          <cell r="C488" t="str">
            <v>1346</v>
          </cell>
          <cell r="D488" t="str">
            <v>Выпрямитель ВДМ-8000</v>
          </cell>
          <cell r="E488" t="str">
            <v>1</v>
          </cell>
          <cell r="G488" t="str">
            <v>01</v>
          </cell>
          <cell r="H488">
            <v>11724.9</v>
          </cell>
          <cell r="I488">
            <v>0</v>
          </cell>
          <cell r="J488">
            <v>0</v>
          </cell>
          <cell r="K488">
            <v>1.21</v>
          </cell>
          <cell r="L488" t="str">
            <v>20</v>
          </cell>
          <cell r="M488" t="str">
            <v>42502</v>
          </cell>
          <cell r="N488" t="str">
            <v>14 2922804</v>
          </cell>
          <cell r="O488" t="str">
            <v>067</v>
          </cell>
          <cell r="P488">
            <v>16.7</v>
          </cell>
          <cell r="Q488">
            <v>0</v>
          </cell>
          <cell r="R488" t="str">
            <v>1</v>
          </cell>
          <cell r="S488" t="str">
            <v>42</v>
          </cell>
          <cell r="T488">
            <v>95</v>
          </cell>
          <cell r="U488">
            <v>4</v>
          </cell>
          <cell r="V488">
            <v>95</v>
          </cell>
          <cell r="W488">
            <v>4</v>
          </cell>
          <cell r="X488">
            <v>95</v>
          </cell>
          <cell r="Y488">
            <v>0</v>
          </cell>
          <cell r="Z488">
            <v>0</v>
          </cell>
          <cell r="AB488" t="str">
            <v>14</v>
          </cell>
          <cell r="AC488">
            <v>2</v>
          </cell>
          <cell r="AD488" t="str">
            <v>0</v>
          </cell>
          <cell r="AE488" t="str">
            <v>0</v>
          </cell>
          <cell r="AF488" t="str">
            <v>00</v>
          </cell>
          <cell r="AI488">
            <v>9690000</v>
          </cell>
          <cell r="AJ488">
            <v>4315280</v>
          </cell>
        </row>
        <row r="489">
          <cell r="A489" t="str">
            <v>02</v>
          </cell>
          <cell r="B489" t="str">
            <v>99</v>
          </cell>
          <cell r="C489" t="str">
            <v>1323</v>
          </cell>
          <cell r="D489" t="str">
            <v>Холодильник СТИНОЛ</v>
          </cell>
          <cell r="G489" t="str">
            <v>01</v>
          </cell>
          <cell r="H489">
            <v>1800</v>
          </cell>
          <cell r="I489">
            <v>0</v>
          </cell>
          <cell r="J489">
            <v>0</v>
          </cell>
          <cell r="K489">
            <v>0.83</v>
          </cell>
          <cell r="L489" t="str">
            <v>20</v>
          </cell>
          <cell r="M489" t="str">
            <v>45800</v>
          </cell>
          <cell r="N489" t="str">
            <v>16 2930100</v>
          </cell>
          <cell r="O489" t="str">
            <v>063</v>
          </cell>
          <cell r="P489">
            <v>10</v>
          </cell>
          <cell r="Q489">
            <v>0</v>
          </cell>
          <cell r="R489" t="str">
            <v>1</v>
          </cell>
          <cell r="S489" t="str">
            <v>45</v>
          </cell>
          <cell r="T489">
            <v>95</v>
          </cell>
          <cell r="U489">
            <v>4</v>
          </cell>
          <cell r="V489">
            <v>95</v>
          </cell>
          <cell r="W489">
            <v>4</v>
          </cell>
          <cell r="X489">
            <v>95</v>
          </cell>
          <cell r="Y489">
            <v>0</v>
          </cell>
          <cell r="Z489">
            <v>0</v>
          </cell>
          <cell r="AD489" t="str">
            <v>0</v>
          </cell>
          <cell r="AE489" t="str">
            <v>0</v>
          </cell>
          <cell r="AF489" t="str">
            <v>00</v>
          </cell>
          <cell r="AI489">
            <v>2175720</v>
          </cell>
          <cell r="AJ489">
            <v>580192</v>
          </cell>
        </row>
        <row r="490">
          <cell r="A490" t="str">
            <v>02</v>
          </cell>
          <cell r="B490" t="str">
            <v>80</v>
          </cell>
          <cell r="C490" t="str">
            <v>1324</v>
          </cell>
          <cell r="D490" t="str">
            <v>Холодильник СТИНОЛ</v>
          </cell>
          <cell r="G490" t="str">
            <v>01</v>
          </cell>
          <cell r="H490">
            <v>1800</v>
          </cell>
          <cell r="I490">
            <v>0</v>
          </cell>
          <cell r="J490">
            <v>0</v>
          </cell>
          <cell r="K490">
            <v>0.83</v>
          </cell>
          <cell r="L490" t="str">
            <v>88/2</v>
          </cell>
          <cell r="M490" t="str">
            <v>45800</v>
          </cell>
          <cell r="N490" t="str">
            <v>16 2930100</v>
          </cell>
          <cell r="O490" t="str">
            <v>063</v>
          </cell>
          <cell r="P490">
            <v>10</v>
          </cell>
          <cell r="Q490">
            <v>0</v>
          </cell>
          <cell r="R490" t="str">
            <v>1</v>
          </cell>
          <cell r="S490" t="str">
            <v>45</v>
          </cell>
          <cell r="T490">
            <v>95</v>
          </cell>
          <cell r="U490">
            <v>4</v>
          </cell>
          <cell r="V490">
            <v>95</v>
          </cell>
          <cell r="W490">
            <v>4</v>
          </cell>
          <cell r="X490">
            <v>95</v>
          </cell>
          <cell r="Y490">
            <v>0</v>
          </cell>
          <cell r="Z490">
            <v>0</v>
          </cell>
          <cell r="AD490" t="str">
            <v>0</v>
          </cell>
          <cell r="AE490" t="str">
            <v>0</v>
          </cell>
          <cell r="AF490" t="str">
            <v>00</v>
          </cell>
          <cell r="AI490">
            <v>2175720</v>
          </cell>
          <cell r="AJ490">
            <v>580192</v>
          </cell>
        </row>
        <row r="491">
          <cell r="A491" t="str">
            <v>02</v>
          </cell>
          <cell r="B491" t="str">
            <v>51</v>
          </cell>
          <cell r="C491" t="str">
            <v>1325</v>
          </cell>
          <cell r="D491" t="str">
            <v>Холодиоьник СТИНОЛ</v>
          </cell>
          <cell r="E491" t="str">
            <v>Ново-Липецкий мет.</v>
          </cell>
          <cell r="F491" t="str">
            <v>комб.</v>
          </cell>
          <cell r="G491" t="str">
            <v>01</v>
          </cell>
          <cell r="H491">
            <v>1800</v>
          </cell>
          <cell r="I491">
            <v>0</v>
          </cell>
          <cell r="J491">
            <v>0</v>
          </cell>
          <cell r="K491">
            <v>0.83</v>
          </cell>
          <cell r="L491" t="str">
            <v>20</v>
          </cell>
          <cell r="M491" t="str">
            <v>45800</v>
          </cell>
          <cell r="N491" t="str">
            <v>16 2930100</v>
          </cell>
          <cell r="O491" t="str">
            <v>063</v>
          </cell>
          <cell r="P491">
            <v>10</v>
          </cell>
          <cell r="Q491">
            <v>0</v>
          </cell>
          <cell r="R491" t="str">
            <v>1</v>
          </cell>
          <cell r="S491" t="str">
            <v>45</v>
          </cell>
          <cell r="T491">
            <v>95</v>
          </cell>
          <cell r="U491">
            <v>4</v>
          </cell>
          <cell r="V491">
            <v>95</v>
          </cell>
          <cell r="W491">
            <v>4</v>
          </cell>
          <cell r="X491">
            <v>95</v>
          </cell>
          <cell r="Y491">
            <v>0</v>
          </cell>
          <cell r="Z491">
            <v>0</v>
          </cell>
          <cell r="AD491" t="str">
            <v>0</v>
          </cell>
          <cell r="AE491" t="str">
            <v>0</v>
          </cell>
          <cell r="AF491" t="str">
            <v>00</v>
          </cell>
          <cell r="AI491">
            <v>2175720</v>
          </cell>
          <cell r="AJ491">
            <v>580192</v>
          </cell>
        </row>
        <row r="492">
          <cell r="A492" t="str">
            <v>02</v>
          </cell>
          <cell r="B492" t="str">
            <v>71</v>
          </cell>
          <cell r="C492" t="str">
            <v>1326</v>
          </cell>
          <cell r="D492" t="str">
            <v>Холодильник СТИНОЛ</v>
          </cell>
          <cell r="G492" t="str">
            <v>01</v>
          </cell>
          <cell r="H492">
            <v>1800</v>
          </cell>
          <cell r="I492">
            <v>0</v>
          </cell>
          <cell r="J492">
            <v>0</v>
          </cell>
          <cell r="K492">
            <v>0.83</v>
          </cell>
          <cell r="L492" t="str">
            <v>23</v>
          </cell>
          <cell r="M492" t="str">
            <v>45800</v>
          </cell>
          <cell r="N492" t="str">
            <v>16 2930100</v>
          </cell>
          <cell r="O492" t="str">
            <v>063</v>
          </cell>
          <cell r="P492">
            <v>10</v>
          </cell>
          <cell r="Q492">
            <v>0</v>
          </cell>
          <cell r="R492" t="str">
            <v>1</v>
          </cell>
          <cell r="S492" t="str">
            <v>45</v>
          </cell>
          <cell r="T492">
            <v>95</v>
          </cell>
          <cell r="U492">
            <v>4</v>
          </cell>
          <cell r="V492">
            <v>95</v>
          </cell>
          <cell r="W492">
            <v>4</v>
          </cell>
          <cell r="X492">
            <v>95</v>
          </cell>
          <cell r="Y492">
            <v>0</v>
          </cell>
          <cell r="Z492">
            <v>0</v>
          </cell>
          <cell r="AD492" t="str">
            <v>0</v>
          </cell>
          <cell r="AE492" t="str">
            <v>0</v>
          </cell>
          <cell r="AF492" t="str">
            <v>00</v>
          </cell>
          <cell r="AI492">
            <v>2175720</v>
          </cell>
          <cell r="AJ492">
            <v>580192</v>
          </cell>
        </row>
        <row r="493">
          <cell r="A493" t="str">
            <v>02</v>
          </cell>
          <cell r="B493" t="str">
            <v>23</v>
          </cell>
          <cell r="C493" t="str">
            <v>1327</v>
          </cell>
          <cell r="D493" t="str">
            <v>Холодильник СТИНОЛ</v>
          </cell>
          <cell r="E493" t="str">
            <v>Ново-Липецкий мет.</v>
          </cell>
          <cell r="F493" t="str">
            <v>комб.</v>
          </cell>
          <cell r="G493" t="str">
            <v>01</v>
          </cell>
          <cell r="H493">
            <v>1800</v>
          </cell>
          <cell r="I493">
            <v>0</v>
          </cell>
          <cell r="J493">
            <v>0</v>
          </cell>
          <cell r="K493">
            <v>0.83</v>
          </cell>
          <cell r="L493" t="str">
            <v>23</v>
          </cell>
          <cell r="M493" t="str">
            <v>45800</v>
          </cell>
          <cell r="N493" t="str">
            <v>16 2930100</v>
          </cell>
          <cell r="O493" t="str">
            <v>063</v>
          </cell>
          <cell r="P493">
            <v>10</v>
          </cell>
          <cell r="Q493">
            <v>0</v>
          </cell>
          <cell r="R493" t="str">
            <v>1</v>
          </cell>
          <cell r="S493" t="str">
            <v>45</v>
          </cell>
          <cell r="T493">
            <v>95</v>
          </cell>
          <cell r="U493">
            <v>4</v>
          </cell>
          <cell r="V493">
            <v>95</v>
          </cell>
          <cell r="W493">
            <v>4</v>
          </cell>
          <cell r="X493">
            <v>95</v>
          </cell>
          <cell r="Y493">
            <v>0</v>
          </cell>
          <cell r="Z493">
            <v>0</v>
          </cell>
          <cell r="AD493" t="str">
            <v>0</v>
          </cell>
          <cell r="AE493" t="str">
            <v>0</v>
          </cell>
          <cell r="AF493" t="str">
            <v>00</v>
          </cell>
          <cell r="AI493">
            <v>2175720</v>
          </cell>
          <cell r="AJ493">
            <v>580192</v>
          </cell>
        </row>
        <row r="494">
          <cell r="A494" t="str">
            <v>02</v>
          </cell>
          <cell r="B494" t="str">
            <v>05</v>
          </cell>
          <cell r="C494" t="str">
            <v>1328</v>
          </cell>
          <cell r="D494" t="str">
            <v>Холодильник СТИНОЛ</v>
          </cell>
          <cell r="E494" t="str">
            <v>Ново-Липецк</v>
          </cell>
          <cell r="G494" t="str">
            <v>01</v>
          </cell>
          <cell r="H494">
            <v>1800</v>
          </cell>
          <cell r="I494">
            <v>0</v>
          </cell>
          <cell r="J494">
            <v>0</v>
          </cell>
          <cell r="K494">
            <v>0.83</v>
          </cell>
          <cell r="L494" t="str">
            <v>20</v>
          </cell>
          <cell r="M494" t="str">
            <v>45800</v>
          </cell>
          <cell r="N494" t="str">
            <v>16 2930100</v>
          </cell>
          <cell r="O494" t="str">
            <v>063</v>
          </cell>
          <cell r="P494">
            <v>10</v>
          </cell>
          <cell r="Q494">
            <v>0</v>
          </cell>
          <cell r="R494" t="str">
            <v>1</v>
          </cell>
          <cell r="S494" t="str">
            <v>45</v>
          </cell>
          <cell r="T494">
            <v>95</v>
          </cell>
          <cell r="U494">
            <v>4</v>
          </cell>
          <cell r="V494">
            <v>95</v>
          </cell>
          <cell r="W494">
            <v>4</v>
          </cell>
          <cell r="X494">
            <v>95</v>
          </cell>
          <cell r="Y494">
            <v>0</v>
          </cell>
          <cell r="Z494">
            <v>0</v>
          </cell>
          <cell r="AD494" t="str">
            <v>0</v>
          </cell>
          <cell r="AE494" t="str">
            <v>0</v>
          </cell>
          <cell r="AF494" t="str">
            <v>00</v>
          </cell>
          <cell r="AI494">
            <v>2175720</v>
          </cell>
          <cell r="AJ494">
            <v>580192</v>
          </cell>
        </row>
        <row r="495">
          <cell r="A495" t="str">
            <v>02</v>
          </cell>
          <cell r="B495" t="str">
            <v>05</v>
          </cell>
          <cell r="C495" t="str">
            <v>1329</v>
          </cell>
          <cell r="D495" t="str">
            <v>Холодильник СТИНОЛ</v>
          </cell>
          <cell r="E495" t="str">
            <v>Ново-Липецк</v>
          </cell>
          <cell r="G495" t="str">
            <v>01</v>
          </cell>
          <cell r="H495">
            <v>1800</v>
          </cell>
          <cell r="I495">
            <v>0</v>
          </cell>
          <cell r="J495">
            <v>0</v>
          </cell>
          <cell r="K495">
            <v>0.83</v>
          </cell>
          <cell r="L495" t="str">
            <v>20</v>
          </cell>
          <cell r="M495" t="str">
            <v>45800</v>
          </cell>
          <cell r="N495" t="str">
            <v>16 2930100</v>
          </cell>
          <cell r="O495" t="str">
            <v>063</v>
          </cell>
          <cell r="P495">
            <v>10</v>
          </cell>
          <cell r="Q495">
            <v>0</v>
          </cell>
          <cell r="R495" t="str">
            <v>1</v>
          </cell>
          <cell r="S495" t="str">
            <v>45</v>
          </cell>
          <cell r="T495">
            <v>95</v>
          </cell>
          <cell r="U495">
            <v>4</v>
          </cell>
          <cell r="V495">
            <v>95</v>
          </cell>
          <cell r="W495">
            <v>4</v>
          </cell>
          <cell r="X495">
            <v>95</v>
          </cell>
          <cell r="Y495">
            <v>0</v>
          </cell>
          <cell r="Z495">
            <v>0</v>
          </cell>
          <cell r="AD495" t="str">
            <v>0</v>
          </cell>
          <cell r="AE495" t="str">
            <v>0</v>
          </cell>
          <cell r="AF495" t="str">
            <v>00</v>
          </cell>
          <cell r="AI495">
            <v>2175720</v>
          </cell>
          <cell r="AJ495">
            <v>580192</v>
          </cell>
        </row>
        <row r="496">
          <cell r="A496" t="str">
            <v>02</v>
          </cell>
          <cell r="B496" t="str">
            <v>41</v>
          </cell>
          <cell r="C496" t="str">
            <v>1330</v>
          </cell>
          <cell r="D496" t="str">
            <v>Холодильник СТИНОЛ</v>
          </cell>
          <cell r="E496" t="str">
            <v>Ново-Липецкий мет.</v>
          </cell>
          <cell r="F496" t="str">
            <v>комб.</v>
          </cell>
          <cell r="G496" t="str">
            <v>01</v>
          </cell>
          <cell r="H496">
            <v>1800</v>
          </cell>
          <cell r="I496">
            <v>0</v>
          </cell>
          <cell r="J496">
            <v>0</v>
          </cell>
          <cell r="K496">
            <v>0.83</v>
          </cell>
          <cell r="L496" t="str">
            <v>20</v>
          </cell>
          <cell r="M496" t="str">
            <v>45800</v>
          </cell>
          <cell r="N496" t="str">
            <v>16 2930100</v>
          </cell>
          <cell r="O496" t="str">
            <v>063</v>
          </cell>
          <cell r="P496">
            <v>10</v>
          </cell>
          <cell r="Q496">
            <v>0</v>
          </cell>
          <cell r="R496" t="str">
            <v>1</v>
          </cell>
          <cell r="S496" t="str">
            <v>45</v>
          </cell>
          <cell r="T496">
            <v>95</v>
          </cell>
          <cell r="U496">
            <v>4</v>
          </cell>
          <cell r="V496">
            <v>95</v>
          </cell>
          <cell r="W496">
            <v>4</v>
          </cell>
          <cell r="X496">
            <v>95</v>
          </cell>
          <cell r="Y496">
            <v>0</v>
          </cell>
          <cell r="Z496">
            <v>0</v>
          </cell>
          <cell r="AD496" t="str">
            <v>0</v>
          </cell>
          <cell r="AE496" t="str">
            <v>0</v>
          </cell>
          <cell r="AF496" t="str">
            <v>00</v>
          </cell>
          <cell r="AI496">
            <v>2175720</v>
          </cell>
          <cell r="AJ496">
            <v>580192</v>
          </cell>
        </row>
        <row r="497">
          <cell r="A497" t="str">
            <v>02</v>
          </cell>
          <cell r="B497" t="str">
            <v>80</v>
          </cell>
          <cell r="C497" t="str">
            <v>1332</v>
          </cell>
          <cell r="D497" t="str">
            <v>Холодильник СТИНОЛ</v>
          </cell>
          <cell r="G497" t="str">
            <v>01</v>
          </cell>
          <cell r="H497">
            <v>1800</v>
          </cell>
          <cell r="I497">
            <v>0</v>
          </cell>
          <cell r="J497">
            <v>0</v>
          </cell>
          <cell r="K497">
            <v>0.83</v>
          </cell>
          <cell r="L497" t="str">
            <v>88/2</v>
          </cell>
          <cell r="M497" t="str">
            <v>45800</v>
          </cell>
          <cell r="N497" t="str">
            <v>16 2930100</v>
          </cell>
          <cell r="O497" t="str">
            <v>063</v>
          </cell>
          <cell r="P497">
            <v>10</v>
          </cell>
          <cell r="Q497">
            <v>0</v>
          </cell>
          <cell r="R497" t="str">
            <v>1</v>
          </cell>
          <cell r="S497" t="str">
            <v>45</v>
          </cell>
          <cell r="T497">
            <v>95</v>
          </cell>
          <cell r="U497">
            <v>4</v>
          </cell>
          <cell r="V497">
            <v>95</v>
          </cell>
          <cell r="W497">
            <v>4</v>
          </cell>
          <cell r="X497">
            <v>95</v>
          </cell>
          <cell r="Y497">
            <v>0</v>
          </cell>
          <cell r="Z497">
            <v>0</v>
          </cell>
          <cell r="AD497" t="str">
            <v>0</v>
          </cell>
          <cell r="AE497" t="str">
            <v>0</v>
          </cell>
          <cell r="AF497" t="str">
            <v>00</v>
          </cell>
          <cell r="AI497">
            <v>2175720</v>
          </cell>
          <cell r="AJ497">
            <v>580192</v>
          </cell>
        </row>
        <row r="498">
          <cell r="A498" t="str">
            <v>02</v>
          </cell>
          <cell r="B498" t="str">
            <v>03</v>
          </cell>
          <cell r="C498" t="str">
            <v>1334</v>
          </cell>
          <cell r="D498" t="str">
            <v>Набор посуды АСТРА</v>
          </cell>
          <cell r="G498" t="str">
            <v>01</v>
          </cell>
          <cell r="H498">
            <v>1890</v>
          </cell>
          <cell r="I498">
            <v>0</v>
          </cell>
          <cell r="J498">
            <v>0</v>
          </cell>
          <cell r="K498">
            <v>0.31</v>
          </cell>
          <cell r="L498" t="str">
            <v>88</v>
          </cell>
          <cell r="M498" t="str">
            <v>45801</v>
          </cell>
          <cell r="N498" t="str">
            <v>16 2691533</v>
          </cell>
          <cell r="O498" t="str">
            <v>067</v>
          </cell>
          <cell r="P498">
            <v>12.5</v>
          </cell>
          <cell r="Q498">
            <v>0</v>
          </cell>
          <cell r="R498" t="str">
            <v>1</v>
          </cell>
          <cell r="S498" t="str">
            <v>45</v>
          </cell>
          <cell r="T498">
            <v>95</v>
          </cell>
          <cell r="U498">
            <v>4</v>
          </cell>
          <cell r="V498">
            <v>95</v>
          </cell>
          <cell r="W498">
            <v>4</v>
          </cell>
          <cell r="X498">
            <v>95</v>
          </cell>
          <cell r="Y498">
            <v>0</v>
          </cell>
          <cell r="Z498">
            <v>0</v>
          </cell>
          <cell r="AD498" t="str">
            <v>0</v>
          </cell>
          <cell r="AE498" t="str">
            <v>0</v>
          </cell>
          <cell r="AF498" t="str">
            <v>00</v>
          </cell>
          <cell r="AI498">
            <v>6183535</v>
          </cell>
          <cell r="AJ498">
            <v>2061178.33</v>
          </cell>
        </row>
        <row r="499">
          <cell r="A499" t="str">
            <v>02</v>
          </cell>
          <cell r="B499" t="str">
            <v>03</v>
          </cell>
          <cell r="C499" t="str">
            <v>1235</v>
          </cell>
          <cell r="D499" t="str">
            <v>Набор посуды АСТРА</v>
          </cell>
          <cell r="G499" t="str">
            <v>01</v>
          </cell>
          <cell r="H499">
            <v>1890</v>
          </cell>
          <cell r="I499">
            <v>0</v>
          </cell>
          <cell r="J499">
            <v>0</v>
          </cell>
          <cell r="K499">
            <v>0.31</v>
          </cell>
          <cell r="L499" t="str">
            <v>88</v>
          </cell>
          <cell r="M499" t="str">
            <v>45801</v>
          </cell>
          <cell r="N499" t="str">
            <v>16 2691533</v>
          </cell>
          <cell r="O499" t="str">
            <v>067</v>
          </cell>
          <cell r="P499">
            <v>12.5</v>
          </cell>
          <cell r="Q499">
            <v>0</v>
          </cell>
          <cell r="R499" t="str">
            <v>1</v>
          </cell>
          <cell r="S499" t="str">
            <v>45</v>
          </cell>
          <cell r="T499">
            <v>95</v>
          </cell>
          <cell r="U499">
            <v>4</v>
          </cell>
          <cell r="V499">
            <v>95</v>
          </cell>
          <cell r="W499">
            <v>4</v>
          </cell>
          <cell r="X499">
            <v>95</v>
          </cell>
          <cell r="Y499">
            <v>0</v>
          </cell>
          <cell r="Z499">
            <v>0</v>
          </cell>
          <cell r="AA499" t="str">
            <v>1</v>
          </cell>
          <cell r="AB499" t="str">
            <v>15</v>
          </cell>
          <cell r="AC499">
            <v>7</v>
          </cell>
          <cell r="AD499" t="str">
            <v>0</v>
          </cell>
          <cell r="AE499" t="str">
            <v>0</v>
          </cell>
          <cell r="AF499" t="str">
            <v>00</v>
          </cell>
          <cell r="AI499">
            <v>6183535</v>
          </cell>
          <cell r="AJ499">
            <v>2061178.33</v>
          </cell>
        </row>
        <row r="500">
          <cell r="A500" t="str">
            <v>02</v>
          </cell>
          <cell r="B500" t="str">
            <v>03</v>
          </cell>
          <cell r="C500" t="str">
            <v>1336</v>
          </cell>
          <cell r="D500" t="str">
            <v>Набор посуды СТАНДАР</v>
          </cell>
          <cell r="E500" t="str">
            <v>Т</v>
          </cell>
          <cell r="G500" t="str">
            <v>01</v>
          </cell>
          <cell r="H500">
            <v>2100</v>
          </cell>
          <cell r="I500">
            <v>0</v>
          </cell>
          <cell r="J500">
            <v>0</v>
          </cell>
          <cell r="K500">
            <v>0.27</v>
          </cell>
          <cell r="L500" t="str">
            <v>88</v>
          </cell>
          <cell r="M500" t="str">
            <v>45801</v>
          </cell>
          <cell r="N500" t="str">
            <v>16 2691533</v>
          </cell>
          <cell r="O500" t="str">
            <v>067</v>
          </cell>
          <cell r="P500">
            <v>12.5</v>
          </cell>
          <cell r="Q500">
            <v>0</v>
          </cell>
          <cell r="R500" t="str">
            <v>1</v>
          </cell>
          <cell r="S500" t="str">
            <v>45</v>
          </cell>
          <cell r="T500">
            <v>95</v>
          </cell>
          <cell r="U500">
            <v>4</v>
          </cell>
          <cell r="V500">
            <v>95</v>
          </cell>
          <cell r="W500">
            <v>4</v>
          </cell>
          <cell r="X500">
            <v>95</v>
          </cell>
          <cell r="Y500">
            <v>0</v>
          </cell>
          <cell r="Z500">
            <v>0</v>
          </cell>
          <cell r="AA500" t="str">
            <v>1</v>
          </cell>
          <cell r="AB500" t="str">
            <v>15</v>
          </cell>
          <cell r="AC500">
            <v>7</v>
          </cell>
          <cell r="AD500" t="str">
            <v>0</v>
          </cell>
          <cell r="AE500" t="str">
            <v>0</v>
          </cell>
          <cell r="AF500" t="str">
            <v>00</v>
          </cell>
          <cell r="AI500">
            <v>7654384</v>
          </cell>
          <cell r="AJ500">
            <v>2551461.33</v>
          </cell>
        </row>
        <row r="501">
          <cell r="A501" t="str">
            <v>02</v>
          </cell>
          <cell r="B501" t="str">
            <v>80</v>
          </cell>
          <cell r="C501" t="str">
            <v>1342</v>
          </cell>
          <cell r="D501" t="str">
            <v>Компьютер PENTUM-90</v>
          </cell>
          <cell r="E501" t="str">
            <v>c принтером EPSON в</v>
          </cell>
          <cell r="F501" t="str">
            <v>к-те с кабелем</v>
          </cell>
          <cell r="G501" t="str">
            <v>01</v>
          </cell>
          <cell r="H501">
            <v>6580.9</v>
          </cell>
          <cell r="I501">
            <v>0</v>
          </cell>
          <cell r="J501">
            <v>0</v>
          </cell>
          <cell r="K501">
            <v>0.13</v>
          </cell>
          <cell r="L501" t="str">
            <v>26</v>
          </cell>
          <cell r="M501" t="str">
            <v>48008</v>
          </cell>
          <cell r="N501" t="str">
            <v>14 3020203</v>
          </cell>
          <cell r="O501" t="str">
            <v>063</v>
          </cell>
          <cell r="P501">
            <v>10</v>
          </cell>
          <cell r="Q501">
            <v>0</v>
          </cell>
          <cell r="R501" t="str">
            <v>1</v>
          </cell>
          <cell r="S501" t="str">
            <v>48</v>
          </cell>
          <cell r="T501">
            <v>95</v>
          </cell>
          <cell r="U501">
            <v>4</v>
          </cell>
          <cell r="V501">
            <v>95</v>
          </cell>
          <cell r="W501">
            <v>4</v>
          </cell>
          <cell r="X501">
            <v>95</v>
          </cell>
          <cell r="Y501">
            <v>0</v>
          </cell>
          <cell r="Z501">
            <v>0</v>
          </cell>
          <cell r="AD501" t="str">
            <v>0</v>
          </cell>
          <cell r="AE501" t="str">
            <v>0</v>
          </cell>
          <cell r="AF501" t="str">
            <v>00</v>
          </cell>
          <cell r="AI501">
            <v>37740000</v>
          </cell>
          <cell r="AJ501">
            <v>10064000</v>
          </cell>
        </row>
        <row r="502">
          <cell r="A502" t="str">
            <v>02</v>
          </cell>
          <cell r="B502" t="str">
            <v>80</v>
          </cell>
          <cell r="C502" t="str">
            <v>1343</v>
          </cell>
          <cell r="D502" t="str">
            <v>Компьютер PENTUM-90</v>
          </cell>
          <cell r="E502" t="str">
            <v>c принтером EPSON в</v>
          </cell>
          <cell r="F502" t="str">
            <v>к-те с кабелем</v>
          </cell>
          <cell r="G502" t="str">
            <v>01</v>
          </cell>
          <cell r="H502">
            <v>6580.9</v>
          </cell>
          <cell r="I502">
            <v>0</v>
          </cell>
          <cell r="J502">
            <v>0</v>
          </cell>
          <cell r="K502">
            <v>0.13</v>
          </cell>
          <cell r="L502" t="str">
            <v>26</v>
          </cell>
          <cell r="M502" t="str">
            <v>48008</v>
          </cell>
          <cell r="N502" t="str">
            <v>14 3020203</v>
          </cell>
          <cell r="O502" t="str">
            <v>063</v>
          </cell>
          <cell r="P502">
            <v>10</v>
          </cell>
          <cell r="Q502">
            <v>0</v>
          </cell>
          <cell r="R502" t="str">
            <v>1</v>
          </cell>
          <cell r="S502" t="str">
            <v>48</v>
          </cell>
          <cell r="T502">
            <v>95</v>
          </cell>
          <cell r="U502">
            <v>4</v>
          </cell>
          <cell r="V502">
            <v>95</v>
          </cell>
          <cell r="W502">
            <v>4</v>
          </cell>
          <cell r="X502">
            <v>95</v>
          </cell>
          <cell r="Y502">
            <v>0</v>
          </cell>
          <cell r="Z502">
            <v>0</v>
          </cell>
          <cell r="AD502" t="str">
            <v>0</v>
          </cell>
          <cell r="AE502" t="str">
            <v>0</v>
          </cell>
          <cell r="AF502" t="str">
            <v>00</v>
          </cell>
          <cell r="AI502">
            <v>37740000</v>
          </cell>
          <cell r="AJ502">
            <v>10064000</v>
          </cell>
        </row>
        <row r="503">
          <cell r="A503" t="str">
            <v>02</v>
          </cell>
          <cell r="B503" t="str">
            <v>23</v>
          </cell>
          <cell r="C503" t="str">
            <v>1293</v>
          </cell>
          <cell r="D503" t="str">
            <v>А/кран КРАЗ-250</v>
          </cell>
          <cell r="E503" t="str">
            <v>N В485ВТ дв10040</v>
          </cell>
          <cell r="F503" t="str">
            <v>ш.738849</v>
          </cell>
          <cell r="G503" t="str">
            <v>01</v>
          </cell>
          <cell r="H503">
            <v>298071.40000000002</v>
          </cell>
          <cell r="I503">
            <v>27124.5</v>
          </cell>
          <cell r="J503">
            <v>0</v>
          </cell>
          <cell r="K503">
            <v>1.03</v>
          </cell>
          <cell r="L503" t="str">
            <v>23</v>
          </cell>
          <cell r="M503" t="str">
            <v>41701</v>
          </cell>
          <cell r="N503" t="str">
            <v>14 2915242</v>
          </cell>
          <cell r="O503" t="str">
            <v>067</v>
          </cell>
          <cell r="P503">
            <v>9.1</v>
          </cell>
          <cell r="Q503">
            <v>0</v>
          </cell>
          <cell r="R503" t="str">
            <v>1</v>
          </cell>
          <cell r="S503" t="str">
            <v>41</v>
          </cell>
          <cell r="T503">
            <v>93</v>
          </cell>
          <cell r="U503">
            <v>12</v>
          </cell>
          <cell r="V503">
            <v>93</v>
          </cell>
          <cell r="W503">
            <v>12</v>
          </cell>
          <cell r="X503">
            <v>93</v>
          </cell>
          <cell r="Y503">
            <v>0</v>
          </cell>
          <cell r="Z503">
            <v>0</v>
          </cell>
          <cell r="AC503">
            <v>0</v>
          </cell>
          <cell r="AD503" t="str">
            <v>0</v>
          </cell>
          <cell r="AE503" t="str">
            <v>0</v>
          </cell>
          <cell r="AF503" t="str">
            <v>00</v>
          </cell>
          <cell r="AI503">
            <v>288987654</v>
          </cell>
          <cell r="AJ503">
            <v>105191506.06999999</v>
          </cell>
        </row>
        <row r="504">
          <cell r="A504" t="str">
            <v>02</v>
          </cell>
          <cell r="B504" t="str">
            <v>23</v>
          </cell>
          <cell r="C504" t="str">
            <v>1294</v>
          </cell>
          <cell r="D504" t="str">
            <v>УРАЛ-5557 КС3574а/кр</v>
          </cell>
          <cell r="E504" t="str">
            <v>госN 14-66 КШШ</v>
          </cell>
          <cell r="F504" t="str">
            <v>дв 983054 ш035208</v>
          </cell>
          <cell r="G504" t="str">
            <v>01</v>
          </cell>
          <cell r="H504">
            <v>257300</v>
          </cell>
          <cell r="I504">
            <v>23414.3</v>
          </cell>
          <cell r="J504">
            <v>0</v>
          </cell>
          <cell r="K504">
            <v>1.05</v>
          </cell>
          <cell r="L504" t="str">
            <v>23</v>
          </cell>
          <cell r="M504" t="str">
            <v>41701</v>
          </cell>
          <cell r="N504" t="str">
            <v>14 2915242</v>
          </cell>
          <cell r="O504" t="str">
            <v>067</v>
          </cell>
          <cell r="P504">
            <v>9.1</v>
          </cell>
          <cell r="Q504">
            <v>0</v>
          </cell>
          <cell r="R504" t="str">
            <v>1</v>
          </cell>
          <cell r="S504" t="str">
            <v>41</v>
          </cell>
          <cell r="T504">
            <v>93</v>
          </cell>
          <cell r="U504">
            <v>12</v>
          </cell>
          <cell r="V504">
            <v>93</v>
          </cell>
          <cell r="W504">
            <v>12</v>
          </cell>
          <cell r="X504">
            <v>93</v>
          </cell>
          <cell r="Y504">
            <v>0</v>
          </cell>
          <cell r="Z504">
            <v>0</v>
          </cell>
          <cell r="AD504" t="str">
            <v>0</v>
          </cell>
          <cell r="AE504" t="str">
            <v>0</v>
          </cell>
          <cell r="AF504" t="str">
            <v>00</v>
          </cell>
          <cell r="AI504">
            <v>243950617</v>
          </cell>
          <cell r="AJ504">
            <v>88798024.590000004</v>
          </cell>
        </row>
        <row r="505">
          <cell r="A505" t="str">
            <v>02</v>
          </cell>
          <cell r="B505" t="str">
            <v>23</v>
          </cell>
          <cell r="C505" t="str">
            <v>1264</v>
          </cell>
          <cell r="D505" t="str">
            <v>Урал-375 плетевоз</v>
          </cell>
          <cell r="E505" t="str">
            <v>N В804РА</v>
          </cell>
          <cell r="F505" t="str">
            <v>дв445383  ш.б/н</v>
          </cell>
          <cell r="G505" t="str">
            <v>01</v>
          </cell>
          <cell r="H505">
            <v>132000</v>
          </cell>
          <cell r="I505">
            <v>24695.9</v>
          </cell>
          <cell r="J505">
            <v>0</v>
          </cell>
          <cell r="K505">
            <v>1.06</v>
          </cell>
          <cell r="L505" t="str">
            <v>23</v>
          </cell>
          <cell r="M505" t="str">
            <v>50402</v>
          </cell>
          <cell r="N505" t="str">
            <v>14 2928262</v>
          </cell>
          <cell r="O505" t="str">
            <v>075</v>
          </cell>
          <cell r="P505">
            <v>0.37</v>
          </cell>
          <cell r="Q505">
            <v>0</v>
          </cell>
          <cell r="R505" t="str">
            <v>1</v>
          </cell>
          <cell r="S505" t="str">
            <v>50</v>
          </cell>
          <cell r="T505">
            <v>82</v>
          </cell>
          <cell r="U505">
            <v>12</v>
          </cell>
          <cell r="V505">
            <v>82</v>
          </cell>
          <cell r="W505">
            <v>12</v>
          </cell>
          <cell r="X505">
            <v>82</v>
          </cell>
          <cell r="Y505">
            <v>0</v>
          </cell>
          <cell r="Z505">
            <v>0</v>
          </cell>
          <cell r="AD505" t="str">
            <v>0</v>
          </cell>
          <cell r="AE505" t="str">
            <v>0</v>
          </cell>
          <cell r="AF505" t="str">
            <v>00</v>
          </cell>
          <cell r="AI505">
            <v>124444444</v>
          </cell>
          <cell r="AJ505">
            <v>58604402.159999996</v>
          </cell>
        </row>
        <row r="506">
          <cell r="A506" t="str">
            <v>02</v>
          </cell>
          <cell r="B506" t="str">
            <v>23</v>
          </cell>
          <cell r="C506" t="str">
            <v>3857</v>
          </cell>
          <cell r="D506" t="str">
            <v>А/м ВАЗ-2121 легкова</v>
          </cell>
          <cell r="E506" t="str">
            <v>я салон NоВ606ХО</v>
          </cell>
          <cell r="F506" t="str">
            <v>дв4519586 куз1034912</v>
          </cell>
          <cell r="G506" t="str">
            <v>01</v>
          </cell>
          <cell r="H506">
            <v>22680</v>
          </cell>
          <cell r="I506">
            <v>4054.05</v>
          </cell>
          <cell r="J506">
            <v>0</v>
          </cell>
          <cell r="K506">
            <v>0.61</v>
          </cell>
          <cell r="L506" t="str">
            <v>26</v>
          </cell>
          <cell r="M506" t="str">
            <v>50416</v>
          </cell>
          <cell r="N506" t="str">
            <v>15 3410110</v>
          </cell>
          <cell r="O506" t="str">
            <v>071</v>
          </cell>
          <cell r="P506">
            <v>14.3</v>
          </cell>
          <cell r="Q506">
            <v>0</v>
          </cell>
          <cell r="R506" t="str">
            <v>1</v>
          </cell>
          <cell r="S506" t="str">
            <v>50</v>
          </cell>
          <cell r="T506">
            <v>92</v>
          </cell>
          <cell r="U506">
            <v>9</v>
          </cell>
          <cell r="V506">
            <v>93</v>
          </cell>
          <cell r="W506">
            <v>9</v>
          </cell>
          <cell r="X506">
            <v>93</v>
          </cell>
          <cell r="Y506">
            <v>0</v>
          </cell>
          <cell r="Z506">
            <v>0</v>
          </cell>
          <cell r="AD506" t="str">
            <v>0</v>
          </cell>
          <cell r="AE506" t="str">
            <v>0</v>
          </cell>
          <cell r="AF506" t="str">
            <v>00</v>
          </cell>
          <cell r="AI506">
            <v>36938272</v>
          </cell>
          <cell r="AJ506">
            <v>22449234.809999999</v>
          </cell>
        </row>
        <row r="507">
          <cell r="A507" t="str">
            <v>02</v>
          </cell>
          <cell r="B507" t="str">
            <v>23</v>
          </cell>
          <cell r="C507" t="str">
            <v>1297</v>
          </cell>
          <cell r="D507" t="str">
            <v>ПАЗ-3205 автобус</v>
          </cell>
          <cell r="E507" t="str">
            <v>Nо28-88 КШЦ</v>
          </cell>
          <cell r="F507" t="str">
            <v>дв77976 ш9302725</v>
          </cell>
          <cell r="G507" t="str">
            <v>01</v>
          </cell>
          <cell r="H507">
            <v>87800</v>
          </cell>
          <cell r="I507">
            <v>8780</v>
          </cell>
          <cell r="J507">
            <v>0</v>
          </cell>
          <cell r="K507">
            <v>0.9</v>
          </cell>
          <cell r="L507" t="str">
            <v>23</v>
          </cell>
          <cell r="M507" t="str">
            <v>50423</v>
          </cell>
          <cell r="N507" t="str">
            <v>15 3410260</v>
          </cell>
          <cell r="O507" t="str">
            <v>072</v>
          </cell>
          <cell r="P507">
            <v>10</v>
          </cell>
          <cell r="Q507">
            <v>0</v>
          </cell>
          <cell r="R507" t="str">
            <v>1</v>
          </cell>
          <cell r="S507" t="str">
            <v>50</v>
          </cell>
          <cell r="T507">
            <v>92</v>
          </cell>
          <cell r="U507">
            <v>12</v>
          </cell>
          <cell r="V507">
            <v>93</v>
          </cell>
          <cell r="W507">
            <v>12</v>
          </cell>
          <cell r="X507">
            <v>93</v>
          </cell>
          <cell r="Y507">
            <v>0</v>
          </cell>
          <cell r="Z507">
            <v>0</v>
          </cell>
          <cell r="AD507" t="str">
            <v>0</v>
          </cell>
          <cell r="AE507" t="str">
            <v>0</v>
          </cell>
          <cell r="AF507" t="str">
            <v>00</v>
          </cell>
          <cell r="AI507">
            <v>97777778</v>
          </cell>
          <cell r="AJ507">
            <v>39111111.200000003</v>
          </cell>
        </row>
        <row r="508">
          <cell r="A508" t="str">
            <v>02</v>
          </cell>
          <cell r="B508" t="str">
            <v>23</v>
          </cell>
          <cell r="C508" t="str">
            <v>1265</v>
          </cell>
          <cell r="D508" t="str">
            <v>ЗИЛ-131 мастерская</v>
          </cell>
          <cell r="E508" t="str">
            <v>ПЭЛХЗ Nо11-30 КШШ</v>
          </cell>
          <cell r="F508" t="str">
            <v>дв029796 ш037472</v>
          </cell>
          <cell r="G508" t="str">
            <v>01</v>
          </cell>
          <cell r="H508">
            <v>168844.45</v>
          </cell>
          <cell r="I508">
            <v>33768.89</v>
          </cell>
          <cell r="J508">
            <v>0</v>
          </cell>
          <cell r="K508">
            <v>1.31</v>
          </cell>
          <cell r="L508" t="str">
            <v>23</v>
          </cell>
          <cell r="M508" t="str">
            <v>50426</v>
          </cell>
          <cell r="N508" t="str">
            <v>15 3410359</v>
          </cell>
          <cell r="O508" t="str">
            <v>073</v>
          </cell>
          <cell r="P508">
            <v>10</v>
          </cell>
          <cell r="Q508">
            <v>0</v>
          </cell>
          <cell r="R508" t="str">
            <v>1</v>
          </cell>
          <cell r="S508" t="str">
            <v>50</v>
          </cell>
          <cell r="T508">
            <v>92</v>
          </cell>
          <cell r="U508">
            <v>12</v>
          </cell>
          <cell r="V508">
            <v>92</v>
          </cell>
          <cell r="W508">
            <v>12</v>
          </cell>
          <cell r="X508">
            <v>92</v>
          </cell>
          <cell r="Y508">
            <v>0</v>
          </cell>
          <cell r="Z508">
            <v>0</v>
          </cell>
          <cell r="AD508" t="str">
            <v>0</v>
          </cell>
          <cell r="AE508" t="str">
            <v>0</v>
          </cell>
          <cell r="AF508" t="str">
            <v>00</v>
          </cell>
          <cell r="AI508">
            <v>128888889</v>
          </cell>
          <cell r="AJ508">
            <v>64444444.5</v>
          </cell>
        </row>
        <row r="509">
          <cell r="A509" t="str">
            <v>02</v>
          </cell>
          <cell r="B509" t="str">
            <v>23</v>
          </cell>
          <cell r="C509" t="str">
            <v>1292</v>
          </cell>
          <cell r="D509" t="str">
            <v>КАМАЗ-5511 спец.а/бе</v>
          </cell>
          <cell r="E509" t="str">
            <v>тоносмес.N В982ОВ</v>
          </cell>
          <cell r="F509" t="str">
            <v>дв261162 ш131521</v>
          </cell>
          <cell r="G509" t="str">
            <v>01</v>
          </cell>
          <cell r="H509">
            <v>175000</v>
          </cell>
          <cell r="I509">
            <v>70000</v>
          </cell>
          <cell r="J509">
            <v>0</v>
          </cell>
          <cell r="K509">
            <v>0.7</v>
          </cell>
          <cell r="L509" t="str">
            <v>23</v>
          </cell>
          <cell r="M509" t="str">
            <v>50426</v>
          </cell>
          <cell r="N509" t="str">
            <v>15 3410373</v>
          </cell>
          <cell r="O509" t="str">
            <v>073</v>
          </cell>
          <cell r="P509">
            <v>10</v>
          </cell>
          <cell r="Q509">
            <v>0</v>
          </cell>
          <cell r="R509" t="str">
            <v>1</v>
          </cell>
          <cell r="S509" t="str">
            <v>50</v>
          </cell>
          <cell r="T509">
            <v>90</v>
          </cell>
          <cell r="U509">
            <v>12</v>
          </cell>
          <cell r="V509">
            <v>90</v>
          </cell>
          <cell r="W509">
            <v>12</v>
          </cell>
          <cell r="X509">
            <v>90</v>
          </cell>
          <cell r="Y509">
            <v>0</v>
          </cell>
          <cell r="Z509">
            <v>0</v>
          </cell>
          <cell r="AA509" t="str">
            <v>1</v>
          </cell>
          <cell r="AB509" t="str">
            <v>13</v>
          </cell>
          <cell r="AC509">
            <v>7</v>
          </cell>
          <cell r="AD509" t="str">
            <v>0</v>
          </cell>
          <cell r="AE509" t="str">
            <v>0</v>
          </cell>
          <cell r="AF509" t="str">
            <v>00</v>
          </cell>
          <cell r="AI509">
            <v>248888889</v>
          </cell>
          <cell r="AJ509">
            <v>174222222.63</v>
          </cell>
        </row>
        <row r="510">
          <cell r="A510" t="str">
            <v>20</v>
          </cell>
          <cell r="B510" t="str">
            <v>17</v>
          </cell>
          <cell r="C510" t="str">
            <v>1348</v>
          </cell>
          <cell r="D510" t="str">
            <v>Вагончик жилой</v>
          </cell>
          <cell r="E510" t="str">
            <v>дерево-мет.60 х 3.1м</v>
          </cell>
          <cell r="F510" t="str">
            <v>Финляндия</v>
          </cell>
          <cell r="G510" t="str">
            <v>01</v>
          </cell>
          <cell r="H510">
            <v>26583.1</v>
          </cell>
          <cell r="I510">
            <v>0</v>
          </cell>
          <cell r="J510">
            <v>28800</v>
          </cell>
          <cell r="K510">
            <v>1.38</v>
          </cell>
          <cell r="L510" t="str">
            <v>88/4</v>
          </cell>
          <cell r="M510" t="str">
            <v>10010</v>
          </cell>
          <cell r="N510" t="str">
            <v>13 3420175</v>
          </cell>
          <cell r="O510" t="str">
            <v>01</v>
          </cell>
          <cell r="P510">
            <v>12.5</v>
          </cell>
          <cell r="Q510">
            <v>0</v>
          </cell>
          <cell r="R510" t="str">
            <v>1</v>
          </cell>
          <cell r="S510" t="str">
            <v>10</v>
          </cell>
          <cell r="T510">
            <v>95</v>
          </cell>
          <cell r="U510">
            <v>5</v>
          </cell>
          <cell r="V510">
            <v>95</v>
          </cell>
          <cell r="W510">
            <v>5</v>
          </cell>
          <cell r="X510">
            <v>95</v>
          </cell>
          <cell r="Y510">
            <v>12</v>
          </cell>
          <cell r="Z510">
            <v>95</v>
          </cell>
          <cell r="AB510" t="str">
            <v>14</v>
          </cell>
          <cell r="AC510">
            <v>12</v>
          </cell>
          <cell r="AD510" t="str">
            <v>0</v>
          </cell>
          <cell r="AE510" t="str">
            <v>0</v>
          </cell>
          <cell r="AF510" t="str">
            <v>20</v>
          </cell>
          <cell r="AG510">
            <v>20800000</v>
          </cell>
          <cell r="AI510">
            <v>20800000</v>
          </cell>
          <cell r="AJ510">
            <v>6599919.9400000004</v>
          </cell>
        </row>
        <row r="511">
          <cell r="A511" t="str">
            <v>02</v>
          </cell>
          <cell r="B511" t="str">
            <v>03</v>
          </cell>
          <cell r="C511" t="str">
            <v>1349</v>
          </cell>
          <cell r="D511" t="str">
            <v>Вагончик жилой</v>
          </cell>
          <cell r="E511" t="str">
            <v>дерево-мет. 6 х 3.1м</v>
          </cell>
          <cell r="F511" t="str">
            <v>Финляндия</v>
          </cell>
          <cell r="G511" t="str">
            <v>01</v>
          </cell>
          <cell r="H511">
            <v>26583.1</v>
          </cell>
          <cell r="I511">
            <v>0</v>
          </cell>
          <cell r="J511">
            <v>28800</v>
          </cell>
          <cell r="K511">
            <v>1.38</v>
          </cell>
          <cell r="L511" t="str">
            <v>26</v>
          </cell>
          <cell r="M511" t="str">
            <v>10010</v>
          </cell>
          <cell r="N511" t="str">
            <v>13 3420175</v>
          </cell>
          <cell r="O511" t="str">
            <v>01</v>
          </cell>
          <cell r="P511">
            <v>12.5</v>
          </cell>
          <cell r="Q511">
            <v>0</v>
          </cell>
          <cell r="R511" t="str">
            <v>1</v>
          </cell>
          <cell r="S511" t="str">
            <v>10</v>
          </cell>
          <cell r="T511">
            <v>95</v>
          </cell>
          <cell r="U511">
            <v>5</v>
          </cell>
          <cell r="V511">
            <v>95</v>
          </cell>
          <cell r="W511">
            <v>5</v>
          </cell>
          <cell r="X511">
            <v>95</v>
          </cell>
          <cell r="Y511">
            <v>12</v>
          </cell>
          <cell r="Z511">
            <v>95</v>
          </cell>
          <cell r="AA511" t="str">
            <v>1</v>
          </cell>
          <cell r="AB511" t="str">
            <v>13</v>
          </cell>
          <cell r="AC511">
            <v>6</v>
          </cell>
          <cell r="AD511" t="str">
            <v>0</v>
          </cell>
          <cell r="AE511" t="str">
            <v>0</v>
          </cell>
          <cell r="AF511" t="str">
            <v>00</v>
          </cell>
          <cell r="AG511">
            <v>20800000</v>
          </cell>
          <cell r="AI511">
            <v>20800000</v>
          </cell>
          <cell r="AJ511">
            <v>6599919.9400000004</v>
          </cell>
        </row>
        <row r="512">
          <cell r="A512" t="str">
            <v>02</v>
          </cell>
          <cell r="B512" t="str">
            <v>03</v>
          </cell>
          <cell r="C512" t="str">
            <v>1350</v>
          </cell>
          <cell r="D512" t="str">
            <v>Вагончик жилой</v>
          </cell>
          <cell r="E512" t="str">
            <v>дерево-мет. 6 х 3.1м</v>
          </cell>
          <cell r="F512" t="str">
            <v>Финляндия</v>
          </cell>
          <cell r="G512" t="str">
            <v>01</v>
          </cell>
          <cell r="H512">
            <v>26583.1</v>
          </cell>
          <cell r="I512">
            <v>0</v>
          </cell>
          <cell r="J512">
            <v>28800</v>
          </cell>
          <cell r="K512">
            <v>1.38</v>
          </cell>
          <cell r="L512" t="str">
            <v>26</v>
          </cell>
          <cell r="M512" t="str">
            <v>10010</v>
          </cell>
          <cell r="N512" t="str">
            <v>13 3420175</v>
          </cell>
          <cell r="O512" t="str">
            <v>01</v>
          </cell>
          <cell r="P512">
            <v>12.5</v>
          </cell>
          <cell r="Q512">
            <v>0</v>
          </cell>
          <cell r="R512" t="str">
            <v>1</v>
          </cell>
          <cell r="S512" t="str">
            <v>10</v>
          </cell>
          <cell r="T512">
            <v>95</v>
          </cell>
          <cell r="U512">
            <v>5</v>
          </cell>
          <cell r="V512">
            <v>95</v>
          </cell>
          <cell r="W512">
            <v>5</v>
          </cell>
          <cell r="X512">
            <v>95</v>
          </cell>
          <cell r="Y512">
            <v>12</v>
          </cell>
          <cell r="Z512">
            <v>95</v>
          </cell>
          <cell r="AA512" t="str">
            <v>1</v>
          </cell>
          <cell r="AB512" t="str">
            <v>13</v>
          </cell>
          <cell r="AC512">
            <v>6</v>
          </cell>
          <cell r="AD512" t="str">
            <v>0</v>
          </cell>
          <cell r="AE512" t="str">
            <v>0</v>
          </cell>
          <cell r="AF512" t="str">
            <v>00</v>
          </cell>
          <cell r="AG512">
            <v>20800000</v>
          </cell>
          <cell r="AI512">
            <v>20800000</v>
          </cell>
          <cell r="AJ512">
            <v>6599919.9400000004</v>
          </cell>
        </row>
        <row r="513">
          <cell r="A513" t="str">
            <v>02</v>
          </cell>
          <cell r="B513" t="str">
            <v>03</v>
          </cell>
          <cell r="C513" t="str">
            <v>1351</v>
          </cell>
          <cell r="D513" t="str">
            <v>Вагончик жилой</v>
          </cell>
          <cell r="E513" t="str">
            <v>дерево-мет.6 х 3.1м</v>
          </cell>
          <cell r="F513" t="str">
            <v>Финляндия</v>
          </cell>
          <cell r="G513" t="str">
            <v>01</v>
          </cell>
          <cell r="H513">
            <v>26583.1</v>
          </cell>
          <cell r="I513">
            <v>0</v>
          </cell>
          <cell r="J513">
            <v>28800</v>
          </cell>
          <cell r="K513">
            <v>1.38</v>
          </cell>
          <cell r="L513" t="str">
            <v>26</v>
          </cell>
          <cell r="M513" t="str">
            <v>10010</v>
          </cell>
          <cell r="N513" t="str">
            <v>13 3420175</v>
          </cell>
          <cell r="O513" t="str">
            <v>01</v>
          </cell>
          <cell r="P513">
            <v>12.5</v>
          </cell>
          <cell r="Q513">
            <v>0</v>
          </cell>
          <cell r="R513" t="str">
            <v>1</v>
          </cell>
          <cell r="S513" t="str">
            <v>10</v>
          </cell>
          <cell r="T513">
            <v>95</v>
          </cell>
          <cell r="U513">
            <v>5</v>
          </cell>
          <cell r="V513">
            <v>95</v>
          </cell>
          <cell r="W513">
            <v>5</v>
          </cell>
          <cell r="X513">
            <v>95</v>
          </cell>
          <cell r="Y513">
            <v>12</v>
          </cell>
          <cell r="Z513">
            <v>95</v>
          </cell>
          <cell r="AA513" t="str">
            <v>1</v>
          </cell>
          <cell r="AB513" t="str">
            <v>13</v>
          </cell>
          <cell r="AC513">
            <v>6</v>
          </cell>
          <cell r="AD513" t="str">
            <v>0</v>
          </cell>
          <cell r="AE513" t="str">
            <v>0</v>
          </cell>
          <cell r="AF513" t="str">
            <v>00</v>
          </cell>
          <cell r="AG513">
            <v>20800000</v>
          </cell>
          <cell r="AI513">
            <v>20800000</v>
          </cell>
          <cell r="AJ513">
            <v>6599919.9400000004</v>
          </cell>
        </row>
        <row r="514">
          <cell r="A514" t="str">
            <v>02</v>
          </cell>
          <cell r="B514" t="str">
            <v>03</v>
          </cell>
          <cell r="C514" t="str">
            <v>1352</v>
          </cell>
          <cell r="D514" t="str">
            <v>Вагончик жилой</v>
          </cell>
          <cell r="E514" t="str">
            <v>дерево-мет. 6 х 3.1м</v>
          </cell>
          <cell r="F514" t="str">
            <v>Финляндия</v>
          </cell>
          <cell r="G514" t="str">
            <v>01</v>
          </cell>
          <cell r="H514">
            <v>26583.1</v>
          </cell>
          <cell r="I514">
            <v>0</v>
          </cell>
          <cell r="J514">
            <v>28800</v>
          </cell>
          <cell r="K514">
            <v>1.38</v>
          </cell>
          <cell r="L514" t="str">
            <v>26</v>
          </cell>
          <cell r="M514" t="str">
            <v>10010</v>
          </cell>
          <cell r="N514" t="str">
            <v>13 3420175</v>
          </cell>
          <cell r="O514" t="str">
            <v>01</v>
          </cell>
          <cell r="P514">
            <v>12.5</v>
          </cell>
          <cell r="Q514">
            <v>0</v>
          </cell>
          <cell r="R514" t="str">
            <v>1</v>
          </cell>
          <cell r="S514" t="str">
            <v>10</v>
          </cell>
          <cell r="T514">
            <v>95</v>
          </cell>
          <cell r="U514">
            <v>5</v>
          </cell>
          <cell r="V514">
            <v>95</v>
          </cell>
          <cell r="W514">
            <v>5</v>
          </cell>
          <cell r="X514">
            <v>95</v>
          </cell>
          <cell r="Y514">
            <v>12</v>
          </cell>
          <cell r="Z514">
            <v>95</v>
          </cell>
          <cell r="AA514" t="str">
            <v>1</v>
          </cell>
          <cell r="AB514" t="str">
            <v>13</v>
          </cell>
          <cell r="AC514">
            <v>6</v>
          </cell>
          <cell r="AD514" t="str">
            <v>0</v>
          </cell>
          <cell r="AE514" t="str">
            <v>0</v>
          </cell>
          <cell r="AF514" t="str">
            <v>00</v>
          </cell>
          <cell r="AG514">
            <v>20800000</v>
          </cell>
          <cell r="AI514">
            <v>20800000</v>
          </cell>
          <cell r="AJ514">
            <v>6599919.9400000004</v>
          </cell>
        </row>
        <row r="515">
          <cell r="A515" t="str">
            <v>02</v>
          </cell>
          <cell r="B515" t="str">
            <v>03</v>
          </cell>
          <cell r="C515" t="str">
            <v>1353</v>
          </cell>
          <cell r="D515" t="str">
            <v>Вагончик жилой</v>
          </cell>
          <cell r="E515" t="str">
            <v>дерево-мет. 6 х 3.1м</v>
          </cell>
          <cell r="F515" t="str">
            <v>Финляндия</v>
          </cell>
          <cell r="G515" t="str">
            <v>01</v>
          </cell>
          <cell r="H515">
            <v>26583.1</v>
          </cell>
          <cell r="I515">
            <v>0</v>
          </cell>
          <cell r="J515">
            <v>28800</v>
          </cell>
          <cell r="K515">
            <v>1.38</v>
          </cell>
          <cell r="L515" t="str">
            <v>26</v>
          </cell>
          <cell r="M515" t="str">
            <v>10010</v>
          </cell>
          <cell r="N515" t="str">
            <v>13 3420175</v>
          </cell>
          <cell r="O515" t="str">
            <v>01</v>
          </cell>
          <cell r="P515">
            <v>12.5</v>
          </cell>
          <cell r="Q515">
            <v>0</v>
          </cell>
          <cell r="R515" t="str">
            <v>1</v>
          </cell>
          <cell r="S515" t="str">
            <v>10</v>
          </cell>
          <cell r="T515">
            <v>95</v>
          </cell>
          <cell r="U515">
            <v>5</v>
          </cell>
          <cell r="V515">
            <v>95</v>
          </cell>
          <cell r="W515">
            <v>5</v>
          </cell>
          <cell r="X515">
            <v>95</v>
          </cell>
          <cell r="Y515">
            <v>12</v>
          </cell>
          <cell r="Z515">
            <v>95</v>
          </cell>
          <cell r="AA515" t="str">
            <v>1</v>
          </cell>
          <cell r="AB515" t="str">
            <v>13</v>
          </cell>
          <cell r="AC515">
            <v>6</v>
          </cell>
          <cell r="AD515" t="str">
            <v>0</v>
          </cell>
          <cell r="AE515" t="str">
            <v>0</v>
          </cell>
          <cell r="AF515" t="str">
            <v>00</v>
          </cell>
          <cell r="AG515">
            <v>20800000</v>
          </cell>
          <cell r="AI515">
            <v>20800000</v>
          </cell>
          <cell r="AJ515">
            <v>6599919.9400000004</v>
          </cell>
        </row>
        <row r="516">
          <cell r="A516" t="str">
            <v>02</v>
          </cell>
          <cell r="B516" t="str">
            <v>03</v>
          </cell>
          <cell r="C516" t="str">
            <v>1354</v>
          </cell>
          <cell r="D516" t="str">
            <v>Вагончик жилой</v>
          </cell>
          <cell r="E516" t="str">
            <v>дерево-мет. 6 х 3.1м</v>
          </cell>
          <cell r="F516" t="str">
            <v>Финляндия</v>
          </cell>
          <cell r="G516" t="str">
            <v>01</v>
          </cell>
          <cell r="H516">
            <v>26583.1</v>
          </cell>
          <cell r="I516">
            <v>0</v>
          </cell>
          <cell r="J516">
            <v>28800</v>
          </cell>
          <cell r="K516">
            <v>1.38</v>
          </cell>
          <cell r="L516" t="str">
            <v>26</v>
          </cell>
          <cell r="M516" t="str">
            <v>10010</v>
          </cell>
          <cell r="N516" t="str">
            <v>13 3420175</v>
          </cell>
          <cell r="O516" t="str">
            <v>01</v>
          </cell>
          <cell r="P516">
            <v>12.5</v>
          </cell>
          <cell r="Q516">
            <v>0</v>
          </cell>
          <cell r="R516" t="str">
            <v>1</v>
          </cell>
          <cell r="S516" t="str">
            <v>10</v>
          </cell>
          <cell r="T516">
            <v>95</v>
          </cell>
          <cell r="U516">
            <v>5</v>
          </cell>
          <cell r="V516">
            <v>95</v>
          </cell>
          <cell r="W516">
            <v>5</v>
          </cell>
          <cell r="X516">
            <v>95</v>
          </cell>
          <cell r="Y516">
            <v>12</v>
          </cell>
          <cell r="Z516">
            <v>95</v>
          </cell>
          <cell r="AA516" t="str">
            <v>1</v>
          </cell>
          <cell r="AB516" t="str">
            <v>13</v>
          </cell>
          <cell r="AC516">
            <v>6</v>
          </cell>
          <cell r="AD516" t="str">
            <v>0</v>
          </cell>
          <cell r="AE516" t="str">
            <v>0</v>
          </cell>
          <cell r="AF516" t="str">
            <v>00</v>
          </cell>
          <cell r="AG516">
            <v>20800000</v>
          </cell>
          <cell r="AI516">
            <v>20800000</v>
          </cell>
          <cell r="AJ516">
            <v>6599919.9400000004</v>
          </cell>
        </row>
        <row r="517">
          <cell r="A517" t="str">
            <v>02</v>
          </cell>
          <cell r="B517" t="str">
            <v>03</v>
          </cell>
          <cell r="C517" t="str">
            <v>1355</v>
          </cell>
          <cell r="D517" t="str">
            <v>Вагончик жилой</v>
          </cell>
          <cell r="E517" t="str">
            <v>дерево-мет3 6 х 3.1м</v>
          </cell>
          <cell r="F517" t="str">
            <v>Финляндия</v>
          </cell>
          <cell r="G517" t="str">
            <v>01</v>
          </cell>
          <cell r="H517">
            <v>26583.1</v>
          </cell>
          <cell r="I517">
            <v>0</v>
          </cell>
          <cell r="J517">
            <v>28800</v>
          </cell>
          <cell r="K517">
            <v>1.38</v>
          </cell>
          <cell r="L517" t="str">
            <v>26</v>
          </cell>
          <cell r="M517" t="str">
            <v>10010</v>
          </cell>
          <cell r="N517" t="str">
            <v>13 3420175</v>
          </cell>
          <cell r="O517" t="str">
            <v>01</v>
          </cell>
          <cell r="P517">
            <v>12.5</v>
          </cell>
          <cell r="Q517">
            <v>0</v>
          </cell>
          <cell r="R517" t="str">
            <v>1</v>
          </cell>
          <cell r="S517" t="str">
            <v>10</v>
          </cell>
          <cell r="T517">
            <v>95</v>
          </cell>
          <cell r="U517">
            <v>5</v>
          </cell>
          <cell r="V517">
            <v>95</v>
          </cell>
          <cell r="W517">
            <v>5</v>
          </cell>
          <cell r="X517">
            <v>95</v>
          </cell>
          <cell r="Y517">
            <v>12</v>
          </cell>
          <cell r="Z517">
            <v>95</v>
          </cell>
          <cell r="AA517" t="str">
            <v>1</v>
          </cell>
          <cell r="AB517" t="str">
            <v>13</v>
          </cell>
          <cell r="AC517">
            <v>6</v>
          </cell>
          <cell r="AD517" t="str">
            <v>0</v>
          </cell>
          <cell r="AE517" t="str">
            <v>0</v>
          </cell>
          <cell r="AF517" t="str">
            <v>00</v>
          </cell>
          <cell r="AG517">
            <v>20800000</v>
          </cell>
          <cell r="AI517">
            <v>20800000</v>
          </cell>
          <cell r="AJ517">
            <v>6599919.9400000004</v>
          </cell>
        </row>
        <row r="518">
          <cell r="A518" t="str">
            <v>02</v>
          </cell>
          <cell r="B518" t="str">
            <v>03</v>
          </cell>
          <cell r="C518" t="str">
            <v>1356</v>
          </cell>
          <cell r="D518" t="str">
            <v>Вагончик жилой</v>
          </cell>
          <cell r="E518" t="str">
            <v>дерево-мет. 6 х 3.1м</v>
          </cell>
          <cell r="F518" t="str">
            <v>Финляндия</v>
          </cell>
          <cell r="G518" t="str">
            <v>01</v>
          </cell>
          <cell r="H518">
            <v>26583.1</v>
          </cell>
          <cell r="I518">
            <v>0</v>
          </cell>
          <cell r="J518">
            <v>28800</v>
          </cell>
          <cell r="K518">
            <v>1.38</v>
          </cell>
          <cell r="L518" t="str">
            <v>26</v>
          </cell>
          <cell r="M518" t="str">
            <v>10010</v>
          </cell>
          <cell r="N518" t="str">
            <v>13 3420175</v>
          </cell>
          <cell r="O518" t="str">
            <v>01</v>
          </cell>
          <cell r="P518">
            <v>12.5</v>
          </cell>
          <cell r="Q518">
            <v>0</v>
          </cell>
          <cell r="R518" t="str">
            <v>1</v>
          </cell>
          <cell r="S518" t="str">
            <v>10</v>
          </cell>
          <cell r="T518">
            <v>95</v>
          </cell>
          <cell r="U518">
            <v>5</v>
          </cell>
          <cell r="V518">
            <v>95</v>
          </cell>
          <cell r="W518">
            <v>5</v>
          </cell>
          <cell r="X518">
            <v>95</v>
          </cell>
          <cell r="Y518">
            <v>12</v>
          </cell>
          <cell r="Z518">
            <v>95</v>
          </cell>
          <cell r="AB518" t="str">
            <v>14</v>
          </cell>
          <cell r="AC518">
            <v>6</v>
          </cell>
          <cell r="AD518" t="str">
            <v>0</v>
          </cell>
          <cell r="AE518" t="str">
            <v>0</v>
          </cell>
          <cell r="AF518" t="str">
            <v>00</v>
          </cell>
          <cell r="AG518">
            <v>20800000</v>
          </cell>
          <cell r="AI518">
            <v>20800000</v>
          </cell>
          <cell r="AJ518">
            <v>6599919.9400000004</v>
          </cell>
        </row>
        <row r="519">
          <cell r="A519" t="str">
            <v>02</v>
          </cell>
          <cell r="B519" t="str">
            <v>03</v>
          </cell>
          <cell r="C519" t="str">
            <v>1357</v>
          </cell>
          <cell r="D519" t="str">
            <v>Вагончик жилой</v>
          </cell>
          <cell r="E519" t="str">
            <v>дерево-мет. 6 х 3.1м</v>
          </cell>
          <cell r="F519" t="str">
            <v>Финляндия</v>
          </cell>
          <cell r="G519" t="str">
            <v>01</v>
          </cell>
          <cell r="H519">
            <v>26583.1</v>
          </cell>
          <cell r="I519">
            <v>0</v>
          </cell>
          <cell r="J519">
            <v>28800</v>
          </cell>
          <cell r="K519">
            <v>1.38</v>
          </cell>
          <cell r="L519" t="str">
            <v>26</v>
          </cell>
          <cell r="M519" t="str">
            <v>10010</v>
          </cell>
          <cell r="N519" t="str">
            <v>13 3420175</v>
          </cell>
          <cell r="O519" t="str">
            <v>01</v>
          </cell>
          <cell r="P519">
            <v>12.5</v>
          </cell>
          <cell r="Q519">
            <v>0</v>
          </cell>
          <cell r="R519" t="str">
            <v>1</v>
          </cell>
          <cell r="S519" t="str">
            <v>10</v>
          </cell>
          <cell r="T519">
            <v>95</v>
          </cell>
          <cell r="U519">
            <v>5</v>
          </cell>
          <cell r="V519">
            <v>95</v>
          </cell>
          <cell r="W519">
            <v>5</v>
          </cell>
          <cell r="X519">
            <v>95</v>
          </cell>
          <cell r="Y519">
            <v>12</v>
          </cell>
          <cell r="Z519">
            <v>95</v>
          </cell>
          <cell r="AB519" t="str">
            <v>14</v>
          </cell>
          <cell r="AC519">
            <v>6</v>
          </cell>
          <cell r="AD519" t="str">
            <v>0</v>
          </cell>
          <cell r="AE519" t="str">
            <v>0</v>
          </cell>
          <cell r="AF519" t="str">
            <v>00</v>
          </cell>
          <cell r="AG519">
            <v>20800000</v>
          </cell>
          <cell r="AI519">
            <v>20800000</v>
          </cell>
          <cell r="AJ519">
            <v>6599919.9400000004</v>
          </cell>
        </row>
        <row r="520">
          <cell r="A520" t="str">
            <v>20</v>
          </cell>
          <cell r="B520" t="str">
            <v>17</v>
          </cell>
          <cell r="C520" t="str">
            <v>1358</v>
          </cell>
          <cell r="D520" t="str">
            <v>Вагончик жилой</v>
          </cell>
          <cell r="E520" t="str">
            <v>дерево-мет. 6 х 3.1м</v>
          </cell>
          <cell r="F520" t="str">
            <v>Финляндия</v>
          </cell>
          <cell r="G520" t="str">
            <v>01</v>
          </cell>
          <cell r="H520">
            <v>26583.1</v>
          </cell>
          <cell r="I520">
            <v>0</v>
          </cell>
          <cell r="J520">
            <v>28800</v>
          </cell>
          <cell r="K520">
            <v>1.38</v>
          </cell>
          <cell r="L520" t="str">
            <v>88/4</v>
          </cell>
          <cell r="M520" t="str">
            <v>10010</v>
          </cell>
          <cell r="N520" t="str">
            <v>13 3420175</v>
          </cell>
          <cell r="O520" t="str">
            <v>01</v>
          </cell>
          <cell r="P520">
            <v>12.5</v>
          </cell>
          <cell r="Q520">
            <v>0</v>
          </cell>
          <cell r="R520" t="str">
            <v>1</v>
          </cell>
          <cell r="S520" t="str">
            <v>10</v>
          </cell>
          <cell r="T520">
            <v>95</v>
          </cell>
          <cell r="U520">
            <v>5</v>
          </cell>
          <cell r="V520">
            <v>95</v>
          </cell>
          <cell r="W520">
            <v>5</v>
          </cell>
          <cell r="X520">
            <v>95</v>
          </cell>
          <cell r="Y520">
            <v>12</v>
          </cell>
          <cell r="Z520">
            <v>95</v>
          </cell>
          <cell r="AB520" t="str">
            <v>14</v>
          </cell>
          <cell r="AC520">
            <v>8</v>
          </cell>
          <cell r="AD520" t="str">
            <v>0</v>
          </cell>
          <cell r="AE520" t="str">
            <v>0</v>
          </cell>
          <cell r="AF520" t="str">
            <v>20</v>
          </cell>
          <cell r="AG520">
            <v>20800000</v>
          </cell>
          <cell r="AI520">
            <v>20800000</v>
          </cell>
          <cell r="AJ520">
            <v>6599919.9400000004</v>
          </cell>
        </row>
        <row r="521">
          <cell r="A521" t="str">
            <v>02</v>
          </cell>
          <cell r="B521" t="str">
            <v>03</v>
          </cell>
          <cell r="C521" t="str">
            <v>1359</v>
          </cell>
          <cell r="D521" t="str">
            <v>Вагончик жилой</v>
          </cell>
          <cell r="E521" t="str">
            <v>дерево-мет. 6 х 3.1м</v>
          </cell>
          <cell r="F521" t="str">
            <v>Финляндия</v>
          </cell>
          <cell r="G521" t="str">
            <v>01</v>
          </cell>
          <cell r="H521">
            <v>26583.1</v>
          </cell>
          <cell r="I521">
            <v>0</v>
          </cell>
          <cell r="J521">
            <v>28800</v>
          </cell>
          <cell r="K521">
            <v>1.38</v>
          </cell>
          <cell r="L521" t="str">
            <v>26</v>
          </cell>
          <cell r="M521" t="str">
            <v>10010</v>
          </cell>
          <cell r="N521" t="str">
            <v>13 3420175</v>
          </cell>
          <cell r="O521" t="str">
            <v>01</v>
          </cell>
          <cell r="P521">
            <v>12.5</v>
          </cell>
          <cell r="Q521">
            <v>0</v>
          </cell>
          <cell r="R521" t="str">
            <v>1</v>
          </cell>
          <cell r="S521" t="str">
            <v>10</v>
          </cell>
          <cell r="T521">
            <v>95</v>
          </cell>
          <cell r="U521">
            <v>5</v>
          </cell>
          <cell r="V521">
            <v>95</v>
          </cell>
          <cell r="W521">
            <v>5</v>
          </cell>
          <cell r="X521">
            <v>95</v>
          </cell>
          <cell r="Y521">
            <v>12</v>
          </cell>
          <cell r="Z521">
            <v>95</v>
          </cell>
          <cell r="AB521" t="str">
            <v>14</v>
          </cell>
          <cell r="AC521">
            <v>6</v>
          </cell>
          <cell r="AD521" t="str">
            <v>0</v>
          </cell>
          <cell r="AE521" t="str">
            <v>0</v>
          </cell>
          <cell r="AF521" t="str">
            <v>00</v>
          </cell>
          <cell r="AG521">
            <v>20800000</v>
          </cell>
          <cell r="AI521">
            <v>20800000</v>
          </cell>
          <cell r="AJ521">
            <v>6599919.9400000004</v>
          </cell>
        </row>
        <row r="522">
          <cell r="A522" t="str">
            <v>02</v>
          </cell>
          <cell r="B522" t="str">
            <v>03</v>
          </cell>
          <cell r="C522" t="str">
            <v>1360</v>
          </cell>
          <cell r="D522" t="str">
            <v>Вагончик жилой</v>
          </cell>
          <cell r="E522" t="str">
            <v>дерево-мет. 6 х 3.1м</v>
          </cell>
          <cell r="F522" t="str">
            <v>Финляндия</v>
          </cell>
          <cell r="G522" t="str">
            <v>01</v>
          </cell>
          <cell r="H522">
            <v>26583.1</v>
          </cell>
          <cell r="I522">
            <v>0</v>
          </cell>
          <cell r="J522">
            <v>28800</v>
          </cell>
          <cell r="K522">
            <v>1.38</v>
          </cell>
          <cell r="L522" t="str">
            <v>26</v>
          </cell>
          <cell r="M522" t="str">
            <v>10010</v>
          </cell>
          <cell r="N522" t="str">
            <v>13 3420175</v>
          </cell>
          <cell r="O522" t="str">
            <v>01</v>
          </cell>
          <cell r="P522">
            <v>12.5</v>
          </cell>
          <cell r="Q522">
            <v>0</v>
          </cell>
          <cell r="R522" t="str">
            <v>1</v>
          </cell>
          <cell r="S522" t="str">
            <v>10</v>
          </cell>
          <cell r="T522">
            <v>95</v>
          </cell>
          <cell r="U522">
            <v>5</v>
          </cell>
          <cell r="V522">
            <v>95</v>
          </cell>
          <cell r="W522">
            <v>5</v>
          </cell>
          <cell r="X522">
            <v>95</v>
          </cell>
          <cell r="Y522">
            <v>12</v>
          </cell>
          <cell r="Z522">
            <v>95</v>
          </cell>
          <cell r="AB522" t="str">
            <v>14</v>
          </cell>
          <cell r="AC522">
            <v>6</v>
          </cell>
          <cell r="AD522" t="str">
            <v>0</v>
          </cell>
          <cell r="AE522" t="str">
            <v>0</v>
          </cell>
          <cell r="AF522" t="str">
            <v>00</v>
          </cell>
          <cell r="AG522">
            <v>20800000</v>
          </cell>
          <cell r="AI522">
            <v>20800000</v>
          </cell>
          <cell r="AJ522">
            <v>6599919.9400000004</v>
          </cell>
        </row>
        <row r="523">
          <cell r="A523" t="str">
            <v>02</v>
          </cell>
          <cell r="B523" t="str">
            <v>03</v>
          </cell>
          <cell r="C523" t="str">
            <v>1361</v>
          </cell>
          <cell r="D523" t="str">
            <v>Вагончик жилой</v>
          </cell>
          <cell r="E523" t="str">
            <v>дерево-мет. 6 х 3.1м</v>
          </cell>
          <cell r="F523" t="str">
            <v>Финляндия</v>
          </cell>
          <cell r="G523" t="str">
            <v>01</v>
          </cell>
          <cell r="H523">
            <v>26583.1</v>
          </cell>
          <cell r="I523">
            <v>0</v>
          </cell>
          <cell r="J523">
            <v>28800</v>
          </cell>
          <cell r="K523">
            <v>1.38</v>
          </cell>
          <cell r="L523" t="str">
            <v>26</v>
          </cell>
          <cell r="M523" t="str">
            <v>10010</v>
          </cell>
          <cell r="N523" t="str">
            <v>13 3420175</v>
          </cell>
          <cell r="O523" t="str">
            <v>01</v>
          </cell>
          <cell r="P523">
            <v>12.5</v>
          </cell>
          <cell r="Q523">
            <v>0</v>
          </cell>
          <cell r="R523" t="str">
            <v>1</v>
          </cell>
          <cell r="S523" t="str">
            <v>10</v>
          </cell>
          <cell r="T523">
            <v>95</v>
          </cell>
          <cell r="U523">
            <v>5</v>
          </cell>
          <cell r="V523">
            <v>95</v>
          </cell>
          <cell r="W523">
            <v>5</v>
          </cell>
          <cell r="X523">
            <v>95</v>
          </cell>
          <cell r="Y523">
            <v>12</v>
          </cell>
          <cell r="Z523">
            <v>95</v>
          </cell>
          <cell r="AB523" t="str">
            <v>14</v>
          </cell>
          <cell r="AC523">
            <v>6</v>
          </cell>
          <cell r="AD523" t="str">
            <v>0</v>
          </cell>
          <cell r="AE523" t="str">
            <v>0</v>
          </cell>
          <cell r="AF523" t="str">
            <v>00</v>
          </cell>
          <cell r="AG523">
            <v>20800000</v>
          </cell>
          <cell r="AI523">
            <v>20800000</v>
          </cell>
          <cell r="AJ523">
            <v>6599919.9400000004</v>
          </cell>
        </row>
        <row r="524">
          <cell r="A524" t="str">
            <v>02</v>
          </cell>
          <cell r="B524" t="str">
            <v>03</v>
          </cell>
          <cell r="C524" t="str">
            <v>1362</v>
          </cell>
          <cell r="D524" t="str">
            <v>Вагончик жилой</v>
          </cell>
          <cell r="E524" t="str">
            <v>дерево-мет. 6 х 3.1м</v>
          </cell>
          <cell r="F524" t="str">
            <v>Финляндия</v>
          </cell>
          <cell r="G524" t="str">
            <v>01</v>
          </cell>
          <cell r="H524">
            <v>26583.1</v>
          </cell>
          <cell r="I524">
            <v>0</v>
          </cell>
          <cell r="J524">
            <v>28800</v>
          </cell>
          <cell r="K524">
            <v>1.38</v>
          </cell>
          <cell r="L524" t="str">
            <v>26</v>
          </cell>
          <cell r="M524" t="str">
            <v>10010</v>
          </cell>
          <cell r="N524" t="str">
            <v>13 3420175</v>
          </cell>
          <cell r="O524" t="str">
            <v>01</v>
          </cell>
          <cell r="P524">
            <v>12.5</v>
          </cell>
          <cell r="Q524">
            <v>0</v>
          </cell>
          <cell r="R524" t="str">
            <v>1</v>
          </cell>
          <cell r="S524" t="str">
            <v>10</v>
          </cell>
          <cell r="T524">
            <v>95</v>
          </cell>
          <cell r="U524">
            <v>5</v>
          </cell>
          <cell r="V524">
            <v>95</v>
          </cell>
          <cell r="W524">
            <v>5</v>
          </cell>
          <cell r="X524">
            <v>95</v>
          </cell>
          <cell r="Y524">
            <v>12</v>
          </cell>
          <cell r="Z524">
            <v>95</v>
          </cell>
          <cell r="AB524" t="str">
            <v>14</v>
          </cell>
          <cell r="AC524">
            <v>6</v>
          </cell>
          <cell r="AD524" t="str">
            <v>0</v>
          </cell>
          <cell r="AE524" t="str">
            <v>0</v>
          </cell>
          <cell r="AF524" t="str">
            <v>00</v>
          </cell>
          <cell r="AG524">
            <v>20800000</v>
          </cell>
          <cell r="AI524">
            <v>20800000</v>
          </cell>
          <cell r="AJ524">
            <v>6599919.9400000004</v>
          </cell>
        </row>
        <row r="525">
          <cell r="A525" t="str">
            <v>02</v>
          </cell>
          <cell r="B525" t="str">
            <v>03</v>
          </cell>
          <cell r="C525" t="str">
            <v>1363</v>
          </cell>
          <cell r="D525" t="str">
            <v>Вагончик жилой</v>
          </cell>
          <cell r="E525" t="str">
            <v>дерево-мет. 6 х 3.1м</v>
          </cell>
          <cell r="F525" t="str">
            <v>Финляндия</v>
          </cell>
          <cell r="G525" t="str">
            <v>01</v>
          </cell>
          <cell r="H525">
            <v>26583.1</v>
          </cell>
          <cell r="I525">
            <v>0</v>
          </cell>
          <cell r="J525">
            <v>28800</v>
          </cell>
          <cell r="K525">
            <v>1.38</v>
          </cell>
          <cell r="L525" t="str">
            <v>26</v>
          </cell>
          <cell r="M525" t="str">
            <v>10010</v>
          </cell>
          <cell r="N525" t="str">
            <v>13 3420175</v>
          </cell>
          <cell r="O525" t="str">
            <v>01</v>
          </cell>
          <cell r="P525">
            <v>12.5</v>
          </cell>
          <cell r="Q525">
            <v>0</v>
          </cell>
          <cell r="R525" t="str">
            <v>1</v>
          </cell>
          <cell r="S525" t="str">
            <v>10</v>
          </cell>
          <cell r="T525">
            <v>95</v>
          </cell>
          <cell r="U525">
            <v>5</v>
          </cell>
          <cell r="V525">
            <v>95</v>
          </cell>
          <cell r="W525">
            <v>5</v>
          </cell>
          <cell r="X525">
            <v>95</v>
          </cell>
          <cell r="Y525">
            <v>12</v>
          </cell>
          <cell r="Z525">
            <v>95</v>
          </cell>
          <cell r="AB525" t="str">
            <v>14</v>
          </cell>
          <cell r="AC525">
            <v>6</v>
          </cell>
          <cell r="AD525" t="str">
            <v>0</v>
          </cell>
          <cell r="AE525" t="str">
            <v>0</v>
          </cell>
          <cell r="AF525" t="str">
            <v>00</v>
          </cell>
          <cell r="AG525">
            <v>20800000</v>
          </cell>
          <cell r="AI525">
            <v>20800000</v>
          </cell>
          <cell r="AJ525">
            <v>6599919.9400000004</v>
          </cell>
        </row>
        <row r="526">
          <cell r="A526" t="str">
            <v>02</v>
          </cell>
          <cell r="B526" t="str">
            <v>03</v>
          </cell>
          <cell r="C526" t="str">
            <v>1364</v>
          </cell>
          <cell r="D526" t="str">
            <v>Вагончик жилой</v>
          </cell>
          <cell r="E526" t="str">
            <v>дерево-мет. 6 х 3.1м</v>
          </cell>
          <cell r="F526" t="str">
            <v>Финляндия</v>
          </cell>
          <cell r="G526" t="str">
            <v>01</v>
          </cell>
          <cell r="H526">
            <v>26583.1</v>
          </cell>
          <cell r="I526">
            <v>0</v>
          </cell>
          <cell r="J526">
            <v>28800</v>
          </cell>
          <cell r="K526">
            <v>1.38</v>
          </cell>
          <cell r="L526" t="str">
            <v>26</v>
          </cell>
          <cell r="M526" t="str">
            <v>10010</v>
          </cell>
          <cell r="N526" t="str">
            <v>13 3420175</v>
          </cell>
          <cell r="O526" t="str">
            <v>01</v>
          </cell>
          <cell r="P526">
            <v>12.5</v>
          </cell>
          <cell r="Q526">
            <v>0</v>
          </cell>
          <cell r="R526" t="str">
            <v>1</v>
          </cell>
          <cell r="S526" t="str">
            <v>10</v>
          </cell>
          <cell r="T526">
            <v>95</v>
          </cell>
          <cell r="U526">
            <v>5</v>
          </cell>
          <cell r="V526">
            <v>95</v>
          </cell>
          <cell r="W526">
            <v>5</v>
          </cell>
          <cell r="X526">
            <v>95</v>
          </cell>
          <cell r="Y526">
            <v>12</v>
          </cell>
          <cell r="Z526">
            <v>95</v>
          </cell>
          <cell r="AB526" t="str">
            <v>14</v>
          </cell>
          <cell r="AC526">
            <v>6</v>
          </cell>
          <cell r="AD526" t="str">
            <v>0</v>
          </cell>
          <cell r="AE526" t="str">
            <v>0</v>
          </cell>
          <cell r="AF526" t="str">
            <v>00</v>
          </cell>
          <cell r="AG526">
            <v>20800000</v>
          </cell>
          <cell r="AI526">
            <v>20800000</v>
          </cell>
          <cell r="AJ526">
            <v>6599919.9400000004</v>
          </cell>
        </row>
        <row r="527">
          <cell r="A527" t="str">
            <v>02</v>
          </cell>
          <cell r="B527" t="str">
            <v>51</v>
          </cell>
          <cell r="C527" t="str">
            <v>1347</v>
          </cell>
          <cell r="D527" t="str">
            <v>Экскаватор ЭТЦ-1609</v>
          </cell>
          <cell r="G527" t="str">
            <v>01</v>
          </cell>
          <cell r="H527">
            <v>157000</v>
          </cell>
          <cell r="I527">
            <v>0</v>
          </cell>
          <cell r="J527">
            <v>0</v>
          </cell>
          <cell r="K527">
            <v>0.84</v>
          </cell>
          <cell r="L527" t="str">
            <v>20</v>
          </cell>
          <cell r="M527" t="str">
            <v>41800</v>
          </cell>
          <cell r="N527" t="str">
            <v>14 2924331</v>
          </cell>
          <cell r="O527" t="str">
            <v>064</v>
          </cell>
          <cell r="P527">
            <v>12.5</v>
          </cell>
          <cell r="Q527">
            <v>0</v>
          </cell>
          <cell r="R527" t="str">
            <v>1</v>
          </cell>
          <cell r="S527" t="str">
            <v>41</v>
          </cell>
          <cell r="T527">
            <v>94</v>
          </cell>
          <cell r="U527">
            <v>5</v>
          </cell>
          <cell r="V527">
            <v>95</v>
          </cell>
          <cell r="W527">
            <v>5</v>
          </cell>
          <cell r="X527">
            <v>95</v>
          </cell>
          <cell r="Y527">
            <v>0</v>
          </cell>
          <cell r="Z527">
            <v>0</v>
          </cell>
          <cell r="AD527" t="str">
            <v>0</v>
          </cell>
          <cell r="AE527" t="str">
            <v>1</v>
          </cell>
          <cell r="AF527" t="str">
            <v>00</v>
          </cell>
          <cell r="AI527">
            <v>186060050</v>
          </cell>
          <cell r="AJ527">
            <v>60081891.149999999</v>
          </cell>
        </row>
        <row r="528">
          <cell r="A528" t="str">
            <v>02</v>
          </cell>
          <cell r="B528" t="str">
            <v>90</v>
          </cell>
          <cell r="C528" t="str">
            <v>1365</v>
          </cell>
          <cell r="D528" t="str">
            <v>Телевизор KV-254OK</v>
          </cell>
          <cell r="E528" t="str">
            <v>SONY</v>
          </cell>
          <cell r="G528" t="str">
            <v>01</v>
          </cell>
          <cell r="H528">
            <v>3131.97</v>
          </cell>
          <cell r="I528">
            <v>0</v>
          </cell>
          <cell r="J528">
            <v>0</v>
          </cell>
          <cell r="K528">
            <v>0.46</v>
          </cell>
          <cell r="L528" t="str">
            <v>88/3</v>
          </cell>
          <cell r="M528" t="str">
            <v>45625</v>
          </cell>
          <cell r="N528" t="str">
            <v>14 3230100</v>
          </cell>
          <cell r="O528" t="str">
            <v>067</v>
          </cell>
          <cell r="P528">
            <v>10.5</v>
          </cell>
          <cell r="Q528">
            <v>0</v>
          </cell>
          <cell r="R528" t="str">
            <v>1</v>
          </cell>
          <cell r="S528" t="str">
            <v>45</v>
          </cell>
          <cell r="T528">
            <v>95</v>
          </cell>
          <cell r="U528">
            <v>5</v>
          </cell>
          <cell r="V528">
            <v>95</v>
          </cell>
          <cell r="W528">
            <v>5</v>
          </cell>
          <cell r="X528">
            <v>95</v>
          </cell>
          <cell r="Y528">
            <v>0</v>
          </cell>
          <cell r="Z528">
            <v>0</v>
          </cell>
          <cell r="AB528" t="str">
            <v>14</v>
          </cell>
          <cell r="AC528">
            <v>12</v>
          </cell>
          <cell r="AD528" t="str">
            <v>0</v>
          </cell>
          <cell r="AE528" t="str">
            <v>0</v>
          </cell>
          <cell r="AF528" t="str">
            <v>00</v>
          </cell>
          <cell r="AI528">
            <v>6735500</v>
          </cell>
          <cell r="AJ528">
            <v>1827004.38</v>
          </cell>
        </row>
        <row r="529">
          <cell r="A529" t="str">
            <v>02</v>
          </cell>
          <cell r="B529" t="str">
            <v>90</v>
          </cell>
          <cell r="C529" t="str">
            <v>1366</v>
          </cell>
          <cell r="D529" t="str">
            <v>Видиомагнитофон HI-F</v>
          </cell>
          <cell r="E529" t="str">
            <v>I SLV-736EE SONY</v>
          </cell>
          <cell r="G529" t="str">
            <v>01</v>
          </cell>
          <cell r="H529">
            <v>3588.14</v>
          </cell>
          <cell r="I529">
            <v>0</v>
          </cell>
          <cell r="J529">
            <v>0</v>
          </cell>
          <cell r="K529">
            <v>0.52</v>
          </cell>
          <cell r="L529" t="str">
            <v>88/3</v>
          </cell>
          <cell r="M529" t="str">
            <v>45625</v>
          </cell>
          <cell r="N529" t="str">
            <v>14 3230152</v>
          </cell>
          <cell r="O529" t="str">
            <v>067</v>
          </cell>
          <cell r="P529">
            <v>10.5</v>
          </cell>
          <cell r="Q529">
            <v>0</v>
          </cell>
          <cell r="R529" t="str">
            <v>1</v>
          </cell>
          <cell r="S529" t="str">
            <v>45</v>
          </cell>
          <cell r="T529">
            <v>95</v>
          </cell>
          <cell r="U529">
            <v>5</v>
          </cell>
          <cell r="V529">
            <v>95</v>
          </cell>
          <cell r="W529">
            <v>5</v>
          </cell>
          <cell r="X529">
            <v>95</v>
          </cell>
          <cell r="Y529">
            <v>0</v>
          </cell>
          <cell r="Z529">
            <v>0</v>
          </cell>
          <cell r="AB529" t="str">
            <v>14</v>
          </cell>
          <cell r="AC529">
            <v>12</v>
          </cell>
          <cell r="AD529" t="str">
            <v>0</v>
          </cell>
          <cell r="AE529" t="str">
            <v>0</v>
          </cell>
          <cell r="AF529" t="str">
            <v>00</v>
          </cell>
          <cell r="AI529">
            <v>6879900</v>
          </cell>
          <cell r="AJ529">
            <v>1866172.88</v>
          </cell>
        </row>
        <row r="530">
          <cell r="A530" t="str">
            <v>02</v>
          </cell>
          <cell r="B530" t="str">
            <v>90</v>
          </cell>
          <cell r="C530" t="str">
            <v>1367</v>
          </cell>
          <cell r="D530" t="str">
            <v>Муз.миди-система</v>
          </cell>
          <cell r="E530" t="str">
            <v>НСD-A290 SONY</v>
          </cell>
          <cell r="G530" t="str">
            <v>01</v>
          </cell>
          <cell r="H530">
            <v>2020</v>
          </cell>
          <cell r="I530">
            <v>0</v>
          </cell>
          <cell r="J530">
            <v>0</v>
          </cell>
          <cell r="K530">
            <v>0.42</v>
          </cell>
          <cell r="L530" t="str">
            <v>88/3</v>
          </cell>
          <cell r="M530" t="str">
            <v>45625</v>
          </cell>
          <cell r="N530" t="str">
            <v>14 3230170</v>
          </cell>
          <cell r="O530" t="str">
            <v>067</v>
          </cell>
          <cell r="P530">
            <v>10.5</v>
          </cell>
          <cell r="Q530">
            <v>0</v>
          </cell>
          <cell r="R530" t="str">
            <v>1</v>
          </cell>
          <cell r="S530" t="str">
            <v>45</v>
          </cell>
          <cell r="T530">
            <v>95</v>
          </cell>
          <cell r="U530">
            <v>5</v>
          </cell>
          <cell r="V530">
            <v>95</v>
          </cell>
          <cell r="W530">
            <v>5</v>
          </cell>
          <cell r="X530">
            <v>95</v>
          </cell>
          <cell r="Y530">
            <v>0</v>
          </cell>
          <cell r="Z530">
            <v>0</v>
          </cell>
          <cell r="AB530" t="str">
            <v>14</v>
          </cell>
          <cell r="AC530">
            <v>12</v>
          </cell>
          <cell r="AD530" t="str">
            <v>0</v>
          </cell>
          <cell r="AE530" t="str">
            <v>0</v>
          </cell>
          <cell r="AF530" t="str">
            <v>00</v>
          </cell>
          <cell r="AI530">
            <v>4816500</v>
          </cell>
          <cell r="AJ530">
            <v>1306475.6299999999</v>
          </cell>
        </row>
        <row r="531">
          <cell r="A531" t="str">
            <v>02</v>
          </cell>
          <cell r="B531" t="str">
            <v>99</v>
          </cell>
          <cell r="C531" t="str">
            <v>1368</v>
          </cell>
          <cell r="D531" t="str">
            <v>Телевизор Каскад</v>
          </cell>
          <cell r="E531" t="str">
            <v>черно-белый</v>
          </cell>
          <cell r="G531" t="str">
            <v>01</v>
          </cell>
          <cell r="H531">
            <v>450</v>
          </cell>
          <cell r="I531">
            <v>0</v>
          </cell>
          <cell r="J531">
            <v>0</v>
          </cell>
          <cell r="K531">
            <v>0.57999999999999996</v>
          </cell>
          <cell r="L531" t="str">
            <v>20</v>
          </cell>
          <cell r="M531" t="str">
            <v>45625</v>
          </cell>
          <cell r="N531" t="str">
            <v>14 3230101</v>
          </cell>
          <cell r="O531" t="str">
            <v>067</v>
          </cell>
          <cell r="P531">
            <v>10.5</v>
          </cell>
          <cell r="Q531">
            <v>0</v>
          </cell>
          <cell r="R531" t="str">
            <v>1</v>
          </cell>
          <cell r="S531" t="str">
            <v>45</v>
          </cell>
          <cell r="T531">
            <v>95</v>
          </cell>
          <cell r="U531">
            <v>5</v>
          </cell>
          <cell r="V531">
            <v>95</v>
          </cell>
          <cell r="W531">
            <v>5</v>
          </cell>
          <cell r="X531">
            <v>95</v>
          </cell>
          <cell r="Y531">
            <v>0</v>
          </cell>
          <cell r="Z531">
            <v>0</v>
          </cell>
          <cell r="AD531" t="str">
            <v>0</v>
          </cell>
          <cell r="AE531" t="str">
            <v>0</v>
          </cell>
          <cell r="AF531" t="str">
            <v>00</v>
          </cell>
          <cell r="AI531">
            <v>775580</v>
          </cell>
          <cell r="AJ531">
            <v>210376.08</v>
          </cell>
        </row>
        <row r="532">
          <cell r="A532" t="str">
            <v>02</v>
          </cell>
          <cell r="B532" t="str">
            <v>70</v>
          </cell>
          <cell r="C532" t="str">
            <v>1369</v>
          </cell>
          <cell r="D532" t="str">
            <v>Телевизор Каскад</v>
          </cell>
          <cell r="E532" t="str">
            <v>черно-белый</v>
          </cell>
          <cell r="F532" t="str">
            <v>диагон. 54 см</v>
          </cell>
          <cell r="G532" t="str">
            <v>01</v>
          </cell>
          <cell r="H532">
            <v>450</v>
          </cell>
          <cell r="I532">
            <v>0</v>
          </cell>
          <cell r="J532">
            <v>0</v>
          </cell>
          <cell r="K532">
            <v>0.57999999999999996</v>
          </cell>
          <cell r="L532" t="str">
            <v>20</v>
          </cell>
          <cell r="M532" t="str">
            <v>45625</v>
          </cell>
          <cell r="N532" t="str">
            <v>14 3230101</v>
          </cell>
          <cell r="O532" t="str">
            <v>067</v>
          </cell>
          <cell r="P532">
            <v>10.5</v>
          </cell>
          <cell r="Q532">
            <v>0</v>
          </cell>
          <cell r="R532" t="str">
            <v>1</v>
          </cell>
          <cell r="S532" t="str">
            <v>45</v>
          </cell>
          <cell r="T532">
            <v>95</v>
          </cell>
          <cell r="U532">
            <v>5</v>
          </cell>
          <cell r="V532">
            <v>95</v>
          </cell>
          <cell r="W532">
            <v>5</v>
          </cell>
          <cell r="X532">
            <v>95</v>
          </cell>
          <cell r="Y532">
            <v>0</v>
          </cell>
          <cell r="Z532">
            <v>0</v>
          </cell>
          <cell r="AD532" t="str">
            <v>0</v>
          </cell>
          <cell r="AE532" t="str">
            <v>0</v>
          </cell>
          <cell r="AF532" t="str">
            <v>00</v>
          </cell>
          <cell r="AI532">
            <v>775580</v>
          </cell>
          <cell r="AJ532">
            <v>210376.08</v>
          </cell>
        </row>
        <row r="533">
          <cell r="A533" t="str">
            <v>02</v>
          </cell>
          <cell r="B533" t="str">
            <v>05</v>
          </cell>
          <cell r="C533" t="str">
            <v>1370</v>
          </cell>
          <cell r="D533" t="str">
            <v>Телевизор Каскад</v>
          </cell>
          <cell r="E533" t="str">
            <v>черно-белый 37 см</v>
          </cell>
          <cell r="F533" t="str">
            <v>Самара</v>
          </cell>
          <cell r="G533" t="str">
            <v>01</v>
          </cell>
          <cell r="H533">
            <v>450</v>
          </cell>
          <cell r="I533">
            <v>0</v>
          </cell>
          <cell r="J533">
            <v>0</v>
          </cell>
          <cell r="K533">
            <v>0.57999999999999996</v>
          </cell>
          <cell r="L533" t="str">
            <v>20</v>
          </cell>
          <cell r="M533" t="str">
            <v>45625</v>
          </cell>
          <cell r="N533" t="str">
            <v>14 3210101</v>
          </cell>
          <cell r="O533" t="str">
            <v>067</v>
          </cell>
          <cell r="P533">
            <v>10.5</v>
          </cell>
          <cell r="Q533">
            <v>0</v>
          </cell>
          <cell r="R533" t="str">
            <v>1</v>
          </cell>
          <cell r="S533" t="str">
            <v>45</v>
          </cell>
          <cell r="T533">
            <v>95</v>
          </cell>
          <cell r="U533">
            <v>5</v>
          </cell>
          <cell r="V533">
            <v>95</v>
          </cell>
          <cell r="W533">
            <v>5</v>
          </cell>
          <cell r="X533">
            <v>95</v>
          </cell>
          <cell r="Y533">
            <v>0</v>
          </cell>
          <cell r="Z533">
            <v>0</v>
          </cell>
          <cell r="AD533" t="str">
            <v>0</v>
          </cell>
          <cell r="AE533" t="str">
            <v>0</v>
          </cell>
          <cell r="AF533" t="str">
            <v>00</v>
          </cell>
          <cell r="AI533">
            <v>775580</v>
          </cell>
          <cell r="AJ533">
            <v>210376.08</v>
          </cell>
        </row>
        <row r="534">
          <cell r="A534" t="str">
            <v>02</v>
          </cell>
          <cell r="B534" t="str">
            <v>05</v>
          </cell>
          <cell r="C534" t="str">
            <v>1371</v>
          </cell>
          <cell r="D534" t="str">
            <v>Телевизор Каскад</v>
          </cell>
          <cell r="E534" t="str">
            <v>черно-белый 37 см</v>
          </cell>
          <cell r="F534" t="str">
            <v>Самара</v>
          </cell>
          <cell r="G534" t="str">
            <v>01</v>
          </cell>
          <cell r="H534">
            <v>450</v>
          </cell>
          <cell r="I534">
            <v>0</v>
          </cell>
          <cell r="J534">
            <v>0</v>
          </cell>
          <cell r="K534">
            <v>0.57999999999999996</v>
          </cell>
          <cell r="L534" t="str">
            <v>20</v>
          </cell>
          <cell r="M534" t="str">
            <v>45625</v>
          </cell>
          <cell r="N534" t="str">
            <v>14 3210101</v>
          </cell>
          <cell r="O534" t="str">
            <v>067</v>
          </cell>
          <cell r="P534">
            <v>10.5</v>
          </cell>
          <cell r="Q534">
            <v>0</v>
          </cell>
          <cell r="R534" t="str">
            <v>1</v>
          </cell>
          <cell r="S534" t="str">
            <v>45</v>
          </cell>
          <cell r="T534">
            <v>95</v>
          </cell>
          <cell r="U534">
            <v>5</v>
          </cell>
          <cell r="V534">
            <v>95</v>
          </cell>
          <cell r="W534">
            <v>5</v>
          </cell>
          <cell r="X534">
            <v>95</v>
          </cell>
          <cell r="Y534">
            <v>0</v>
          </cell>
          <cell r="Z534">
            <v>0</v>
          </cell>
          <cell r="AD534" t="str">
            <v>0</v>
          </cell>
          <cell r="AE534" t="str">
            <v>0</v>
          </cell>
          <cell r="AF534" t="str">
            <v>00</v>
          </cell>
          <cell r="AI534">
            <v>775580</v>
          </cell>
          <cell r="AJ534">
            <v>210376.08</v>
          </cell>
        </row>
        <row r="535">
          <cell r="A535" t="str">
            <v>02</v>
          </cell>
          <cell r="B535" t="str">
            <v>02</v>
          </cell>
          <cell r="C535" t="str">
            <v>1372</v>
          </cell>
          <cell r="D535" t="str">
            <v>Телевизор Каскад</v>
          </cell>
          <cell r="E535" t="str">
            <v>черно-белый</v>
          </cell>
          <cell r="G535" t="str">
            <v>01</v>
          </cell>
          <cell r="H535">
            <v>450</v>
          </cell>
          <cell r="I535">
            <v>0</v>
          </cell>
          <cell r="J535">
            <v>0</v>
          </cell>
          <cell r="K535">
            <v>0.57999999999999996</v>
          </cell>
          <cell r="L535" t="str">
            <v>20</v>
          </cell>
          <cell r="M535" t="str">
            <v>45625</v>
          </cell>
          <cell r="N535" t="str">
            <v>14 3230101</v>
          </cell>
          <cell r="O535" t="str">
            <v>067</v>
          </cell>
          <cell r="P535">
            <v>10.5</v>
          </cell>
          <cell r="Q535">
            <v>0</v>
          </cell>
          <cell r="R535" t="str">
            <v>1</v>
          </cell>
          <cell r="S535" t="str">
            <v>45</v>
          </cell>
          <cell r="T535">
            <v>95</v>
          </cell>
          <cell r="U535">
            <v>5</v>
          </cell>
          <cell r="V535">
            <v>95</v>
          </cell>
          <cell r="W535">
            <v>5</v>
          </cell>
          <cell r="X535">
            <v>95</v>
          </cell>
          <cell r="Y535">
            <v>0</v>
          </cell>
          <cell r="Z535">
            <v>0</v>
          </cell>
          <cell r="AD535" t="str">
            <v>0</v>
          </cell>
          <cell r="AE535" t="str">
            <v>0</v>
          </cell>
          <cell r="AF535" t="str">
            <v>00</v>
          </cell>
          <cell r="AI535">
            <v>775580</v>
          </cell>
          <cell r="AJ535">
            <v>210376.08</v>
          </cell>
        </row>
        <row r="536">
          <cell r="A536" t="str">
            <v>02</v>
          </cell>
          <cell r="B536" t="str">
            <v>02</v>
          </cell>
          <cell r="C536" t="str">
            <v>1373</v>
          </cell>
          <cell r="D536" t="str">
            <v>Телевизор Каскад</v>
          </cell>
          <cell r="E536" t="str">
            <v>черно-белый</v>
          </cell>
          <cell r="G536" t="str">
            <v>01</v>
          </cell>
          <cell r="H536">
            <v>450</v>
          </cell>
          <cell r="I536">
            <v>0</v>
          </cell>
          <cell r="J536">
            <v>0</v>
          </cell>
          <cell r="K536">
            <v>0.57999999999999996</v>
          </cell>
          <cell r="L536" t="str">
            <v>20</v>
          </cell>
          <cell r="M536" t="str">
            <v>45625</v>
          </cell>
          <cell r="N536" t="str">
            <v>14 3230101</v>
          </cell>
          <cell r="O536" t="str">
            <v>067</v>
          </cell>
          <cell r="P536">
            <v>10.5</v>
          </cell>
          <cell r="Q536">
            <v>0</v>
          </cell>
          <cell r="R536" t="str">
            <v>1</v>
          </cell>
          <cell r="S536" t="str">
            <v>45</v>
          </cell>
          <cell r="T536">
            <v>95</v>
          </cell>
          <cell r="U536">
            <v>5</v>
          </cell>
          <cell r="V536">
            <v>95</v>
          </cell>
          <cell r="W536">
            <v>5</v>
          </cell>
          <cell r="X536">
            <v>95</v>
          </cell>
          <cell r="Y536">
            <v>0</v>
          </cell>
          <cell r="Z536">
            <v>0</v>
          </cell>
          <cell r="AD536" t="str">
            <v>0</v>
          </cell>
          <cell r="AE536" t="str">
            <v>0</v>
          </cell>
          <cell r="AF536" t="str">
            <v>00</v>
          </cell>
          <cell r="AI536">
            <v>775580</v>
          </cell>
          <cell r="AJ536">
            <v>210376.08</v>
          </cell>
        </row>
        <row r="537">
          <cell r="A537" t="str">
            <v>02</v>
          </cell>
          <cell r="B537" t="str">
            <v>02</v>
          </cell>
          <cell r="C537" t="str">
            <v>1374</v>
          </cell>
          <cell r="D537" t="str">
            <v>Телевизор Каскад</v>
          </cell>
          <cell r="E537" t="str">
            <v>черно-белый</v>
          </cell>
          <cell r="G537" t="str">
            <v>01</v>
          </cell>
          <cell r="H537">
            <v>450</v>
          </cell>
          <cell r="I537">
            <v>0</v>
          </cell>
          <cell r="J537">
            <v>0</v>
          </cell>
          <cell r="K537">
            <v>0.57999999999999996</v>
          </cell>
          <cell r="L537" t="str">
            <v>20</v>
          </cell>
          <cell r="M537" t="str">
            <v>45625</v>
          </cell>
          <cell r="N537" t="str">
            <v>14 3230101</v>
          </cell>
          <cell r="O537" t="str">
            <v>067</v>
          </cell>
          <cell r="P537">
            <v>10.5</v>
          </cell>
          <cell r="Q537">
            <v>0</v>
          </cell>
          <cell r="R537" t="str">
            <v>1</v>
          </cell>
          <cell r="S537" t="str">
            <v>45</v>
          </cell>
          <cell r="T537">
            <v>95</v>
          </cell>
          <cell r="U537">
            <v>5</v>
          </cell>
          <cell r="V537">
            <v>95</v>
          </cell>
          <cell r="W537">
            <v>5</v>
          </cell>
          <cell r="X537">
            <v>95</v>
          </cell>
          <cell r="Y537">
            <v>0</v>
          </cell>
          <cell r="Z537">
            <v>0</v>
          </cell>
          <cell r="AD537" t="str">
            <v>0</v>
          </cell>
          <cell r="AE537" t="str">
            <v>0</v>
          </cell>
          <cell r="AF537" t="str">
            <v>00</v>
          </cell>
          <cell r="AI537">
            <v>775580</v>
          </cell>
          <cell r="AJ537">
            <v>210376.08</v>
          </cell>
        </row>
        <row r="538">
          <cell r="A538" t="str">
            <v>02</v>
          </cell>
          <cell r="B538" t="str">
            <v>02</v>
          </cell>
          <cell r="C538" t="str">
            <v>1375</v>
          </cell>
          <cell r="D538" t="str">
            <v>Телевизор Каскад</v>
          </cell>
          <cell r="E538" t="str">
            <v>черно-белый</v>
          </cell>
          <cell r="G538" t="str">
            <v>01</v>
          </cell>
          <cell r="H538">
            <v>450</v>
          </cell>
          <cell r="I538">
            <v>0</v>
          </cell>
          <cell r="J538">
            <v>0</v>
          </cell>
          <cell r="K538">
            <v>0.57999999999999996</v>
          </cell>
          <cell r="L538" t="str">
            <v>20</v>
          </cell>
          <cell r="M538" t="str">
            <v>45625</v>
          </cell>
          <cell r="N538" t="str">
            <v>14 3230100</v>
          </cell>
          <cell r="O538" t="str">
            <v>067</v>
          </cell>
          <cell r="P538">
            <v>10.5</v>
          </cell>
          <cell r="Q538">
            <v>0</v>
          </cell>
          <cell r="R538" t="str">
            <v>1</v>
          </cell>
          <cell r="S538" t="str">
            <v>45</v>
          </cell>
          <cell r="T538">
            <v>95</v>
          </cell>
          <cell r="U538">
            <v>5</v>
          </cell>
          <cell r="V538">
            <v>95</v>
          </cell>
          <cell r="W538">
            <v>5</v>
          </cell>
          <cell r="X538">
            <v>95</v>
          </cell>
          <cell r="Y538">
            <v>0</v>
          </cell>
          <cell r="Z538">
            <v>0</v>
          </cell>
          <cell r="AD538" t="str">
            <v>0</v>
          </cell>
          <cell r="AE538" t="str">
            <v>0</v>
          </cell>
          <cell r="AF538" t="str">
            <v>00</v>
          </cell>
          <cell r="AI538">
            <v>775580</v>
          </cell>
          <cell r="AJ538">
            <v>210376.08</v>
          </cell>
        </row>
        <row r="539">
          <cell r="A539" t="str">
            <v>02</v>
          </cell>
          <cell r="B539" t="str">
            <v>02</v>
          </cell>
          <cell r="C539" t="str">
            <v>1376</v>
          </cell>
          <cell r="D539" t="str">
            <v>Телевизор Каскад</v>
          </cell>
          <cell r="E539" t="str">
            <v>черно-белый</v>
          </cell>
          <cell r="G539" t="str">
            <v>01</v>
          </cell>
          <cell r="H539">
            <v>450</v>
          </cell>
          <cell r="I539">
            <v>0</v>
          </cell>
          <cell r="J539">
            <v>0</v>
          </cell>
          <cell r="K539">
            <v>0.57999999999999996</v>
          </cell>
          <cell r="L539" t="str">
            <v>20</v>
          </cell>
          <cell r="M539" t="str">
            <v>45625</v>
          </cell>
          <cell r="N539" t="str">
            <v>14 3230101</v>
          </cell>
          <cell r="O539" t="str">
            <v>067</v>
          </cell>
          <cell r="P539">
            <v>10.5</v>
          </cell>
          <cell r="Q539">
            <v>0</v>
          </cell>
          <cell r="R539" t="str">
            <v>1</v>
          </cell>
          <cell r="S539" t="str">
            <v>45</v>
          </cell>
          <cell r="T539">
            <v>95</v>
          </cell>
          <cell r="U539">
            <v>5</v>
          </cell>
          <cell r="V539">
            <v>95</v>
          </cell>
          <cell r="W539">
            <v>5</v>
          </cell>
          <cell r="X539">
            <v>95</v>
          </cell>
          <cell r="Y539">
            <v>0</v>
          </cell>
          <cell r="Z539">
            <v>0</v>
          </cell>
          <cell r="AD539" t="str">
            <v>0</v>
          </cell>
          <cell r="AE539" t="str">
            <v>0</v>
          </cell>
          <cell r="AF539" t="str">
            <v>00</v>
          </cell>
          <cell r="AI539">
            <v>775580</v>
          </cell>
          <cell r="AJ539">
            <v>210376.08</v>
          </cell>
        </row>
        <row r="540">
          <cell r="A540" t="str">
            <v>02</v>
          </cell>
          <cell r="B540" t="str">
            <v>61</v>
          </cell>
          <cell r="C540" t="str">
            <v>1377</v>
          </cell>
          <cell r="D540" t="str">
            <v>Телевизор Каскад</v>
          </cell>
          <cell r="E540" t="str">
            <v>черно-белый</v>
          </cell>
          <cell r="G540" t="str">
            <v>01</v>
          </cell>
          <cell r="H540">
            <v>450</v>
          </cell>
          <cell r="I540">
            <v>0</v>
          </cell>
          <cell r="J540">
            <v>0</v>
          </cell>
          <cell r="K540">
            <v>0.57999999999999996</v>
          </cell>
          <cell r="L540" t="str">
            <v>23</v>
          </cell>
          <cell r="M540" t="str">
            <v>45625</v>
          </cell>
          <cell r="N540" t="str">
            <v>14 3230101</v>
          </cell>
          <cell r="O540" t="str">
            <v>067</v>
          </cell>
          <cell r="P540">
            <v>10.5</v>
          </cell>
          <cell r="Q540">
            <v>0</v>
          </cell>
          <cell r="R540" t="str">
            <v>1</v>
          </cell>
          <cell r="S540" t="str">
            <v>45</v>
          </cell>
          <cell r="T540">
            <v>95</v>
          </cell>
          <cell r="U540">
            <v>5</v>
          </cell>
          <cell r="V540">
            <v>95</v>
          </cell>
          <cell r="W540">
            <v>5</v>
          </cell>
          <cell r="X540">
            <v>95</v>
          </cell>
          <cell r="Y540">
            <v>0</v>
          </cell>
          <cell r="Z540">
            <v>0</v>
          </cell>
          <cell r="AD540" t="str">
            <v>0</v>
          </cell>
          <cell r="AE540" t="str">
            <v>0</v>
          </cell>
          <cell r="AF540" t="str">
            <v>00</v>
          </cell>
          <cell r="AI540">
            <v>775580</v>
          </cell>
          <cell r="AJ540">
            <v>210376.08</v>
          </cell>
        </row>
        <row r="541">
          <cell r="A541" t="str">
            <v>02</v>
          </cell>
          <cell r="B541" t="str">
            <v>05</v>
          </cell>
          <cell r="C541" t="str">
            <v>1378</v>
          </cell>
          <cell r="D541" t="str">
            <v>Мебель плетеная</v>
          </cell>
          <cell r="E541" t="str">
            <v>Турция</v>
          </cell>
          <cell r="G541" t="str">
            <v>01</v>
          </cell>
          <cell r="H541">
            <v>5158.82</v>
          </cell>
          <cell r="I541">
            <v>0</v>
          </cell>
          <cell r="J541">
            <v>0</v>
          </cell>
          <cell r="K541">
            <v>0.91</v>
          </cell>
          <cell r="L541" t="str">
            <v>88/4</v>
          </cell>
          <cell r="M541" t="str">
            <v>70004</v>
          </cell>
          <cell r="N541" t="str">
            <v>16 3612450</v>
          </cell>
          <cell r="O541" t="str">
            <v>08</v>
          </cell>
          <cell r="P541">
            <v>6.7</v>
          </cell>
          <cell r="Q541">
            <v>0</v>
          </cell>
          <cell r="R541" t="str">
            <v>1</v>
          </cell>
          <cell r="S541" t="str">
            <v>70</v>
          </cell>
          <cell r="T541">
            <v>95</v>
          </cell>
          <cell r="U541">
            <v>5</v>
          </cell>
          <cell r="V541">
            <v>95</v>
          </cell>
          <cell r="W541">
            <v>5</v>
          </cell>
          <cell r="X541">
            <v>95</v>
          </cell>
          <cell r="Y541">
            <v>0</v>
          </cell>
          <cell r="Z541">
            <v>0</v>
          </cell>
          <cell r="AD541" t="str">
            <v>0</v>
          </cell>
          <cell r="AE541" t="str">
            <v>0</v>
          </cell>
          <cell r="AF541" t="str">
            <v>00</v>
          </cell>
          <cell r="AI541">
            <v>5669030</v>
          </cell>
          <cell r="AJ541">
            <v>981214.61</v>
          </cell>
        </row>
        <row r="542">
          <cell r="A542" t="str">
            <v>02</v>
          </cell>
          <cell r="B542" t="str">
            <v>80</v>
          </cell>
          <cell r="C542" t="str">
            <v>1379</v>
          </cell>
          <cell r="D542" t="str">
            <v>Холодильник ТВ14DASA</v>
          </cell>
          <cell r="E542" t="str">
            <v>D</v>
          </cell>
          <cell r="G542" t="str">
            <v>01</v>
          </cell>
          <cell r="H542">
            <v>4350</v>
          </cell>
          <cell r="I542">
            <v>0</v>
          </cell>
          <cell r="J542">
            <v>0</v>
          </cell>
          <cell r="K542">
            <v>0.73</v>
          </cell>
          <cell r="L542" t="str">
            <v>88/2</v>
          </cell>
          <cell r="M542" t="str">
            <v>45800</v>
          </cell>
          <cell r="N542" t="str">
            <v>16 2930100</v>
          </cell>
          <cell r="O542" t="str">
            <v>063</v>
          </cell>
          <cell r="P542">
            <v>10</v>
          </cell>
          <cell r="Q542">
            <v>0</v>
          </cell>
          <cell r="R542" t="str">
            <v>1</v>
          </cell>
          <cell r="S542" t="str">
            <v>45</v>
          </cell>
          <cell r="T542">
            <v>95</v>
          </cell>
          <cell r="U542">
            <v>5</v>
          </cell>
          <cell r="V542">
            <v>95</v>
          </cell>
          <cell r="W542">
            <v>5</v>
          </cell>
          <cell r="X542">
            <v>95</v>
          </cell>
          <cell r="Y542">
            <v>0</v>
          </cell>
          <cell r="Z542">
            <v>0</v>
          </cell>
          <cell r="AD542" t="str">
            <v>0</v>
          </cell>
          <cell r="AE542" t="str">
            <v>0</v>
          </cell>
          <cell r="AF542" t="str">
            <v>00</v>
          </cell>
          <cell r="AI542">
            <v>5997541</v>
          </cell>
          <cell r="AJ542">
            <v>1549364.76</v>
          </cell>
        </row>
        <row r="543">
          <cell r="A543" t="str">
            <v>02</v>
          </cell>
          <cell r="B543" t="str">
            <v>80</v>
          </cell>
          <cell r="C543" t="str">
            <v>1381</v>
          </cell>
          <cell r="D543" t="str">
            <v>Холодильник ТВ14</v>
          </cell>
          <cell r="E543" t="str">
            <v>DASWH</v>
          </cell>
          <cell r="G543" t="str">
            <v>01</v>
          </cell>
          <cell r="H543">
            <v>4350</v>
          </cell>
          <cell r="I543">
            <v>0</v>
          </cell>
          <cell r="J543">
            <v>0</v>
          </cell>
          <cell r="K543">
            <v>0.71</v>
          </cell>
          <cell r="L543" t="str">
            <v>88/2</v>
          </cell>
          <cell r="M543" t="str">
            <v>45800</v>
          </cell>
          <cell r="N543" t="str">
            <v>16 2930100</v>
          </cell>
          <cell r="O543" t="str">
            <v>063</v>
          </cell>
          <cell r="P543">
            <v>10</v>
          </cell>
          <cell r="Q543">
            <v>0</v>
          </cell>
          <cell r="R543" t="str">
            <v>1</v>
          </cell>
          <cell r="S543" t="str">
            <v>45</v>
          </cell>
          <cell r="T543">
            <v>95</v>
          </cell>
          <cell r="U543">
            <v>5</v>
          </cell>
          <cell r="V543">
            <v>95</v>
          </cell>
          <cell r="W543">
            <v>5</v>
          </cell>
          <cell r="X543">
            <v>95</v>
          </cell>
          <cell r="Y543">
            <v>0</v>
          </cell>
          <cell r="Z543">
            <v>0</v>
          </cell>
          <cell r="AD543" t="str">
            <v>0</v>
          </cell>
          <cell r="AE543" t="str">
            <v>0</v>
          </cell>
          <cell r="AF543" t="str">
            <v>00</v>
          </cell>
          <cell r="AI543">
            <v>6119939</v>
          </cell>
          <cell r="AJ543">
            <v>1580984.24</v>
          </cell>
        </row>
        <row r="544">
          <cell r="A544" t="str">
            <v>02</v>
          </cell>
          <cell r="B544" t="str">
            <v>80</v>
          </cell>
          <cell r="C544" t="str">
            <v>1382</v>
          </cell>
          <cell r="D544" t="str">
            <v>Холодильник BOSH</v>
          </cell>
          <cell r="G544" t="str">
            <v>01</v>
          </cell>
          <cell r="H544">
            <v>4289</v>
          </cell>
          <cell r="I544">
            <v>0</v>
          </cell>
          <cell r="J544">
            <v>0</v>
          </cell>
          <cell r="K544">
            <v>0.82</v>
          </cell>
          <cell r="L544" t="str">
            <v>88/2</v>
          </cell>
          <cell r="M544" t="str">
            <v>45800</v>
          </cell>
          <cell r="N544" t="str">
            <v>16 2930100</v>
          </cell>
          <cell r="O544" t="str">
            <v>063</v>
          </cell>
          <cell r="P544">
            <v>10</v>
          </cell>
          <cell r="Q544">
            <v>0</v>
          </cell>
          <cell r="R544" t="str">
            <v>1</v>
          </cell>
          <cell r="S544" t="str">
            <v>45</v>
          </cell>
          <cell r="T544">
            <v>95</v>
          </cell>
          <cell r="U544">
            <v>5</v>
          </cell>
          <cell r="V544">
            <v>95</v>
          </cell>
          <cell r="W544">
            <v>5</v>
          </cell>
          <cell r="X544">
            <v>95</v>
          </cell>
          <cell r="Y544">
            <v>0</v>
          </cell>
          <cell r="Z544">
            <v>0</v>
          </cell>
          <cell r="AD544" t="str">
            <v>0</v>
          </cell>
          <cell r="AE544" t="str">
            <v>0</v>
          </cell>
          <cell r="AF544" t="str">
            <v>00</v>
          </cell>
          <cell r="AI544">
            <v>5215547</v>
          </cell>
          <cell r="AJ544">
            <v>1347349.64</v>
          </cell>
        </row>
        <row r="545">
          <cell r="A545" t="str">
            <v>02</v>
          </cell>
          <cell r="B545" t="str">
            <v>80</v>
          </cell>
          <cell r="C545" t="str">
            <v>1383</v>
          </cell>
          <cell r="D545" t="str">
            <v>Холодильник BOSH</v>
          </cell>
          <cell r="G545" t="str">
            <v>01</v>
          </cell>
          <cell r="H545">
            <v>4289</v>
          </cell>
          <cell r="I545">
            <v>0</v>
          </cell>
          <cell r="J545">
            <v>0</v>
          </cell>
          <cell r="K545">
            <v>0.82</v>
          </cell>
          <cell r="L545" t="str">
            <v>88/2</v>
          </cell>
          <cell r="M545" t="str">
            <v>45800</v>
          </cell>
          <cell r="N545" t="str">
            <v>16 2930100</v>
          </cell>
          <cell r="O545" t="str">
            <v>063</v>
          </cell>
          <cell r="P545">
            <v>10</v>
          </cell>
          <cell r="Q545">
            <v>0</v>
          </cell>
          <cell r="R545" t="str">
            <v>1</v>
          </cell>
          <cell r="S545" t="str">
            <v>45</v>
          </cell>
          <cell r="T545">
            <v>95</v>
          </cell>
          <cell r="U545">
            <v>5</v>
          </cell>
          <cell r="V545">
            <v>95</v>
          </cell>
          <cell r="W545">
            <v>5</v>
          </cell>
          <cell r="X545">
            <v>95</v>
          </cell>
          <cell r="Y545">
            <v>0</v>
          </cell>
          <cell r="Z545">
            <v>0</v>
          </cell>
          <cell r="AD545" t="str">
            <v>0</v>
          </cell>
          <cell r="AE545" t="str">
            <v>0</v>
          </cell>
          <cell r="AF545" t="str">
            <v>00</v>
          </cell>
          <cell r="AI545">
            <v>5215547</v>
          </cell>
          <cell r="AJ545">
            <v>1347349.64</v>
          </cell>
        </row>
        <row r="546">
          <cell r="A546" t="str">
            <v>02</v>
          </cell>
          <cell r="B546" t="str">
            <v>80</v>
          </cell>
          <cell r="C546" t="str">
            <v>1384</v>
          </cell>
          <cell r="D546" t="str">
            <v>Холодильник SIEVENS</v>
          </cell>
          <cell r="G546" t="str">
            <v>01</v>
          </cell>
          <cell r="H546">
            <v>3271</v>
          </cell>
          <cell r="I546">
            <v>0</v>
          </cell>
          <cell r="J546">
            <v>0</v>
          </cell>
          <cell r="K546">
            <v>0.6</v>
          </cell>
          <cell r="L546" t="str">
            <v>88/2</v>
          </cell>
          <cell r="M546" t="str">
            <v>45800</v>
          </cell>
          <cell r="N546" t="str">
            <v>16 2930100</v>
          </cell>
          <cell r="O546" t="str">
            <v>063</v>
          </cell>
          <cell r="P546">
            <v>10</v>
          </cell>
          <cell r="Q546">
            <v>0</v>
          </cell>
          <cell r="R546" t="str">
            <v>1</v>
          </cell>
          <cell r="S546" t="str">
            <v>45</v>
          </cell>
          <cell r="T546">
            <v>95</v>
          </cell>
          <cell r="U546">
            <v>5</v>
          </cell>
          <cell r="V546">
            <v>95</v>
          </cell>
          <cell r="W546">
            <v>5</v>
          </cell>
          <cell r="X546">
            <v>95</v>
          </cell>
          <cell r="Y546">
            <v>0</v>
          </cell>
          <cell r="Z546">
            <v>0</v>
          </cell>
          <cell r="AD546" t="str">
            <v>0</v>
          </cell>
          <cell r="AE546" t="str">
            <v>0</v>
          </cell>
          <cell r="AF546" t="str">
            <v>00</v>
          </cell>
          <cell r="AI546">
            <v>5446747</v>
          </cell>
          <cell r="AJ546">
            <v>1407076.31</v>
          </cell>
        </row>
        <row r="547">
          <cell r="A547" t="str">
            <v>02</v>
          </cell>
          <cell r="B547" t="str">
            <v>80</v>
          </cell>
          <cell r="C547" t="str">
            <v>1385</v>
          </cell>
          <cell r="D547" t="str">
            <v>Холодильник VESTUROS</v>
          </cell>
          <cell r="E547" t="str">
            <v>T</v>
          </cell>
          <cell r="G547" t="str">
            <v>01</v>
          </cell>
          <cell r="H547">
            <v>4618</v>
          </cell>
          <cell r="I547">
            <v>0</v>
          </cell>
          <cell r="J547">
            <v>0</v>
          </cell>
          <cell r="K547">
            <v>0.88</v>
          </cell>
          <cell r="L547" t="str">
            <v>88/2</v>
          </cell>
          <cell r="M547" t="str">
            <v>45800</v>
          </cell>
          <cell r="N547" t="str">
            <v>16 2930100</v>
          </cell>
          <cell r="O547" t="str">
            <v>063</v>
          </cell>
          <cell r="P547">
            <v>10</v>
          </cell>
          <cell r="Q547">
            <v>0</v>
          </cell>
          <cell r="R547" t="str">
            <v>1</v>
          </cell>
          <cell r="S547" t="str">
            <v>45</v>
          </cell>
          <cell r="T547">
            <v>95</v>
          </cell>
          <cell r="U547">
            <v>5</v>
          </cell>
          <cell r="V547">
            <v>95</v>
          </cell>
          <cell r="W547">
            <v>5</v>
          </cell>
          <cell r="X547">
            <v>95</v>
          </cell>
          <cell r="Y547">
            <v>0</v>
          </cell>
          <cell r="Z547">
            <v>0</v>
          </cell>
          <cell r="AD547" t="str">
            <v>0</v>
          </cell>
          <cell r="AE547" t="str">
            <v>0</v>
          </cell>
          <cell r="AF547" t="str">
            <v>00</v>
          </cell>
          <cell r="AI547">
            <v>5249547</v>
          </cell>
          <cell r="AJ547">
            <v>1356132.98</v>
          </cell>
        </row>
        <row r="548">
          <cell r="A548" t="str">
            <v>02</v>
          </cell>
          <cell r="B548" t="str">
            <v>80</v>
          </cell>
          <cell r="C548" t="str">
            <v>1386</v>
          </cell>
          <cell r="D548" t="str">
            <v>Холодильник VESTUROS</v>
          </cell>
          <cell r="E548" t="str">
            <v>T</v>
          </cell>
          <cell r="G548" t="str">
            <v>01</v>
          </cell>
          <cell r="H548">
            <v>4618</v>
          </cell>
          <cell r="I548">
            <v>0</v>
          </cell>
          <cell r="J548">
            <v>0</v>
          </cell>
          <cell r="K548">
            <v>0.88</v>
          </cell>
          <cell r="L548" t="str">
            <v>88/2</v>
          </cell>
          <cell r="M548" t="str">
            <v>45800</v>
          </cell>
          <cell r="N548" t="str">
            <v>16 2930100</v>
          </cell>
          <cell r="O548" t="str">
            <v>063</v>
          </cell>
          <cell r="P548">
            <v>10</v>
          </cell>
          <cell r="Q548">
            <v>0</v>
          </cell>
          <cell r="R548" t="str">
            <v>1</v>
          </cell>
          <cell r="S548" t="str">
            <v>45</v>
          </cell>
          <cell r="T548">
            <v>95</v>
          </cell>
          <cell r="U548">
            <v>5</v>
          </cell>
          <cell r="V548">
            <v>95</v>
          </cell>
          <cell r="W548">
            <v>5</v>
          </cell>
          <cell r="X548">
            <v>95</v>
          </cell>
          <cell r="Y548">
            <v>0</v>
          </cell>
          <cell r="Z548">
            <v>0</v>
          </cell>
          <cell r="AD548" t="str">
            <v>0</v>
          </cell>
          <cell r="AE548" t="str">
            <v>0</v>
          </cell>
          <cell r="AF548" t="str">
            <v>00</v>
          </cell>
          <cell r="AI548">
            <v>5249547</v>
          </cell>
          <cell r="AJ548">
            <v>1356132.98</v>
          </cell>
        </row>
        <row r="549">
          <cell r="A549" t="str">
            <v>02</v>
          </cell>
          <cell r="B549" t="str">
            <v>02</v>
          </cell>
          <cell r="C549" t="str">
            <v>1387</v>
          </cell>
          <cell r="D549" t="str">
            <v>Холодильник VESTUROS</v>
          </cell>
          <cell r="E549" t="str">
            <v>T Белоруссия</v>
          </cell>
          <cell r="G549" t="str">
            <v>01</v>
          </cell>
          <cell r="H549">
            <v>4618</v>
          </cell>
          <cell r="I549">
            <v>0</v>
          </cell>
          <cell r="J549">
            <v>0</v>
          </cell>
          <cell r="K549">
            <v>0.87</v>
          </cell>
          <cell r="L549" t="str">
            <v>20</v>
          </cell>
          <cell r="M549" t="str">
            <v>45800</v>
          </cell>
          <cell r="N549" t="str">
            <v>16 2930100</v>
          </cell>
          <cell r="O549" t="str">
            <v>063</v>
          </cell>
          <cell r="P549">
            <v>10</v>
          </cell>
          <cell r="Q549">
            <v>0</v>
          </cell>
          <cell r="R549" t="str">
            <v>1</v>
          </cell>
          <cell r="S549" t="str">
            <v>45</v>
          </cell>
          <cell r="T549">
            <v>95</v>
          </cell>
          <cell r="U549">
            <v>5</v>
          </cell>
          <cell r="V549">
            <v>95</v>
          </cell>
          <cell r="W549">
            <v>5</v>
          </cell>
          <cell r="X549">
            <v>95</v>
          </cell>
          <cell r="Y549">
            <v>0</v>
          </cell>
          <cell r="Z549">
            <v>0</v>
          </cell>
          <cell r="AD549" t="str">
            <v>0</v>
          </cell>
          <cell r="AE549" t="str">
            <v>0</v>
          </cell>
          <cell r="AF549" t="str">
            <v>00</v>
          </cell>
          <cell r="AI549">
            <v>5311224</v>
          </cell>
          <cell r="AJ549">
            <v>1372066.2</v>
          </cell>
        </row>
        <row r="550">
          <cell r="A550" t="str">
            <v>02</v>
          </cell>
          <cell r="B550" t="str">
            <v>02</v>
          </cell>
          <cell r="C550" t="str">
            <v>1388</v>
          </cell>
          <cell r="D550" t="str">
            <v>Холодильник VESTUROS</v>
          </cell>
          <cell r="E550" t="str">
            <v>T Белоруссия</v>
          </cell>
          <cell r="G550" t="str">
            <v>01</v>
          </cell>
          <cell r="H550">
            <v>4618</v>
          </cell>
          <cell r="I550">
            <v>0</v>
          </cell>
          <cell r="J550">
            <v>0</v>
          </cell>
          <cell r="K550">
            <v>0.87</v>
          </cell>
          <cell r="L550" t="str">
            <v>20</v>
          </cell>
          <cell r="M550" t="str">
            <v>45800</v>
          </cell>
          <cell r="N550" t="str">
            <v>16 2930100</v>
          </cell>
          <cell r="O550" t="str">
            <v>063</v>
          </cell>
          <cell r="P550">
            <v>10</v>
          </cell>
          <cell r="Q550">
            <v>0</v>
          </cell>
          <cell r="R550" t="str">
            <v>1</v>
          </cell>
          <cell r="S550" t="str">
            <v>45</v>
          </cell>
          <cell r="T550">
            <v>95</v>
          </cell>
          <cell r="U550">
            <v>5</v>
          </cell>
          <cell r="V550">
            <v>95</v>
          </cell>
          <cell r="W550">
            <v>5</v>
          </cell>
          <cell r="X550">
            <v>95</v>
          </cell>
          <cell r="Y550">
            <v>0</v>
          </cell>
          <cell r="Z550">
            <v>0</v>
          </cell>
          <cell r="AD550" t="str">
            <v>0</v>
          </cell>
          <cell r="AE550" t="str">
            <v>0</v>
          </cell>
          <cell r="AF550" t="str">
            <v>00</v>
          </cell>
          <cell r="AI550">
            <v>5311224</v>
          </cell>
          <cell r="AJ550">
            <v>1372066.2</v>
          </cell>
        </row>
        <row r="551">
          <cell r="A551" t="str">
            <v>02</v>
          </cell>
          <cell r="B551" t="str">
            <v>90</v>
          </cell>
          <cell r="C551" t="str">
            <v>1389</v>
          </cell>
          <cell r="D551" t="str">
            <v>Холодильние SIEMENS</v>
          </cell>
          <cell r="G551" t="str">
            <v>01</v>
          </cell>
          <cell r="H551">
            <v>3271</v>
          </cell>
          <cell r="I551">
            <v>0</v>
          </cell>
          <cell r="J551">
            <v>0</v>
          </cell>
          <cell r="K551">
            <v>0.59</v>
          </cell>
          <cell r="L551" t="str">
            <v>23</v>
          </cell>
          <cell r="M551" t="str">
            <v>45800</v>
          </cell>
          <cell r="N551" t="str">
            <v>16 2930100</v>
          </cell>
          <cell r="O551" t="str">
            <v>063</v>
          </cell>
          <cell r="P551">
            <v>10</v>
          </cell>
          <cell r="Q551">
            <v>0</v>
          </cell>
          <cell r="R551" t="str">
            <v>1</v>
          </cell>
          <cell r="S551" t="str">
            <v>45</v>
          </cell>
          <cell r="T551">
            <v>95</v>
          </cell>
          <cell r="U551">
            <v>5</v>
          </cell>
          <cell r="V551">
            <v>95</v>
          </cell>
          <cell r="W551">
            <v>5</v>
          </cell>
          <cell r="X551">
            <v>95</v>
          </cell>
          <cell r="Y551">
            <v>0</v>
          </cell>
          <cell r="Z551">
            <v>0</v>
          </cell>
          <cell r="AB551" t="str">
            <v>14</v>
          </cell>
          <cell r="AC551">
            <v>11</v>
          </cell>
          <cell r="AD551" t="str">
            <v>0</v>
          </cell>
          <cell r="AE551" t="str">
            <v>0</v>
          </cell>
          <cell r="AF551" t="str">
            <v>00</v>
          </cell>
          <cell r="AI551">
            <v>5514411</v>
          </cell>
          <cell r="AJ551">
            <v>1424556.18</v>
          </cell>
        </row>
        <row r="552">
          <cell r="A552" t="str">
            <v>02</v>
          </cell>
          <cell r="B552" t="str">
            <v>99</v>
          </cell>
          <cell r="C552" t="str">
            <v>1391</v>
          </cell>
          <cell r="D552" t="str">
            <v>Изоляц.машина МИ-530</v>
          </cell>
          <cell r="E552" t="str">
            <v>в к-те с машиной очи</v>
          </cell>
          <cell r="F552" t="str">
            <v>ст НПП-530 Уфа ИПЭТР</v>
          </cell>
          <cell r="G552" t="str">
            <v>01</v>
          </cell>
          <cell r="H552">
            <v>94870</v>
          </cell>
          <cell r="I552">
            <v>0</v>
          </cell>
          <cell r="J552">
            <v>0</v>
          </cell>
          <cell r="K552">
            <v>0.71</v>
          </cell>
          <cell r="L552" t="str">
            <v>20</v>
          </cell>
          <cell r="M552" t="str">
            <v>43803</v>
          </cell>
          <cell r="N552" t="str">
            <v>14 2947195</v>
          </cell>
          <cell r="O552" t="str">
            <v>067</v>
          </cell>
          <cell r="P552">
            <v>33.299999999999997</v>
          </cell>
          <cell r="Q552">
            <v>0</v>
          </cell>
          <cell r="R552" t="str">
            <v>1</v>
          </cell>
          <cell r="S552" t="str">
            <v>43</v>
          </cell>
          <cell r="T552">
            <v>95</v>
          </cell>
          <cell r="U552">
            <v>5</v>
          </cell>
          <cell r="V552">
            <v>95</v>
          </cell>
          <cell r="W552">
            <v>5</v>
          </cell>
          <cell r="X552">
            <v>95</v>
          </cell>
          <cell r="Y552">
            <v>0</v>
          </cell>
          <cell r="Z552">
            <v>0</v>
          </cell>
          <cell r="AB552" t="str">
            <v>14</v>
          </cell>
          <cell r="AC552">
            <v>4</v>
          </cell>
          <cell r="AD552" t="str">
            <v>0</v>
          </cell>
          <cell r="AE552" t="str">
            <v>0</v>
          </cell>
          <cell r="AF552" t="str">
            <v>00</v>
          </cell>
          <cell r="AI552">
            <v>134235000</v>
          </cell>
          <cell r="AJ552">
            <v>115475658.75</v>
          </cell>
        </row>
        <row r="553">
          <cell r="A553" t="str">
            <v>02</v>
          </cell>
          <cell r="B553" t="str">
            <v>23</v>
          </cell>
          <cell r="C553" t="str">
            <v>1395</v>
          </cell>
          <cell r="D553" t="str">
            <v>А/мУАЗ-3303 АПВ-У-05</v>
          </cell>
          <cell r="E553" t="str">
            <v>Фермер грузопассажир</v>
          </cell>
          <cell r="F553" t="str">
            <v>Nо А283ХУ дв50404838</v>
          </cell>
          <cell r="G553" t="str">
            <v>01</v>
          </cell>
          <cell r="H553">
            <v>53990</v>
          </cell>
          <cell r="I553">
            <v>0</v>
          </cell>
          <cell r="J553">
            <v>0</v>
          </cell>
          <cell r="K553">
            <v>0.98</v>
          </cell>
          <cell r="L553" t="str">
            <v>23</v>
          </cell>
          <cell r="M553" t="str">
            <v>50401</v>
          </cell>
          <cell r="N553" t="str">
            <v>15 3410170</v>
          </cell>
          <cell r="O553" t="str">
            <v>075</v>
          </cell>
          <cell r="P553">
            <v>14.3</v>
          </cell>
          <cell r="Q553">
            <v>0</v>
          </cell>
          <cell r="R553" t="str">
            <v>1</v>
          </cell>
          <cell r="S553" t="str">
            <v>50</v>
          </cell>
          <cell r="T553">
            <v>95</v>
          </cell>
          <cell r="U553">
            <v>6</v>
          </cell>
          <cell r="V553">
            <v>95</v>
          </cell>
          <cell r="W553">
            <v>6</v>
          </cell>
          <cell r="X553">
            <v>95</v>
          </cell>
          <cell r="Y553">
            <v>0</v>
          </cell>
          <cell r="Z553">
            <v>0</v>
          </cell>
          <cell r="AD553" t="str">
            <v>0</v>
          </cell>
          <cell r="AE553" t="str">
            <v>0</v>
          </cell>
          <cell r="AF553" t="str">
            <v>00</v>
          </cell>
          <cell r="AI553">
            <v>55308642</v>
          </cell>
          <cell r="AJ553">
            <v>19772839.52</v>
          </cell>
        </row>
        <row r="554">
          <cell r="A554" t="str">
            <v>02</v>
          </cell>
          <cell r="B554" t="str">
            <v>05</v>
          </cell>
          <cell r="C554" t="str">
            <v>1394</v>
          </cell>
          <cell r="D554" t="str">
            <v>Радиостанцияя КАМА</v>
          </cell>
          <cell r="E554" t="str">
            <v>г Горький</v>
          </cell>
          <cell r="G554" t="str">
            <v>01</v>
          </cell>
          <cell r="H554">
            <v>3846</v>
          </cell>
          <cell r="I554">
            <v>0</v>
          </cell>
          <cell r="J554">
            <v>0</v>
          </cell>
          <cell r="K554">
            <v>0.2</v>
          </cell>
          <cell r="L554" t="str">
            <v>20</v>
          </cell>
          <cell r="M554" t="str">
            <v>45620</v>
          </cell>
          <cell r="N554" t="str">
            <v>15 3511223</v>
          </cell>
          <cell r="O554" t="str">
            <v>067</v>
          </cell>
          <cell r="P554">
            <v>12.5</v>
          </cell>
          <cell r="Q554">
            <v>0</v>
          </cell>
          <cell r="R554" t="str">
            <v>1</v>
          </cell>
          <cell r="S554" t="str">
            <v>45</v>
          </cell>
          <cell r="T554">
            <v>95</v>
          </cell>
          <cell r="U554">
            <v>6</v>
          </cell>
          <cell r="V554">
            <v>95</v>
          </cell>
          <cell r="W554">
            <v>6</v>
          </cell>
          <cell r="X554">
            <v>95</v>
          </cell>
          <cell r="Y554">
            <v>0</v>
          </cell>
          <cell r="Z554">
            <v>0</v>
          </cell>
          <cell r="AD554" t="str">
            <v>0</v>
          </cell>
          <cell r="AE554" t="str">
            <v>0</v>
          </cell>
          <cell r="AF554" t="str">
            <v>00</v>
          </cell>
          <cell r="AI554">
            <v>19000000</v>
          </cell>
          <cell r="AJ554">
            <v>5937500</v>
          </cell>
        </row>
        <row r="555">
          <cell r="A555" t="str">
            <v>02</v>
          </cell>
          <cell r="B555" t="str">
            <v>05</v>
          </cell>
          <cell r="C555" t="str">
            <v>1396</v>
          </cell>
          <cell r="D555" t="str">
            <v>Радиостанция КАМА</v>
          </cell>
          <cell r="E555" t="str">
            <v>г Горький</v>
          </cell>
          <cell r="G555" t="str">
            <v>01</v>
          </cell>
          <cell r="H555">
            <v>3846</v>
          </cell>
          <cell r="I555">
            <v>0</v>
          </cell>
          <cell r="J555">
            <v>0</v>
          </cell>
          <cell r="K555">
            <v>0.2</v>
          </cell>
          <cell r="L555" t="str">
            <v>20</v>
          </cell>
          <cell r="M555" t="str">
            <v>45620</v>
          </cell>
          <cell r="N555" t="str">
            <v>14 3221102</v>
          </cell>
          <cell r="O555" t="str">
            <v>067</v>
          </cell>
          <cell r="P555">
            <v>12.5</v>
          </cell>
          <cell r="Q555">
            <v>0</v>
          </cell>
          <cell r="R555" t="str">
            <v>1</v>
          </cell>
          <cell r="S555" t="str">
            <v>45</v>
          </cell>
          <cell r="T555">
            <v>95</v>
          </cell>
          <cell r="U555">
            <v>6</v>
          </cell>
          <cell r="V555">
            <v>95</v>
          </cell>
          <cell r="W555">
            <v>6</v>
          </cell>
          <cell r="X555">
            <v>95</v>
          </cell>
          <cell r="Y555">
            <v>0</v>
          </cell>
          <cell r="Z555">
            <v>0</v>
          </cell>
          <cell r="AD555" t="str">
            <v>0</v>
          </cell>
          <cell r="AE555" t="str">
            <v>0</v>
          </cell>
          <cell r="AF555" t="str">
            <v>00</v>
          </cell>
          <cell r="AI555">
            <v>19000000</v>
          </cell>
          <cell r="AJ555">
            <v>5937500</v>
          </cell>
        </row>
        <row r="556">
          <cell r="A556" t="str">
            <v>02</v>
          </cell>
          <cell r="B556" t="str">
            <v>03</v>
          </cell>
          <cell r="C556" t="str">
            <v>1397</v>
          </cell>
          <cell r="D556" t="str">
            <v>Плита электрическая</v>
          </cell>
          <cell r="E556" t="str">
            <v>4-х камф.</v>
          </cell>
          <cell r="G556" t="str">
            <v>01</v>
          </cell>
          <cell r="H556">
            <v>3950</v>
          </cell>
          <cell r="I556">
            <v>0</v>
          </cell>
          <cell r="J556">
            <v>0</v>
          </cell>
          <cell r="K556">
            <v>0.57999999999999996</v>
          </cell>
          <cell r="L556" t="str">
            <v>26</v>
          </cell>
          <cell r="M556" t="str">
            <v>45804</v>
          </cell>
          <cell r="N556" t="str">
            <v>16 2930122</v>
          </cell>
          <cell r="O556" t="str">
            <v>067</v>
          </cell>
          <cell r="P556">
            <v>12.5</v>
          </cell>
          <cell r="Q556">
            <v>0</v>
          </cell>
          <cell r="R556" t="str">
            <v>1</v>
          </cell>
          <cell r="S556" t="str">
            <v>45</v>
          </cell>
          <cell r="T556">
            <v>93</v>
          </cell>
          <cell r="U556">
            <v>6</v>
          </cell>
          <cell r="V556">
            <v>95</v>
          </cell>
          <cell r="W556">
            <v>6</v>
          </cell>
          <cell r="X556">
            <v>95</v>
          </cell>
          <cell r="Y556">
            <v>0</v>
          </cell>
          <cell r="Z556">
            <v>0</v>
          </cell>
          <cell r="AB556" t="str">
            <v>14</v>
          </cell>
          <cell r="AC556">
            <v>8</v>
          </cell>
          <cell r="AD556" t="str">
            <v>0</v>
          </cell>
          <cell r="AE556" t="str">
            <v>0</v>
          </cell>
          <cell r="AF556" t="str">
            <v>00</v>
          </cell>
          <cell r="AG556">
            <v>0</v>
          </cell>
          <cell r="AI556">
            <v>6839787</v>
          </cell>
          <cell r="AJ556">
            <v>2137433.44</v>
          </cell>
        </row>
        <row r="557">
          <cell r="A557" t="str">
            <v>02</v>
          </cell>
          <cell r="B557" t="str">
            <v>99</v>
          </cell>
          <cell r="C557" t="str">
            <v>1420</v>
          </cell>
          <cell r="D557" t="str">
            <v>Полотенца мягкие</v>
          </cell>
          <cell r="E557" t="str">
            <v>ПМ-322</v>
          </cell>
          <cell r="G557" t="str">
            <v>01</v>
          </cell>
          <cell r="H557">
            <v>5890</v>
          </cell>
          <cell r="I557">
            <v>0</v>
          </cell>
          <cell r="J557">
            <v>0</v>
          </cell>
          <cell r="K557">
            <v>1.18</v>
          </cell>
          <cell r="L557" t="str">
            <v>20</v>
          </cell>
          <cell r="M557" t="str">
            <v>43815</v>
          </cell>
          <cell r="N557" t="str">
            <v>14 2922721</v>
          </cell>
          <cell r="O557" t="str">
            <v>067</v>
          </cell>
          <cell r="P557">
            <v>50</v>
          </cell>
          <cell r="Q557">
            <v>0</v>
          </cell>
          <cell r="R557" t="str">
            <v>1</v>
          </cell>
          <cell r="S557" t="str">
            <v>43</v>
          </cell>
          <cell r="T557">
            <v>95</v>
          </cell>
          <cell r="U557">
            <v>6</v>
          </cell>
          <cell r="V557">
            <v>95</v>
          </cell>
          <cell r="W557">
            <v>6</v>
          </cell>
          <cell r="X557">
            <v>95</v>
          </cell>
          <cell r="Y557">
            <v>0</v>
          </cell>
          <cell r="Z557">
            <v>0</v>
          </cell>
          <cell r="AB557" t="str">
            <v>14</v>
          </cell>
          <cell r="AC557">
            <v>1</v>
          </cell>
          <cell r="AD557" t="str">
            <v>0</v>
          </cell>
          <cell r="AE557" t="str">
            <v>0</v>
          </cell>
          <cell r="AF557" t="str">
            <v>00</v>
          </cell>
          <cell r="AI557">
            <v>5004448</v>
          </cell>
          <cell r="AJ557">
            <v>5004448</v>
          </cell>
        </row>
        <row r="558">
          <cell r="A558" t="str">
            <v>02</v>
          </cell>
          <cell r="B558" t="str">
            <v>05</v>
          </cell>
          <cell r="C558" t="str">
            <v>1421</v>
          </cell>
          <cell r="D558" t="str">
            <v>Полотенца мягкие</v>
          </cell>
          <cell r="E558" t="str">
            <v>ПМ-524</v>
          </cell>
          <cell r="G558" t="str">
            <v>01</v>
          </cell>
          <cell r="H558">
            <v>7050</v>
          </cell>
          <cell r="I558">
            <v>0</v>
          </cell>
          <cell r="J558">
            <v>0</v>
          </cell>
          <cell r="K558">
            <v>1.02</v>
          </cell>
          <cell r="L558" t="str">
            <v>20</v>
          </cell>
          <cell r="M558" t="str">
            <v>43815</v>
          </cell>
          <cell r="N558" t="str">
            <v>14 2922721</v>
          </cell>
          <cell r="O558" t="str">
            <v>067</v>
          </cell>
          <cell r="P558">
            <v>50</v>
          </cell>
          <cell r="Q558">
            <v>0</v>
          </cell>
          <cell r="R558" t="str">
            <v>1</v>
          </cell>
          <cell r="S558" t="str">
            <v>43</v>
          </cell>
          <cell r="T558">
            <v>95</v>
          </cell>
          <cell r="U558">
            <v>6</v>
          </cell>
          <cell r="V558">
            <v>95</v>
          </cell>
          <cell r="W558">
            <v>6</v>
          </cell>
          <cell r="X558">
            <v>95</v>
          </cell>
          <cell r="Y558">
            <v>0</v>
          </cell>
          <cell r="Z558">
            <v>0</v>
          </cell>
          <cell r="AB558" t="str">
            <v>14</v>
          </cell>
          <cell r="AC558">
            <v>6</v>
          </cell>
          <cell r="AD558" t="str">
            <v>0</v>
          </cell>
          <cell r="AE558" t="str">
            <v>0</v>
          </cell>
          <cell r="AF558" t="str">
            <v>00</v>
          </cell>
          <cell r="AI558">
            <v>6881116</v>
          </cell>
          <cell r="AJ558">
            <v>6881116</v>
          </cell>
        </row>
        <row r="559">
          <cell r="A559" t="str">
            <v>02</v>
          </cell>
          <cell r="B559" t="str">
            <v>05</v>
          </cell>
          <cell r="C559" t="str">
            <v>1422</v>
          </cell>
          <cell r="D559" t="str">
            <v>Полотенца мягкие</v>
          </cell>
          <cell r="E559" t="str">
            <v>ПМ-524</v>
          </cell>
          <cell r="G559" t="str">
            <v>01</v>
          </cell>
          <cell r="H559">
            <v>7050</v>
          </cell>
          <cell r="I559">
            <v>0</v>
          </cell>
          <cell r="J559">
            <v>0</v>
          </cell>
          <cell r="K559">
            <v>1.02</v>
          </cell>
          <cell r="L559" t="str">
            <v>20</v>
          </cell>
          <cell r="M559" t="str">
            <v>43815</v>
          </cell>
          <cell r="N559" t="str">
            <v>14 2922721</v>
          </cell>
          <cell r="O559" t="str">
            <v>067</v>
          </cell>
          <cell r="P559">
            <v>50</v>
          </cell>
          <cell r="Q559">
            <v>0</v>
          </cell>
          <cell r="R559" t="str">
            <v>1</v>
          </cell>
          <cell r="S559" t="str">
            <v>43</v>
          </cell>
          <cell r="T559">
            <v>95</v>
          </cell>
          <cell r="U559">
            <v>6</v>
          </cell>
          <cell r="V559">
            <v>95</v>
          </cell>
          <cell r="W559">
            <v>6</v>
          </cell>
          <cell r="X559">
            <v>95</v>
          </cell>
          <cell r="Y559">
            <v>0</v>
          </cell>
          <cell r="Z559">
            <v>0</v>
          </cell>
          <cell r="AB559" t="str">
            <v>14</v>
          </cell>
          <cell r="AC559">
            <v>6</v>
          </cell>
          <cell r="AD559" t="str">
            <v>0</v>
          </cell>
          <cell r="AE559" t="str">
            <v>0</v>
          </cell>
          <cell r="AF559" t="str">
            <v>00</v>
          </cell>
          <cell r="AI559">
            <v>6881116</v>
          </cell>
          <cell r="AJ559">
            <v>6881116</v>
          </cell>
        </row>
        <row r="560">
          <cell r="A560" t="str">
            <v>02</v>
          </cell>
          <cell r="B560" t="str">
            <v>02</v>
          </cell>
          <cell r="C560" t="str">
            <v>1423</v>
          </cell>
          <cell r="D560" t="str">
            <v>Полотенца мягкие</v>
          </cell>
          <cell r="E560" t="str">
            <v>ПМ-524</v>
          </cell>
          <cell r="G560" t="str">
            <v>01</v>
          </cell>
          <cell r="H560">
            <v>7050</v>
          </cell>
          <cell r="I560">
            <v>0</v>
          </cell>
          <cell r="J560">
            <v>0</v>
          </cell>
          <cell r="K560">
            <v>1.02</v>
          </cell>
          <cell r="L560" t="str">
            <v>20</v>
          </cell>
          <cell r="M560" t="str">
            <v>43815</v>
          </cell>
          <cell r="N560" t="str">
            <v>14 2922721</v>
          </cell>
          <cell r="O560" t="str">
            <v>067</v>
          </cell>
          <cell r="P560">
            <v>50</v>
          </cell>
          <cell r="Q560">
            <v>0</v>
          </cell>
          <cell r="R560" t="str">
            <v>1</v>
          </cell>
          <cell r="S560" t="str">
            <v>43</v>
          </cell>
          <cell r="T560">
            <v>95</v>
          </cell>
          <cell r="U560">
            <v>6</v>
          </cell>
          <cell r="V560">
            <v>95</v>
          </cell>
          <cell r="W560">
            <v>6</v>
          </cell>
          <cell r="X560">
            <v>95</v>
          </cell>
          <cell r="Y560">
            <v>0</v>
          </cell>
          <cell r="Z560">
            <v>0</v>
          </cell>
          <cell r="AB560" t="str">
            <v>14</v>
          </cell>
          <cell r="AC560">
            <v>12</v>
          </cell>
          <cell r="AD560" t="str">
            <v>0</v>
          </cell>
          <cell r="AE560" t="str">
            <v>0</v>
          </cell>
          <cell r="AF560" t="str">
            <v>00</v>
          </cell>
          <cell r="AI560">
            <v>6881116</v>
          </cell>
          <cell r="AJ560">
            <v>6881116</v>
          </cell>
        </row>
        <row r="561">
          <cell r="A561" t="str">
            <v>02</v>
          </cell>
          <cell r="B561" t="str">
            <v>02</v>
          </cell>
          <cell r="C561" t="str">
            <v>1424</v>
          </cell>
          <cell r="D561" t="str">
            <v>Полотенца мягкие</v>
          </cell>
          <cell r="E561" t="str">
            <v>ПМ-524</v>
          </cell>
          <cell r="G561" t="str">
            <v>01</v>
          </cell>
          <cell r="H561">
            <v>7050</v>
          </cell>
          <cell r="I561">
            <v>0</v>
          </cell>
          <cell r="J561">
            <v>0</v>
          </cell>
          <cell r="K561">
            <v>1.02</v>
          </cell>
          <cell r="L561" t="str">
            <v>20</v>
          </cell>
          <cell r="M561" t="str">
            <v>43815</v>
          </cell>
          <cell r="N561" t="str">
            <v>14 2922721</v>
          </cell>
          <cell r="O561" t="str">
            <v>067</v>
          </cell>
          <cell r="P561">
            <v>50</v>
          </cell>
          <cell r="Q561">
            <v>0</v>
          </cell>
          <cell r="R561" t="str">
            <v>1</v>
          </cell>
          <cell r="S561" t="str">
            <v>43</v>
          </cell>
          <cell r="T561">
            <v>95</v>
          </cell>
          <cell r="U561">
            <v>6</v>
          </cell>
          <cell r="V561">
            <v>95</v>
          </cell>
          <cell r="W561">
            <v>6</v>
          </cell>
          <cell r="X561">
            <v>95</v>
          </cell>
          <cell r="Y561">
            <v>0</v>
          </cell>
          <cell r="Z561">
            <v>0</v>
          </cell>
          <cell r="AB561" t="str">
            <v>14</v>
          </cell>
          <cell r="AC561">
            <v>12</v>
          </cell>
          <cell r="AD561" t="str">
            <v>0</v>
          </cell>
          <cell r="AE561" t="str">
            <v>0</v>
          </cell>
          <cell r="AF561" t="str">
            <v>00</v>
          </cell>
          <cell r="AI561">
            <v>6881116</v>
          </cell>
          <cell r="AJ561">
            <v>6881116</v>
          </cell>
        </row>
        <row r="562">
          <cell r="A562" t="str">
            <v>02</v>
          </cell>
          <cell r="B562" t="str">
            <v>03</v>
          </cell>
          <cell r="C562" t="str">
            <v>1425</v>
          </cell>
          <cell r="D562" t="str">
            <v>Полотенца мягкие</v>
          </cell>
          <cell r="E562" t="str">
            <v>ПМ-524</v>
          </cell>
          <cell r="G562" t="str">
            <v>01</v>
          </cell>
          <cell r="H562">
            <v>7050</v>
          </cell>
          <cell r="I562">
            <v>0</v>
          </cell>
          <cell r="J562">
            <v>0</v>
          </cell>
          <cell r="K562">
            <v>1.02</v>
          </cell>
          <cell r="L562" t="str">
            <v>26</v>
          </cell>
          <cell r="M562" t="str">
            <v>43815</v>
          </cell>
          <cell r="N562" t="str">
            <v>14 2922721</v>
          </cell>
          <cell r="O562" t="str">
            <v>067</v>
          </cell>
          <cell r="P562">
            <v>50</v>
          </cell>
          <cell r="Q562">
            <v>0</v>
          </cell>
          <cell r="R562" t="str">
            <v>1</v>
          </cell>
          <cell r="S562" t="str">
            <v>43</v>
          </cell>
          <cell r="T562">
            <v>95</v>
          </cell>
          <cell r="U562">
            <v>6</v>
          </cell>
          <cell r="V562">
            <v>95</v>
          </cell>
          <cell r="W562">
            <v>6</v>
          </cell>
          <cell r="X562">
            <v>95</v>
          </cell>
          <cell r="Y562">
            <v>0</v>
          </cell>
          <cell r="Z562">
            <v>0</v>
          </cell>
          <cell r="AD562" t="str">
            <v>0</v>
          </cell>
          <cell r="AE562" t="str">
            <v>0</v>
          </cell>
          <cell r="AF562" t="str">
            <v>00</v>
          </cell>
          <cell r="AI562">
            <v>6881116</v>
          </cell>
          <cell r="AJ562">
            <v>6881116</v>
          </cell>
        </row>
        <row r="563">
          <cell r="A563" t="str">
            <v>02</v>
          </cell>
          <cell r="B563" t="str">
            <v>03</v>
          </cell>
          <cell r="C563" t="str">
            <v>1426</v>
          </cell>
          <cell r="D563" t="str">
            <v>Полотенца мягкие</v>
          </cell>
          <cell r="E563" t="str">
            <v>ПМ-524</v>
          </cell>
          <cell r="G563" t="str">
            <v>01</v>
          </cell>
          <cell r="H563">
            <v>7050</v>
          </cell>
          <cell r="I563">
            <v>0</v>
          </cell>
          <cell r="J563">
            <v>0</v>
          </cell>
          <cell r="K563">
            <v>1.02</v>
          </cell>
          <cell r="L563" t="str">
            <v>26</v>
          </cell>
          <cell r="M563" t="str">
            <v>43815</v>
          </cell>
          <cell r="N563" t="str">
            <v>14 2922721</v>
          </cell>
          <cell r="O563" t="str">
            <v>067</v>
          </cell>
          <cell r="P563">
            <v>50</v>
          </cell>
          <cell r="Q563">
            <v>0</v>
          </cell>
          <cell r="R563" t="str">
            <v>1</v>
          </cell>
          <cell r="S563" t="str">
            <v>43</v>
          </cell>
          <cell r="T563">
            <v>95</v>
          </cell>
          <cell r="U563">
            <v>6</v>
          </cell>
          <cell r="V563">
            <v>95</v>
          </cell>
          <cell r="W563">
            <v>6</v>
          </cell>
          <cell r="X563">
            <v>95</v>
          </cell>
          <cell r="Y563">
            <v>0</v>
          </cell>
          <cell r="Z563">
            <v>0</v>
          </cell>
          <cell r="AD563" t="str">
            <v>0</v>
          </cell>
          <cell r="AE563" t="str">
            <v>0</v>
          </cell>
          <cell r="AF563" t="str">
            <v>00</v>
          </cell>
          <cell r="AI563">
            <v>6881116</v>
          </cell>
          <cell r="AJ563">
            <v>6881116</v>
          </cell>
        </row>
        <row r="564">
          <cell r="A564" t="str">
            <v>02</v>
          </cell>
          <cell r="B564" t="str">
            <v>03</v>
          </cell>
          <cell r="C564" t="str">
            <v>1427</v>
          </cell>
          <cell r="D564" t="str">
            <v>Полотенца мягкие</v>
          </cell>
          <cell r="E564" t="str">
            <v>ПМ-524</v>
          </cell>
          <cell r="G564" t="str">
            <v>01</v>
          </cell>
          <cell r="H564">
            <v>7050</v>
          </cell>
          <cell r="I564">
            <v>0</v>
          </cell>
          <cell r="J564">
            <v>0</v>
          </cell>
          <cell r="K564">
            <v>1.02</v>
          </cell>
          <cell r="L564" t="str">
            <v>26</v>
          </cell>
          <cell r="M564" t="str">
            <v>43815</v>
          </cell>
          <cell r="N564" t="str">
            <v>14 2922721</v>
          </cell>
          <cell r="O564" t="str">
            <v>067</v>
          </cell>
          <cell r="P564">
            <v>50</v>
          </cell>
          <cell r="Q564">
            <v>0</v>
          </cell>
          <cell r="R564" t="str">
            <v>1</v>
          </cell>
          <cell r="S564" t="str">
            <v>43</v>
          </cell>
          <cell r="T564">
            <v>95</v>
          </cell>
          <cell r="U564">
            <v>6</v>
          </cell>
          <cell r="V564">
            <v>95</v>
          </cell>
          <cell r="W564">
            <v>6</v>
          </cell>
          <cell r="X564">
            <v>95</v>
          </cell>
          <cell r="Y564">
            <v>0</v>
          </cell>
          <cell r="Z564">
            <v>0</v>
          </cell>
          <cell r="AD564" t="str">
            <v>0</v>
          </cell>
          <cell r="AE564" t="str">
            <v>0</v>
          </cell>
          <cell r="AF564" t="str">
            <v>00</v>
          </cell>
          <cell r="AI564">
            <v>6881116</v>
          </cell>
          <cell r="AJ564">
            <v>6881116</v>
          </cell>
        </row>
        <row r="565">
          <cell r="A565" t="str">
            <v>02</v>
          </cell>
          <cell r="B565" t="str">
            <v>03</v>
          </cell>
          <cell r="C565" t="str">
            <v>1428</v>
          </cell>
          <cell r="D565" t="str">
            <v>Полотенца мягкие</v>
          </cell>
          <cell r="E565" t="str">
            <v>ПМ-524</v>
          </cell>
          <cell r="G565" t="str">
            <v>01</v>
          </cell>
          <cell r="H565">
            <v>7050</v>
          </cell>
          <cell r="I565">
            <v>0</v>
          </cell>
          <cell r="J565">
            <v>0</v>
          </cell>
          <cell r="K565">
            <v>1.02</v>
          </cell>
          <cell r="L565" t="str">
            <v>26</v>
          </cell>
          <cell r="M565" t="str">
            <v>43815</v>
          </cell>
          <cell r="N565" t="str">
            <v>14 2922721</v>
          </cell>
          <cell r="O565" t="str">
            <v>067</v>
          </cell>
          <cell r="P565">
            <v>50</v>
          </cell>
          <cell r="Q565">
            <v>0</v>
          </cell>
          <cell r="R565" t="str">
            <v>1</v>
          </cell>
          <cell r="S565" t="str">
            <v>43</v>
          </cell>
          <cell r="T565">
            <v>95</v>
          </cell>
          <cell r="U565">
            <v>6</v>
          </cell>
          <cell r="V565">
            <v>95</v>
          </cell>
          <cell r="W565">
            <v>6</v>
          </cell>
          <cell r="X565">
            <v>95</v>
          </cell>
          <cell r="Y565">
            <v>0</v>
          </cell>
          <cell r="Z565">
            <v>0</v>
          </cell>
          <cell r="AD565" t="str">
            <v>0</v>
          </cell>
          <cell r="AE565" t="str">
            <v>0</v>
          </cell>
          <cell r="AF565" t="str">
            <v>00</v>
          </cell>
          <cell r="AI565">
            <v>6881116</v>
          </cell>
          <cell r="AJ565">
            <v>6881116</v>
          </cell>
        </row>
        <row r="566">
          <cell r="A566" t="str">
            <v>02</v>
          </cell>
          <cell r="B566" t="str">
            <v>03</v>
          </cell>
          <cell r="C566" t="str">
            <v>1438</v>
          </cell>
          <cell r="D566" t="str">
            <v>Полотенца мягкие</v>
          </cell>
          <cell r="E566" t="str">
            <v>ПМ-322</v>
          </cell>
          <cell r="G566" t="str">
            <v>01</v>
          </cell>
          <cell r="H566">
            <v>5890</v>
          </cell>
          <cell r="I566">
            <v>0</v>
          </cell>
          <cell r="J566">
            <v>0</v>
          </cell>
          <cell r="K566">
            <v>0.98</v>
          </cell>
          <cell r="L566" t="str">
            <v>26</v>
          </cell>
          <cell r="M566" t="str">
            <v>43815</v>
          </cell>
          <cell r="N566" t="str">
            <v>14 2922721</v>
          </cell>
          <cell r="O566" t="str">
            <v>067</v>
          </cell>
          <cell r="P566">
            <v>50</v>
          </cell>
          <cell r="Q566">
            <v>0</v>
          </cell>
          <cell r="R566" t="str">
            <v>1</v>
          </cell>
          <cell r="S566" t="str">
            <v>43</v>
          </cell>
          <cell r="T566">
            <v>95</v>
          </cell>
          <cell r="U566">
            <v>6</v>
          </cell>
          <cell r="V566">
            <v>95</v>
          </cell>
          <cell r="W566">
            <v>6</v>
          </cell>
          <cell r="X566">
            <v>95</v>
          </cell>
          <cell r="Y566">
            <v>9</v>
          </cell>
          <cell r="Z566">
            <v>95</v>
          </cell>
          <cell r="AD566" t="str">
            <v>0</v>
          </cell>
          <cell r="AE566" t="str">
            <v>0</v>
          </cell>
          <cell r="AF566" t="str">
            <v>00</v>
          </cell>
          <cell r="AI566">
            <v>5991846</v>
          </cell>
          <cell r="AJ566">
            <v>5991846</v>
          </cell>
        </row>
        <row r="567">
          <cell r="A567" t="str">
            <v>02</v>
          </cell>
          <cell r="B567" t="str">
            <v>03</v>
          </cell>
          <cell r="C567" t="str">
            <v>1441</v>
          </cell>
          <cell r="D567" t="str">
            <v>Стропы мягкие кольце</v>
          </cell>
          <cell r="E567" t="str">
            <v>вые СМК-43</v>
          </cell>
          <cell r="G567" t="str">
            <v>01</v>
          </cell>
          <cell r="H567">
            <v>7850</v>
          </cell>
          <cell r="I567">
            <v>0</v>
          </cell>
          <cell r="J567">
            <v>0</v>
          </cell>
          <cell r="K567">
            <v>1</v>
          </cell>
          <cell r="L567" t="str">
            <v>26</v>
          </cell>
          <cell r="M567" t="str">
            <v>43815</v>
          </cell>
          <cell r="N567" t="str">
            <v>14 2922721</v>
          </cell>
          <cell r="O567" t="str">
            <v>067</v>
          </cell>
          <cell r="P567">
            <v>50</v>
          </cell>
          <cell r="Q567">
            <v>0</v>
          </cell>
          <cell r="R567" t="str">
            <v>1</v>
          </cell>
          <cell r="S567" t="str">
            <v>43</v>
          </cell>
          <cell r="T567">
            <v>95</v>
          </cell>
          <cell r="U567">
            <v>6</v>
          </cell>
          <cell r="V567">
            <v>95</v>
          </cell>
          <cell r="W567">
            <v>6</v>
          </cell>
          <cell r="X567">
            <v>95</v>
          </cell>
          <cell r="Y567">
            <v>0</v>
          </cell>
          <cell r="Z567">
            <v>0</v>
          </cell>
          <cell r="AD567" t="str">
            <v>0</v>
          </cell>
          <cell r="AE567" t="str">
            <v>0</v>
          </cell>
          <cell r="AF567" t="str">
            <v>00</v>
          </cell>
          <cell r="AI567">
            <v>7819450</v>
          </cell>
          <cell r="AJ567">
            <v>7819450</v>
          </cell>
        </row>
        <row r="568">
          <cell r="A568" t="str">
            <v>02</v>
          </cell>
          <cell r="B568" t="str">
            <v>03</v>
          </cell>
          <cell r="C568" t="str">
            <v>1442</v>
          </cell>
          <cell r="D568" t="str">
            <v>Стропы мягкие кольце</v>
          </cell>
          <cell r="E568" t="str">
            <v>вые СМК-43</v>
          </cell>
          <cell r="G568" t="str">
            <v>01</v>
          </cell>
          <cell r="H568">
            <v>7850</v>
          </cell>
          <cell r="I568">
            <v>0</v>
          </cell>
          <cell r="J568">
            <v>0</v>
          </cell>
          <cell r="K568">
            <v>1</v>
          </cell>
          <cell r="L568" t="str">
            <v>26</v>
          </cell>
          <cell r="M568" t="str">
            <v>43815</v>
          </cell>
          <cell r="N568" t="str">
            <v>14 2922721</v>
          </cell>
          <cell r="O568" t="str">
            <v>067</v>
          </cell>
          <cell r="P568">
            <v>50</v>
          </cell>
          <cell r="Q568">
            <v>0</v>
          </cell>
          <cell r="R568" t="str">
            <v>1</v>
          </cell>
          <cell r="S568" t="str">
            <v>43</v>
          </cell>
          <cell r="T568">
            <v>95</v>
          </cell>
          <cell r="U568">
            <v>6</v>
          </cell>
          <cell r="V568">
            <v>95</v>
          </cell>
          <cell r="W568">
            <v>6</v>
          </cell>
          <cell r="X568">
            <v>95</v>
          </cell>
          <cell r="Y568">
            <v>0</v>
          </cell>
          <cell r="Z568">
            <v>0</v>
          </cell>
          <cell r="AD568" t="str">
            <v>0</v>
          </cell>
          <cell r="AE568" t="str">
            <v>0</v>
          </cell>
          <cell r="AF568" t="str">
            <v>00</v>
          </cell>
          <cell r="AI568">
            <v>7819450</v>
          </cell>
          <cell r="AJ568">
            <v>7819450</v>
          </cell>
        </row>
        <row r="569">
          <cell r="A569" t="str">
            <v>02</v>
          </cell>
          <cell r="B569" t="str">
            <v>03</v>
          </cell>
          <cell r="C569" t="str">
            <v>1443</v>
          </cell>
          <cell r="D569" t="str">
            <v>Стропы мягкие кольце</v>
          </cell>
          <cell r="E569" t="str">
            <v>вые СМК-43</v>
          </cell>
          <cell r="G569" t="str">
            <v>01</v>
          </cell>
          <cell r="H569">
            <v>7850</v>
          </cell>
          <cell r="I569">
            <v>0</v>
          </cell>
          <cell r="J569">
            <v>0</v>
          </cell>
          <cell r="K569">
            <v>1</v>
          </cell>
          <cell r="L569" t="str">
            <v>26</v>
          </cell>
          <cell r="M569" t="str">
            <v>43815</v>
          </cell>
          <cell r="N569" t="str">
            <v>14 2922721</v>
          </cell>
          <cell r="O569" t="str">
            <v>067</v>
          </cell>
          <cell r="P569">
            <v>50</v>
          </cell>
          <cell r="Q569">
            <v>0</v>
          </cell>
          <cell r="R569" t="str">
            <v>1</v>
          </cell>
          <cell r="S569" t="str">
            <v>43</v>
          </cell>
          <cell r="T569">
            <v>95</v>
          </cell>
          <cell r="U569">
            <v>6</v>
          </cell>
          <cell r="V569">
            <v>95</v>
          </cell>
          <cell r="W569">
            <v>6</v>
          </cell>
          <cell r="X569">
            <v>95</v>
          </cell>
          <cell r="Y569">
            <v>0</v>
          </cell>
          <cell r="Z569">
            <v>0</v>
          </cell>
          <cell r="AD569" t="str">
            <v>0</v>
          </cell>
          <cell r="AE569" t="str">
            <v>0</v>
          </cell>
          <cell r="AF569" t="str">
            <v>00</v>
          </cell>
          <cell r="AI569">
            <v>7819450</v>
          </cell>
          <cell r="AJ569">
            <v>7819450</v>
          </cell>
        </row>
        <row r="570">
          <cell r="A570" t="str">
            <v>02</v>
          </cell>
          <cell r="B570" t="str">
            <v>03</v>
          </cell>
          <cell r="C570" t="str">
            <v>1444</v>
          </cell>
          <cell r="D570" t="str">
            <v>Стропы мягкие кольце</v>
          </cell>
          <cell r="E570" t="str">
            <v>вые СМК-43</v>
          </cell>
          <cell r="G570" t="str">
            <v>01</v>
          </cell>
          <cell r="H570">
            <v>7850</v>
          </cell>
          <cell r="I570">
            <v>0</v>
          </cell>
          <cell r="J570">
            <v>0</v>
          </cell>
          <cell r="K570">
            <v>1</v>
          </cell>
          <cell r="L570" t="str">
            <v>26</v>
          </cell>
          <cell r="M570" t="str">
            <v>43815</v>
          </cell>
          <cell r="N570" t="str">
            <v>14 2922721</v>
          </cell>
          <cell r="O570" t="str">
            <v>067</v>
          </cell>
          <cell r="P570">
            <v>50</v>
          </cell>
          <cell r="Q570">
            <v>0</v>
          </cell>
          <cell r="R570" t="str">
            <v>1</v>
          </cell>
          <cell r="S570" t="str">
            <v>43</v>
          </cell>
          <cell r="T570">
            <v>95</v>
          </cell>
          <cell r="U570">
            <v>6</v>
          </cell>
          <cell r="V570">
            <v>95</v>
          </cell>
          <cell r="W570">
            <v>6</v>
          </cell>
          <cell r="X570">
            <v>95</v>
          </cell>
          <cell r="Y570">
            <v>0</v>
          </cell>
          <cell r="Z570">
            <v>0</v>
          </cell>
          <cell r="AD570" t="str">
            <v>0</v>
          </cell>
          <cell r="AE570" t="str">
            <v>0</v>
          </cell>
          <cell r="AF570" t="str">
            <v>00</v>
          </cell>
          <cell r="AI570">
            <v>7819450</v>
          </cell>
          <cell r="AJ570">
            <v>7819450</v>
          </cell>
        </row>
        <row r="571">
          <cell r="A571" t="str">
            <v>02</v>
          </cell>
          <cell r="B571" t="str">
            <v>03</v>
          </cell>
          <cell r="C571" t="str">
            <v>1445</v>
          </cell>
          <cell r="D571" t="str">
            <v>Стропы мягкие кольце</v>
          </cell>
          <cell r="E571" t="str">
            <v>вые СМК-43</v>
          </cell>
          <cell r="G571" t="str">
            <v>01</v>
          </cell>
          <cell r="H571">
            <v>7850</v>
          </cell>
          <cell r="I571">
            <v>0</v>
          </cell>
          <cell r="J571">
            <v>0</v>
          </cell>
          <cell r="K571">
            <v>1</v>
          </cell>
          <cell r="L571" t="str">
            <v>26</v>
          </cell>
          <cell r="M571" t="str">
            <v>43815</v>
          </cell>
          <cell r="N571" t="str">
            <v>14 2922721</v>
          </cell>
          <cell r="O571" t="str">
            <v>067</v>
          </cell>
          <cell r="P571">
            <v>50</v>
          </cell>
          <cell r="Q571">
            <v>0</v>
          </cell>
          <cell r="R571" t="str">
            <v>1</v>
          </cell>
          <cell r="S571" t="str">
            <v>43</v>
          </cell>
          <cell r="T571">
            <v>95</v>
          </cell>
          <cell r="U571">
            <v>6</v>
          </cell>
          <cell r="V571">
            <v>95</v>
          </cell>
          <cell r="W571">
            <v>6</v>
          </cell>
          <cell r="X571">
            <v>95</v>
          </cell>
          <cell r="Y571">
            <v>0</v>
          </cell>
          <cell r="Z571">
            <v>0</v>
          </cell>
          <cell r="AD571" t="str">
            <v>0</v>
          </cell>
          <cell r="AE571" t="str">
            <v>0</v>
          </cell>
          <cell r="AF571" t="str">
            <v>00</v>
          </cell>
          <cell r="AI571">
            <v>7819450</v>
          </cell>
          <cell r="AJ571">
            <v>7819450</v>
          </cell>
        </row>
        <row r="572">
          <cell r="A572" t="str">
            <v>02</v>
          </cell>
          <cell r="B572" t="str">
            <v>55</v>
          </cell>
          <cell r="C572" t="str">
            <v>1446</v>
          </cell>
          <cell r="D572" t="str">
            <v>Холодильник СТИНОЛ</v>
          </cell>
          <cell r="E572" t="str">
            <v>Ново-Липецкий мет.</v>
          </cell>
          <cell r="F572" t="str">
            <v>комб.</v>
          </cell>
          <cell r="G572" t="str">
            <v>01</v>
          </cell>
          <cell r="H572">
            <v>1800</v>
          </cell>
          <cell r="I572">
            <v>0</v>
          </cell>
          <cell r="J572">
            <v>0</v>
          </cell>
          <cell r="K572">
            <v>0.82</v>
          </cell>
          <cell r="L572" t="str">
            <v>26</v>
          </cell>
          <cell r="M572" t="str">
            <v>45800</v>
          </cell>
          <cell r="N572" t="str">
            <v>16 2930100</v>
          </cell>
          <cell r="O572" t="str">
            <v>063</v>
          </cell>
          <cell r="P572">
            <v>10</v>
          </cell>
          <cell r="Q572">
            <v>0</v>
          </cell>
          <cell r="R572" t="str">
            <v>1</v>
          </cell>
          <cell r="S572" t="str">
            <v>45</v>
          </cell>
          <cell r="T572">
            <v>95</v>
          </cell>
          <cell r="U572">
            <v>6</v>
          </cell>
          <cell r="V572">
            <v>95</v>
          </cell>
          <cell r="W572">
            <v>6</v>
          </cell>
          <cell r="X572">
            <v>95</v>
          </cell>
          <cell r="Y572">
            <v>0</v>
          </cell>
          <cell r="Z572">
            <v>0</v>
          </cell>
          <cell r="AD572" t="str">
            <v>0</v>
          </cell>
          <cell r="AE572" t="str">
            <v>0</v>
          </cell>
          <cell r="AF572" t="str">
            <v>00</v>
          </cell>
          <cell r="AI572">
            <v>2200458</v>
          </cell>
          <cell r="AJ572">
            <v>550114.5</v>
          </cell>
        </row>
        <row r="573">
          <cell r="A573" t="str">
            <v>02</v>
          </cell>
          <cell r="B573" t="str">
            <v>02</v>
          </cell>
          <cell r="C573" t="str">
            <v>1447</v>
          </cell>
          <cell r="D573" t="str">
            <v>Холодильник СТИНОЛ</v>
          </cell>
          <cell r="E573" t="str">
            <v>Ново-липецкий мет.</v>
          </cell>
          <cell r="F573" t="str">
            <v>комб.</v>
          </cell>
          <cell r="G573" t="str">
            <v>01</v>
          </cell>
          <cell r="H573">
            <v>1800</v>
          </cell>
          <cell r="I573">
            <v>0</v>
          </cell>
          <cell r="J573">
            <v>0</v>
          </cell>
          <cell r="K573">
            <v>0.82</v>
          </cell>
          <cell r="L573" t="str">
            <v>20</v>
          </cell>
          <cell r="M573" t="str">
            <v>45800</v>
          </cell>
          <cell r="N573" t="str">
            <v>16 2930100</v>
          </cell>
          <cell r="O573" t="str">
            <v>063</v>
          </cell>
          <cell r="P573">
            <v>10</v>
          </cell>
          <cell r="Q573">
            <v>0</v>
          </cell>
          <cell r="R573" t="str">
            <v>1</v>
          </cell>
          <cell r="S573" t="str">
            <v>45</v>
          </cell>
          <cell r="T573">
            <v>95</v>
          </cell>
          <cell r="U573">
            <v>6</v>
          </cell>
          <cell r="V573">
            <v>95</v>
          </cell>
          <cell r="W573">
            <v>6</v>
          </cell>
          <cell r="X573">
            <v>95</v>
          </cell>
          <cell r="Y573">
            <v>0</v>
          </cell>
          <cell r="Z573">
            <v>0</v>
          </cell>
          <cell r="AB573" t="str">
            <v>14</v>
          </cell>
          <cell r="AC573">
            <v>2</v>
          </cell>
          <cell r="AD573" t="str">
            <v>0</v>
          </cell>
          <cell r="AE573" t="str">
            <v>0</v>
          </cell>
          <cell r="AF573" t="str">
            <v>00</v>
          </cell>
          <cell r="AI573">
            <v>2200458</v>
          </cell>
          <cell r="AJ573">
            <v>550114.5</v>
          </cell>
        </row>
        <row r="574">
          <cell r="A574" t="str">
            <v>02</v>
          </cell>
          <cell r="B574" t="str">
            <v>02</v>
          </cell>
          <cell r="C574" t="str">
            <v>1448</v>
          </cell>
          <cell r="D574" t="str">
            <v>Холодильник СТИНОЛ</v>
          </cell>
          <cell r="E574" t="str">
            <v>Ново-Липецкий мет.</v>
          </cell>
          <cell r="F574" t="str">
            <v>комб.</v>
          </cell>
          <cell r="G574" t="str">
            <v>01</v>
          </cell>
          <cell r="H574">
            <v>1800</v>
          </cell>
          <cell r="I574">
            <v>0</v>
          </cell>
          <cell r="J574">
            <v>0</v>
          </cell>
          <cell r="K574">
            <v>0.82</v>
          </cell>
          <cell r="L574" t="str">
            <v>20</v>
          </cell>
          <cell r="M574" t="str">
            <v>45800</v>
          </cell>
          <cell r="N574" t="str">
            <v>16 2930100</v>
          </cell>
          <cell r="O574" t="str">
            <v>063</v>
          </cell>
          <cell r="P574">
            <v>10</v>
          </cell>
          <cell r="Q574">
            <v>0</v>
          </cell>
          <cell r="R574" t="str">
            <v>1</v>
          </cell>
          <cell r="S574" t="str">
            <v>45</v>
          </cell>
          <cell r="T574">
            <v>95</v>
          </cell>
          <cell r="U574">
            <v>6</v>
          </cell>
          <cell r="V574">
            <v>95</v>
          </cell>
          <cell r="W574">
            <v>6</v>
          </cell>
          <cell r="X574">
            <v>95</v>
          </cell>
          <cell r="Y574">
            <v>0</v>
          </cell>
          <cell r="Z574">
            <v>0</v>
          </cell>
          <cell r="AD574" t="str">
            <v>0</v>
          </cell>
          <cell r="AE574" t="str">
            <v>0</v>
          </cell>
          <cell r="AF574" t="str">
            <v>00</v>
          </cell>
          <cell r="AI574">
            <v>2200458</v>
          </cell>
          <cell r="AJ574">
            <v>550114.5</v>
          </cell>
        </row>
        <row r="575">
          <cell r="A575" t="str">
            <v>02</v>
          </cell>
          <cell r="B575" t="str">
            <v>02</v>
          </cell>
          <cell r="C575" t="str">
            <v>1450</v>
          </cell>
          <cell r="D575" t="str">
            <v>Холодильник Стинол</v>
          </cell>
          <cell r="E575" t="str">
            <v>Ново-Липецкий мет.</v>
          </cell>
          <cell r="F575" t="str">
            <v>комб</v>
          </cell>
          <cell r="G575" t="str">
            <v>01</v>
          </cell>
          <cell r="H575">
            <v>1800</v>
          </cell>
          <cell r="I575">
            <v>0</v>
          </cell>
          <cell r="J575">
            <v>0</v>
          </cell>
          <cell r="K575">
            <v>0.82</v>
          </cell>
          <cell r="L575" t="str">
            <v>20</v>
          </cell>
          <cell r="M575" t="str">
            <v>45800</v>
          </cell>
          <cell r="N575" t="str">
            <v>16 2930100</v>
          </cell>
          <cell r="O575" t="str">
            <v>063</v>
          </cell>
          <cell r="P575">
            <v>10</v>
          </cell>
          <cell r="Q575">
            <v>0</v>
          </cell>
          <cell r="R575" t="str">
            <v>1</v>
          </cell>
          <cell r="S575" t="str">
            <v>45</v>
          </cell>
          <cell r="T575">
            <v>95</v>
          </cell>
          <cell r="U575">
            <v>6</v>
          </cell>
          <cell r="V575">
            <v>95</v>
          </cell>
          <cell r="W575">
            <v>6</v>
          </cell>
          <cell r="X575">
            <v>95</v>
          </cell>
          <cell r="Y575">
            <v>0</v>
          </cell>
          <cell r="Z575">
            <v>0</v>
          </cell>
          <cell r="AB575" t="str">
            <v>14</v>
          </cell>
          <cell r="AC575">
            <v>2</v>
          </cell>
          <cell r="AD575" t="str">
            <v>0</v>
          </cell>
          <cell r="AE575" t="str">
            <v>0</v>
          </cell>
          <cell r="AF575" t="str">
            <v>00</v>
          </cell>
          <cell r="AI575">
            <v>2200458</v>
          </cell>
          <cell r="AJ575">
            <v>550114.5</v>
          </cell>
        </row>
        <row r="576">
          <cell r="A576" t="str">
            <v>15</v>
          </cell>
          <cell r="B576" t="str">
            <v>81</v>
          </cell>
          <cell r="C576" t="str">
            <v>1452</v>
          </cell>
          <cell r="D576" t="str">
            <v>Холодильник СТИНОЛ</v>
          </cell>
          <cell r="G576" t="str">
            <v>01</v>
          </cell>
          <cell r="H576">
            <v>1800</v>
          </cell>
          <cell r="I576">
            <v>0</v>
          </cell>
          <cell r="J576">
            <v>0</v>
          </cell>
          <cell r="K576">
            <v>0.82</v>
          </cell>
          <cell r="L576" t="str">
            <v>88/2</v>
          </cell>
          <cell r="M576" t="str">
            <v>45800</v>
          </cell>
          <cell r="N576" t="str">
            <v>16 2930100</v>
          </cell>
          <cell r="O576" t="str">
            <v>063</v>
          </cell>
          <cell r="P576">
            <v>10</v>
          </cell>
          <cell r="Q576">
            <v>0</v>
          </cell>
          <cell r="R576" t="str">
            <v>1</v>
          </cell>
          <cell r="S576" t="str">
            <v>45</v>
          </cell>
          <cell r="T576">
            <v>95</v>
          </cell>
          <cell r="U576">
            <v>6</v>
          </cell>
          <cell r="V576">
            <v>95</v>
          </cell>
          <cell r="W576">
            <v>6</v>
          </cell>
          <cell r="X576">
            <v>95</v>
          </cell>
          <cell r="Y576">
            <v>0</v>
          </cell>
          <cell r="Z576">
            <v>0</v>
          </cell>
          <cell r="AB576" t="str">
            <v>14</v>
          </cell>
          <cell r="AC576">
            <v>2</v>
          </cell>
          <cell r="AD576" t="str">
            <v>0</v>
          </cell>
          <cell r="AE576" t="str">
            <v>0</v>
          </cell>
          <cell r="AF576" t="str">
            <v>15</v>
          </cell>
          <cell r="AI576">
            <v>2200458</v>
          </cell>
          <cell r="AJ576">
            <v>550114.5</v>
          </cell>
        </row>
        <row r="577">
          <cell r="A577" t="str">
            <v>02</v>
          </cell>
          <cell r="B577" t="str">
            <v>61</v>
          </cell>
          <cell r="C577" t="str">
            <v>1453</v>
          </cell>
          <cell r="D577" t="str">
            <v>Холодильник СТИНОЛ</v>
          </cell>
          <cell r="E577" t="str">
            <v>Ново-липецкий мет.</v>
          </cell>
          <cell r="F577" t="str">
            <v>комб.</v>
          </cell>
          <cell r="G577" t="str">
            <v>01</v>
          </cell>
          <cell r="H577">
            <v>1800</v>
          </cell>
          <cell r="I577">
            <v>0</v>
          </cell>
          <cell r="J577">
            <v>0</v>
          </cell>
          <cell r="K577">
            <v>0.82</v>
          </cell>
          <cell r="L577" t="str">
            <v>23</v>
          </cell>
          <cell r="M577" t="str">
            <v>45800</v>
          </cell>
          <cell r="N577" t="str">
            <v>16 2930100</v>
          </cell>
          <cell r="O577" t="str">
            <v>063</v>
          </cell>
          <cell r="P577">
            <v>10</v>
          </cell>
          <cell r="Q577">
            <v>0</v>
          </cell>
          <cell r="R577" t="str">
            <v>1</v>
          </cell>
          <cell r="S577" t="str">
            <v>45</v>
          </cell>
          <cell r="T577">
            <v>95</v>
          </cell>
          <cell r="U577">
            <v>6</v>
          </cell>
          <cell r="V577">
            <v>95</v>
          </cell>
          <cell r="W577">
            <v>6</v>
          </cell>
          <cell r="X577">
            <v>95</v>
          </cell>
          <cell r="Y577">
            <v>0</v>
          </cell>
          <cell r="Z577">
            <v>0</v>
          </cell>
          <cell r="AB577" t="str">
            <v>14</v>
          </cell>
          <cell r="AC577">
            <v>8</v>
          </cell>
          <cell r="AD577" t="str">
            <v>0</v>
          </cell>
          <cell r="AE577" t="str">
            <v>0</v>
          </cell>
          <cell r="AF577" t="str">
            <v>00</v>
          </cell>
          <cell r="AI577">
            <v>2200458</v>
          </cell>
          <cell r="AJ577">
            <v>550114.5</v>
          </cell>
        </row>
        <row r="578">
          <cell r="A578" t="str">
            <v>15</v>
          </cell>
          <cell r="B578" t="str">
            <v>81</v>
          </cell>
          <cell r="C578" t="str">
            <v>1454</v>
          </cell>
          <cell r="D578" t="str">
            <v>Холодильник СТИНОЛ</v>
          </cell>
          <cell r="G578" t="str">
            <v>01</v>
          </cell>
          <cell r="H578">
            <v>1800</v>
          </cell>
          <cell r="I578">
            <v>0</v>
          </cell>
          <cell r="J578">
            <v>0</v>
          </cell>
          <cell r="K578">
            <v>0.82</v>
          </cell>
          <cell r="L578" t="str">
            <v>88/2</v>
          </cell>
          <cell r="M578" t="str">
            <v>45800</v>
          </cell>
          <cell r="N578" t="str">
            <v>16 2930100</v>
          </cell>
          <cell r="O578" t="str">
            <v>063</v>
          </cell>
          <cell r="P578">
            <v>10</v>
          </cell>
          <cell r="Q578">
            <v>0</v>
          </cell>
          <cell r="R578" t="str">
            <v>1</v>
          </cell>
          <cell r="S578" t="str">
            <v>45</v>
          </cell>
          <cell r="T578">
            <v>95</v>
          </cell>
          <cell r="U578">
            <v>6</v>
          </cell>
          <cell r="V578">
            <v>95</v>
          </cell>
          <cell r="W578">
            <v>6</v>
          </cell>
          <cell r="X578">
            <v>95</v>
          </cell>
          <cell r="Y578">
            <v>0</v>
          </cell>
          <cell r="Z578">
            <v>0</v>
          </cell>
          <cell r="AB578" t="str">
            <v>14</v>
          </cell>
          <cell r="AC578">
            <v>2</v>
          </cell>
          <cell r="AD578" t="str">
            <v>0</v>
          </cell>
          <cell r="AE578" t="str">
            <v>0</v>
          </cell>
          <cell r="AF578" t="str">
            <v>15</v>
          </cell>
          <cell r="AI578">
            <v>2200458</v>
          </cell>
          <cell r="AJ578">
            <v>550114.5</v>
          </cell>
        </row>
        <row r="579">
          <cell r="A579" t="str">
            <v>02</v>
          </cell>
          <cell r="B579" t="str">
            <v>04</v>
          </cell>
          <cell r="C579" t="str">
            <v>1455</v>
          </cell>
          <cell r="D579" t="str">
            <v>Холодильник СТИНОЛ</v>
          </cell>
          <cell r="G579" t="str">
            <v>01</v>
          </cell>
          <cell r="H579">
            <v>1800</v>
          </cell>
          <cell r="I579">
            <v>0</v>
          </cell>
          <cell r="J579">
            <v>0</v>
          </cell>
          <cell r="K579">
            <v>0.82</v>
          </cell>
          <cell r="L579" t="str">
            <v>23</v>
          </cell>
          <cell r="M579" t="str">
            <v>45800</v>
          </cell>
          <cell r="N579" t="str">
            <v>16 2930100</v>
          </cell>
          <cell r="O579" t="str">
            <v>063</v>
          </cell>
          <cell r="P579">
            <v>10</v>
          </cell>
          <cell r="Q579">
            <v>0</v>
          </cell>
          <cell r="R579" t="str">
            <v>1</v>
          </cell>
          <cell r="S579" t="str">
            <v>45</v>
          </cell>
          <cell r="T579">
            <v>95</v>
          </cell>
          <cell r="U579">
            <v>6</v>
          </cell>
          <cell r="V579">
            <v>95</v>
          </cell>
          <cell r="W579">
            <v>6</v>
          </cell>
          <cell r="X579">
            <v>95</v>
          </cell>
          <cell r="Y579">
            <v>0</v>
          </cell>
          <cell r="Z579">
            <v>0</v>
          </cell>
          <cell r="AB579" t="str">
            <v>14</v>
          </cell>
          <cell r="AC579">
            <v>2</v>
          </cell>
          <cell r="AD579" t="str">
            <v>0</v>
          </cell>
          <cell r="AE579" t="str">
            <v>0</v>
          </cell>
          <cell r="AF579" t="str">
            <v>00</v>
          </cell>
          <cell r="AI579">
            <v>2200458</v>
          </cell>
          <cell r="AJ579">
            <v>550114.5</v>
          </cell>
        </row>
        <row r="580">
          <cell r="A580" t="str">
            <v>02</v>
          </cell>
          <cell r="B580" t="str">
            <v>23</v>
          </cell>
          <cell r="C580" t="str">
            <v>1456</v>
          </cell>
          <cell r="D580" t="str">
            <v>КАМАЗ-532130 а/бетон</v>
          </cell>
          <cell r="E580" t="str">
            <v>онасос СБ-170 д02955</v>
          </cell>
          <cell r="F580" t="str">
            <v>5 ш1077112 NоА235 ХУ</v>
          </cell>
          <cell r="G580" t="str">
            <v>01</v>
          </cell>
          <cell r="H580">
            <v>46577.58</v>
          </cell>
          <cell r="I580">
            <v>0</v>
          </cell>
          <cell r="J580">
            <v>279450</v>
          </cell>
          <cell r="K580">
            <v>1.1200000000000001</v>
          </cell>
          <cell r="L580" t="str">
            <v>23</v>
          </cell>
          <cell r="M580" t="str">
            <v>42001</v>
          </cell>
          <cell r="N580" t="str">
            <v>15 3410196</v>
          </cell>
          <cell r="O580" t="str">
            <v>067</v>
          </cell>
          <cell r="P580">
            <v>10</v>
          </cell>
          <cell r="Q580">
            <v>0</v>
          </cell>
          <cell r="R580" t="str">
            <v>1</v>
          </cell>
          <cell r="S580" t="str">
            <v>42</v>
          </cell>
          <cell r="T580">
            <v>95</v>
          </cell>
          <cell r="U580">
            <v>6</v>
          </cell>
          <cell r="V580">
            <v>95</v>
          </cell>
          <cell r="W580">
            <v>6</v>
          </cell>
          <cell r="X580">
            <v>95</v>
          </cell>
          <cell r="Y580">
            <v>8</v>
          </cell>
          <cell r="Z580">
            <v>95</v>
          </cell>
          <cell r="AD580" t="str">
            <v>0</v>
          </cell>
          <cell r="AE580" t="str">
            <v>0</v>
          </cell>
          <cell r="AF580" t="str">
            <v>00</v>
          </cell>
          <cell r="AI580">
            <v>248888889</v>
          </cell>
          <cell r="AJ580">
            <v>58765470.439999998</v>
          </cell>
        </row>
        <row r="581">
          <cell r="A581" t="str">
            <v>02</v>
          </cell>
          <cell r="B581" t="str">
            <v>71</v>
          </cell>
          <cell r="C581" t="str">
            <v>1457</v>
          </cell>
          <cell r="D581" t="str">
            <v>Каток ДУ-47</v>
          </cell>
          <cell r="G581" t="str">
            <v>01</v>
          </cell>
          <cell r="H581">
            <v>81000</v>
          </cell>
          <cell r="I581">
            <v>0</v>
          </cell>
          <cell r="J581">
            <v>0</v>
          </cell>
          <cell r="K581">
            <v>1.19</v>
          </cell>
          <cell r="L581" t="str">
            <v>23</v>
          </cell>
          <cell r="M581" t="str">
            <v>42104</v>
          </cell>
          <cell r="N581" t="str">
            <v>14 2924440</v>
          </cell>
          <cell r="O581" t="str">
            <v>065</v>
          </cell>
          <cell r="P581">
            <v>16.7</v>
          </cell>
          <cell r="Q581">
            <v>0</v>
          </cell>
          <cell r="R581" t="str">
            <v>1</v>
          </cell>
          <cell r="S581" t="str">
            <v>42</v>
          </cell>
          <cell r="T581">
            <v>95</v>
          </cell>
          <cell r="U581">
            <v>6</v>
          </cell>
          <cell r="V581">
            <v>95</v>
          </cell>
          <cell r="W581">
            <v>6</v>
          </cell>
          <cell r="X581">
            <v>95</v>
          </cell>
          <cell r="Y581">
            <v>0</v>
          </cell>
          <cell r="Z581">
            <v>0</v>
          </cell>
          <cell r="AB581" t="str">
            <v>14</v>
          </cell>
          <cell r="AC581">
            <v>9</v>
          </cell>
          <cell r="AD581" t="str">
            <v>0</v>
          </cell>
          <cell r="AE581" t="str">
            <v>0</v>
          </cell>
          <cell r="AF581" t="str">
            <v>00</v>
          </cell>
          <cell r="AI581">
            <v>68089430</v>
          </cell>
          <cell r="AJ581">
            <v>28427337.030000001</v>
          </cell>
        </row>
        <row r="582">
          <cell r="A582" t="str">
            <v>02</v>
          </cell>
          <cell r="B582" t="str">
            <v>71</v>
          </cell>
          <cell r="C582" t="str">
            <v>1458</v>
          </cell>
          <cell r="D582" t="str">
            <v>Погрузчик КРУПИНА UN</v>
          </cell>
          <cell r="E582" t="str">
            <v>C-060 /Амкодор/</v>
          </cell>
          <cell r="F582" t="str">
            <v>зN16327830</v>
          </cell>
          <cell r="G582" t="str">
            <v>01</v>
          </cell>
          <cell r="H582">
            <v>134625</v>
          </cell>
          <cell r="I582">
            <v>0</v>
          </cell>
          <cell r="J582">
            <v>0</v>
          </cell>
          <cell r="K582">
            <v>0.8</v>
          </cell>
          <cell r="L582" t="str">
            <v>23</v>
          </cell>
          <cell r="M582" t="str">
            <v>41719</v>
          </cell>
          <cell r="N582" t="str">
            <v>14 2915541</v>
          </cell>
          <cell r="O582" t="str">
            <v>067</v>
          </cell>
          <cell r="P582">
            <v>12.5</v>
          </cell>
          <cell r="Q582">
            <v>0</v>
          </cell>
          <cell r="R582" t="str">
            <v>1</v>
          </cell>
          <cell r="S582" t="str">
            <v>41</v>
          </cell>
          <cell r="T582">
            <v>95</v>
          </cell>
          <cell r="U582">
            <v>6</v>
          </cell>
          <cell r="V582">
            <v>95</v>
          </cell>
          <cell r="W582">
            <v>6</v>
          </cell>
          <cell r="X582">
            <v>95</v>
          </cell>
          <cell r="Y582">
            <v>0</v>
          </cell>
          <cell r="Z582">
            <v>0</v>
          </cell>
          <cell r="AB582" t="str">
            <v>14</v>
          </cell>
          <cell r="AC582">
            <v>9</v>
          </cell>
          <cell r="AD582" t="str">
            <v>0</v>
          </cell>
          <cell r="AE582" t="str">
            <v>0</v>
          </cell>
          <cell r="AF582" t="str">
            <v>00</v>
          </cell>
          <cell r="AI582">
            <v>168217830</v>
          </cell>
          <cell r="AJ582">
            <v>52568071.880000003</v>
          </cell>
        </row>
        <row r="583">
          <cell r="A583" t="str">
            <v>02</v>
          </cell>
          <cell r="B583" t="str">
            <v>51</v>
          </cell>
          <cell r="C583" t="str">
            <v>1459</v>
          </cell>
          <cell r="D583" t="str">
            <v>Сварочный агрегат</v>
          </cell>
          <cell r="E583" t="str">
            <v>АДД-400</v>
          </cell>
          <cell r="G583" t="str">
            <v>01</v>
          </cell>
          <cell r="H583">
            <v>22659</v>
          </cell>
          <cell r="I583">
            <v>0</v>
          </cell>
          <cell r="J583">
            <v>0</v>
          </cell>
          <cell r="K583">
            <v>0.97</v>
          </cell>
          <cell r="L583" t="str">
            <v>20</v>
          </cell>
          <cell r="M583" t="str">
            <v>42502</v>
          </cell>
          <cell r="N583" t="str">
            <v>14 2947193</v>
          </cell>
          <cell r="O583" t="str">
            <v>067</v>
          </cell>
          <cell r="P583">
            <v>16.7</v>
          </cell>
          <cell r="Q583">
            <v>0</v>
          </cell>
          <cell r="R583" t="str">
            <v>1</v>
          </cell>
          <cell r="S583" t="str">
            <v>42</v>
          </cell>
          <cell r="T583">
            <v>95</v>
          </cell>
          <cell r="U583">
            <v>7</v>
          </cell>
          <cell r="V583">
            <v>95</v>
          </cell>
          <cell r="W583">
            <v>7</v>
          </cell>
          <cell r="X583">
            <v>95</v>
          </cell>
          <cell r="Y583">
            <v>0</v>
          </cell>
          <cell r="Z583">
            <v>0</v>
          </cell>
          <cell r="AB583" t="str">
            <v>14</v>
          </cell>
          <cell r="AC583">
            <v>7</v>
          </cell>
          <cell r="AD583" t="str">
            <v>0</v>
          </cell>
          <cell r="AE583" t="str">
            <v>0</v>
          </cell>
          <cell r="AF583" t="str">
            <v>00</v>
          </cell>
          <cell r="AI583">
            <v>23458350</v>
          </cell>
          <cell r="AJ583">
            <v>9467399.0899999999</v>
          </cell>
        </row>
        <row r="584">
          <cell r="A584" t="str">
            <v>02</v>
          </cell>
          <cell r="B584" t="str">
            <v>80</v>
          </cell>
          <cell r="C584" t="str">
            <v>1460</v>
          </cell>
          <cell r="D584" t="str">
            <v>Компьютер-486 ДХ266</v>
          </cell>
          <cell r="E584" t="str">
            <v>с монитором с принте</v>
          </cell>
          <cell r="F584" t="str">
            <v>ром EPSON LX-1050</v>
          </cell>
          <cell r="G584" t="str">
            <v>01</v>
          </cell>
          <cell r="H584">
            <v>4918.8999999999996</v>
          </cell>
          <cell r="I584">
            <v>0</v>
          </cell>
          <cell r="J584">
            <v>11924.9</v>
          </cell>
          <cell r="K584">
            <v>0.27</v>
          </cell>
          <cell r="L584" t="str">
            <v>26</v>
          </cell>
          <cell r="M584" t="str">
            <v>48008</v>
          </cell>
          <cell r="N584" t="str">
            <v>14 3020203</v>
          </cell>
          <cell r="O584" t="str">
            <v>063</v>
          </cell>
          <cell r="P584">
            <v>10</v>
          </cell>
          <cell r="Q584">
            <v>0</v>
          </cell>
          <cell r="R584" t="str">
            <v>1</v>
          </cell>
          <cell r="S584" t="str">
            <v>48</v>
          </cell>
          <cell r="T584">
            <v>95</v>
          </cell>
          <cell r="U584">
            <v>7</v>
          </cell>
          <cell r="V584">
            <v>95</v>
          </cell>
          <cell r="W584">
            <v>7</v>
          </cell>
          <cell r="X584">
            <v>95</v>
          </cell>
          <cell r="Y584">
            <v>6</v>
          </cell>
          <cell r="Z584">
            <v>99</v>
          </cell>
          <cell r="AB584" t="str">
            <v>14</v>
          </cell>
          <cell r="AC584">
            <v>11</v>
          </cell>
          <cell r="AD584" t="str">
            <v>0</v>
          </cell>
          <cell r="AE584" t="str">
            <v>0</v>
          </cell>
          <cell r="AF584" t="str">
            <v>00</v>
          </cell>
          <cell r="AI584">
            <v>11982705</v>
          </cell>
          <cell r="AJ584">
            <v>2895820.38</v>
          </cell>
        </row>
        <row r="585">
          <cell r="A585" t="str">
            <v>02</v>
          </cell>
          <cell r="B585" t="str">
            <v>80</v>
          </cell>
          <cell r="C585" t="str">
            <v>1461</v>
          </cell>
          <cell r="D585" t="str">
            <v>Компьютер-486 ДХ266</v>
          </cell>
          <cell r="E585" t="str">
            <v>с монитором</v>
          </cell>
          <cell r="G585" t="str">
            <v>01</v>
          </cell>
          <cell r="H585">
            <v>3250</v>
          </cell>
          <cell r="I585">
            <v>0</v>
          </cell>
          <cell r="J585">
            <v>7450</v>
          </cell>
          <cell r="K585">
            <v>0.27</v>
          </cell>
          <cell r="L585" t="str">
            <v>26</v>
          </cell>
          <cell r="M585" t="str">
            <v>48008</v>
          </cell>
          <cell r="N585" t="str">
            <v>14 3020203</v>
          </cell>
          <cell r="O585" t="str">
            <v>063</v>
          </cell>
          <cell r="P585">
            <v>10</v>
          </cell>
          <cell r="Q585">
            <v>0</v>
          </cell>
          <cell r="R585" t="str">
            <v>1</v>
          </cell>
          <cell r="S585" t="str">
            <v>48</v>
          </cell>
          <cell r="T585">
            <v>95</v>
          </cell>
          <cell r="U585">
            <v>7</v>
          </cell>
          <cell r="V585">
            <v>95</v>
          </cell>
          <cell r="W585">
            <v>7</v>
          </cell>
          <cell r="X585">
            <v>95</v>
          </cell>
          <cell r="Y585">
            <v>11</v>
          </cell>
          <cell r="Z585">
            <v>97</v>
          </cell>
          <cell r="AB585" t="str">
            <v>14</v>
          </cell>
          <cell r="AC585">
            <v>11</v>
          </cell>
          <cell r="AD585" t="str">
            <v>0</v>
          </cell>
          <cell r="AE585" t="str">
            <v>0</v>
          </cell>
          <cell r="AF585" t="str">
            <v>00</v>
          </cell>
          <cell r="AI585">
            <v>20382705</v>
          </cell>
          <cell r="AJ585">
            <v>2930820.38</v>
          </cell>
        </row>
        <row r="586">
          <cell r="A586" t="str">
            <v>02</v>
          </cell>
          <cell r="B586" t="str">
            <v>80</v>
          </cell>
          <cell r="C586" t="str">
            <v>1463</v>
          </cell>
          <cell r="D586" t="str">
            <v>Сейф ЕС-065</v>
          </cell>
          <cell r="G586" t="str">
            <v>01</v>
          </cell>
          <cell r="H586">
            <v>2548</v>
          </cell>
          <cell r="I586">
            <v>0</v>
          </cell>
          <cell r="J586">
            <v>0</v>
          </cell>
          <cell r="K586">
            <v>0.25</v>
          </cell>
          <cell r="L586" t="str">
            <v>26</v>
          </cell>
          <cell r="M586" t="str">
            <v>70001</v>
          </cell>
          <cell r="N586" t="str">
            <v>16 2899400</v>
          </cell>
          <cell r="O586" t="str">
            <v>08</v>
          </cell>
          <cell r="P586">
            <v>6.5</v>
          </cell>
          <cell r="Q586">
            <v>0</v>
          </cell>
          <cell r="R586" t="str">
            <v>1</v>
          </cell>
          <cell r="S586" t="str">
            <v>70</v>
          </cell>
          <cell r="T586">
            <v>95</v>
          </cell>
          <cell r="U586">
            <v>7</v>
          </cell>
          <cell r="V586">
            <v>95</v>
          </cell>
          <cell r="W586">
            <v>7</v>
          </cell>
          <cell r="X586">
            <v>95</v>
          </cell>
          <cell r="Y586">
            <v>0</v>
          </cell>
          <cell r="Z586">
            <v>0</v>
          </cell>
          <cell r="AD586" t="str">
            <v>0</v>
          </cell>
          <cell r="AE586" t="str">
            <v>0</v>
          </cell>
          <cell r="AF586" t="str">
            <v>00</v>
          </cell>
          <cell r="AI586">
            <v>10215137</v>
          </cell>
          <cell r="AJ586">
            <v>1604627.77</v>
          </cell>
        </row>
        <row r="587">
          <cell r="A587" t="str">
            <v>02</v>
          </cell>
          <cell r="B587" t="str">
            <v>05</v>
          </cell>
          <cell r="C587" t="str">
            <v>1464</v>
          </cell>
          <cell r="D587" t="str">
            <v>Дизели /части машин</v>
          </cell>
          <cell r="E587" t="str">
            <v>и оборудования/ Д-36</v>
          </cell>
          <cell r="G587" t="str">
            <v>01</v>
          </cell>
          <cell r="H587">
            <v>52155.92</v>
          </cell>
          <cell r="I587">
            <v>0</v>
          </cell>
          <cell r="J587">
            <v>0</v>
          </cell>
          <cell r="K587">
            <v>1.21</v>
          </cell>
          <cell r="L587" t="str">
            <v>20</v>
          </cell>
          <cell r="M587" t="str">
            <v>40411</v>
          </cell>
          <cell r="N587" t="str">
            <v>14 2911100</v>
          </cell>
          <cell r="O587" t="str">
            <v>063</v>
          </cell>
          <cell r="P587">
            <v>14.3</v>
          </cell>
          <cell r="Q587">
            <v>0</v>
          </cell>
          <cell r="R587" t="str">
            <v>1</v>
          </cell>
          <cell r="S587" t="str">
            <v>40</v>
          </cell>
          <cell r="T587">
            <v>95</v>
          </cell>
          <cell r="U587">
            <v>7</v>
          </cell>
          <cell r="V587">
            <v>95</v>
          </cell>
          <cell r="W587">
            <v>7</v>
          </cell>
          <cell r="X587">
            <v>95</v>
          </cell>
          <cell r="Y587">
            <v>0</v>
          </cell>
          <cell r="Z587">
            <v>0</v>
          </cell>
          <cell r="AD587" t="str">
            <v>0</v>
          </cell>
          <cell r="AE587" t="str">
            <v>0</v>
          </cell>
          <cell r="AF587" t="str">
            <v>00</v>
          </cell>
          <cell r="AI587">
            <v>43104068</v>
          </cell>
          <cell r="AJ587">
            <v>14896047.5</v>
          </cell>
        </row>
        <row r="588">
          <cell r="A588" t="str">
            <v>02</v>
          </cell>
          <cell r="B588" t="str">
            <v>02</v>
          </cell>
          <cell r="C588" t="str">
            <v>1465</v>
          </cell>
          <cell r="D588" t="str">
            <v>Центратор внутренний</v>
          </cell>
          <cell r="E588" t="str">
            <v>ЦВ-121</v>
          </cell>
          <cell r="G588" t="str">
            <v>01</v>
          </cell>
          <cell r="H588">
            <v>34827.25</v>
          </cell>
          <cell r="I588">
            <v>0</v>
          </cell>
          <cell r="J588">
            <v>46800</v>
          </cell>
          <cell r="K588">
            <v>0.88</v>
          </cell>
          <cell r="L588" t="str">
            <v>20</v>
          </cell>
          <cell r="M588" t="str">
            <v>43807</v>
          </cell>
          <cell r="N588" t="str">
            <v>14 2928286</v>
          </cell>
          <cell r="O588" t="str">
            <v>067</v>
          </cell>
          <cell r="P588">
            <v>25</v>
          </cell>
          <cell r="Q588">
            <v>0</v>
          </cell>
          <cell r="R588" t="str">
            <v>1</v>
          </cell>
          <cell r="S588" t="str">
            <v>43</v>
          </cell>
          <cell r="T588">
            <v>86</v>
          </cell>
          <cell r="U588">
            <v>7</v>
          </cell>
          <cell r="V588">
            <v>95</v>
          </cell>
          <cell r="W588">
            <v>7</v>
          </cell>
          <cell r="X588">
            <v>95</v>
          </cell>
          <cell r="Y588">
            <v>8</v>
          </cell>
          <cell r="Z588">
            <v>95</v>
          </cell>
          <cell r="AB588" t="str">
            <v>14</v>
          </cell>
          <cell r="AC588">
            <v>2</v>
          </cell>
          <cell r="AD588" t="str">
            <v>0</v>
          </cell>
          <cell r="AE588" t="str">
            <v>0</v>
          </cell>
          <cell r="AF588" t="str">
            <v>00</v>
          </cell>
          <cell r="AI588">
            <v>53087025</v>
          </cell>
          <cell r="AJ588">
            <v>31790470.309999999</v>
          </cell>
        </row>
        <row r="589">
          <cell r="A589" t="str">
            <v>02</v>
          </cell>
          <cell r="B589" t="str">
            <v>80</v>
          </cell>
          <cell r="C589" t="str">
            <v>1466</v>
          </cell>
          <cell r="D589" t="str">
            <v>Телефакс PANASONIC</v>
          </cell>
          <cell r="G589" t="str">
            <v>01</v>
          </cell>
          <cell r="H589">
            <v>1836</v>
          </cell>
          <cell r="I589">
            <v>0</v>
          </cell>
          <cell r="J589">
            <v>0</v>
          </cell>
          <cell r="K589">
            <v>0.21</v>
          </cell>
          <cell r="L589" t="str">
            <v>26</v>
          </cell>
          <cell r="M589" t="str">
            <v>48008</v>
          </cell>
          <cell r="N589" t="str">
            <v>14 3222146</v>
          </cell>
          <cell r="O589" t="str">
            <v>063</v>
          </cell>
          <cell r="P589">
            <v>10</v>
          </cell>
          <cell r="Q589">
            <v>0</v>
          </cell>
          <cell r="R589" t="str">
            <v>1</v>
          </cell>
          <cell r="S589" t="str">
            <v>48</v>
          </cell>
          <cell r="T589">
            <v>95</v>
          </cell>
          <cell r="U589">
            <v>7</v>
          </cell>
          <cell r="V589">
            <v>95</v>
          </cell>
          <cell r="W589">
            <v>7</v>
          </cell>
          <cell r="X589">
            <v>95</v>
          </cell>
          <cell r="Y589">
            <v>0</v>
          </cell>
          <cell r="Z589">
            <v>0</v>
          </cell>
          <cell r="AD589" t="str">
            <v>0</v>
          </cell>
          <cell r="AE589" t="str">
            <v>0</v>
          </cell>
          <cell r="AF589" t="str">
            <v>00</v>
          </cell>
          <cell r="AI589">
            <v>8680000</v>
          </cell>
          <cell r="AJ589">
            <v>2097666.67</v>
          </cell>
        </row>
        <row r="590">
          <cell r="A590" t="str">
            <v>02</v>
          </cell>
          <cell r="B590" t="str">
            <v>80</v>
          </cell>
          <cell r="C590" t="str">
            <v>1467</v>
          </cell>
          <cell r="D590" t="str">
            <v>К/а CANON NP-1215</v>
          </cell>
          <cell r="E590" t="str">
            <v>вкл. комплект расх.</v>
          </cell>
          <cell r="F590" t="str">
            <v>материалов</v>
          </cell>
          <cell r="G590" t="str">
            <v>01</v>
          </cell>
          <cell r="H590">
            <v>10300</v>
          </cell>
          <cell r="I590">
            <v>0</v>
          </cell>
          <cell r="J590">
            <v>0</v>
          </cell>
          <cell r="K590">
            <v>0.45</v>
          </cell>
          <cell r="L590" t="str">
            <v>26</v>
          </cell>
          <cell r="M590" t="str">
            <v>44804</v>
          </cell>
          <cell r="N590" t="str">
            <v>14 3010210</v>
          </cell>
          <cell r="O590" t="str">
            <v>063</v>
          </cell>
          <cell r="P590">
            <v>12.5</v>
          </cell>
          <cell r="Q590">
            <v>0</v>
          </cell>
          <cell r="R590" t="str">
            <v>1</v>
          </cell>
          <cell r="S590" t="str">
            <v>48</v>
          </cell>
          <cell r="T590">
            <v>95</v>
          </cell>
          <cell r="U590">
            <v>7</v>
          </cell>
          <cell r="V590">
            <v>95</v>
          </cell>
          <cell r="W590">
            <v>7</v>
          </cell>
          <cell r="X590">
            <v>95</v>
          </cell>
          <cell r="Y590">
            <v>0</v>
          </cell>
          <cell r="Z590">
            <v>0</v>
          </cell>
          <cell r="AD590" t="str">
            <v>0</v>
          </cell>
          <cell r="AE590" t="str">
            <v>0</v>
          </cell>
          <cell r="AF590" t="str">
            <v>00</v>
          </cell>
          <cell r="AI590">
            <v>22960000</v>
          </cell>
          <cell r="AJ590">
            <v>6935833.3300000001</v>
          </cell>
        </row>
        <row r="591">
          <cell r="A591" t="str">
            <v>02</v>
          </cell>
          <cell r="B591" t="str">
            <v>80</v>
          </cell>
          <cell r="C591" t="str">
            <v>1468</v>
          </cell>
          <cell r="D591" t="str">
            <v>Сетевое аппаратное</v>
          </cell>
          <cell r="E591" t="str">
            <v>обеспечение</v>
          </cell>
          <cell r="G591" t="str">
            <v>01</v>
          </cell>
          <cell r="H591">
            <v>18500</v>
          </cell>
          <cell r="I591">
            <v>0</v>
          </cell>
          <cell r="J591">
            <v>0</v>
          </cell>
          <cell r="K591">
            <v>0.8</v>
          </cell>
          <cell r="L591" t="str">
            <v>26</v>
          </cell>
          <cell r="M591" t="str">
            <v>48008</v>
          </cell>
          <cell r="N591" t="str">
            <v>14 3020380</v>
          </cell>
          <cell r="O591" t="str">
            <v>063</v>
          </cell>
          <cell r="P591">
            <v>10</v>
          </cell>
          <cell r="Q591">
            <v>0</v>
          </cell>
          <cell r="R591" t="str">
            <v>1</v>
          </cell>
          <cell r="S591" t="str">
            <v>48</v>
          </cell>
          <cell r="T591">
            <v>95</v>
          </cell>
          <cell r="U591">
            <v>7</v>
          </cell>
          <cell r="V591">
            <v>95</v>
          </cell>
          <cell r="W591">
            <v>7</v>
          </cell>
          <cell r="X591">
            <v>95</v>
          </cell>
          <cell r="Y591">
            <v>0</v>
          </cell>
          <cell r="Z591">
            <v>0</v>
          </cell>
          <cell r="AD591" t="str">
            <v>0</v>
          </cell>
          <cell r="AE591" t="str">
            <v>0</v>
          </cell>
          <cell r="AF591" t="str">
            <v>00</v>
          </cell>
          <cell r="AI591">
            <v>23045267</v>
          </cell>
          <cell r="AJ591">
            <v>5569272.8600000003</v>
          </cell>
        </row>
        <row r="592">
          <cell r="A592" t="str">
            <v>02</v>
          </cell>
          <cell r="B592" t="str">
            <v>80</v>
          </cell>
          <cell r="C592" t="str">
            <v>1469</v>
          </cell>
          <cell r="D592" t="str">
            <v>Сетевое программное</v>
          </cell>
          <cell r="E592" t="str">
            <v>обеспечение</v>
          </cell>
          <cell r="G592" t="str">
            <v>01</v>
          </cell>
          <cell r="H592">
            <v>16500</v>
          </cell>
          <cell r="I592">
            <v>0</v>
          </cell>
          <cell r="J592">
            <v>0</v>
          </cell>
          <cell r="K592">
            <v>0.9</v>
          </cell>
          <cell r="L592" t="str">
            <v>26</v>
          </cell>
          <cell r="M592" t="str">
            <v>48008</v>
          </cell>
          <cell r="N592" t="str">
            <v>14 3020380</v>
          </cell>
          <cell r="O592" t="str">
            <v>063</v>
          </cell>
          <cell r="P592">
            <v>10</v>
          </cell>
          <cell r="Q592">
            <v>0</v>
          </cell>
          <cell r="R592" t="str">
            <v>1</v>
          </cell>
          <cell r="S592" t="str">
            <v>48</v>
          </cell>
          <cell r="T592">
            <v>95</v>
          </cell>
          <cell r="U592">
            <v>7</v>
          </cell>
          <cell r="V592">
            <v>95</v>
          </cell>
          <cell r="W592">
            <v>7</v>
          </cell>
          <cell r="X592">
            <v>95</v>
          </cell>
          <cell r="Y592">
            <v>0</v>
          </cell>
          <cell r="Z592">
            <v>0</v>
          </cell>
          <cell r="AD592" t="str">
            <v>0</v>
          </cell>
          <cell r="AE592" t="str">
            <v>0</v>
          </cell>
          <cell r="AF592" t="str">
            <v>00</v>
          </cell>
          <cell r="AI592">
            <v>18254733</v>
          </cell>
          <cell r="AJ592">
            <v>4411560.47</v>
          </cell>
        </row>
        <row r="593">
          <cell r="A593" t="str">
            <v>02</v>
          </cell>
          <cell r="B593" t="str">
            <v>02</v>
          </cell>
          <cell r="C593" t="str">
            <v>1470</v>
          </cell>
          <cell r="D593" t="str">
            <v>Жилой вагон не уком-</v>
          </cell>
          <cell r="E593" t="str">
            <v>плектованный дерево-</v>
          </cell>
          <cell r="F593" t="str">
            <v>мет.3 х 6 Финляндия</v>
          </cell>
          <cell r="G593" t="str">
            <v>01</v>
          </cell>
          <cell r="H593">
            <v>28800</v>
          </cell>
          <cell r="I593">
            <v>0</v>
          </cell>
          <cell r="J593">
            <v>0</v>
          </cell>
          <cell r="K593">
            <v>0.41</v>
          </cell>
          <cell r="L593" t="str">
            <v>20</v>
          </cell>
          <cell r="M593" t="str">
            <v>10010</v>
          </cell>
          <cell r="N593" t="str">
            <v>13 2022261</v>
          </cell>
          <cell r="O593" t="str">
            <v>01</v>
          </cell>
          <cell r="P593">
            <v>12.5</v>
          </cell>
          <cell r="Q593">
            <v>0</v>
          </cell>
          <cell r="R593" t="str">
            <v>1</v>
          </cell>
          <cell r="S593" t="str">
            <v>10</v>
          </cell>
          <cell r="T593">
            <v>95</v>
          </cell>
          <cell r="U593">
            <v>8</v>
          </cell>
          <cell r="V593">
            <v>95</v>
          </cell>
          <cell r="W593">
            <v>8</v>
          </cell>
          <cell r="X593">
            <v>95</v>
          </cell>
          <cell r="Y593">
            <v>0</v>
          </cell>
          <cell r="Z593">
            <v>0</v>
          </cell>
          <cell r="AB593" t="str">
            <v>14</v>
          </cell>
          <cell r="AC593">
            <v>2</v>
          </cell>
          <cell r="AD593" t="str">
            <v>0</v>
          </cell>
          <cell r="AE593" t="str">
            <v>0</v>
          </cell>
          <cell r="AF593" t="str">
            <v>00</v>
          </cell>
          <cell r="AI593">
            <v>69783903</v>
          </cell>
          <cell r="AJ593">
            <v>20353638.379999999</v>
          </cell>
        </row>
        <row r="594">
          <cell r="A594" t="str">
            <v>02</v>
          </cell>
          <cell r="B594" t="str">
            <v>80</v>
          </cell>
          <cell r="C594" t="str">
            <v>1471</v>
          </cell>
          <cell r="D594" t="str">
            <v>Кондиционер БК 1800</v>
          </cell>
          <cell r="G594" t="str">
            <v>01</v>
          </cell>
          <cell r="H594">
            <v>1169.28</v>
          </cell>
          <cell r="I594">
            <v>0</v>
          </cell>
          <cell r="J594">
            <v>0</v>
          </cell>
          <cell r="K594">
            <v>0.96</v>
          </cell>
          <cell r="L594" t="str">
            <v>26</v>
          </cell>
          <cell r="M594" t="str">
            <v>41606</v>
          </cell>
          <cell r="N594" t="str">
            <v>16 2930274</v>
          </cell>
          <cell r="O594" t="str">
            <v>062</v>
          </cell>
          <cell r="P594">
            <v>11.1</v>
          </cell>
          <cell r="Q594">
            <v>0</v>
          </cell>
          <cell r="R594" t="str">
            <v>1</v>
          </cell>
          <cell r="S594" t="str">
            <v>41</v>
          </cell>
          <cell r="T594">
            <v>95</v>
          </cell>
          <cell r="U594">
            <v>8</v>
          </cell>
          <cell r="V594">
            <v>95</v>
          </cell>
          <cell r="W594">
            <v>8</v>
          </cell>
          <cell r="X594">
            <v>95</v>
          </cell>
          <cell r="Y594">
            <v>0</v>
          </cell>
          <cell r="Z594">
            <v>0</v>
          </cell>
          <cell r="AD594" t="str">
            <v>0</v>
          </cell>
          <cell r="AE594" t="str">
            <v>0</v>
          </cell>
          <cell r="AF594" t="str">
            <v>00</v>
          </cell>
          <cell r="AI594">
            <v>1218000</v>
          </cell>
          <cell r="AJ594">
            <v>315462</v>
          </cell>
        </row>
        <row r="595">
          <cell r="A595" t="str">
            <v>02</v>
          </cell>
          <cell r="B595" t="str">
            <v>80</v>
          </cell>
          <cell r="C595" t="str">
            <v>1472</v>
          </cell>
          <cell r="D595" t="str">
            <v>Кондиционер БК 1800</v>
          </cell>
          <cell r="G595" t="str">
            <v>01</v>
          </cell>
          <cell r="H595">
            <v>1169.28</v>
          </cell>
          <cell r="I595">
            <v>0</v>
          </cell>
          <cell r="J595">
            <v>0</v>
          </cell>
          <cell r="K595">
            <v>0.96</v>
          </cell>
          <cell r="L595" t="str">
            <v>26</v>
          </cell>
          <cell r="M595" t="str">
            <v>41606</v>
          </cell>
          <cell r="N595" t="str">
            <v>16 2930274</v>
          </cell>
          <cell r="O595" t="str">
            <v>062</v>
          </cell>
          <cell r="P595">
            <v>11.1</v>
          </cell>
          <cell r="Q595">
            <v>0</v>
          </cell>
          <cell r="R595" t="str">
            <v>1</v>
          </cell>
          <cell r="S595" t="str">
            <v>41</v>
          </cell>
          <cell r="T595">
            <v>95</v>
          </cell>
          <cell r="U595">
            <v>8</v>
          </cell>
          <cell r="V595">
            <v>95</v>
          </cell>
          <cell r="W595">
            <v>8</v>
          </cell>
          <cell r="X595">
            <v>95</v>
          </cell>
          <cell r="Y595">
            <v>0</v>
          </cell>
          <cell r="Z595">
            <v>0</v>
          </cell>
          <cell r="AD595" t="str">
            <v>0</v>
          </cell>
          <cell r="AE595" t="str">
            <v>0</v>
          </cell>
          <cell r="AF595" t="str">
            <v>00</v>
          </cell>
          <cell r="AI595">
            <v>1218000</v>
          </cell>
          <cell r="AJ595">
            <v>315462</v>
          </cell>
        </row>
        <row r="596">
          <cell r="A596" t="str">
            <v>02</v>
          </cell>
          <cell r="B596" t="str">
            <v>80</v>
          </cell>
          <cell r="C596" t="str">
            <v>1473</v>
          </cell>
          <cell r="D596" t="str">
            <v>Кондиционер БК 1800</v>
          </cell>
          <cell r="G596" t="str">
            <v>01</v>
          </cell>
          <cell r="H596">
            <v>1169.28</v>
          </cell>
          <cell r="I596">
            <v>0</v>
          </cell>
          <cell r="J596">
            <v>0</v>
          </cell>
          <cell r="K596">
            <v>0.96</v>
          </cell>
          <cell r="L596" t="str">
            <v>26</v>
          </cell>
          <cell r="M596" t="str">
            <v>41606</v>
          </cell>
          <cell r="N596" t="str">
            <v>16 2930274</v>
          </cell>
          <cell r="O596" t="str">
            <v>062</v>
          </cell>
          <cell r="P596">
            <v>11.1</v>
          </cell>
          <cell r="Q596">
            <v>0</v>
          </cell>
          <cell r="R596" t="str">
            <v>1</v>
          </cell>
          <cell r="S596" t="str">
            <v>41</v>
          </cell>
          <cell r="T596">
            <v>95</v>
          </cell>
          <cell r="U596">
            <v>8</v>
          </cell>
          <cell r="V596">
            <v>95</v>
          </cell>
          <cell r="W596">
            <v>8</v>
          </cell>
          <cell r="X596">
            <v>95</v>
          </cell>
          <cell r="Y596">
            <v>0</v>
          </cell>
          <cell r="Z596">
            <v>0</v>
          </cell>
          <cell r="AD596" t="str">
            <v>0</v>
          </cell>
          <cell r="AE596" t="str">
            <v>0</v>
          </cell>
          <cell r="AF596" t="str">
            <v>00</v>
          </cell>
          <cell r="AI596">
            <v>1218000</v>
          </cell>
          <cell r="AJ596">
            <v>315462</v>
          </cell>
        </row>
        <row r="597">
          <cell r="A597" t="str">
            <v>02</v>
          </cell>
          <cell r="B597" t="str">
            <v>41</v>
          </cell>
          <cell r="C597" t="str">
            <v>1474</v>
          </cell>
          <cell r="D597" t="str">
            <v>Кондиционер БК 1800</v>
          </cell>
          <cell r="G597" t="str">
            <v>01</v>
          </cell>
          <cell r="H597">
            <v>1169.28</v>
          </cell>
          <cell r="I597">
            <v>0</v>
          </cell>
          <cell r="J597">
            <v>0</v>
          </cell>
          <cell r="K597">
            <v>0.96</v>
          </cell>
          <cell r="L597" t="str">
            <v>20</v>
          </cell>
          <cell r="M597" t="str">
            <v>41606</v>
          </cell>
          <cell r="N597" t="str">
            <v>16 2930274</v>
          </cell>
          <cell r="O597" t="str">
            <v>062</v>
          </cell>
          <cell r="P597">
            <v>11.1</v>
          </cell>
          <cell r="Q597">
            <v>0</v>
          </cell>
          <cell r="R597" t="str">
            <v>1</v>
          </cell>
          <cell r="S597" t="str">
            <v>41</v>
          </cell>
          <cell r="T597">
            <v>95</v>
          </cell>
          <cell r="U597">
            <v>8</v>
          </cell>
          <cell r="V597">
            <v>95</v>
          </cell>
          <cell r="W597">
            <v>8</v>
          </cell>
          <cell r="X597">
            <v>95</v>
          </cell>
          <cell r="Y597">
            <v>0</v>
          </cell>
          <cell r="Z597">
            <v>0</v>
          </cell>
          <cell r="AB597" t="str">
            <v>14</v>
          </cell>
          <cell r="AC597">
            <v>2</v>
          </cell>
          <cell r="AD597" t="str">
            <v>0</v>
          </cell>
          <cell r="AE597" t="str">
            <v>0</v>
          </cell>
          <cell r="AF597" t="str">
            <v>00</v>
          </cell>
          <cell r="AI597">
            <v>1218000</v>
          </cell>
          <cell r="AJ597">
            <v>315462</v>
          </cell>
        </row>
        <row r="598">
          <cell r="A598" t="str">
            <v>15</v>
          </cell>
          <cell r="B598" t="str">
            <v>81</v>
          </cell>
          <cell r="C598" t="str">
            <v>1475</v>
          </cell>
          <cell r="D598" t="str">
            <v>Тестер офтальмологич</v>
          </cell>
          <cell r="E598" t="str">
            <v>еский</v>
          </cell>
          <cell r="G598" t="str">
            <v>01</v>
          </cell>
          <cell r="H598">
            <v>6615</v>
          </cell>
          <cell r="I598">
            <v>0</v>
          </cell>
          <cell r="J598">
            <v>0</v>
          </cell>
          <cell r="K598">
            <v>0.55000000000000004</v>
          </cell>
          <cell r="L598" t="str">
            <v>88/2</v>
          </cell>
          <cell r="M598" t="str">
            <v>46012</v>
          </cell>
          <cell r="N598" t="str">
            <v>14 3311269</v>
          </cell>
          <cell r="O598" t="str">
            <v>067</v>
          </cell>
          <cell r="P598">
            <v>10</v>
          </cell>
          <cell r="Q598">
            <v>0</v>
          </cell>
          <cell r="R598" t="str">
            <v>1</v>
          </cell>
          <cell r="S598" t="str">
            <v>46</v>
          </cell>
          <cell r="T598">
            <v>95</v>
          </cell>
          <cell r="U598">
            <v>8</v>
          </cell>
          <cell r="V598">
            <v>95</v>
          </cell>
          <cell r="W598">
            <v>8</v>
          </cell>
          <cell r="X598">
            <v>95</v>
          </cell>
          <cell r="Y598">
            <v>0</v>
          </cell>
          <cell r="Z598">
            <v>0</v>
          </cell>
          <cell r="AD598" t="str">
            <v>0</v>
          </cell>
          <cell r="AE598" t="str">
            <v>0</v>
          </cell>
          <cell r="AF598" t="str">
            <v>15</v>
          </cell>
          <cell r="AI598">
            <v>12000000</v>
          </cell>
          <cell r="AJ598">
            <v>2800000</v>
          </cell>
        </row>
        <row r="599">
          <cell r="A599" t="str">
            <v>02</v>
          </cell>
          <cell r="B599" t="str">
            <v>03</v>
          </cell>
          <cell r="C599" t="str">
            <v>1476</v>
          </cell>
          <cell r="D599" t="str">
            <v>Приспособление для р</v>
          </cell>
          <cell r="E599" t="str">
            <v>учной намотки липкой</v>
          </cell>
          <cell r="F599" t="str">
            <v>полдимерной ленты</v>
          </cell>
          <cell r="G599" t="str">
            <v>01</v>
          </cell>
          <cell r="H599">
            <v>5620</v>
          </cell>
          <cell r="I599">
            <v>0</v>
          </cell>
          <cell r="J599">
            <v>0</v>
          </cell>
          <cell r="K599">
            <v>0.99</v>
          </cell>
          <cell r="L599" t="str">
            <v>26</v>
          </cell>
          <cell r="M599" t="str">
            <v>43608</v>
          </cell>
          <cell r="N599" t="str">
            <v>14 2922722</v>
          </cell>
          <cell r="O599" t="str">
            <v>067</v>
          </cell>
          <cell r="P599">
            <v>16.7</v>
          </cell>
          <cell r="Q599">
            <v>0</v>
          </cell>
          <cell r="R599" t="str">
            <v>1</v>
          </cell>
          <cell r="S599" t="str">
            <v>43</v>
          </cell>
          <cell r="T599">
            <v>95</v>
          </cell>
          <cell r="U599">
            <v>8</v>
          </cell>
          <cell r="V599">
            <v>95</v>
          </cell>
          <cell r="W599">
            <v>8</v>
          </cell>
          <cell r="X599">
            <v>95</v>
          </cell>
          <cell r="Y599">
            <v>0</v>
          </cell>
          <cell r="Z599">
            <v>0</v>
          </cell>
          <cell r="AD599" t="str">
            <v>0</v>
          </cell>
          <cell r="AE599" t="str">
            <v>0</v>
          </cell>
          <cell r="AF599" t="str">
            <v>00</v>
          </cell>
          <cell r="AI599">
            <v>5700000</v>
          </cell>
          <cell r="AJ599">
            <v>2221100</v>
          </cell>
        </row>
        <row r="600">
          <cell r="A600" t="str">
            <v>02</v>
          </cell>
          <cell r="B600" t="str">
            <v>11</v>
          </cell>
          <cell r="C600" t="str">
            <v>1491</v>
          </cell>
          <cell r="D600" t="str">
            <v>Машина точной сварки</v>
          </cell>
          <cell r="E600" t="str">
            <v>МТ 2103</v>
          </cell>
          <cell r="G600" t="str">
            <v>01</v>
          </cell>
          <cell r="H600">
            <v>42650</v>
          </cell>
          <cell r="I600">
            <v>0</v>
          </cell>
          <cell r="J600">
            <v>0</v>
          </cell>
          <cell r="K600">
            <v>1.01</v>
          </cell>
          <cell r="L600" t="str">
            <v>20</v>
          </cell>
          <cell r="M600" t="str">
            <v>42503</v>
          </cell>
          <cell r="N600" t="str">
            <v>14 2922804</v>
          </cell>
          <cell r="O600" t="str">
            <v>067</v>
          </cell>
          <cell r="P600">
            <v>12.5</v>
          </cell>
          <cell r="Q600">
            <v>0</v>
          </cell>
          <cell r="R600" t="str">
            <v>1</v>
          </cell>
          <cell r="S600" t="str">
            <v>42</v>
          </cell>
          <cell r="T600">
            <v>95</v>
          </cell>
          <cell r="U600">
            <v>9</v>
          </cell>
          <cell r="V600">
            <v>95</v>
          </cell>
          <cell r="W600">
            <v>9</v>
          </cell>
          <cell r="X600">
            <v>95</v>
          </cell>
          <cell r="Y600">
            <v>0</v>
          </cell>
          <cell r="Z600">
            <v>0</v>
          </cell>
          <cell r="AB600" t="str">
            <v>14</v>
          </cell>
          <cell r="AC600">
            <v>9</v>
          </cell>
          <cell r="AD600" t="str">
            <v>2</v>
          </cell>
          <cell r="AE600" t="str">
            <v>1</v>
          </cell>
          <cell r="AF600" t="str">
            <v>00</v>
          </cell>
          <cell r="AG600">
            <v>42120000</v>
          </cell>
          <cell r="AI600">
            <v>42120000</v>
          </cell>
          <cell r="AJ600">
            <v>11846250</v>
          </cell>
        </row>
        <row r="601">
          <cell r="A601" t="str">
            <v>02</v>
          </cell>
          <cell r="B601" t="str">
            <v>11</v>
          </cell>
          <cell r="C601" t="str">
            <v>1492</v>
          </cell>
          <cell r="D601" t="str">
            <v>Сварочный выпрямител</v>
          </cell>
          <cell r="E601" t="str">
            <v>ь ВДУ-505</v>
          </cell>
          <cell r="G601" t="str">
            <v>01</v>
          </cell>
          <cell r="H601">
            <v>3396</v>
          </cell>
          <cell r="I601">
            <v>0</v>
          </cell>
          <cell r="J601">
            <v>0</v>
          </cell>
          <cell r="K601">
            <v>1</v>
          </cell>
          <cell r="L601" t="str">
            <v>20</v>
          </cell>
          <cell r="M601" t="str">
            <v>42502</v>
          </cell>
          <cell r="N601" t="str">
            <v>14 2922804</v>
          </cell>
          <cell r="O601" t="str">
            <v>067</v>
          </cell>
          <cell r="P601">
            <v>16.7</v>
          </cell>
          <cell r="Q601">
            <v>0</v>
          </cell>
          <cell r="R601" t="str">
            <v>1</v>
          </cell>
          <cell r="S601" t="str">
            <v>42</v>
          </cell>
          <cell r="T601">
            <v>95</v>
          </cell>
          <cell r="U601">
            <v>9</v>
          </cell>
          <cell r="V601">
            <v>95</v>
          </cell>
          <cell r="W601">
            <v>9</v>
          </cell>
          <cell r="X601">
            <v>95</v>
          </cell>
          <cell r="Y601">
            <v>0</v>
          </cell>
          <cell r="Z601">
            <v>0</v>
          </cell>
          <cell r="AB601" t="str">
            <v>14</v>
          </cell>
          <cell r="AC601">
            <v>9</v>
          </cell>
          <cell r="AD601" t="str">
            <v>2</v>
          </cell>
          <cell r="AE601" t="str">
            <v>0</v>
          </cell>
          <cell r="AF601" t="str">
            <v>00</v>
          </cell>
          <cell r="AG601">
            <v>3396000</v>
          </cell>
          <cell r="AI601">
            <v>3396000</v>
          </cell>
          <cell r="AJ601">
            <v>1276047</v>
          </cell>
        </row>
        <row r="602">
          <cell r="A602" t="str">
            <v>02</v>
          </cell>
          <cell r="B602" t="str">
            <v>11</v>
          </cell>
          <cell r="C602" t="str">
            <v>1493</v>
          </cell>
          <cell r="D602" t="str">
            <v>Сварочный выпрямител</v>
          </cell>
          <cell r="E602" t="str">
            <v>ь ВДУ-505</v>
          </cell>
          <cell r="G602" t="str">
            <v>01</v>
          </cell>
          <cell r="H602">
            <v>3396</v>
          </cell>
          <cell r="I602">
            <v>0</v>
          </cell>
          <cell r="J602">
            <v>0</v>
          </cell>
          <cell r="K602">
            <v>1</v>
          </cell>
          <cell r="L602" t="str">
            <v>20</v>
          </cell>
          <cell r="M602" t="str">
            <v>42502</v>
          </cell>
          <cell r="N602" t="str">
            <v>14 2922804</v>
          </cell>
          <cell r="O602" t="str">
            <v>067</v>
          </cell>
          <cell r="P602">
            <v>16.7</v>
          </cell>
          <cell r="Q602">
            <v>0</v>
          </cell>
          <cell r="R602" t="str">
            <v>1</v>
          </cell>
          <cell r="S602" t="str">
            <v>42</v>
          </cell>
          <cell r="T602">
            <v>95</v>
          </cell>
          <cell r="U602">
            <v>9</v>
          </cell>
          <cell r="V602">
            <v>95</v>
          </cell>
          <cell r="W602">
            <v>9</v>
          </cell>
          <cell r="X602">
            <v>95</v>
          </cell>
          <cell r="Y602">
            <v>0</v>
          </cell>
          <cell r="Z602">
            <v>0</v>
          </cell>
          <cell r="AB602" t="str">
            <v>14</v>
          </cell>
          <cell r="AC602">
            <v>9</v>
          </cell>
          <cell r="AD602" t="str">
            <v>2</v>
          </cell>
          <cell r="AE602" t="str">
            <v>0</v>
          </cell>
          <cell r="AF602" t="str">
            <v>00</v>
          </cell>
          <cell r="AG602">
            <v>3396000</v>
          </cell>
          <cell r="AI602">
            <v>3396000</v>
          </cell>
          <cell r="AJ602">
            <v>1276047</v>
          </cell>
        </row>
        <row r="603">
          <cell r="A603" t="str">
            <v>02</v>
          </cell>
          <cell r="B603" t="str">
            <v>80</v>
          </cell>
          <cell r="C603" t="str">
            <v>1494</v>
          </cell>
          <cell r="D603" t="str">
            <v>Компьютер АТ 486 с</v>
          </cell>
          <cell r="E603" t="str">
            <v>принтером EPSON LQ-5</v>
          </cell>
          <cell r="F603" t="str">
            <v>70 Япония</v>
          </cell>
          <cell r="G603" t="str">
            <v>01</v>
          </cell>
          <cell r="H603">
            <v>6302.81</v>
          </cell>
          <cell r="I603">
            <v>0</v>
          </cell>
          <cell r="J603">
            <v>0</v>
          </cell>
          <cell r="K603">
            <v>0.57999999999999996</v>
          </cell>
          <cell r="L603" t="str">
            <v>26</v>
          </cell>
          <cell r="M603" t="str">
            <v>48008</v>
          </cell>
          <cell r="N603" t="str">
            <v>14 3020203</v>
          </cell>
          <cell r="O603" t="str">
            <v>063</v>
          </cell>
          <cell r="P603">
            <v>10</v>
          </cell>
          <cell r="Q603">
            <v>0</v>
          </cell>
          <cell r="R603" t="str">
            <v>1</v>
          </cell>
          <cell r="S603" t="str">
            <v>48</v>
          </cell>
          <cell r="T603">
            <v>95</v>
          </cell>
          <cell r="U603">
            <v>9</v>
          </cell>
          <cell r="V603">
            <v>95</v>
          </cell>
          <cell r="W603">
            <v>9</v>
          </cell>
          <cell r="X603">
            <v>95</v>
          </cell>
          <cell r="Y603">
            <v>0</v>
          </cell>
          <cell r="Z603">
            <v>0</v>
          </cell>
          <cell r="AD603" t="str">
            <v>0</v>
          </cell>
          <cell r="AE603" t="str">
            <v>0</v>
          </cell>
          <cell r="AF603" t="str">
            <v>00</v>
          </cell>
          <cell r="AI603">
            <v>7280000</v>
          </cell>
          <cell r="AJ603">
            <v>1638000</v>
          </cell>
        </row>
        <row r="604">
          <cell r="A604" t="str">
            <v>02</v>
          </cell>
          <cell r="B604" t="str">
            <v>80</v>
          </cell>
          <cell r="C604" t="str">
            <v>1495</v>
          </cell>
          <cell r="D604" t="str">
            <v>Компьютер АТ-486 с</v>
          </cell>
          <cell r="E604" t="str">
            <v>принтером EPSON LQ-</v>
          </cell>
          <cell r="F604" t="str">
            <v>570 Япония</v>
          </cell>
          <cell r="G604" t="str">
            <v>01</v>
          </cell>
          <cell r="H604">
            <v>6302.81</v>
          </cell>
          <cell r="I604">
            <v>0</v>
          </cell>
          <cell r="J604">
            <v>9821.2099999999991</v>
          </cell>
          <cell r="K604">
            <v>0.57999999999999996</v>
          </cell>
          <cell r="L604" t="str">
            <v>26</v>
          </cell>
          <cell r="M604" t="str">
            <v>48008</v>
          </cell>
          <cell r="N604" t="str">
            <v>14 3020203</v>
          </cell>
          <cell r="O604" t="str">
            <v>063</v>
          </cell>
          <cell r="P604">
            <v>10</v>
          </cell>
          <cell r="Q604">
            <v>0</v>
          </cell>
          <cell r="R604" t="str">
            <v>1</v>
          </cell>
          <cell r="S604" t="str">
            <v>48</v>
          </cell>
          <cell r="T604">
            <v>95</v>
          </cell>
          <cell r="U604">
            <v>9</v>
          </cell>
          <cell r="V604">
            <v>95</v>
          </cell>
          <cell r="W604">
            <v>9</v>
          </cell>
          <cell r="X604">
            <v>95</v>
          </cell>
          <cell r="Y604">
            <v>6</v>
          </cell>
          <cell r="Z604">
            <v>99</v>
          </cell>
          <cell r="AD604" t="str">
            <v>0</v>
          </cell>
          <cell r="AE604" t="str">
            <v>0</v>
          </cell>
          <cell r="AF604" t="str">
            <v>00</v>
          </cell>
          <cell r="AI604">
            <v>7280000</v>
          </cell>
          <cell r="AJ604">
            <v>1638000</v>
          </cell>
        </row>
        <row r="605">
          <cell r="A605" t="str">
            <v>02</v>
          </cell>
          <cell r="B605" t="str">
            <v>23</v>
          </cell>
          <cell r="C605" t="str">
            <v>1496</v>
          </cell>
          <cell r="D605" t="str">
            <v>А/топ/запрАТЗ-4.2ГАЗ</v>
          </cell>
          <cell r="E605" t="str">
            <v>-3307мод3616 NВ632ХО</v>
          </cell>
          <cell r="F605" t="str">
            <v>дв0010217 ш1549555</v>
          </cell>
          <cell r="G605" t="str">
            <v>01</v>
          </cell>
          <cell r="H605">
            <v>98000</v>
          </cell>
          <cell r="I605">
            <v>0</v>
          </cell>
          <cell r="J605">
            <v>0</v>
          </cell>
          <cell r="K605">
            <v>0.88</v>
          </cell>
          <cell r="L605" t="str">
            <v>23</v>
          </cell>
          <cell r="M605" t="str">
            <v>50426</v>
          </cell>
          <cell r="N605" t="str">
            <v>15 3410362</v>
          </cell>
          <cell r="O605" t="str">
            <v>073</v>
          </cell>
          <cell r="P605">
            <v>10</v>
          </cell>
          <cell r="Q605">
            <v>0</v>
          </cell>
          <cell r="R605" t="str">
            <v>1</v>
          </cell>
          <cell r="S605" t="str">
            <v>50</v>
          </cell>
          <cell r="T605">
            <v>95</v>
          </cell>
          <cell r="U605">
            <v>9</v>
          </cell>
          <cell r="V605">
            <v>95</v>
          </cell>
          <cell r="W605">
            <v>9</v>
          </cell>
          <cell r="X605">
            <v>95</v>
          </cell>
          <cell r="Y605">
            <v>0</v>
          </cell>
          <cell r="Z605">
            <v>0</v>
          </cell>
          <cell r="AD605" t="str">
            <v>0</v>
          </cell>
          <cell r="AE605" t="str">
            <v>0</v>
          </cell>
          <cell r="AF605" t="str">
            <v>00</v>
          </cell>
          <cell r="AI605">
            <v>111739679</v>
          </cell>
          <cell r="AJ605">
            <v>25141427.780000001</v>
          </cell>
        </row>
        <row r="606">
          <cell r="A606" t="str">
            <v>02</v>
          </cell>
          <cell r="B606" t="str">
            <v>02</v>
          </cell>
          <cell r="C606" t="str">
            <v>1497</v>
          </cell>
          <cell r="D606" t="str">
            <v>Машина для подкопки</v>
          </cell>
          <cell r="E606" t="str">
            <v>труб МПТ-720</v>
          </cell>
          <cell r="G606" t="str">
            <v>01</v>
          </cell>
          <cell r="H606">
            <v>78000</v>
          </cell>
          <cell r="I606">
            <v>0</v>
          </cell>
          <cell r="J606">
            <v>0</v>
          </cell>
          <cell r="K606">
            <v>1</v>
          </cell>
          <cell r="L606" t="str">
            <v>20</v>
          </cell>
          <cell r="M606" t="str">
            <v>43803</v>
          </cell>
          <cell r="N606" t="str">
            <v>14 2947195</v>
          </cell>
          <cell r="O606" t="str">
            <v>067</v>
          </cell>
          <cell r="P606">
            <v>33.299999999999997</v>
          </cell>
          <cell r="Q606">
            <v>0</v>
          </cell>
          <cell r="R606" t="str">
            <v>1</v>
          </cell>
          <cell r="S606" t="str">
            <v>43</v>
          </cell>
          <cell r="T606">
            <v>95</v>
          </cell>
          <cell r="U606">
            <v>10</v>
          </cell>
          <cell r="V606">
            <v>95</v>
          </cell>
          <cell r="W606">
            <v>10</v>
          </cell>
          <cell r="X606">
            <v>95</v>
          </cell>
          <cell r="Y606">
            <v>0</v>
          </cell>
          <cell r="Z606">
            <v>0</v>
          </cell>
          <cell r="AB606" t="str">
            <v>14</v>
          </cell>
          <cell r="AC606">
            <v>5</v>
          </cell>
          <cell r="AD606" t="str">
            <v>0</v>
          </cell>
          <cell r="AE606" t="str">
            <v>0</v>
          </cell>
          <cell r="AF606" t="str">
            <v>00</v>
          </cell>
          <cell r="AI606">
            <v>77988000</v>
          </cell>
          <cell r="AJ606">
            <v>56268342</v>
          </cell>
        </row>
        <row r="607">
          <cell r="A607" t="str">
            <v>02</v>
          </cell>
          <cell r="B607" t="str">
            <v>23</v>
          </cell>
          <cell r="C607" t="str">
            <v>1498</v>
          </cell>
          <cell r="D607" t="str">
            <v>Автомашина КРАЗ 260-</v>
          </cell>
          <cell r="E607" t="str">
            <v>010 бортов.NоВ863 КТ</v>
          </cell>
          <cell r="F607" t="str">
            <v>дв37117 ш0779516</v>
          </cell>
          <cell r="G607" t="str">
            <v>01</v>
          </cell>
          <cell r="H607">
            <v>144260.06</v>
          </cell>
          <cell r="I607">
            <v>0</v>
          </cell>
          <cell r="J607">
            <v>182600</v>
          </cell>
          <cell r="K607">
            <v>0.98</v>
          </cell>
          <cell r="L607" t="str">
            <v>23</v>
          </cell>
          <cell r="M607" t="str">
            <v>50402</v>
          </cell>
          <cell r="N607" t="str">
            <v>15 3410196</v>
          </cell>
          <cell r="O607" t="str">
            <v>075</v>
          </cell>
          <cell r="P607">
            <v>0.37</v>
          </cell>
          <cell r="Q607">
            <v>0</v>
          </cell>
          <cell r="R607" t="str">
            <v>1</v>
          </cell>
          <cell r="S607" t="str">
            <v>50</v>
          </cell>
          <cell r="T607">
            <v>95</v>
          </cell>
          <cell r="U607">
            <v>10</v>
          </cell>
          <cell r="V607">
            <v>95</v>
          </cell>
          <cell r="W607">
            <v>10</v>
          </cell>
          <cell r="X607">
            <v>95</v>
          </cell>
          <cell r="Y607">
            <v>12</v>
          </cell>
          <cell r="Z607">
            <v>95</v>
          </cell>
          <cell r="AD607" t="str">
            <v>0</v>
          </cell>
          <cell r="AE607" t="str">
            <v>0</v>
          </cell>
          <cell r="AF607" t="str">
            <v>00</v>
          </cell>
          <cell r="AI607">
            <v>185771224</v>
          </cell>
          <cell r="AJ607">
            <v>75707867.079999998</v>
          </cell>
        </row>
        <row r="608">
          <cell r="A608" t="str">
            <v>02</v>
          </cell>
          <cell r="B608" t="str">
            <v>23</v>
          </cell>
          <cell r="C608" t="str">
            <v>1499</v>
          </cell>
          <cell r="D608" t="str">
            <v>Автомашина Вольво850</v>
          </cell>
          <cell r="E608" t="str">
            <v>Nо А 324 СМ двВ525ЧF</v>
          </cell>
          <cell r="F608" t="str">
            <v>F8810886</v>
          </cell>
          <cell r="G608" t="str">
            <v>01</v>
          </cell>
          <cell r="H608">
            <v>194873.38</v>
          </cell>
          <cell r="I608">
            <v>3.02</v>
          </cell>
          <cell r="J608">
            <v>195000</v>
          </cell>
          <cell r="K608">
            <v>1.24</v>
          </cell>
          <cell r="L608" t="str">
            <v>23</v>
          </cell>
          <cell r="M608" t="str">
            <v>50416</v>
          </cell>
          <cell r="N608" t="str">
            <v>15 3410120</v>
          </cell>
          <cell r="O608" t="str">
            <v>071</v>
          </cell>
          <cell r="P608">
            <v>14.3</v>
          </cell>
          <cell r="Q608">
            <v>0</v>
          </cell>
          <cell r="R608" t="str">
            <v>1</v>
          </cell>
          <cell r="S608" t="str">
            <v>50</v>
          </cell>
          <cell r="T608">
            <v>93</v>
          </cell>
          <cell r="U608">
            <v>10</v>
          </cell>
          <cell r="V608">
            <v>95</v>
          </cell>
          <cell r="W608">
            <v>10</v>
          </cell>
          <cell r="X608">
            <v>95</v>
          </cell>
          <cell r="Y608">
            <v>12</v>
          </cell>
          <cell r="Z608">
            <v>95</v>
          </cell>
          <cell r="AD608" t="str">
            <v>0</v>
          </cell>
          <cell r="AE608" t="str">
            <v>0</v>
          </cell>
          <cell r="AF608" t="str">
            <v>00</v>
          </cell>
          <cell r="AI608">
            <v>157237416</v>
          </cell>
          <cell r="AJ608">
            <v>48717392.700000003</v>
          </cell>
        </row>
        <row r="609">
          <cell r="A609" t="str">
            <v>02</v>
          </cell>
          <cell r="B609" t="str">
            <v>90</v>
          </cell>
          <cell r="C609" t="str">
            <v>1505</v>
          </cell>
          <cell r="D609" t="str">
            <v>Мягкая мебель Мечта</v>
          </cell>
          <cell r="G609" t="str">
            <v>01</v>
          </cell>
          <cell r="H609">
            <v>2500</v>
          </cell>
          <cell r="I609">
            <v>0</v>
          </cell>
          <cell r="J609">
            <v>0</v>
          </cell>
          <cell r="K609">
            <v>0.56000000000000005</v>
          </cell>
          <cell r="L609" t="str">
            <v>88/3</v>
          </cell>
          <cell r="M609" t="str">
            <v>70004</v>
          </cell>
          <cell r="N609" t="str">
            <v>16 3612510</v>
          </cell>
          <cell r="O609" t="str">
            <v>08</v>
          </cell>
          <cell r="P609">
            <v>6.7</v>
          </cell>
          <cell r="Q609">
            <v>0</v>
          </cell>
          <cell r="R609" t="str">
            <v>1</v>
          </cell>
          <cell r="S609" t="str">
            <v>70</v>
          </cell>
          <cell r="T609">
            <v>95</v>
          </cell>
          <cell r="U609">
            <v>10</v>
          </cell>
          <cell r="V609">
            <v>95</v>
          </cell>
          <cell r="W609">
            <v>10</v>
          </cell>
          <cell r="X609">
            <v>95</v>
          </cell>
          <cell r="Y609">
            <v>0</v>
          </cell>
          <cell r="Z609">
            <v>0</v>
          </cell>
          <cell r="AB609" t="str">
            <v>14</v>
          </cell>
          <cell r="AC609">
            <v>12</v>
          </cell>
          <cell r="AD609" t="str">
            <v>0</v>
          </cell>
          <cell r="AE609" t="str">
            <v>0</v>
          </cell>
          <cell r="AF609" t="str">
            <v>00</v>
          </cell>
          <cell r="AI609">
            <v>4444445</v>
          </cell>
          <cell r="AJ609">
            <v>645185.27</v>
          </cell>
        </row>
        <row r="610">
          <cell r="A610" t="str">
            <v>02</v>
          </cell>
          <cell r="B610" t="str">
            <v>90</v>
          </cell>
          <cell r="C610" t="str">
            <v>1503</v>
          </cell>
          <cell r="D610" t="str">
            <v>Стенка /к-т офисной</v>
          </cell>
          <cell r="E610" t="str">
            <v>мебели/</v>
          </cell>
          <cell r="G610" t="str">
            <v>01</v>
          </cell>
          <cell r="H610">
            <v>3850</v>
          </cell>
          <cell r="I610">
            <v>0</v>
          </cell>
          <cell r="J610">
            <v>0</v>
          </cell>
          <cell r="K610">
            <v>0.89</v>
          </cell>
          <cell r="L610" t="str">
            <v>23</v>
          </cell>
          <cell r="M610" t="str">
            <v>70004</v>
          </cell>
          <cell r="N610" t="str">
            <v>16 3612510</v>
          </cell>
          <cell r="O610" t="str">
            <v>08</v>
          </cell>
          <cell r="P610">
            <v>6.7</v>
          </cell>
          <cell r="Q610">
            <v>0</v>
          </cell>
          <cell r="R610" t="str">
            <v>1</v>
          </cell>
          <cell r="S610" t="str">
            <v>70</v>
          </cell>
          <cell r="T610">
            <v>95</v>
          </cell>
          <cell r="U610">
            <v>10</v>
          </cell>
          <cell r="V610">
            <v>95</v>
          </cell>
          <cell r="W610">
            <v>10</v>
          </cell>
          <cell r="X610">
            <v>95</v>
          </cell>
          <cell r="Y610">
            <v>0</v>
          </cell>
          <cell r="Z610">
            <v>0</v>
          </cell>
          <cell r="AB610" t="str">
            <v>14</v>
          </cell>
          <cell r="AC610">
            <v>12</v>
          </cell>
          <cell r="AD610" t="str">
            <v>0</v>
          </cell>
          <cell r="AE610" t="str">
            <v>0</v>
          </cell>
          <cell r="AF610" t="str">
            <v>00</v>
          </cell>
          <cell r="AI610">
            <v>4340741</v>
          </cell>
          <cell r="AJ610">
            <v>630130.9</v>
          </cell>
        </row>
        <row r="611">
          <cell r="A611" t="str">
            <v>02</v>
          </cell>
          <cell r="B611" t="str">
            <v>55</v>
          </cell>
          <cell r="C611" t="str">
            <v>1504</v>
          </cell>
          <cell r="D611" t="str">
            <v>Стул 475 В</v>
          </cell>
          <cell r="G611" t="str">
            <v>01</v>
          </cell>
          <cell r="H611">
            <v>157</v>
          </cell>
          <cell r="I611">
            <v>0</v>
          </cell>
          <cell r="J611">
            <v>0</v>
          </cell>
          <cell r="K611">
            <v>0.19</v>
          </cell>
          <cell r="L611" t="str">
            <v>26</v>
          </cell>
          <cell r="M611" t="str">
            <v>70003</v>
          </cell>
          <cell r="N611" t="str">
            <v>16 3612550</v>
          </cell>
          <cell r="O611" t="str">
            <v>08</v>
          </cell>
          <cell r="P611">
            <v>10</v>
          </cell>
          <cell r="Q611">
            <v>0</v>
          </cell>
          <cell r="R611" t="str">
            <v>1</v>
          </cell>
          <cell r="S611" t="str">
            <v>70</v>
          </cell>
          <cell r="T611">
            <v>95</v>
          </cell>
          <cell r="U611">
            <v>10</v>
          </cell>
          <cell r="V611">
            <v>95</v>
          </cell>
          <cell r="W611">
            <v>10</v>
          </cell>
          <cell r="X611">
            <v>95</v>
          </cell>
          <cell r="Y611">
            <v>0</v>
          </cell>
          <cell r="Z611">
            <v>0</v>
          </cell>
          <cell r="AB611" t="str">
            <v>14</v>
          </cell>
          <cell r="AC611">
            <v>12</v>
          </cell>
          <cell r="AD611" t="str">
            <v>0</v>
          </cell>
          <cell r="AE611" t="str">
            <v>0</v>
          </cell>
          <cell r="AF611" t="str">
            <v>00</v>
          </cell>
          <cell r="AI611">
            <v>835555</v>
          </cell>
          <cell r="AJ611">
            <v>181036.92</v>
          </cell>
        </row>
        <row r="612">
          <cell r="A612" t="str">
            <v>02</v>
          </cell>
          <cell r="B612" t="str">
            <v>55</v>
          </cell>
          <cell r="C612" t="str">
            <v>1506</v>
          </cell>
          <cell r="D612" t="str">
            <v>Стул 475 В</v>
          </cell>
          <cell r="G612" t="str">
            <v>01</v>
          </cell>
          <cell r="H612">
            <v>157</v>
          </cell>
          <cell r="I612">
            <v>0</v>
          </cell>
          <cell r="J612">
            <v>0</v>
          </cell>
          <cell r="K612">
            <v>0.19</v>
          </cell>
          <cell r="L612" t="str">
            <v>26</v>
          </cell>
          <cell r="M612" t="str">
            <v>70003</v>
          </cell>
          <cell r="N612" t="str">
            <v>16 3612550</v>
          </cell>
          <cell r="O612" t="str">
            <v>08</v>
          </cell>
          <cell r="P612">
            <v>10</v>
          </cell>
          <cell r="Q612">
            <v>0</v>
          </cell>
          <cell r="R612" t="str">
            <v>1</v>
          </cell>
          <cell r="S612" t="str">
            <v>70</v>
          </cell>
          <cell r="T612">
            <v>95</v>
          </cell>
          <cell r="U612">
            <v>10</v>
          </cell>
          <cell r="V612">
            <v>95</v>
          </cell>
          <cell r="W612">
            <v>10</v>
          </cell>
          <cell r="X612">
            <v>95</v>
          </cell>
          <cell r="Y612">
            <v>9</v>
          </cell>
          <cell r="Z612">
            <v>96</v>
          </cell>
          <cell r="AB612" t="str">
            <v>14</v>
          </cell>
          <cell r="AC612">
            <v>9</v>
          </cell>
          <cell r="AD612" t="str">
            <v>0</v>
          </cell>
          <cell r="AE612" t="str">
            <v>0</v>
          </cell>
          <cell r="AF612" t="str">
            <v>00</v>
          </cell>
          <cell r="AI612">
            <v>835555</v>
          </cell>
          <cell r="AJ612">
            <v>181036.92</v>
          </cell>
        </row>
        <row r="613">
          <cell r="A613" t="str">
            <v>02</v>
          </cell>
          <cell r="B613" t="str">
            <v>02</v>
          </cell>
          <cell r="C613" t="str">
            <v>1508</v>
          </cell>
          <cell r="D613" t="str">
            <v>Сварочная установка</v>
          </cell>
          <cell r="E613" t="str">
            <v>АС-42 на базе тракто</v>
          </cell>
          <cell r="F613" t="str">
            <v>ра Т-150</v>
          </cell>
          <cell r="G613" t="str">
            <v>01</v>
          </cell>
          <cell r="H613">
            <v>91000</v>
          </cell>
          <cell r="I613">
            <v>0</v>
          </cell>
          <cell r="J613">
            <v>0</v>
          </cell>
          <cell r="K613">
            <v>0.24</v>
          </cell>
          <cell r="L613" t="str">
            <v>20</v>
          </cell>
          <cell r="M613" t="str">
            <v>42503</v>
          </cell>
          <cell r="N613" t="str">
            <v>14 2947193</v>
          </cell>
          <cell r="O613" t="str">
            <v>067</v>
          </cell>
          <cell r="P613">
            <v>12.5</v>
          </cell>
          <cell r="Q613">
            <v>0</v>
          </cell>
          <cell r="R613" t="str">
            <v>1</v>
          </cell>
          <cell r="S613" t="str">
            <v>42</v>
          </cell>
          <cell r="T613">
            <v>95</v>
          </cell>
          <cell r="U613">
            <v>11</v>
          </cell>
          <cell r="V613">
            <v>95</v>
          </cell>
          <cell r="W613">
            <v>11</v>
          </cell>
          <cell r="X613">
            <v>95</v>
          </cell>
          <cell r="Y613">
            <v>0</v>
          </cell>
          <cell r="Z613">
            <v>0</v>
          </cell>
          <cell r="AB613" t="str">
            <v>14</v>
          </cell>
          <cell r="AC613">
            <v>3</v>
          </cell>
          <cell r="AD613" t="str">
            <v>0</v>
          </cell>
          <cell r="AE613" t="str">
            <v>0</v>
          </cell>
          <cell r="AF613" t="str">
            <v>00</v>
          </cell>
          <cell r="AI613">
            <v>375198694</v>
          </cell>
          <cell r="AJ613">
            <v>97707993.230000004</v>
          </cell>
        </row>
        <row r="614">
          <cell r="A614" t="str">
            <v>02</v>
          </cell>
          <cell r="B614" t="str">
            <v>51</v>
          </cell>
          <cell r="C614" t="str">
            <v>1509</v>
          </cell>
          <cell r="D614" t="str">
            <v>Вагон жилой Кедр-4</v>
          </cell>
          <cell r="E614" t="str">
            <v>дерево-металлич.</v>
          </cell>
          <cell r="G614" t="str">
            <v>01</v>
          </cell>
          <cell r="H614">
            <v>85000</v>
          </cell>
          <cell r="I614">
            <v>0</v>
          </cell>
          <cell r="J614">
            <v>0</v>
          </cell>
          <cell r="K614">
            <v>1.2</v>
          </cell>
          <cell r="L614" t="str">
            <v>20</v>
          </cell>
          <cell r="M614" t="str">
            <v>10010</v>
          </cell>
          <cell r="N614" t="str">
            <v>13 2022261</v>
          </cell>
          <cell r="O614" t="str">
            <v>01</v>
          </cell>
          <cell r="P614">
            <v>12.5</v>
          </cell>
          <cell r="Q614">
            <v>0</v>
          </cell>
          <cell r="R614" t="str">
            <v>1</v>
          </cell>
          <cell r="S614" t="str">
            <v>10</v>
          </cell>
          <cell r="T614">
            <v>95</v>
          </cell>
          <cell r="U614">
            <v>11</v>
          </cell>
          <cell r="V614">
            <v>95</v>
          </cell>
          <cell r="W614">
            <v>11</v>
          </cell>
          <cell r="X614">
            <v>95</v>
          </cell>
          <cell r="Y614">
            <v>0</v>
          </cell>
          <cell r="Z614">
            <v>0</v>
          </cell>
          <cell r="AD614" t="str">
            <v>0</v>
          </cell>
          <cell r="AE614" t="str">
            <v>0</v>
          </cell>
          <cell r="AF614" t="str">
            <v>00</v>
          </cell>
          <cell r="AI614">
            <v>71111111</v>
          </cell>
          <cell r="AJ614">
            <v>18518518.489999998</v>
          </cell>
        </row>
        <row r="615">
          <cell r="A615" t="str">
            <v>02</v>
          </cell>
          <cell r="B615" t="str">
            <v>80</v>
          </cell>
          <cell r="C615" t="str">
            <v>1510</v>
          </cell>
          <cell r="D615" t="str">
            <v>Комплект мебели</v>
          </cell>
          <cell r="E615" t="str">
            <v>от ТОО"Подъем"</v>
          </cell>
          <cell r="G615" t="str">
            <v>01</v>
          </cell>
          <cell r="H615">
            <v>13283.75</v>
          </cell>
          <cell r="I615">
            <v>0</v>
          </cell>
          <cell r="J615">
            <v>0</v>
          </cell>
          <cell r="K615">
            <v>0.91</v>
          </cell>
          <cell r="L615" t="str">
            <v>26</v>
          </cell>
          <cell r="M615" t="str">
            <v>70003</v>
          </cell>
          <cell r="N615" t="str">
            <v>16 3612454</v>
          </cell>
          <cell r="O615" t="str">
            <v>08</v>
          </cell>
          <cell r="P615">
            <v>10</v>
          </cell>
          <cell r="Q615">
            <v>0</v>
          </cell>
          <cell r="R615" t="str">
            <v>1</v>
          </cell>
          <cell r="S615" t="str">
            <v>70</v>
          </cell>
          <cell r="T615">
            <v>95</v>
          </cell>
          <cell r="U615">
            <v>11</v>
          </cell>
          <cell r="V615">
            <v>95</v>
          </cell>
          <cell r="W615">
            <v>11</v>
          </cell>
          <cell r="X615">
            <v>95</v>
          </cell>
          <cell r="Y615">
            <v>0</v>
          </cell>
          <cell r="Z615">
            <v>0</v>
          </cell>
          <cell r="AB615" t="str">
            <v>14</v>
          </cell>
          <cell r="AC615">
            <v>1</v>
          </cell>
          <cell r="AD615" t="str">
            <v>0</v>
          </cell>
          <cell r="AE615" t="str">
            <v>0</v>
          </cell>
          <cell r="AF615" t="str">
            <v>00</v>
          </cell>
          <cell r="AI615">
            <v>14597531</v>
          </cell>
          <cell r="AJ615">
            <v>3041152.29</v>
          </cell>
        </row>
        <row r="616">
          <cell r="A616" t="str">
            <v>02</v>
          </cell>
          <cell r="B616" t="str">
            <v>99</v>
          </cell>
          <cell r="C616" t="str">
            <v>1511</v>
          </cell>
          <cell r="D616" t="str">
            <v>Центратор внутренний</v>
          </cell>
          <cell r="E616" t="str">
            <v>ЦВ-1270000000</v>
          </cell>
          <cell r="G616" t="str">
            <v>01</v>
          </cell>
          <cell r="H616">
            <v>46800</v>
          </cell>
          <cell r="I616">
            <v>0</v>
          </cell>
          <cell r="J616">
            <v>0</v>
          </cell>
          <cell r="K616">
            <v>0.89</v>
          </cell>
          <cell r="L616" t="str">
            <v>20</v>
          </cell>
          <cell r="M616" t="str">
            <v>43507</v>
          </cell>
          <cell r="N616" t="str">
            <v>14 2928286</v>
          </cell>
          <cell r="O616" t="str">
            <v>067</v>
          </cell>
          <cell r="P616">
            <v>25</v>
          </cell>
          <cell r="Q616">
            <v>0</v>
          </cell>
          <cell r="R616" t="str">
            <v>1</v>
          </cell>
          <cell r="S616" t="str">
            <v>43</v>
          </cell>
          <cell r="T616">
            <v>95</v>
          </cell>
          <cell r="U616">
            <v>11</v>
          </cell>
          <cell r="V616">
            <v>95</v>
          </cell>
          <cell r="W616">
            <v>11</v>
          </cell>
          <cell r="X616">
            <v>95</v>
          </cell>
          <cell r="Y616">
            <v>0</v>
          </cell>
          <cell r="Z616">
            <v>0</v>
          </cell>
          <cell r="AB616" t="str">
            <v>14</v>
          </cell>
          <cell r="AC616">
            <v>12</v>
          </cell>
          <cell r="AD616" t="str">
            <v>0</v>
          </cell>
          <cell r="AE616" t="str">
            <v>0</v>
          </cell>
          <cell r="AF616" t="str">
            <v>00</v>
          </cell>
          <cell r="AI616">
            <v>52482469</v>
          </cell>
          <cell r="AJ616">
            <v>27334619.27</v>
          </cell>
        </row>
        <row r="617">
          <cell r="A617" t="str">
            <v>02</v>
          </cell>
          <cell r="B617" t="str">
            <v>99</v>
          </cell>
          <cell r="C617" t="str">
            <v>1512</v>
          </cell>
          <cell r="D617" t="str">
            <v>Центратор внутренний</v>
          </cell>
          <cell r="E617" t="str">
            <v>ЦВ-1270000000</v>
          </cell>
          <cell r="G617" t="str">
            <v>01</v>
          </cell>
          <cell r="H617">
            <v>46800</v>
          </cell>
          <cell r="I617">
            <v>0</v>
          </cell>
          <cell r="J617">
            <v>0</v>
          </cell>
          <cell r="K617">
            <v>0.89</v>
          </cell>
          <cell r="L617" t="str">
            <v>20</v>
          </cell>
          <cell r="M617" t="str">
            <v>43507</v>
          </cell>
          <cell r="N617" t="str">
            <v>14 2928286</v>
          </cell>
          <cell r="O617" t="str">
            <v>067</v>
          </cell>
          <cell r="P617">
            <v>25</v>
          </cell>
          <cell r="Q617">
            <v>0</v>
          </cell>
          <cell r="R617" t="str">
            <v>1</v>
          </cell>
          <cell r="S617" t="str">
            <v>43</v>
          </cell>
          <cell r="T617">
            <v>95</v>
          </cell>
          <cell r="U617">
            <v>11</v>
          </cell>
          <cell r="V617">
            <v>95</v>
          </cell>
          <cell r="W617">
            <v>11</v>
          </cell>
          <cell r="X617">
            <v>95</v>
          </cell>
          <cell r="Y617">
            <v>0</v>
          </cell>
          <cell r="Z617">
            <v>0</v>
          </cell>
          <cell r="AB617" t="str">
            <v>14</v>
          </cell>
          <cell r="AC617">
            <v>12</v>
          </cell>
          <cell r="AD617" t="str">
            <v>0</v>
          </cell>
          <cell r="AE617" t="str">
            <v>0</v>
          </cell>
          <cell r="AF617" t="str">
            <v>00</v>
          </cell>
          <cell r="AI617">
            <v>52482469</v>
          </cell>
          <cell r="AJ617">
            <v>27334619.27</v>
          </cell>
        </row>
        <row r="618">
          <cell r="A618" t="str">
            <v>02</v>
          </cell>
          <cell r="B618" t="str">
            <v>71</v>
          </cell>
          <cell r="C618" t="str">
            <v>1514</v>
          </cell>
          <cell r="D618" t="str">
            <v>Стол V 121</v>
          </cell>
          <cell r="G618" t="str">
            <v>01</v>
          </cell>
          <cell r="H618">
            <v>801</v>
          </cell>
          <cell r="I618">
            <v>0</v>
          </cell>
          <cell r="J618">
            <v>0</v>
          </cell>
          <cell r="K618">
            <v>0.91</v>
          </cell>
          <cell r="L618" t="str">
            <v>23</v>
          </cell>
          <cell r="M618" t="str">
            <v>70003</v>
          </cell>
          <cell r="N618" t="str">
            <v>16 3612421</v>
          </cell>
          <cell r="O618" t="str">
            <v>08</v>
          </cell>
          <cell r="P618">
            <v>10</v>
          </cell>
          <cell r="Q618">
            <v>0</v>
          </cell>
          <cell r="R618" t="str">
            <v>1</v>
          </cell>
          <cell r="S618" t="str">
            <v>70</v>
          </cell>
          <cell r="T618">
            <v>94</v>
          </cell>
          <cell r="U618">
            <v>11</v>
          </cell>
          <cell r="V618">
            <v>95</v>
          </cell>
          <cell r="W618">
            <v>11</v>
          </cell>
          <cell r="X618">
            <v>95</v>
          </cell>
          <cell r="Y618">
            <v>0</v>
          </cell>
          <cell r="Z618">
            <v>0</v>
          </cell>
          <cell r="AD618" t="str">
            <v>0</v>
          </cell>
          <cell r="AE618" t="str">
            <v>0</v>
          </cell>
          <cell r="AF618" t="str">
            <v>00</v>
          </cell>
          <cell r="AI618">
            <v>884009</v>
          </cell>
          <cell r="AJ618">
            <v>184168.54</v>
          </cell>
        </row>
        <row r="619">
          <cell r="A619" t="str">
            <v>02</v>
          </cell>
          <cell r="B619" t="str">
            <v>71</v>
          </cell>
          <cell r="C619" t="str">
            <v>1515</v>
          </cell>
          <cell r="D619" t="str">
            <v>Стол V 123</v>
          </cell>
          <cell r="G619" t="str">
            <v>01</v>
          </cell>
          <cell r="H619">
            <v>832</v>
          </cell>
          <cell r="I619">
            <v>0</v>
          </cell>
          <cell r="J619">
            <v>0</v>
          </cell>
          <cell r="K619">
            <v>0.89</v>
          </cell>
          <cell r="L619" t="str">
            <v>23</v>
          </cell>
          <cell r="M619" t="str">
            <v>70003</v>
          </cell>
          <cell r="N619" t="str">
            <v>16 3612421</v>
          </cell>
          <cell r="O619" t="str">
            <v>08</v>
          </cell>
          <cell r="P619">
            <v>10</v>
          </cell>
          <cell r="Q619">
            <v>0</v>
          </cell>
          <cell r="R619" t="str">
            <v>1</v>
          </cell>
          <cell r="S619" t="str">
            <v>70</v>
          </cell>
          <cell r="T619">
            <v>94</v>
          </cell>
          <cell r="U619">
            <v>11</v>
          </cell>
          <cell r="V619">
            <v>95</v>
          </cell>
          <cell r="W619">
            <v>11</v>
          </cell>
          <cell r="X619">
            <v>95</v>
          </cell>
          <cell r="Y619">
            <v>0</v>
          </cell>
          <cell r="Z619">
            <v>0</v>
          </cell>
          <cell r="AD619" t="str">
            <v>0</v>
          </cell>
          <cell r="AE619" t="str">
            <v>0</v>
          </cell>
          <cell r="AF619" t="str">
            <v>00</v>
          </cell>
          <cell r="AI619">
            <v>938334</v>
          </cell>
          <cell r="AJ619">
            <v>195486.25</v>
          </cell>
        </row>
        <row r="620">
          <cell r="A620" t="str">
            <v>02</v>
          </cell>
          <cell r="B620" t="str">
            <v>71</v>
          </cell>
          <cell r="C620" t="str">
            <v>1516</v>
          </cell>
          <cell r="D620" t="str">
            <v>Тумба</v>
          </cell>
          <cell r="G620" t="str">
            <v>01</v>
          </cell>
          <cell r="H620">
            <v>512</v>
          </cell>
          <cell r="I620">
            <v>0</v>
          </cell>
          <cell r="J620">
            <v>0</v>
          </cell>
          <cell r="K620">
            <v>0.65</v>
          </cell>
          <cell r="L620" t="str">
            <v>23</v>
          </cell>
          <cell r="M620" t="str">
            <v>70003</v>
          </cell>
          <cell r="N620" t="str">
            <v>16 3612461</v>
          </cell>
          <cell r="O620" t="str">
            <v>08</v>
          </cell>
          <cell r="P620">
            <v>10</v>
          </cell>
          <cell r="Q620">
            <v>0</v>
          </cell>
          <cell r="R620" t="str">
            <v>1</v>
          </cell>
          <cell r="S620" t="str">
            <v>70</v>
          </cell>
          <cell r="T620">
            <v>94</v>
          </cell>
          <cell r="U620">
            <v>11</v>
          </cell>
          <cell r="V620">
            <v>95</v>
          </cell>
          <cell r="W620">
            <v>11</v>
          </cell>
          <cell r="X620">
            <v>95</v>
          </cell>
          <cell r="Y620">
            <v>0</v>
          </cell>
          <cell r="Z620">
            <v>0</v>
          </cell>
          <cell r="AD620" t="str">
            <v>0</v>
          </cell>
          <cell r="AE620" t="str">
            <v>0</v>
          </cell>
          <cell r="AF620" t="str">
            <v>00</v>
          </cell>
          <cell r="AI620">
            <v>790176</v>
          </cell>
          <cell r="AJ620">
            <v>164620</v>
          </cell>
        </row>
        <row r="621">
          <cell r="A621" t="str">
            <v>02</v>
          </cell>
          <cell r="B621" t="str">
            <v>71</v>
          </cell>
          <cell r="C621" t="str">
            <v>1517</v>
          </cell>
          <cell r="D621" t="str">
            <v>Шкаф V 125</v>
          </cell>
          <cell r="G621" t="str">
            <v>01</v>
          </cell>
          <cell r="H621">
            <v>584.24</v>
          </cell>
          <cell r="I621">
            <v>0</v>
          </cell>
          <cell r="J621">
            <v>0</v>
          </cell>
          <cell r="K621">
            <v>0.91</v>
          </cell>
          <cell r="L621" t="str">
            <v>23</v>
          </cell>
          <cell r="M621" t="str">
            <v>70003</v>
          </cell>
          <cell r="N621" t="str">
            <v>16 3612480</v>
          </cell>
          <cell r="O621" t="str">
            <v>08</v>
          </cell>
          <cell r="P621">
            <v>10</v>
          </cell>
          <cell r="Q621">
            <v>0</v>
          </cell>
          <cell r="R621" t="str">
            <v>1</v>
          </cell>
          <cell r="S621" t="str">
            <v>70</v>
          </cell>
          <cell r="T621">
            <v>94</v>
          </cell>
          <cell r="U621">
            <v>11</v>
          </cell>
          <cell r="V621">
            <v>95</v>
          </cell>
          <cell r="W621">
            <v>11</v>
          </cell>
          <cell r="X621">
            <v>95</v>
          </cell>
          <cell r="Y621">
            <v>0</v>
          </cell>
          <cell r="Z621">
            <v>0</v>
          </cell>
          <cell r="AD621" t="str">
            <v>0</v>
          </cell>
          <cell r="AE621" t="str">
            <v>0</v>
          </cell>
          <cell r="AF621" t="str">
            <v>00</v>
          </cell>
          <cell r="AI621">
            <v>642018</v>
          </cell>
          <cell r="AJ621">
            <v>133753.75</v>
          </cell>
        </row>
        <row r="622">
          <cell r="A622" t="str">
            <v>02</v>
          </cell>
          <cell r="B622" t="str">
            <v>90</v>
          </cell>
          <cell r="C622" t="str">
            <v>1518</v>
          </cell>
          <cell r="D622" t="str">
            <v>К-т офисной мебели</v>
          </cell>
          <cell r="G622" t="str">
            <v>01</v>
          </cell>
          <cell r="H622">
            <v>2433.3200000000002</v>
          </cell>
          <cell r="I622">
            <v>0</v>
          </cell>
          <cell r="J622">
            <v>0</v>
          </cell>
          <cell r="K622">
            <v>0.91</v>
          </cell>
          <cell r="L622" t="str">
            <v>23</v>
          </cell>
          <cell r="M622" t="str">
            <v>70004</v>
          </cell>
          <cell r="N622" t="str">
            <v>16 3612510</v>
          </cell>
          <cell r="O622" t="str">
            <v>08</v>
          </cell>
          <cell r="P622">
            <v>6.7</v>
          </cell>
          <cell r="Q622">
            <v>0</v>
          </cell>
          <cell r="R622" t="str">
            <v>1</v>
          </cell>
          <cell r="S622" t="str">
            <v>70</v>
          </cell>
          <cell r="T622">
            <v>95</v>
          </cell>
          <cell r="U622">
            <v>11</v>
          </cell>
          <cell r="V622">
            <v>95</v>
          </cell>
          <cell r="W622">
            <v>11</v>
          </cell>
          <cell r="X622">
            <v>95</v>
          </cell>
          <cell r="Y622">
            <v>0</v>
          </cell>
          <cell r="Z622">
            <v>0</v>
          </cell>
          <cell r="AD622" t="str">
            <v>0</v>
          </cell>
          <cell r="AE622" t="str">
            <v>0</v>
          </cell>
          <cell r="AF622" t="str">
            <v>00</v>
          </cell>
          <cell r="AI622">
            <v>2673977</v>
          </cell>
          <cell r="AJ622">
            <v>373242.62</v>
          </cell>
        </row>
        <row r="623">
          <cell r="A623" t="str">
            <v>02</v>
          </cell>
          <cell r="B623" t="str">
            <v>90</v>
          </cell>
          <cell r="C623" t="str">
            <v>1521</v>
          </cell>
          <cell r="D623" t="str">
            <v>Шлифмашинка МА-2000</v>
          </cell>
          <cell r="G623" t="str">
            <v>01</v>
          </cell>
          <cell r="H623">
            <v>880</v>
          </cell>
          <cell r="I623">
            <v>0</v>
          </cell>
          <cell r="J623">
            <v>0</v>
          </cell>
          <cell r="K623">
            <v>0.54</v>
          </cell>
          <cell r="L623" t="str">
            <v>23</v>
          </cell>
          <cell r="M623" t="str">
            <v>60000</v>
          </cell>
          <cell r="N623" t="str">
            <v>14 2947196</v>
          </cell>
          <cell r="O623" t="str">
            <v>08</v>
          </cell>
          <cell r="P623">
            <v>50</v>
          </cell>
          <cell r="Q623">
            <v>0</v>
          </cell>
          <cell r="R623" t="str">
            <v>1</v>
          </cell>
          <cell r="S623" t="str">
            <v>60</v>
          </cell>
          <cell r="T623">
            <v>95</v>
          </cell>
          <cell r="U623">
            <v>11</v>
          </cell>
          <cell r="V623">
            <v>95</v>
          </cell>
          <cell r="W623">
            <v>11</v>
          </cell>
          <cell r="X623">
            <v>95</v>
          </cell>
          <cell r="Y623">
            <v>0</v>
          </cell>
          <cell r="Z623">
            <v>0</v>
          </cell>
          <cell r="AD623" t="str">
            <v>0</v>
          </cell>
          <cell r="AE623" t="str">
            <v>0</v>
          </cell>
          <cell r="AF623" t="str">
            <v>00</v>
          </cell>
          <cell r="AI623">
            <v>1629738</v>
          </cell>
          <cell r="AJ623">
            <v>1629738</v>
          </cell>
        </row>
        <row r="624">
          <cell r="A624" t="str">
            <v>02</v>
          </cell>
          <cell r="B624" t="str">
            <v>99</v>
          </cell>
          <cell r="C624" t="str">
            <v>1523</v>
          </cell>
          <cell r="D624" t="str">
            <v>Шлифмашинка МА-2000</v>
          </cell>
          <cell r="G624" t="str">
            <v>01</v>
          </cell>
          <cell r="H624">
            <v>880</v>
          </cell>
          <cell r="I624">
            <v>0</v>
          </cell>
          <cell r="J624">
            <v>0</v>
          </cell>
          <cell r="K624">
            <v>0.54</v>
          </cell>
          <cell r="L624" t="str">
            <v>20</v>
          </cell>
          <cell r="M624" t="str">
            <v>60000</v>
          </cell>
          <cell r="N624" t="str">
            <v>14 2947196</v>
          </cell>
          <cell r="O624" t="str">
            <v>08</v>
          </cell>
          <cell r="P624">
            <v>50</v>
          </cell>
          <cell r="Q624">
            <v>0</v>
          </cell>
          <cell r="R624" t="str">
            <v>1</v>
          </cell>
          <cell r="S624" t="str">
            <v>60</v>
          </cell>
          <cell r="T624">
            <v>95</v>
          </cell>
          <cell r="U624">
            <v>11</v>
          </cell>
          <cell r="V624">
            <v>95</v>
          </cell>
          <cell r="W624">
            <v>11</v>
          </cell>
          <cell r="X624">
            <v>95</v>
          </cell>
          <cell r="Y624">
            <v>0</v>
          </cell>
          <cell r="Z624">
            <v>0</v>
          </cell>
          <cell r="AD624" t="str">
            <v>0</v>
          </cell>
          <cell r="AE624" t="str">
            <v>0</v>
          </cell>
          <cell r="AF624" t="str">
            <v>00</v>
          </cell>
          <cell r="AI624">
            <v>1629738</v>
          </cell>
          <cell r="AJ624">
            <v>1629738</v>
          </cell>
        </row>
        <row r="625">
          <cell r="A625" t="str">
            <v>02</v>
          </cell>
          <cell r="B625" t="str">
            <v>99</v>
          </cell>
          <cell r="C625" t="str">
            <v>1524</v>
          </cell>
          <cell r="D625" t="str">
            <v>Шлифмашинка МА-2000</v>
          </cell>
          <cell r="G625" t="str">
            <v>01</v>
          </cell>
          <cell r="H625">
            <v>880</v>
          </cell>
          <cell r="I625">
            <v>0</v>
          </cell>
          <cell r="J625">
            <v>0</v>
          </cell>
          <cell r="K625">
            <v>0.54</v>
          </cell>
          <cell r="L625" t="str">
            <v>20</v>
          </cell>
          <cell r="M625" t="str">
            <v>60000</v>
          </cell>
          <cell r="N625" t="str">
            <v>14 2947196</v>
          </cell>
          <cell r="O625" t="str">
            <v>08</v>
          </cell>
          <cell r="P625">
            <v>50</v>
          </cell>
          <cell r="Q625">
            <v>0</v>
          </cell>
          <cell r="R625" t="str">
            <v>1</v>
          </cell>
          <cell r="S625" t="str">
            <v>60</v>
          </cell>
          <cell r="T625">
            <v>95</v>
          </cell>
          <cell r="U625">
            <v>11</v>
          </cell>
          <cell r="V625">
            <v>95</v>
          </cell>
          <cell r="W625">
            <v>11</v>
          </cell>
          <cell r="X625">
            <v>95</v>
          </cell>
          <cell r="Y625">
            <v>0</v>
          </cell>
          <cell r="Z625">
            <v>0</v>
          </cell>
          <cell r="AD625" t="str">
            <v>0</v>
          </cell>
          <cell r="AE625" t="str">
            <v>0</v>
          </cell>
          <cell r="AF625" t="str">
            <v>00</v>
          </cell>
          <cell r="AI625">
            <v>1629738</v>
          </cell>
          <cell r="AJ625">
            <v>1629738</v>
          </cell>
        </row>
        <row r="626">
          <cell r="A626" t="str">
            <v>02</v>
          </cell>
          <cell r="B626" t="str">
            <v>90</v>
          </cell>
          <cell r="C626" t="str">
            <v>1525</v>
          </cell>
          <cell r="D626" t="str">
            <v>Стол "BODEQA"</v>
          </cell>
          <cell r="G626" t="str">
            <v>01</v>
          </cell>
          <cell r="H626">
            <v>1140.0899999999999</v>
          </cell>
          <cell r="I626">
            <v>0</v>
          </cell>
          <cell r="J626">
            <v>0</v>
          </cell>
          <cell r="K626">
            <v>0.41</v>
          </cell>
          <cell r="L626" t="str">
            <v>23</v>
          </cell>
          <cell r="M626" t="str">
            <v>70003</v>
          </cell>
          <cell r="N626" t="str">
            <v>16 3612421</v>
          </cell>
          <cell r="O626" t="str">
            <v>08</v>
          </cell>
          <cell r="P626">
            <v>10</v>
          </cell>
          <cell r="Q626">
            <v>0</v>
          </cell>
          <cell r="R626" t="str">
            <v>1</v>
          </cell>
          <cell r="S626" t="str">
            <v>70</v>
          </cell>
          <cell r="T626">
            <v>95</v>
          </cell>
          <cell r="U626">
            <v>11</v>
          </cell>
          <cell r="V626">
            <v>95</v>
          </cell>
          <cell r="W626">
            <v>11</v>
          </cell>
          <cell r="X626">
            <v>95</v>
          </cell>
          <cell r="Y626">
            <v>0</v>
          </cell>
          <cell r="Z626">
            <v>0</v>
          </cell>
          <cell r="AD626" t="str">
            <v>0</v>
          </cell>
          <cell r="AE626" t="str">
            <v>0</v>
          </cell>
          <cell r="AF626" t="str">
            <v>00</v>
          </cell>
          <cell r="AI626">
            <v>2814815</v>
          </cell>
          <cell r="AJ626">
            <v>586419.79</v>
          </cell>
        </row>
        <row r="627">
          <cell r="A627" t="str">
            <v>02</v>
          </cell>
          <cell r="B627" t="str">
            <v>70</v>
          </cell>
          <cell r="C627" t="str">
            <v>1526</v>
          </cell>
          <cell r="D627" t="str">
            <v>Блок управления</v>
          </cell>
          <cell r="E627" t="str">
            <v>БУ-6ДЭ-382079</v>
          </cell>
          <cell r="G627" t="str">
            <v>01</v>
          </cell>
          <cell r="H627">
            <v>1865</v>
          </cell>
          <cell r="I627">
            <v>0</v>
          </cell>
          <cell r="J627">
            <v>0</v>
          </cell>
          <cell r="K627">
            <v>0.82</v>
          </cell>
          <cell r="L627" t="str">
            <v>20</v>
          </cell>
          <cell r="M627" t="str">
            <v>42502</v>
          </cell>
          <cell r="N627" t="str">
            <v>14 2922810</v>
          </cell>
          <cell r="O627" t="str">
            <v>067</v>
          </cell>
          <cell r="P627">
            <v>16.7</v>
          </cell>
          <cell r="Q627">
            <v>0</v>
          </cell>
          <cell r="R627" t="str">
            <v>1</v>
          </cell>
          <cell r="S627" t="str">
            <v>42</v>
          </cell>
          <cell r="T627">
            <v>95</v>
          </cell>
          <cell r="U627">
            <v>11</v>
          </cell>
          <cell r="V627">
            <v>95</v>
          </cell>
          <cell r="W627">
            <v>11</v>
          </cell>
          <cell r="X627">
            <v>95</v>
          </cell>
          <cell r="Y627">
            <v>0</v>
          </cell>
          <cell r="Z627">
            <v>0</v>
          </cell>
          <cell r="AB627" t="str">
            <v>14</v>
          </cell>
          <cell r="AC627">
            <v>12</v>
          </cell>
          <cell r="AD627" t="str">
            <v>0</v>
          </cell>
          <cell r="AE627" t="str">
            <v>0</v>
          </cell>
          <cell r="AF627" t="str">
            <v>00</v>
          </cell>
          <cell r="AI627">
            <v>2280000</v>
          </cell>
          <cell r="AJ627">
            <v>793250</v>
          </cell>
        </row>
        <row r="628">
          <cell r="A628" t="str">
            <v>02</v>
          </cell>
          <cell r="B628" t="str">
            <v>70</v>
          </cell>
          <cell r="C628" t="str">
            <v>1527</v>
          </cell>
          <cell r="D628" t="str">
            <v>Блок управления</v>
          </cell>
          <cell r="E628" t="str">
            <v>БУ-6ДЭ-382079</v>
          </cell>
          <cell r="G628" t="str">
            <v>01</v>
          </cell>
          <cell r="H628">
            <v>1865</v>
          </cell>
          <cell r="I628">
            <v>0</v>
          </cell>
          <cell r="J628">
            <v>0</v>
          </cell>
          <cell r="K628">
            <v>0.82</v>
          </cell>
          <cell r="L628" t="str">
            <v>20</v>
          </cell>
          <cell r="M628" t="str">
            <v>42502</v>
          </cell>
          <cell r="N628" t="str">
            <v>14 2922810</v>
          </cell>
          <cell r="O628" t="str">
            <v>067</v>
          </cell>
          <cell r="P628">
            <v>16.7</v>
          </cell>
          <cell r="Q628">
            <v>0</v>
          </cell>
          <cell r="R628" t="str">
            <v>1</v>
          </cell>
          <cell r="S628" t="str">
            <v>42</v>
          </cell>
          <cell r="T628">
            <v>95</v>
          </cell>
          <cell r="U628">
            <v>11</v>
          </cell>
          <cell r="V628">
            <v>95</v>
          </cell>
          <cell r="W628">
            <v>11</v>
          </cell>
          <cell r="X628">
            <v>95</v>
          </cell>
          <cell r="Y628">
            <v>0</v>
          </cell>
          <cell r="Z628">
            <v>0</v>
          </cell>
          <cell r="AB628" t="str">
            <v>14</v>
          </cell>
          <cell r="AC628">
            <v>12</v>
          </cell>
          <cell r="AD628" t="str">
            <v>0</v>
          </cell>
          <cell r="AE628" t="str">
            <v>0</v>
          </cell>
          <cell r="AF628" t="str">
            <v>00</v>
          </cell>
          <cell r="AI628">
            <v>2280000</v>
          </cell>
          <cell r="AJ628">
            <v>793250</v>
          </cell>
        </row>
        <row r="629">
          <cell r="A629" t="str">
            <v>02</v>
          </cell>
          <cell r="B629" t="str">
            <v>23</v>
          </cell>
          <cell r="C629" t="str">
            <v>1531</v>
          </cell>
          <cell r="D629" t="str">
            <v>Седельный тягач</v>
          </cell>
          <cell r="E629" t="str">
            <v>КРАЗ-260В NоВ 804 ОВ</v>
          </cell>
          <cell r="F629" t="str">
            <v>дв19349 ш0754268</v>
          </cell>
          <cell r="G629" t="str">
            <v>01</v>
          </cell>
          <cell r="H629">
            <v>180025.64</v>
          </cell>
          <cell r="I629">
            <v>0</v>
          </cell>
          <cell r="J629">
            <v>210000</v>
          </cell>
          <cell r="K629">
            <v>1</v>
          </cell>
          <cell r="L629" t="str">
            <v>23</v>
          </cell>
          <cell r="M629" t="str">
            <v>50402</v>
          </cell>
          <cell r="N629" t="str">
            <v>15 3410216</v>
          </cell>
          <cell r="O629" t="str">
            <v>075</v>
          </cell>
          <cell r="P629">
            <v>0.37</v>
          </cell>
          <cell r="Q629">
            <v>0</v>
          </cell>
          <cell r="R629" t="str">
            <v>1</v>
          </cell>
          <cell r="S629" t="str">
            <v>50</v>
          </cell>
          <cell r="T629">
            <v>95</v>
          </cell>
          <cell r="U629">
            <v>12</v>
          </cell>
          <cell r="V629">
            <v>95</v>
          </cell>
          <cell r="W629">
            <v>12</v>
          </cell>
          <cell r="X629">
            <v>95</v>
          </cell>
          <cell r="Y629">
            <v>3</v>
          </cell>
          <cell r="Z629">
            <v>96</v>
          </cell>
          <cell r="AD629" t="str">
            <v>0</v>
          </cell>
          <cell r="AE629" t="str">
            <v>0</v>
          </cell>
          <cell r="AF629" t="str">
            <v>00</v>
          </cell>
          <cell r="AI629">
            <v>209918209</v>
          </cell>
          <cell r="AJ629">
            <v>64683459.329999998</v>
          </cell>
        </row>
        <row r="630">
          <cell r="A630" t="str">
            <v>02</v>
          </cell>
          <cell r="B630" t="str">
            <v>23</v>
          </cell>
          <cell r="C630" t="str">
            <v>1532</v>
          </cell>
          <cell r="D630" t="str">
            <v>А/м УАЗ-3909 грузо-</v>
          </cell>
          <cell r="E630" t="str">
            <v>пассажир.Nо В 927 МТ</v>
          </cell>
          <cell r="F630" t="str">
            <v>дв51103128 ш339437</v>
          </cell>
          <cell r="G630" t="str">
            <v>01</v>
          </cell>
          <cell r="H630">
            <v>40551.4</v>
          </cell>
          <cell r="I630">
            <v>0</v>
          </cell>
          <cell r="J630">
            <v>47990</v>
          </cell>
          <cell r="K630">
            <v>0.87</v>
          </cell>
          <cell r="L630" t="str">
            <v>23</v>
          </cell>
          <cell r="M630" t="str">
            <v>50401</v>
          </cell>
          <cell r="N630" t="str">
            <v>15 3410170</v>
          </cell>
          <cell r="O630" t="str">
            <v>075</v>
          </cell>
          <cell r="P630">
            <v>14.3</v>
          </cell>
          <cell r="Q630">
            <v>0</v>
          </cell>
          <cell r="R630" t="str">
            <v>1</v>
          </cell>
          <cell r="S630" t="str">
            <v>50</v>
          </cell>
          <cell r="T630">
            <v>95</v>
          </cell>
          <cell r="U630">
            <v>12</v>
          </cell>
          <cell r="V630">
            <v>95</v>
          </cell>
          <cell r="W630">
            <v>12</v>
          </cell>
          <cell r="X630">
            <v>95</v>
          </cell>
          <cell r="Y630">
            <v>12</v>
          </cell>
          <cell r="Z630">
            <v>95</v>
          </cell>
          <cell r="AD630" t="str">
            <v>0</v>
          </cell>
          <cell r="AE630" t="str">
            <v>0</v>
          </cell>
          <cell r="AF630" t="str">
            <v>00</v>
          </cell>
          <cell r="AI630">
            <v>55308624</v>
          </cell>
          <cell r="AJ630">
            <v>15818266.460000001</v>
          </cell>
        </row>
        <row r="631">
          <cell r="A631" t="str">
            <v>02</v>
          </cell>
          <cell r="B631" t="str">
            <v>23</v>
          </cell>
          <cell r="C631" t="str">
            <v>1533</v>
          </cell>
          <cell r="D631" t="str">
            <v>А/м УАЗ-3909 грузо</v>
          </cell>
          <cell r="E631" t="str">
            <v>пассажир.NоВ 928 МТ</v>
          </cell>
          <cell r="F631" t="str">
            <v>дв50708941 ш328074</v>
          </cell>
          <cell r="G631" t="str">
            <v>01</v>
          </cell>
          <cell r="H631">
            <v>40551.4</v>
          </cell>
          <cell r="I631">
            <v>0</v>
          </cell>
          <cell r="J631">
            <v>47990</v>
          </cell>
          <cell r="K631">
            <v>0.87</v>
          </cell>
          <cell r="L631" t="str">
            <v>23</v>
          </cell>
          <cell r="M631" t="str">
            <v>50401</v>
          </cell>
          <cell r="N631" t="str">
            <v>15 3410170</v>
          </cell>
          <cell r="O631" t="str">
            <v>075</v>
          </cell>
          <cell r="P631">
            <v>14.3</v>
          </cell>
          <cell r="Q631">
            <v>0</v>
          </cell>
          <cell r="R631" t="str">
            <v>1</v>
          </cell>
          <cell r="S631" t="str">
            <v>50</v>
          </cell>
          <cell r="T631">
            <v>95</v>
          </cell>
          <cell r="U631">
            <v>12</v>
          </cell>
          <cell r="V631">
            <v>95</v>
          </cell>
          <cell r="W631">
            <v>12</v>
          </cell>
          <cell r="X631">
            <v>95</v>
          </cell>
          <cell r="Y631">
            <v>12</v>
          </cell>
          <cell r="Z631">
            <v>95</v>
          </cell>
          <cell r="AD631" t="str">
            <v>0</v>
          </cell>
          <cell r="AE631" t="str">
            <v>0</v>
          </cell>
          <cell r="AF631" t="str">
            <v>00</v>
          </cell>
          <cell r="AI631">
            <v>55308642</v>
          </cell>
          <cell r="AJ631">
            <v>15818271.609999999</v>
          </cell>
        </row>
        <row r="632">
          <cell r="A632" t="str">
            <v>02</v>
          </cell>
          <cell r="B632" t="str">
            <v>41</v>
          </cell>
          <cell r="C632" t="str">
            <v>1534</v>
          </cell>
          <cell r="D632" t="str">
            <v>Рентгенаппарат Арина</v>
          </cell>
          <cell r="G632" t="str">
            <v>01</v>
          </cell>
          <cell r="H632">
            <v>3327.5</v>
          </cell>
          <cell r="I632">
            <v>0</v>
          </cell>
          <cell r="J632">
            <v>0</v>
          </cell>
          <cell r="K632">
            <v>1.21</v>
          </cell>
          <cell r="L632" t="str">
            <v>20</v>
          </cell>
          <cell r="M632" t="str">
            <v>47024</v>
          </cell>
          <cell r="N632" t="str">
            <v>14 3313341</v>
          </cell>
          <cell r="O632" t="str">
            <v>063</v>
          </cell>
          <cell r="P632">
            <v>10.4</v>
          </cell>
          <cell r="Q632">
            <v>0</v>
          </cell>
          <cell r="R632" t="str">
            <v>1</v>
          </cell>
          <cell r="S632" t="str">
            <v>47</v>
          </cell>
          <cell r="T632">
            <v>95</v>
          </cell>
          <cell r="U632">
            <v>12</v>
          </cell>
          <cell r="V632">
            <v>95</v>
          </cell>
          <cell r="W632">
            <v>12</v>
          </cell>
          <cell r="X632">
            <v>95</v>
          </cell>
          <cell r="Y632">
            <v>0</v>
          </cell>
          <cell r="Z632">
            <v>0</v>
          </cell>
          <cell r="AD632" t="str">
            <v>0</v>
          </cell>
          <cell r="AE632" t="str">
            <v>0</v>
          </cell>
          <cell r="AF632" t="str">
            <v>00</v>
          </cell>
          <cell r="AI632">
            <v>2750000</v>
          </cell>
          <cell r="AJ632">
            <v>572000</v>
          </cell>
        </row>
        <row r="633">
          <cell r="A633" t="str">
            <v>02</v>
          </cell>
          <cell r="B633" t="str">
            <v>41</v>
          </cell>
          <cell r="C633" t="str">
            <v>1535</v>
          </cell>
          <cell r="D633" t="str">
            <v>Рентгенаппарат Арина</v>
          </cell>
          <cell r="G633" t="str">
            <v>01</v>
          </cell>
          <cell r="H633">
            <v>3327.5</v>
          </cell>
          <cell r="I633">
            <v>0</v>
          </cell>
          <cell r="J633">
            <v>0</v>
          </cell>
          <cell r="K633">
            <v>1.21</v>
          </cell>
          <cell r="L633" t="str">
            <v>20</v>
          </cell>
          <cell r="M633" t="str">
            <v>47024</v>
          </cell>
          <cell r="N633" t="str">
            <v>14 3313341</v>
          </cell>
          <cell r="O633" t="str">
            <v>063</v>
          </cell>
          <cell r="P633">
            <v>10.4</v>
          </cell>
          <cell r="Q633">
            <v>0</v>
          </cell>
          <cell r="R633" t="str">
            <v>1</v>
          </cell>
          <cell r="S633" t="str">
            <v>47</v>
          </cell>
          <cell r="T633">
            <v>95</v>
          </cell>
          <cell r="U633">
            <v>12</v>
          </cell>
          <cell r="V633">
            <v>95</v>
          </cell>
          <cell r="W633">
            <v>12</v>
          </cell>
          <cell r="X633">
            <v>95</v>
          </cell>
          <cell r="Y633">
            <v>0</v>
          </cell>
          <cell r="Z633">
            <v>0</v>
          </cell>
          <cell r="AD633" t="str">
            <v>0</v>
          </cell>
          <cell r="AE633" t="str">
            <v>0</v>
          </cell>
          <cell r="AF633" t="str">
            <v>00</v>
          </cell>
          <cell r="AI633">
            <v>2750000</v>
          </cell>
          <cell r="AJ633">
            <v>572000</v>
          </cell>
        </row>
        <row r="634">
          <cell r="A634" t="str">
            <v>02</v>
          </cell>
          <cell r="B634" t="str">
            <v>41</v>
          </cell>
          <cell r="C634" t="str">
            <v>1536</v>
          </cell>
          <cell r="D634" t="str">
            <v>Рентгенаппарат Арина</v>
          </cell>
          <cell r="G634" t="str">
            <v>01</v>
          </cell>
          <cell r="H634">
            <v>3327.5</v>
          </cell>
          <cell r="I634">
            <v>0</v>
          </cell>
          <cell r="J634">
            <v>0</v>
          </cell>
          <cell r="K634">
            <v>1.21</v>
          </cell>
          <cell r="L634" t="str">
            <v>20</v>
          </cell>
          <cell r="M634" t="str">
            <v>47024</v>
          </cell>
          <cell r="N634" t="str">
            <v>14 3313341</v>
          </cell>
          <cell r="O634" t="str">
            <v>063</v>
          </cell>
          <cell r="P634">
            <v>10.4</v>
          </cell>
          <cell r="Q634">
            <v>0</v>
          </cell>
          <cell r="R634" t="str">
            <v>1</v>
          </cell>
          <cell r="S634" t="str">
            <v>47</v>
          </cell>
          <cell r="T634">
            <v>95</v>
          </cell>
          <cell r="U634">
            <v>12</v>
          </cell>
          <cell r="V634">
            <v>95</v>
          </cell>
          <cell r="W634">
            <v>12</v>
          </cell>
          <cell r="X634">
            <v>95</v>
          </cell>
          <cell r="Y634">
            <v>0</v>
          </cell>
          <cell r="Z634">
            <v>0</v>
          </cell>
          <cell r="AD634" t="str">
            <v>0</v>
          </cell>
          <cell r="AE634" t="str">
            <v>0</v>
          </cell>
          <cell r="AF634" t="str">
            <v>00</v>
          </cell>
          <cell r="AI634">
            <v>2750000</v>
          </cell>
          <cell r="AJ634">
            <v>572000</v>
          </cell>
        </row>
        <row r="635">
          <cell r="A635" t="str">
            <v>02</v>
          </cell>
          <cell r="B635" t="str">
            <v>71</v>
          </cell>
          <cell r="C635" t="str">
            <v>1539</v>
          </cell>
          <cell r="D635" t="str">
            <v>Трактор МТЗ-82 со св</v>
          </cell>
          <cell r="E635" t="str">
            <v>арочным агрегатом и</v>
          </cell>
          <cell r="F635" t="str">
            <v>ЗИПом</v>
          </cell>
          <cell r="G635" t="str">
            <v>01</v>
          </cell>
          <cell r="H635">
            <v>57630</v>
          </cell>
          <cell r="I635">
            <v>0</v>
          </cell>
          <cell r="J635">
            <v>0</v>
          </cell>
          <cell r="K635">
            <v>0.76</v>
          </cell>
          <cell r="L635" t="str">
            <v>23</v>
          </cell>
          <cell r="M635" t="str">
            <v>40609</v>
          </cell>
          <cell r="N635" t="str">
            <v>14 2918102</v>
          </cell>
          <cell r="O635" t="str">
            <v>064</v>
          </cell>
          <cell r="P635">
            <v>9.1</v>
          </cell>
          <cell r="Q635">
            <v>0</v>
          </cell>
          <cell r="R635" t="str">
            <v>1</v>
          </cell>
          <cell r="S635" t="str">
            <v>40</v>
          </cell>
          <cell r="T635">
            <v>95</v>
          </cell>
          <cell r="U635">
            <v>12</v>
          </cell>
          <cell r="V635">
            <v>95</v>
          </cell>
          <cell r="W635">
            <v>12</v>
          </cell>
          <cell r="X635">
            <v>95</v>
          </cell>
          <cell r="Y635">
            <v>0</v>
          </cell>
          <cell r="Z635">
            <v>0</v>
          </cell>
          <cell r="AD635" t="str">
            <v>0</v>
          </cell>
          <cell r="AE635" t="str">
            <v>1</v>
          </cell>
          <cell r="AF635" t="str">
            <v>00</v>
          </cell>
          <cell r="AI635">
            <v>75753086</v>
          </cell>
          <cell r="AJ635">
            <v>13787061.65</v>
          </cell>
        </row>
        <row r="636">
          <cell r="A636" t="str">
            <v>02</v>
          </cell>
          <cell r="B636" t="str">
            <v>02</v>
          </cell>
          <cell r="C636" t="str">
            <v>1540</v>
          </cell>
          <cell r="D636" t="str">
            <v>Тележка большегрузна</v>
          </cell>
          <cell r="E636" t="str">
            <v>я ТБ-20</v>
          </cell>
          <cell r="G636" t="str">
            <v>01</v>
          </cell>
          <cell r="H636">
            <v>12058</v>
          </cell>
          <cell r="I636">
            <v>0</v>
          </cell>
          <cell r="J636">
            <v>0</v>
          </cell>
          <cell r="K636">
            <v>0.99</v>
          </cell>
          <cell r="L636" t="str">
            <v>20</v>
          </cell>
          <cell r="M636" t="str">
            <v>43415</v>
          </cell>
          <cell r="N636" t="str">
            <v>15 3420183</v>
          </cell>
          <cell r="O636" t="str">
            <v>064</v>
          </cell>
          <cell r="P636">
            <v>18</v>
          </cell>
          <cell r="Q636">
            <v>0</v>
          </cell>
          <cell r="R636" t="str">
            <v>1</v>
          </cell>
          <cell r="S636" t="str">
            <v>43</v>
          </cell>
          <cell r="T636">
            <v>95</v>
          </cell>
          <cell r="U636">
            <v>12</v>
          </cell>
          <cell r="V636">
            <v>95</v>
          </cell>
          <cell r="W636">
            <v>12</v>
          </cell>
          <cell r="X636">
            <v>95</v>
          </cell>
          <cell r="Y636">
            <v>0</v>
          </cell>
          <cell r="Z636">
            <v>0</v>
          </cell>
          <cell r="AD636" t="str">
            <v>0</v>
          </cell>
          <cell r="AE636" t="str">
            <v>0</v>
          </cell>
          <cell r="AF636" t="str">
            <v>00</v>
          </cell>
          <cell r="AI636">
            <v>12181428</v>
          </cell>
          <cell r="AJ636">
            <v>4385314.08</v>
          </cell>
        </row>
        <row r="637">
          <cell r="A637" t="str">
            <v>02</v>
          </cell>
          <cell r="B637" t="str">
            <v>71</v>
          </cell>
          <cell r="C637" t="str">
            <v>1541</v>
          </cell>
          <cell r="D637" t="str">
            <v>КомпьюторАТ-486Дх2 с</v>
          </cell>
          <cell r="E637" t="str">
            <v>принтеромEPSON LX300</v>
          </cell>
          <cell r="F637" t="str">
            <v>c каб.и сетев.фильтр</v>
          </cell>
          <cell r="G637" t="str">
            <v>01</v>
          </cell>
          <cell r="H637">
            <v>4318.1000000000004</v>
          </cell>
          <cell r="I637">
            <v>0</v>
          </cell>
          <cell r="J637">
            <v>4571.1000000000004</v>
          </cell>
          <cell r="K637">
            <v>0.66</v>
          </cell>
          <cell r="L637" t="str">
            <v>23</v>
          </cell>
          <cell r="M637" t="str">
            <v>48008</v>
          </cell>
          <cell r="N637" t="str">
            <v>14 3020000</v>
          </cell>
          <cell r="O637" t="str">
            <v>063</v>
          </cell>
          <cell r="P637">
            <v>10</v>
          </cell>
          <cell r="Q637">
            <v>0</v>
          </cell>
          <cell r="R637" t="str">
            <v>1</v>
          </cell>
          <cell r="S637" t="str">
            <v>48</v>
          </cell>
          <cell r="T637">
            <v>95</v>
          </cell>
          <cell r="U637">
            <v>12</v>
          </cell>
          <cell r="V637">
            <v>95</v>
          </cell>
          <cell r="W637">
            <v>12</v>
          </cell>
          <cell r="X637">
            <v>95</v>
          </cell>
          <cell r="Y637">
            <v>6</v>
          </cell>
          <cell r="Z637">
            <v>99</v>
          </cell>
          <cell r="AD637" t="str">
            <v>0</v>
          </cell>
          <cell r="AE637" t="str">
            <v>0</v>
          </cell>
          <cell r="AF637" t="str">
            <v>00</v>
          </cell>
          <cell r="AI637">
            <v>4890015</v>
          </cell>
          <cell r="AJ637">
            <v>978003</v>
          </cell>
        </row>
        <row r="638">
          <cell r="A638" t="str">
            <v>02</v>
          </cell>
          <cell r="B638" t="str">
            <v>05</v>
          </cell>
          <cell r="C638" t="str">
            <v>1543</v>
          </cell>
          <cell r="D638" t="str">
            <v>Полотенце мягкое</v>
          </cell>
          <cell r="E638" t="str">
            <v>ПМ-1428</v>
          </cell>
          <cell r="G638" t="str">
            <v>01</v>
          </cell>
          <cell r="H638">
            <v>30150</v>
          </cell>
          <cell r="I638">
            <v>0</v>
          </cell>
          <cell r="J638">
            <v>0</v>
          </cell>
          <cell r="K638">
            <v>0.94</v>
          </cell>
          <cell r="L638" t="str">
            <v>20</v>
          </cell>
          <cell r="M638" t="str">
            <v>43815</v>
          </cell>
          <cell r="N638" t="str">
            <v>14 2947192</v>
          </cell>
          <cell r="O638" t="str">
            <v>067</v>
          </cell>
          <cell r="P638">
            <v>50</v>
          </cell>
          <cell r="Q638">
            <v>0</v>
          </cell>
          <cell r="R638" t="str">
            <v>1</v>
          </cell>
          <cell r="S638" t="str">
            <v>43</v>
          </cell>
          <cell r="T638">
            <v>95</v>
          </cell>
          <cell r="U638">
            <v>12</v>
          </cell>
          <cell r="V638">
            <v>95</v>
          </cell>
          <cell r="W638">
            <v>12</v>
          </cell>
          <cell r="X638">
            <v>95</v>
          </cell>
          <cell r="Y638">
            <v>0</v>
          </cell>
          <cell r="Z638">
            <v>0</v>
          </cell>
          <cell r="AB638" t="str">
            <v>14</v>
          </cell>
          <cell r="AC638">
            <v>1</v>
          </cell>
          <cell r="AD638" t="str">
            <v>0</v>
          </cell>
          <cell r="AE638" t="str">
            <v>0</v>
          </cell>
          <cell r="AF638" t="str">
            <v>00</v>
          </cell>
          <cell r="AI638">
            <v>32076000</v>
          </cell>
          <cell r="AJ638">
            <v>32076000</v>
          </cell>
        </row>
        <row r="639">
          <cell r="A639" t="str">
            <v>02</v>
          </cell>
          <cell r="B639" t="str">
            <v>11</v>
          </cell>
          <cell r="C639" t="str">
            <v>1528</v>
          </cell>
          <cell r="D639" t="str">
            <v>Трансформаторная под</v>
          </cell>
          <cell r="E639" t="str">
            <v>станция КТП-400х16</v>
          </cell>
          <cell r="G639" t="str">
            <v>01</v>
          </cell>
          <cell r="H639">
            <v>4801.1400000000003</v>
          </cell>
          <cell r="I639">
            <v>0</v>
          </cell>
          <cell r="J639">
            <v>0</v>
          </cell>
          <cell r="K639">
            <v>1.21</v>
          </cell>
          <cell r="L639" t="str">
            <v>20</v>
          </cell>
          <cell r="M639" t="str">
            <v>40701</v>
          </cell>
          <cell r="N639" t="str">
            <v>14 3115202</v>
          </cell>
          <cell r="O639" t="str">
            <v>067</v>
          </cell>
          <cell r="P639">
            <v>6.6</v>
          </cell>
          <cell r="Q639">
            <v>0</v>
          </cell>
          <cell r="R639" t="str">
            <v>1</v>
          </cell>
          <cell r="S639" t="str">
            <v>40</v>
          </cell>
          <cell r="T639">
            <v>95</v>
          </cell>
          <cell r="U639">
            <v>12</v>
          </cell>
          <cell r="V639">
            <v>95</v>
          </cell>
          <cell r="W639">
            <v>12</v>
          </cell>
          <cell r="X639">
            <v>95</v>
          </cell>
          <cell r="Y639">
            <v>0</v>
          </cell>
          <cell r="Z639">
            <v>0</v>
          </cell>
          <cell r="AD639" t="str">
            <v>2</v>
          </cell>
          <cell r="AE639" t="str">
            <v>0</v>
          </cell>
          <cell r="AF639" t="str">
            <v>00</v>
          </cell>
          <cell r="AG639">
            <v>3967880</v>
          </cell>
          <cell r="AI639">
            <v>3967880</v>
          </cell>
          <cell r="AJ639">
            <v>523760.16</v>
          </cell>
        </row>
        <row r="640">
          <cell r="A640" t="str">
            <v>02</v>
          </cell>
          <cell r="B640" t="str">
            <v>11</v>
          </cell>
          <cell r="C640" t="str">
            <v>1529</v>
          </cell>
          <cell r="D640" t="str">
            <v>Щит ПР-3709</v>
          </cell>
          <cell r="G640" t="str">
            <v>01</v>
          </cell>
          <cell r="H640">
            <v>1389.78</v>
          </cell>
          <cell r="I640">
            <v>0</v>
          </cell>
          <cell r="J640">
            <v>0</v>
          </cell>
          <cell r="K640">
            <v>1.21</v>
          </cell>
          <cell r="L640" t="str">
            <v>20</v>
          </cell>
          <cell r="M640" t="str">
            <v>40707</v>
          </cell>
          <cell r="N640" t="str">
            <v>14 3120390</v>
          </cell>
          <cell r="O640" t="str">
            <v>067</v>
          </cell>
          <cell r="P640">
            <v>14.8</v>
          </cell>
          <cell r="Q640">
            <v>0</v>
          </cell>
          <cell r="R640" t="str">
            <v>1</v>
          </cell>
          <cell r="S640" t="str">
            <v>40</v>
          </cell>
          <cell r="T640">
            <v>95</v>
          </cell>
          <cell r="U640">
            <v>12</v>
          </cell>
          <cell r="V640">
            <v>95</v>
          </cell>
          <cell r="W640">
            <v>12</v>
          </cell>
          <cell r="X640">
            <v>95</v>
          </cell>
          <cell r="Y640">
            <v>0</v>
          </cell>
          <cell r="Z640">
            <v>0</v>
          </cell>
          <cell r="AD640" t="str">
            <v>2</v>
          </cell>
          <cell r="AE640" t="str">
            <v>0</v>
          </cell>
          <cell r="AF640" t="str">
            <v>00</v>
          </cell>
          <cell r="AG640">
            <v>1148580</v>
          </cell>
          <cell r="AI640">
            <v>1148580</v>
          </cell>
          <cell r="AJ640">
            <v>339979.68</v>
          </cell>
        </row>
        <row r="641">
          <cell r="A641" t="str">
            <v>02</v>
          </cell>
          <cell r="B641" t="str">
            <v>11</v>
          </cell>
          <cell r="C641" t="str">
            <v>1530</v>
          </cell>
          <cell r="D641" t="str">
            <v>Распределительный пу</v>
          </cell>
          <cell r="E641" t="str">
            <v>нкт С-9522-13</v>
          </cell>
          <cell r="G641" t="str">
            <v>01</v>
          </cell>
          <cell r="H641">
            <v>2822.1</v>
          </cell>
          <cell r="I641">
            <v>0</v>
          </cell>
          <cell r="J641">
            <v>0</v>
          </cell>
          <cell r="K641">
            <v>1.21</v>
          </cell>
          <cell r="L641" t="str">
            <v>20</v>
          </cell>
          <cell r="M641" t="str">
            <v>40707</v>
          </cell>
          <cell r="N641" t="str">
            <v>14 3120390</v>
          </cell>
          <cell r="O641" t="str">
            <v>067</v>
          </cell>
          <cell r="P641">
            <v>14.8</v>
          </cell>
          <cell r="Q641">
            <v>0</v>
          </cell>
          <cell r="R641" t="str">
            <v>1</v>
          </cell>
          <cell r="S641" t="str">
            <v>40</v>
          </cell>
          <cell r="T641">
            <v>95</v>
          </cell>
          <cell r="U641">
            <v>12</v>
          </cell>
          <cell r="V641">
            <v>95</v>
          </cell>
          <cell r="W641">
            <v>12</v>
          </cell>
          <cell r="X641">
            <v>95</v>
          </cell>
          <cell r="Y641">
            <v>0</v>
          </cell>
          <cell r="Z641">
            <v>0</v>
          </cell>
          <cell r="AD641" t="str">
            <v>2</v>
          </cell>
          <cell r="AE641" t="str">
            <v>0</v>
          </cell>
          <cell r="AF641" t="str">
            <v>00</v>
          </cell>
          <cell r="AG641">
            <v>2332312</v>
          </cell>
          <cell r="AI641">
            <v>2332312</v>
          </cell>
          <cell r="AJ641">
            <v>6530.47</v>
          </cell>
        </row>
        <row r="642">
          <cell r="A642" t="str">
            <v>02</v>
          </cell>
          <cell r="B642" t="str">
            <v>11</v>
          </cell>
          <cell r="C642" t="str">
            <v>1547</v>
          </cell>
          <cell r="D642" t="str">
            <v>Задвижка 500х75</v>
          </cell>
          <cell r="G642" t="str">
            <v>01</v>
          </cell>
          <cell r="H642">
            <v>3968.23</v>
          </cell>
          <cell r="I642">
            <v>0</v>
          </cell>
          <cell r="J642">
            <v>0</v>
          </cell>
          <cell r="K642">
            <v>1.1000000000000001</v>
          </cell>
          <cell r="L642" t="str">
            <v>20</v>
          </cell>
          <cell r="M642" t="str">
            <v>50604</v>
          </cell>
          <cell r="N642" t="str">
            <v>14 2928142</v>
          </cell>
          <cell r="O642" t="str">
            <v>075</v>
          </cell>
          <cell r="P642">
            <v>5.5</v>
          </cell>
          <cell r="Q642">
            <v>0</v>
          </cell>
          <cell r="R642" t="str">
            <v>1</v>
          </cell>
          <cell r="S642" t="str">
            <v>50</v>
          </cell>
          <cell r="T642">
            <v>95</v>
          </cell>
          <cell r="U642">
            <v>12</v>
          </cell>
          <cell r="V642">
            <v>95</v>
          </cell>
          <cell r="W642">
            <v>12</v>
          </cell>
          <cell r="X642">
            <v>95</v>
          </cell>
          <cell r="Y642">
            <v>0</v>
          </cell>
          <cell r="Z642">
            <v>0</v>
          </cell>
          <cell r="AD642" t="str">
            <v>0</v>
          </cell>
          <cell r="AE642" t="str">
            <v>0</v>
          </cell>
          <cell r="AF642" t="str">
            <v>00</v>
          </cell>
          <cell r="AI642">
            <v>3594767</v>
          </cell>
          <cell r="AJ642">
            <v>395424.37</v>
          </cell>
        </row>
        <row r="643">
          <cell r="A643" t="str">
            <v>19</v>
          </cell>
          <cell r="B643" t="str">
            <v>19</v>
          </cell>
          <cell r="C643" t="str">
            <v>1609</v>
          </cell>
          <cell r="D643" t="str">
            <v>Котельная ПКН-2М</v>
          </cell>
          <cell r="G643" t="str">
            <v>01</v>
          </cell>
          <cell r="H643">
            <v>27014.93</v>
          </cell>
          <cell r="I643">
            <v>0</v>
          </cell>
          <cell r="J643">
            <v>0</v>
          </cell>
          <cell r="K643">
            <v>1.51</v>
          </cell>
          <cell r="L643" t="str">
            <v>88/4</v>
          </cell>
          <cell r="M643" t="str">
            <v>40001</v>
          </cell>
          <cell r="N643" t="str">
            <v>14 2813101</v>
          </cell>
          <cell r="O643" t="str">
            <v>064</v>
          </cell>
          <cell r="P643">
            <v>4.2</v>
          </cell>
          <cell r="Q643">
            <v>0</v>
          </cell>
          <cell r="R643" t="str">
            <v>1</v>
          </cell>
          <cell r="S643" t="str">
            <v>40</v>
          </cell>
          <cell r="T643">
            <v>95</v>
          </cell>
          <cell r="U643">
            <v>12</v>
          </cell>
          <cell r="V643">
            <v>95</v>
          </cell>
          <cell r="W643">
            <v>12</v>
          </cell>
          <cell r="X643">
            <v>95</v>
          </cell>
          <cell r="Y643">
            <v>0</v>
          </cell>
          <cell r="Z643">
            <v>0</v>
          </cell>
          <cell r="AB643" t="str">
            <v>14</v>
          </cell>
          <cell r="AC643">
            <v>1</v>
          </cell>
          <cell r="AD643" t="str">
            <v>0</v>
          </cell>
          <cell r="AE643" t="str">
            <v>0</v>
          </cell>
          <cell r="AF643" t="str">
            <v>19</v>
          </cell>
          <cell r="AI643">
            <v>13373562</v>
          </cell>
          <cell r="AJ643">
            <v>1123379.21</v>
          </cell>
        </row>
        <row r="644">
          <cell r="A644" t="str">
            <v>02</v>
          </cell>
          <cell r="B644" t="str">
            <v>11</v>
          </cell>
          <cell r="C644" t="str">
            <v>1548</v>
          </cell>
          <cell r="D644" t="str">
            <v>Емкость V-25 м3</v>
          </cell>
          <cell r="G644" t="str">
            <v>01</v>
          </cell>
          <cell r="H644">
            <v>20549.099999999999</v>
          </cell>
          <cell r="I644">
            <v>0</v>
          </cell>
          <cell r="J644">
            <v>0</v>
          </cell>
          <cell r="K644">
            <v>1.43</v>
          </cell>
          <cell r="L644" t="str">
            <v>20</v>
          </cell>
          <cell r="M644" t="str">
            <v>42906</v>
          </cell>
          <cell r="N644" t="str">
            <v>12 2812151</v>
          </cell>
          <cell r="O644" t="str">
            <v>067</v>
          </cell>
          <cell r="P644">
            <v>11</v>
          </cell>
          <cell r="Q644">
            <v>0</v>
          </cell>
          <cell r="R644" t="str">
            <v>1</v>
          </cell>
          <cell r="S644" t="str">
            <v>42</v>
          </cell>
          <cell r="T644">
            <v>95</v>
          </cell>
          <cell r="U644">
            <v>12</v>
          </cell>
          <cell r="V644">
            <v>95</v>
          </cell>
          <cell r="W644">
            <v>12</v>
          </cell>
          <cell r="X644">
            <v>95</v>
          </cell>
          <cell r="Y644">
            <v>0</v>
          </cell>
          <cell r="Z644">
            <v>0</v>
          </cell>
          <cell r="AD644" t="str">
            <v>2</v>
          </cell>
          <cell r="AE644" t="str">
            <v>0</v>
          </cell>
          <cell r="AF644" t="str">
            <v>00</v>
          </cell>
          <cell r="AG644">
            <v>14370000</v>
          </cell>
          <cell r="AI644">
            <v>14370000</v>
          </cell>
          <cell r="AJ644">
            <v>3161400</v>
          </cell>
        </row>
        <row r="645">
          <cell r="A645" t="str">
            <v>02</v>
          </cell>
          <cell r="B645" t="str">
            <v>11</v>
          </cell>
          <cell r="C645" t="str">
            <v>1549</v>
          </cell>
          <cell r="D645" t="str">
            <v>Емкость V-25м3</v>
          </cell>
          <cell r="G645" t="str">
            <v>01</v>
          </cell>
          <cell r="H645">
            <v>19800.39</v>
          </cell>
          <cell r="I645">
            <v>0</v>
          </cell>
          <cell r="J645">
            <v>0</v>
          </cell>
          <cell r="K645">
            <v>1.43</v>
          </cell>
          <cell r="L645" t="str">
            <v>20</v>
          </cell>
          <cell r="M645" t="str">
            <v>42906</v>
          </cell>
          <cell r="N645" t="str">
            <v>12 2812151</v>
          </cell>
          <cell r="O645" t="str">
            <v>067</v>
          </cell>
          <cell r="P645">
            <v>11</v>
          </cell>
          <cell r="Q645">
            <v>0</v>
          </cell>
          <cell r="R645" t="str">
            <v>1</v>
          </cell>
          <cell r="S645" t="str">
            <v>42</v>
          </cell>
          <cell r="T645">
            <v>95</v>
          </cell>
          <cell r="U645">
            <v>12</v>
          </cell>
          <cell r="V645">
            <v>95</v>
          </cell>
          <cell r="W645">
            <v>12</v>
          </cell>
          <cell r="X645">
            <v>95</v>
          </cell>
          <cell r="Y645">
            <v>0</v>
          </cell>
          <cell r="Z645">
            <v>0</v>
          </cell>
          <cell r="AD645" t="str">
            <v>2</v>
          </cell>
          <cell r="AE645" t="str">
            <v>0</v>
          </cell>
          <cell r="AF645" t="str">
            <v>00</v>
          </cell>
          <cell r="AG645">
            <v>13846428</v>
          </cell>
          <cell r="AI645">
            <v>13846428</v>
          </cell>
          <cell r="AJ645">
            <v>3046214.16</v>
          </cell>
        </row>
        <row r="646">
          <cell r="A646" t="str">
            <v>02</v>
          </cell>
          <cell r="B646" t="str">
            <v>11</v>
          </cell>
          <cell r="C646" t="str">
            <v>1550</v>
          </cell>
          <cell r="D646" t="str">
            <v>Установка котельная</v>
          </cell>
          <cell r="E646" t="str">
            <v>ПКН-2М</v>
          </cell>
          <cell r="G646" t="str">
            <v>01</v>
          </cell>
          <cell r="H646">
            <v>16957.990000000002</v>
          </cell>
          <cell r="I646">
            <v>0</v>
          </cell>
          <cell r="J646">
            <v>0</v>
          </cell>
          <cell r="K646">
            <v>1.51</v>
          </cell>
          <cell r="L646" t="str">
            <v>20</v>
          </cell>
          <cell r="M646" t="str">
            <v>40001</v>
          </cell>
          <cell r="N646" t="str">
            <v>14 2813101</v>
          </cell>
          <cell r="O646" t="str">
            <v>064</v>
          </cell>
          <cell r="P646">
            <v>4.2</v>
          </cell>
          <cell r="Q646">
            <v>0</v>
          </cell>
          <cell r="R646" t="str">
            <v>1</v>
          </cell>
          <cell r="S646" t="str">
            <v>40</v>
          </cell>
          <cell r="T646">
            <v>95</v>
          </cell>
          <cell r="U646">
            <v>12</v>
          </cell>
          <cell r="V646">
            <v>95</v>
          </cell>
          <cell r="W646">
            <v>12</v>
          </cell>
          <cell r="X646">
            <v>95</v>
          </cell>
          <cell r="Y646">
            <v>0</v>
          </cell>
          <cell r="Z646">
            <v>0</v>
          </cell>
          <cell r="AB646" t="str">
            <v>14</v>
          </cell>
          <cell r="AC646">
            <v>6</v>
          </cell>
          <cell r="AD646" t="str">
            <v>2</v>
          </cell>
          <cell r="AE646" t="str">
            <v>0</v>
          </cell>
          <cell r="AF646" t="str">
            <v>00</v>
          </cell>
          <cell r="AG646">
            <v>11230457</v>
          </cell>
          <cell r="AI646">
            <v>11230457</v>
          </cell>
          <cell r="AJ646">
            <v>943358.39</v>
          </cell>
        </row>
        <row r="647">
          <cell r="A647" t="str">
            <v>02</v>
          </cell>
          <cell r="B647" t="str">
            <v>11</v>
          </cell>
          <cell r="C647" t="str">
            <v>1551</v>
          </cell>
          <cell r="D647" t="str">
            <v>Установка котельная</v>
          </cell>
          <cell r="E647" t="str">
            <v>ПКН-2М</v>
          </cell>
          <cell r="G647" t="str">
            <v>01</v>
          </cell>
          <cell r="H647">
            <v>16957.990000000002</v>
          </cell>
          <cell r="I647">
            <v>0</v>
          </cell>
          <cell r="J647">
            <v>0</v>
          </cell>
          <cell r="K647">
            <v>1.51</v>
          </cell>
          <cell r="L647" t="str">
            <v>20</v>
          </cell>
          <cell r="M647" t="str">
            <v>40001</v>
          </cell>
          <cell r="N647" t="str">
            <v>14 2813101</v>
          </cell>
          <cell r="O647" t="str">
            <v>064</v>
          </cell>
          <cell r="P647">
            <v>4.2</v>
          </cell>
          <cell r="Q647">
            <v>0</v>
          </cell>
          <cell r="R647" t="str">
            <v>1</v>
          </cell>
          <cell r="S647" t="str">
            <v>40</v>
          </cell>
          <cell r="T647">
            <v>95</v>
          </cell>
          <cell r="U647">
            <v>12</v>
          </cell>
          <cell r="V647">
            <v>95</v>
          </cell>
          <cell r="W647">
            <v>12</v>
          </cell>
          <cell r="X647">
            <v>95</v>
          </cell>
          <cell r="Y647">
            <v>0</v>
          </cell>
          <cell r="Z647">
            <v>0</v>
          </cell>
          <cell r="AD647" t="str">
            <v>2</v>
          </cell>
          <cell r="AE647" t="str">
            <v>0</v>
          </cell>
          <cell r="AF647" t="str">
            <v>00</v>
          </cell>
          <cell r="AG647">
            <v>11230457</v>
          </cell>
          <cell r="AI647">
            <v>11230457</v>
          </cell>
          <cell r="AJ647">
            <v>943358.39</v>
          </cell>
        </row>
        <row r="648">
          <cell r="A648" t="str">
            <v>02</v>
          </cell>
          <cell r="B648" t="str">
            <v>11</v>
          </cell>
          <cell r="C648" t="str">
            <v>1552</v>
          </cell>
          <cell r="D648" t="str">
            <v>Коквейер СМд-150А</v>
          </cell>
          <cell r="G648" t="str">
            <v>01</v>
          </cell>
          <cell r="H648">
            <v>16595.37</v>
          </cell>
          <cell r="I648">
            <v>0</v>
          </cell>
          <cell r="J648">
            <v>0</v>
          </cell>
          <cell r="K648">
            <v>1.01</v>
          </cell>
          <cell r="L648" t="str">
            <v>20</v>
          </cell>
          <cell r="M648" t="str">
            <v>43813</v>
          </cell>
          <cell r="N648" t="str">
            <v>14 2915320</v>
          </cell>
          <cell r="O648" t="str">
            <v>067</v>
          </cell>
          <cell r="P648">
            <v>12.5</v>
          </cell>
          <cell r="Q648">
            <v>0</v>
          </cell>
          <cell r="R648" t="str">
            <v>1</v>
          </cell>
          <cell r="S648" t="str">
            <v>43</v>
          </cell>
          <cell r="T648">
            <v>95</v>
          </cell>
          <cell r="U648">
            <v>12</v>
          </cell>
          <cell r="V648">
            <v>95</v>
          </cell>
          <cell r="W648">
            <v>12</v>
          </cell>
          <cell r="X648">
            <v>95</v>
          </cell>
          <cell r="Y648">
            <v>0</v>
          </cell>
          <cell r="Z648">
            <v>0</v>
          </cell>
          <cell r="AD648" t="str">
            <v>2</v>
          </cell>
          <cell r="AE648" t="str">
            <v>0</v>
          </cell>
          <cell r="AF648" t="str">
            <v>00</v>
          </cell>
          <cell r="AG648">
            <v>16431054</v>
          </cell>
          <cell r="AI648">
            <v>16431054</v>
          </cell>
          <cell r="AJ648">
            <v>4107763.5</v>
          </cell>
        </row>
        <row r="649">
          <cell r="A649" t="str">
            <v>02</v>
          </cell>
          <cell r="B649" t="str">
            <v>11</v>
          </cell>
          <cell r="C649" t="str">
            <v>1553</v>
          </cell>
          <cell r="D649" t="str">
            <v>Конвейер СМд-150А</v>
          </cell>
          <cell r="G649" t="str">
            <v>01</v>
          </cell>
          <cell r="H649">
            <v>16595.37</v>
          </cell>
          <cell r="I649">
            <v>0</v>
          </cell>
          <cell r="J649">
            <v>0</v>
          </cell>
          <cell r="K649">
            <v>1.01</v>
          </cell>
          <cell r="L649" t="str">
            <v>20</v>
          </cell>
          <cell r="M649" t="str">
            <v>43813</v>
          </cell>
          <cell r="N649" t="str">
            <v>14 2915320</v>
          </cell>
          <cell r="O649" t="str">
            <v>067</v>
          </cell>
          <cell r="P649">
            <v>12.5</v>
          </cell>
          <cell r="Q649">
            <v>0</v>
          </cell>
          <cell r="R649" t="str">
            <v>1</v>
          </cell>
          <cell r="S649" t="str">
            <v>43</v>
          </cell>
          <cell r="T649">
            <v>95</v>
          </cell>
          <cell r="U649">
            <v>12</v>
          </cell>
          <cell r="V649">
            <v>95</v>
          </cell>
          <cell r="W649">
            <v>12</v>
          </cell>
          <cell r="X649">
            <v>95</v>
          </cell>
          <cell r="Y649">
            <v>0</v>
          </cell>
          <cell r="Z649">
            <v>0</v>
          </cell>
          <cell r="AD649" t="str">
            <v>2</v>
          </cell>
          <cell r="AE649" t="str">
            <v>0</v>
          </cell>
          <cell r="AF649" t="str">
            <v>00</v>
          </cell>
          <cell r="AG649">
            <v>16431054</v>
          </cell>
          <cell r="AI649">
            <v>16431054</v>
          </cell>
          <cell r="AJ649">
            <v>4107763.5</v>
          </cell>
        </row>
        <row r="650">
          <cell r="A650" t="str">
            <v>02</v>
          </cell>
          <cell r="B650" t="str">
            <v>11</v>
          </cell>
          <cell r="C650" t="str">
            <v>1554</v>
          </cell>
          <cell r="D650" t="str">
            <v>Конвейер СМд-150А</v>
          </cell>
          <cell r="G650" t="str">
            <v>01</v>
          </cell>
          <cell r="H650">
            <v>16595.37</v>
          </cell>
          <cell r="I650">
            <v>0</v>
          </cell>
          <cell r="J650">
            <v>0</v>
          </cell>
          <cell r="K650">
            <v>1.01</v>
          </cell>
          <cell r="L650" t="str">
            <v>20</v>
          </cell>
          <cell r="M650" t="str">
            <v>43813</v>
          </cell>
          <cell r="N650" t="str">
            <v>14 2915320</v>
          </cell>
          <cell r="O650" t="str">
            <v>067</v>
          </cell>
          <cell r="P650">
            <v>12.5</v>
          </cell>
          <cell r="Q650">
            <v>0</v>
          </cell>
          <cell r="R650" t="str">
            <v>1</v>
          </cell>
          <cell r="S650" t="str">
            <v>43</v>
          </cell>
          <cell r="T650">
            <v>95</v>
          </cell>
          <cell r="U650">
            <v>12</v>
          </cell>
          <cell r="V650">
            <v>95</v>
          </cell>
          <cell r="W650">
            <v>12</v>
          </cell>
          <cell r="X650">
            <v>95</v>
          </cell>
          <cell r="Y650">
            <v>0</v>
          </cell>
          <cell r="Z650">
            <v>0</v>
          </cell>
          <cell r="AD650" t="str">
            <v>2</v>
          </cell>
          <cell r="AE650" t="str">
            <v>0</v>
          </cell>
          <cell r="AF650" t="str">
            <v>00</v>
          </cell>
          <cell r="AG650">
            <v>16431054</v>
          </cell>
          <cell r="AI650">
            <v>16431054</v>
          </cell>
          <cell r="AJ650">
            <v>4107763.5</v>
          </cell>
        </row>
        <row r="651">
          <cell r="A651" t="str">
            <v>02</v>
          </cell>
          <cell r="B651" t="str">
            <v>11</v>
          </cell>
          <cell r="C651" t="str">
            <v>1555</v>
          </cell>
          <cell r="D651" t="str">
            <v>Агрегат СМД-187</v>
          </cell>
          <cell r="G651" t="str">
            <v>01</v>
          </cell>
          <cell r="H651">
            <v>131000</v>
          </cell>
          <cell r="I651">
            <v>0</v>
          </cell>
          <cell r="J651">
            <v>0</v>
          </cell>
          <cell r="K651">
            <v>1.04</v>
          </cell>
          <cell r="L651" t="str">
            <v>20</v>
          </cell>
          <cell r="M651" t="str">
            <v>42002</v>
          </cell>
          <cell r="N651" t="str">
            <v>14 2947100</v>
          </cell>
          <cell r="O651" t="str">
            <v>066</v>
          </cell>
          <cell r="P651">
            <v>16.7</v>
          </cell>
          <cell r="Q651">
            <v>0</v>
          </cell>
          <cell r="R651" t="str">
            <v>1</v>
          </cell>
          <cell r="S651" t="str">
            <v>42</v>
          </cell>
          <cell r="T651">
            <v>95</v>
          </cell>
          <cell r="U651">
            <v>12</v>
          </cell>
          <cell r="V651">
            <v>95</v>
          </cell>
          <cell r="W651">
            <v>12</v>
          </cell>
          <cell r="X651">
            <v>95</v>
          </cell>
          <cell r="Y651">
            <v>0</v>
          </cell>
          <cell r="Z651">
            <v>0</v>
          </cell>
          <cell r="AD651" t="str">
            <v>2</v>
          </cell>
          <cell r="AE651" t="str">
            <v>0</v>
          </cell>
          <cell r="AF651" t="str">
            <v>00</v>
          </cell>
          <cell r="AG651">
            <v>125600000</v>
          </cell>
          <cell r="AI651">
            <v>125600000</v>
          </cell>
          <cell r="AJ651">
            <v>41950400</v>
          </cell>
        </row>
        <row r="652">
          <cell r="A652" t="str">
            <v>02</v>
          </cell>
          <cell r="B652" t="str">
            <v>11</v>
          </cell>
          <cell r="C652" t="str">
            <v>1556</v>
          </cell>
          <cell r="D652" t="str">
            <v>Емкость V-25м3</v>
          </cell>
          <cell r="G652" t="str">
            <v>01</v>
          </cell>
          <cell r="H652">
            <v>516.89</v>
          </cell>
          <cell r="I652">
            <v>0</v>
          </cell>
          <cell r="J652">
            <v>0</v>
          </cell>
          <cell r="K652">
            <v>1.43</v>
          </cell>
          <cell r="L652" t="str">
            <v>20</v>
          </cell>
          <cell r="M652" t="str">
            <v>42906</v>
          </cell>
          <cell r="N652" t="str">
            <v>12 2812151</v>
          </cell>
          <cell r="O652" t="str">
            <v>067</v>
          </cell>
          <cell r="P652">
            <v>11</v>
          </cell>
          <cell r="Q652">
            <v>0</v>
          </cell>
          <cell r="R652" t="str">
            <v>1</v>
          </cell>
          <cell r="S652" t="str">
            <v>42</v>
          </cell>
          <cell r="T652">
            <v>95</v>
          </cell>
          <cell r="U652">
            <v>12</v>
          </cell>
          <cell r="V652">
            <v>95</v>
          </cell>
          <cell r="W652">
            <v>12</v>
          </cell>
          <cell r="X652">
            <v>95</v>
          </cell>
          <cell r="Y652">
            <v>0</v>
          </cell>
          <cell r="Z652">
            <v>0</v>
          </cell>
          <cell r="AD652" t="str">
            <v>2</v>
          </cell>
          <cell r="AE652" t="str">
            <v>0</v>
          </cell>
          <cell r="AF652" t="str">
            <v>00</v>
          </cell>
          <cell r="AG652">
            <v>361462</v>
          </cell>
          <cell r="AI652">
            <v>361462</v>
          </cell>
          <cell r="AJ652">
            <v>79521.64</v>
          </cell>
        </row>
        <row r="653">
          <cell r="A653" t="str">
            <v>02</v>
          </cell>
          <cell r="B653" t="str">
            <v>11</v>
          </cell>
          <cell r="C653" t="str">
            <v>1557</v>
          </cell>
          <cell r="D653" t="str">
            <v>Емкость V-25 м3</v>
          </cell>
          <cell r="G653" t="str">
            <v>01</v>
          </cell>
          <cell r="H653">
            <v>516.89</v>
          </cell>
          <cell r="I653">
            <v>0</v>
          </cell>
          <cell r="J653">
            <v>0</v>
          </cell>
          <cell r="K653">
            <v>1.43</v>
          </cell>
          <cell r="L653" t="str">
            <v>20</v>
          </cell>
          <cell r="M653" t="str">
            <v>42906</v>
          </cell>
          <cell r="N653" t="str">
            <v>12 2812151</v>
          </cell>
          <cell r="O653" t="str">
            <v>067</v>
          </cell>
          <cell r="P653">
            <v>11</v>
          </cell>
          <cell r="Q653">
            <v>11</v>
          </cell>
          <cell r="R653" t="str">
            <v>1</v>
          </cell>
          <cell r="S653" t="str">
            <v>42</v>
          </cell>
          <cell r="T653">
            <v>95</v>
          </cell>
          <cell r="U653">
            <v>12</v>
          </cell>
          <cell r="V653">
            <v>95</v>
          </cell>
          <cell r="W653">
            <v>12</v>
          </cell>
          <cell r="X653">
            <v>95</v>
          </cell>
          <cell r="Y653">
            <v>0</v>
          </cell>
          <cell r="Z653">
            <v>0</v>
          </cell>
          <cell r="AD653" t="str">
            <v>2</v>
          </cell>
          <cell r="AE653" t="str">
            <v>0</v>
          </cell>
          <cell r="AF653" t="str">
            <v>00</v>
          </cell>
          <cell r="AG653">
            <v>361462</v>
          </cell>
          <cell r="AI653">
            <v>361462</v>
          </cell>
          <cell r="AJ653">
            <v>79521.64</v>
          </cell>
        </row>
        <row r="654">
          <cell r="A654" t="str">
            <v>02</v>
          </cell>
          <cell r="B654" t="str">
            <v>11</v>
          </cell>
          <cell r="C654" t="str">
            <v>1558</v>
          </cell>
          <cell r="D654" t="str">
            <v>Кран-балка грузоподъ</v>
          </cell>
          <cell r="E654" t="str">
            <v>емностью 5 т</v>
          </cell>
          <cell r="G654" t="str">
            <v>01</v>
          </cell>
          <cell r="H654">
            <v>20450</v>
          </cell>
          <cell r="I654">
            <v>0</v>
          </cell>
          <cell r="J654">
            <v>0</v>
          </cell>
          <cell r="K654">
            <v>1</v>
          </cell>
          <cell r="L654" t="str">
            <v>20</v>
          </cell>
          <cell r="M654" t="str">
            <v>41722</v>
          </cell>
          <cell r="N654" t="str">
            <v>14 2915480</v>
          </cell>
          <cell r="O654" t="str">
            <v>063</v>
          </cell>
          <cell r="P654">
            <v>14.3</v>
          </cell>
          <cell r="Q654">
            <v>0</v>
          </cell>
          <cell r="R654" t="str">
            <v>1</v>
          </cell>
          <cell r="S654" t="str">
            <v>41</v>
          </cell>
          <cell r="T654">
            <v>95</v>
          </cell>
          <cell r="U654">
            <v>12</v>
          </cell>
          <cell r="V654">
            <v>95</v>
          </cell>
          <cell r="W654">
            <v>12</v>
          </cell>
          <cell r="X654">
            <v>95</v>
          </cell>
          <cell r="Y654">
            <v>0</v>
          </cell>
          <cell r="Z654">
            <v>0</v>
          </cell>
          <cell r="AD654" t="str">
            <v>2</v>
          </cell>
          <cell r="AE654" t="str">
            <v>0</v>
          </cell>
          <cell r="AF654" t="str">
            <v>00</v>
          </cell>
          <cell r="AG654">
            <v>20382000</v>
          </cell>
          <cell r="AI654">
            <v>20382000</v>
          </cell>
          <cell r="AJ654">
            <v>5829252</v>
          </cell>
        </row>
        <row r="655">
          <cell r="A655" t="str">
            <v>02</v>
          </cell>
          <cell r="B655" t="str">
            <v>11</v>
          </cell>
          <cell r="C655" t="str">
            <v>1559</v>
          </cell>
          <cell r="D655" t="str">
            <v>Виброплощадка СМЖ-18</v>
          </cell>
          <cell r="E655" t="str">
            <v>9</v>
          </cell>
          <cell r="G655" t="str">
            <v>01</v>
          </cell>
          <cell r="H655">
            <v>485.09</v>
          </cell>
          <cell r="I655">
            <v>0</v>
          </cell>
          <cell r="J655">
            <v>0</v>
          </cell>
          <cell r="K655">
            <v>1.01</v>
          </cell>
          <cell r="L655" t="str">
            <v>20</v>
          </cell>
          <cell r="M655" t="str">
            <v>42005</v>
          </cell>
          <cell r="N655" t="str">
            <v>14 2947131</v>
          </cell>
          <cell r="O655" t="str">
            <v>067</v>
          </cell>
          <cell r="P655">
            <v>20</v>
          </cell>
          <cell r="Q655">
            <v>0</v>
          </cell>
          <cell r="R655" t="str">
            <v>1</v>
          </cell>
          <cell r="S655" t="str">
            <v>42</v>
          </cell>
          <cell r="T655">
            <v>95</v>
          </cell>
          <cell r="U655">
            <v>12</v>
          </cell>
          <cell r="V655">
            <v>95</v>
          </cell>
          <cell r="W655">
            <v>12</v>
          </cell>
          <cell r="X655">
            <v>95</v>
          </cell>
          <cell r="Y655">
            <v>0</v>
          </cell>
          <cell r="Z655">
            <v>0</v>
          </cell>
          <cell r="AD655" t="str">
            <v>2</v>
          </cell>
          <cell r="AE655" t="str">
            <v>0</v>
          </cell>
          <cell r="AF655" t="str">
            <v>00</v>
          </cell>
          <cell r="AG655">
            <v>480288</v>
          </cell>
          <cell r="AI655">
            <v>480288</v>
          </cell>
          <cell r="AJ655">
            <v>192115.20000000001</v>
          </cell>
        </row>
        <row r="656">
          <cell r="A656" t="str">
            <v>02</v>
          </cell>
          <cell r="B656" t="str">
            <v>11</v>
          </cell>
          <cell r="C656" t="str">
            <v>1560</v>
          </cell>
          <cell r="D656" t="str">
            <v>Пресс кузнечный НСГ-</v>
          </cell>
          <cell r="E656" t="str">
            <v>3222</v>
          </cell>
          <cell r="G656" t="str">
            <v>01</v>
          </cell>
          <cell r="H656">
            <v>25234</v>
          </cell>
          <cell r="I656">
            <v>0</v>
          </cell>
          <cell r="J656">
            <v>0</v>
          </cell>
          <cell r="K656">
            <v>1.01</v>
          </cell>
          <cell r="L656" t="str">
            <v>20</v>
          </cell>
          <cell r="M656" t="str">
            <v>41202</v>
          </cell>
          <cell r="N656" t="str">
            <v>14 2922210</v>
          </cell>
          <cell r="O656" t="str">
            <v>062</v>
          </cell>
          <cell r="P656">
            <v>10</v>
          </cell>
          <cell r="Q656">
            <v>0</v>
          </cell>
          <cell r="R656" t="str">
            <v>1</v>
          </cell>
          <cell r="S656" t="str">
            <v>41</v>
          </cell>
          <cell r="T656">
            <v>95</v>
          </cell>
          <cell r="U656">
            <v>12</v>
          </cell>
          <cell r="V656">
            <v>95</v>
          </cell>
          <cell r="W656">
            <v>12</v>
          </cell>
          <cell r="X656">
            <v>95</v>
          </cell>
          <cell r="Y656">
            <v>0</v>
          </cell>
          <cell r="Z656">
            <v>0</v>
          </cell>
          <cell r="AD656" t="str">
            <v>2</v>
          </cell>
          <cell r="AE656" t="str">
            <v>0</v>
          </cell>
          <cell r="AF656" t="str">
            <v>00</v>
          </cell>
          <cell r="AG656">
            <v>25094000</v>
          </cell>
          <cell r="AI656">
            <v>25094000</v>
          </cell>
          <cell r="AJ656">
            <v>5018800</v>
          </cell>
        </row>
        <row r="657">
          <cell r="A657" t="str">
            <v>02</v>
          </cell>
          <cell r="B657" t="str">
            <v>11</v>
          </cell>
          <cell r="C657" t="str">
            <v>1561</v>
          </cell>
          <cell r="D657" t="str">
            <v>Агрегат СО-100</v>
          </cell>
          <cell r="G657" t="str">
            <v>01</v>
          </cell>
          <cell r="H657">
            <v>10000</v>
          </cell>
          <cell r="I657">
            <v>0</v>
          </cell>
          <cell r="J657">
            <v>0</v>
          </cell>
          <cell r="K657">
            <v>1.02</v>
          </cell>
          <cell r="L657" t="str">
            <v>20</v>
          </cell>
          <cell r="M657" t="str">
            <v>42002</v>
          </cell>
          <cell r="N657" t="str">
            <v>14 2947100</v>
          </cell>
          <cell r="O657" t="str">
            <v>066</v>
          </cell>
          <cell r="P657">
            <v>16.7</v>
          </cell>
          <cell r="Q657">
            <v>0</v>
          </cell>
          <cell r="R657" t="str">
            <v>1</v>
          </cell>
          <cell r="S657" t="str">
            <v>42</v>
          </cell>
          <cell r="T657">
            <v>95</v>
          </cell>
          <cell r="U657">
            <v>12</v>
          </cell>
          <cell r="V657">
            <v>95</v>
          </cell>
          <cell r="W657">
            <v>12</v>
          </cell>
          <cell r="X657">
            <v>95</v>
          </cell>
          <cell r="Y657">
            <v>0</v>
          </cell>
          <cell r="Z657">
            <v>0</v>
          </cell>
          <cell r="AD657" t="str">
            <v>2</v>
          </cell>
          <cell r="AE657" t="str">
            <v>0</v>
          </cell>
          <cell r="AF657" t="str">
            <v>00</v>
          </cell>
          <cell r="AG657">
            <v>9807000</v>
          </cell>
          <cell r="AI657">
            <v>9807000</v>
          </cell>
          <cell r="AJ657">
            <v>3275538</v>
          </cell>
        </row>
        <row r="658">
          <cell r="A658" t="str">
            <v>02</v>
          </cell>
          <cell r="B658" t="str">
            <v>11</v>
          </cell>
          <cell r="C658" t="str">
            <v>1562</v>
          </cell>
          <cell r="D658" t="str">
            <v>Фильтр НС</v>
          </cell>
          <cell r="G658" t="str">
            <v>01</v>
          </cell>
          <cell r="H658">
            <v>3350</v>
          </cell>
          <cell r="I658">
            <v>0</v>
          </cell>
          <cell r="J658">
            <v>0</v>
          </cell>
          <cell r="K658">
            <v>1.18</v>
          </cell>
          <cell r="L658" t="str">
            <v>20</v>
          </cell>
          <cell r="M658" t="str">
            <v>42004</v>
          </cell>
          <cell r="N658" t="str">
            <v>14 2919113</v>
          </cell>
          <cell r="O658" t="str">
            <v>067</v>
          </cell>
          <cell r="P658">
            <v>12.5</v>
          </cell>
          <cell r="Q658">
            <v>0</v>
          </cell>
          <cell r="R658" t="str">
            <v>1</v>
          </cell>
          <cell r="S658" t="str">
            <v>42</v>
          </cell>
          <cell r="T658">
            <v>95</v>
          </cell>
          <cell r="U658">
            <v>12</v>
          </cell>
          <cell r="V658">
            <v>95</v>
          </cell>
          <cell r="W658">
            <v>12</v>
          </cell>
          <cell r="X658">
            <v>95</v>
          </cell>
          <cell r="Y658">
            <v>0</v>
          </cell>
          <cell r="Z658">
            <v>0</v>
          </cell>
          <cell r="AD658" t="str">
            <v>2</v>
          </cell>
          <cell r="AE658" t="str">
            <v>0</v>
          </cell>
          <cell r="AF658" t="str">
            <v>00</v>
          </cell>
          <cell r="AI658">
            <v>2847509</v>
          </cell>
          <cell r="AJ658">
            <v>711877.25</v>
          </cell>
        </row>
        <row r="659">
          <cell r="A659" t="str">
            <v>02</v>
          </cell>
          <cell r="B659" t="str">
            <v>11</v>
          </cell>
          <cell r="C659" t="str">
            <v>1563</v>
          </cell>
          <cell r="D659" t="str">
            <v>Известегасилка СМ -</v>
          </cell>
          <cell r="E659" t="str">
            <v>12474</v>
          </cell>
          <cell r="G659" t="str">
            <v>01</v>
          </cell>
          <cell r="H659">
            <v>2175.85</v>
          </cell>
          <cell r="I659">
            <v>0</v>
          </cell>
          <cell r="J659">
            <v>0</v>
          </cell>
          <cell r="K659">
            <v>1.21</v>
          </cell>
          <cell r="L659" t="str">
            <v>20</v>
          </cell>
          <cell r="M659" t="str">
            <v>42002</v>
          </cell>
          <cell r="N659" t="str">
            <v>14 2947100</v>
          </cell>
          <cell r="O659" t="str">
            <v>066</v>
          </cell>
          <cell r="P659">
            <v>16.7</v>
          </cell>
          <cell r="Q659">
            <v>0</v>
          </cell>
          <cell r="R659" t="str">
            <v>1</v>
          </cell>
          <cell r="S659" t="str">
            <v>42</v>
          </cell>
          <cell r="T659">
            <v>95</v>
          </cell>
          <cell r="U659">
            <v>12</v>
          </cell>
          <cell r="V659">
            <v>95</v>
          </cell>
          <cell r="W659">
            <v>12</v>
          </cell>
          <cell r="X659">
            <v>95</v>
          </cell>
          <cell r="Y659">
            <v>0</v>
          </cell>
          <cell r="Z659">
            <v>0</v>
          </cell>
          <cell r="AD659" t="str">
            <v>2</v>
          </cell>
          <cell r="AE659" t="str">
            <v>0</v>
          </cell>
          <cell r="AF659" t="str">
            <v>00</v>
          </cell>
          <cell r="AG659">
            <v>1798226</v>
          </cell>
          <cell r="AI659">
            <v>1798226</v>
          </cell>
          <cell r="AJ659">
            <v>600607.48</v>
          </cell>
        </row>
        <row r="660">
          <cell r="A660" t="str">
            <v>02</v>
          </cell>
          <cell r="B660" t="str">
            <v>11</v>
          </cell>
          <cell r="C660" t="str">
            <v>1564</v>
          </cell>
          <cell r="D660" t="str">
            <v>Фильтр рукавный СМУ-</v>
          </cell>
          <cell r="E660" t="str">
            <v>1665</v>
          </cell>
          <cell r="G660" t="str">
            <v>01</v>
          </cell>
          <cell r="H660">
            <v>11500</v>
          </cell>
          <cell r="I660">
            <v>0</v>
          </cell>
          <cell r="J660">
            <v>0</v>
          </cell>
          <cell r="K660">
            <v>1.2</v>
          </cell>
          <cell r="L660" t="str">
            <v>20</v>
          </cell>
          <cell r="M660" t="str">
            <v>42044</v>
          </cell>
          <cell r="N660" t="str">
            <v>14 2919113</v>
          </cell>
          <cell r="O660" t="str">
            <v>067</v>
          </cell>
          <cell r="P660">
            <v>12.5</v>
          </cell>
          <cell r="Q660">
            <v>0</v>
          </cell>
          <cell r="R660" t="str">
            <v>1</v>
          </cell>
          <cell r="S660" t="str">
            <v>42</v>
          </cell>
          <cell r="T660">
            <v>95</v>
          </cell>
          <cell r="U660">
            <v>12</v>
          </cell>
          <cell r="V660">
            <v>95</v>
          </cell>
          <cell r="W660">
            <v>12</v>
          </cell>
          <cell r="X660">
            <v>95</v>
          </cell>
          <cell r="Y660">
            <v>0</v>
          </cell>
          <cell r="Z660">
            <v>0</v>
          </cell>
          <cell r="AD660" t="str">
            <v>2</v>
          </cell>
          <cell r="AE660" t="str">
            <v>0</v>
          </cell>
          <cell r="AF660" t="str">
            <v>00</v>
          </cell>
          <cell r="AI660">
            <v>9574488</v>
          </cell>
          <cell r="AJ660">
            <v>2393622</v>
          </cell>
        </row>
        <row r="661">
          <cell r="A661" t="str">
            <v>02</v>
          </cell>
          <cell r="B661" t="str">
            <v>15</v>
          </cell>
          <cell r="C661" t="str">
            <v>1565</v>
          </cell>
          <cell r="D661" t="str">
            <v>Подвеска троллейная</v>
          </cell>
          <cell r="E661" t="str">
            <v>ТПП-821</v>
          </cell>
          <cell r="G661" t="str">
            <v>01</v>
          </cell>
          <cell r="H661">
            <v>24000</v>
          </cell>
          <cell r="I661">
            <v>0</v>
          </cell>
          <cell r="J661">
            <v>0</v>
          </cell>
          <cell r="K661">
            <v>0.04</v>
          </cell>
          <cell r="L661" t="str">
            <v>88/2</v>
          </cell>
          <cell r="M661" t="str">
            <v>42000</v>
          </cell>
          <cell r="N661" t="str">
            <v>14 2947192</v>
          </cell>
          <cell r="O661" t="str">
            <v>064</v>
          </cell>
          <cell r="P661">
            <v>12.5</v>
          </cell>
          <cell r="Q661">
            <v>0</v>
          </cell>
          <cell r="R661" t="str">
            <v>1</v>
          </cell>
          <cell r="S661" t="str">
            <v>42</v>
          </cell>
          <cell r="T661">
            <v>95</v>
          </cell>
          <cell r="U661">
            <v>12</v>
          </cell>
          <cell r="V661">
            <v>95</v>
          </cell>
          <cell r="W661">
            <v>12</v>
          </cell>
          <cell r="X661">
            <v>95</v>
          </cell>
          <cell r="Y661">
            <v>0</v>
          </cell>
          <cell r="Z661">
            <v>0</v>
          </cell>
          <cell r="AB661" t="str">
            <v>14</v>
          </cell>
          <cell r="AC661">
            <v>10</v>
          </cell>
          <cell r="AD661" t="str">
            <v>0</v>
          </cell>
          <cell r="AE661" t="str">
            <v>0</v>
          </cell>
          <cell r="AF661" t="str">
            <v>00</v>
          </cell>
          <cell r="AG661">
            <v>685650000</v>
          </cell>
          <cell r="AI661">
            <v>685650000</v>
          </cell>
          <cell r="AJ661">
            <v>171412500</v>
          </cell>
        </row>
        <row r="662">
          <cell r="A662" t="str">
            <v>02</v>
          </cell>
          <cell r="B662" t="str">
            <v>15</v>
          </cell>
          <cell r="C662" t="str">
            <v>1566</v>
          </cell>
          <cell r="D662" t="str">
            <v>Подвеска троллейная</v>
          </cell>
          <cell r="E662" t="str">
            <v>ТПП-821</v>
          </cell>
          <cell r="G662" t="str">
            <v>01</v>
          </cell>
          <cell r="H662">
            <v>24000</v>
          </cell>
          <cell r="I662">
            <v>0</v>
          </cell>
          <cell r="J662">
            <v>0</v>
          </cell>
          <cell r="K662">
            <v>0.04</v>
          </cell>
          <cell r="L662" t="str">
            <v>88/2</v>
          </cell>
          <cell r="M662" t="str">
            <v>42000</v>
          </cell>
          <cell r="N662" t="str">
            <v>14 2947192</v>
          </cell>
          <cell r="O662" t="str">
            <v>064</v>
          </cell>
          <cell r="P662">
            <v>12.5</v>
          </cell>
          <cell r="Q662">
            <v>0</v>
          </cell>
          <cell r="R662" t="str">
            <v>1</v>
          </cell>
          <cell r="S662" t="str">
            <v>42</v>
          </cell>
          <cell r="T662">
            <v>95</v>
          </cell>
          <cell r="U662">
            <v>12</v>
          </cell>
          <cell r="V662">
            <v>95</v>
          </cell>
          <cell r="W662">
            <v>12</v>
          </cell>
          <cell r="X662">
            <v>95</v>
          </cell>
          <cell r="Y662">
            <v>0</v>
          </cell>
          <cell r="Z662">
            <v>0</v>
          </cell>
          <cell r="AB662" t="str">
            <v>14</v>
          </cell>
          <cell r="AC662">
            <v>10</v>
          </cell>
          <cell r="AD662" t="str">
            <v>0</v>
          </cell>
          <cell r="AE662" t="str">
            <v>0</v>
          </cell>
          <cell r="AF662" t="str">
            <v>00</v>
          </cell>
          <cell r="AG662">
            <v>685650000</v>
          </cell>
          <cell r="AI662">
            <v>685650000</v>
          </cell>
          <cell r="AJ662">
            <v>171412500</v>
          </cell>
        </row>
        <row r="663">
          <cell r="A663" t="str">
            <v>02</v>
          </cell>
          <cell r="B663" t="str">
            <v>15</v>
          </cell>
          <cell r="C663" t="str">
            <v>1567</v>
          </cell>
          <cell r="D663" t="str">
            <v>Подвеска троллейная</v>
          </cell>
          <cell r="E663" t="str">
            <v>ТПП-821</v>
          </cell>
          <cell r="G663" t="str">
            <v>01</v>
          </cell>
          <cell r="H663">
            <v>24000</v>
          </cell>
          <cell r="I663">
            <v>0</v>
          </cell>
          <cell r="J663">
            <v>0</v>
          </cell>
          <cell r="K663">
            <v>0.04</v>
          </cell>
          <cell r="L663" t="str">
            <v>88/2</v>
          </cell>
          <cell r="M663" t="str">
            <v>42000</v>
          </cell>
          <cell r="N663" t="str">
            <v>14 2947192</v>
          </cell>
          <cell r="O663" t="str">
            <v>064</v>
          </cell>
          <cell r="P663">
            <v>12.5</v>
          </cell>
          <cell r="Q663">
            <v>0</v>
          </cell>
          <cell r="R663" t="str">
            <v>1</v>
          </cell>
          <cell r="S663" t="str">
            <v>42</v>
          </cell>
          <cell r="T663">
            <v>95</v>
          </cell>
          <cell r="U663">
            <v>12</v>
          </cell>
          <cell r="V663">
            <v>95</v>
          </cell>
          <cell r="W663">
            <v>12</v>
          </cell>
          <cell r="X663">
            <v>95</v>
          </cell>
          <cell r="Y663">
            <v>0</v>
          </cell>
          <cell r="Z663">
            <v>0</v>
          </cell>
          <cell r="AB663" t="str">
            <v>14</v>
          </cell>
          <cell r="AC663">
            <v>10</v>
          </cell>
          <cell r="AD663" t="str">
            <v>0</v>
          </cell>
          <cell r="AE663" t="str">
            <v>0</v>
          </cell>
          <cell r="AF663" t="str">
            <v>00</v>
          </cell>
          <cell r="AG663">
            <v>685650000</v>
          </cell>
          <cell r="AI663">
            <v>685650000</v>
          </cell>
          <cell r="AJ663">
            <v>171412500</v>
          </cell>
        </row>
        <row r="664">
          <cell r="A664" t="str">
            <v>02</v>
          </cell>
          <cell r="B664" t="str">
            <v>15</v>
          </cell>
          <cell r="C664" t="str">
            <v>1568</v>
          </cell>
          <cell r="D664" t="str">
            <v>Подвеска троллейная</v>
          </cell>
          <cell r="E664" t="str">
            <v>ТПП-821</v>
          </cell>
          <cell r="G664" t="str">
            <v>01</v>
          </cell>
          <cell r="H664">
            <v>24000</v>
          </cell>
          <cell r="I664">
            <v>0</v>
          </cell>
          <cell r="J664">
            <v>0</v>
          </cell>
          <cell r="K664">
            <v>0.04</v>
          </cell>
          <cell r="L664" t="str">
            <v>88/2</v>
          </cell>
          <cell r="M664" t="str">
            <v>42000</v>
          </cell>
          <cell r="N664" t="str">
            <v>14 2947192</v>
          </cell>
          <cell r="O664" t="str">
            <v>064</v>
          </cell>
          <cell r="P664">
            <v>12.5</v>
          </cell>
          <cell r="Q664">
            <v>0</v>
          </cell>
          <cell r="R664" t="str">
            <v>1</v>
          </cell>
          <cell r="S664" t="str">
            <v>42</v>
          </cell>
          <cell r="T664">
            <v>95</v>
          </cell>
          <cell r="U664">
            <v>12</v>
          </cell>
          <cell r="V664">
            <v>95</v>
          </cell>
          <cell r="W664">
            <v>12</v>
          </cell>
          <cell r="X664">
            <v>95</v>
          </cell>
          <cell r="Y664">
            <v>0</v>
          </cell>
          <cell r="Z664">
            <v>0</v>
          </cell>
          <cell r="AB664" t="str">
            <v>14</v>
          </cell>
          <cell r="AC664">
            <v>10</v>
          </cell>
          <cell r="AD664" t="str">
            <v>0</v>
          </cell>
          <cell r="AE664" t="str">
            <v>0</v>
          </cell>
          <cell r="AF664" t="str">
            <v>00</v>
          </cell>
          <cell r="AG664">
            <v>685650000</v>
          </cell>
          <cell r="AI664">
            <v>685650000</v>
          </cell>
          <cell r="AJ664">
            <v>171412500</v>
          </cell>
        </row>
        <row r="665">
          <cell r="A665" t="str">
            <v>02</v>
          </cell>
          <cell r="B665" t="str">
            <v>11</v>
          </cell>
          <cell r="C665" t="str">
            <v>1569</v>
          </cell>
          <cell r="D665" t="str">
            <v>Станок СМЖ-1735</v>
          </cell>
          <cell r="G665" t="str">
            <v>01</v>
          </cell>
          <cell r="H665">
            <v>680</v>
          </cell>
          <cell r="I665">
            <v>0</v>
          </cell>
          <cell r="J665">
            <v>0</v>
          </cell>
          <cell r="K665">
            <v>1.04</v>
          </cell>
          <cell r="L665" t="str">
            <v>20</v>
          </cell>
          <cell r="M665" t="str">
            <v>41000</v>
          </cell>
          <cell r="N665" t="str">
            <v>14 2922176</v>
          </cell>
          <cell r="O665" t="str">
            <v>067</v>
          </cell>
          <cell r="P665">
            <v>5</v>
          </cell>
          <cell r="Q665">
            <v>0</v>
          </cell>
          <cell r="R665" t="str">
            <v>1</v>
          </cell>
          <cell r="S665" t="str">
            <v>41</v>
          </cell>
          <cell r="T665">
            <v>95</v>
          </cell>
          <cell r="U665">
            <v>12</v>
          </cell>
          <cell r="V665">
            <v>95</v>
          </cell>
          <cell r="W665">
            <v>12</v>
          </cell>
          <cell r="X665">
            <v>95</v>
          </cell>
          <cell r="Y665">
            <v>0</v>
          </cell>
          <cell r="Z665">
            <v>0</v>
          </cell>
          <cell r="AD665" t="str">
            <v>2</v>
          </cell>
          <cell r="AE665" t="str">
            <v>0</v>
          </cell>
          <cell r="AF665" t="str">
            <v>00</v>
          </cell>
          <cell r="AG665">
            <v>656000</v>
          </cell>
          <cell r="AI665">
            <v>656000</v>
          </cell>
          <cell r="AJ665">
            <v>65600</v>
          </cell>
        </row>
        <row r="666">
          <cell r="A666" t="str">
            <v>02</v>
          </cell>
          <cell r="B666" t="str">
            <v>15</v>
          </cell>
          <cell r="C666" t="str">
            <v>1570</v>
          </cell>
          <cell r="D666" t="str">
            <v>Переходник П-160х250</v>
          </cell>
          <cell r="G666" t="str">
            <v>01</v>
          </cell>
          <cell r="H666">
            <v>29.46</v>
          </cell>
          <cell r="I666">
            <v>0</v>
          </cell>
          <cell r="J666">
            <v>0</v>
          </cell>
          <cell r="K666">
            <v>1.21</v>
          </cell>
          <cell r="L666" t="str">
            <v>88/2</v>
          </cell>
          <cell r="M666" t="str">
            <v>30123</v>
          </cell>
          <cell r="N666" t="str">
            <v>14 2928666</v>
          </cell>
          <cell r="O666" t="str">
            <v>05</v>
          </cell>
          <cell r="P666">
            <v>12.5</v>
          </cell>
          <cell r="Q666">
            <v>0</v>
          </cell>
          <cell r="R666" t="str">
            <v>1</v>
          </cell>
          <cell r="S666" t="str">
            <v>30</v>
          </cell>
          <cell r="T666">
            <v>95</v>
          </cell>
          <cell r="U666">
            <v>12</v>
          </cell>
          <cell r="V666">
            <v>95</v>
          </cell>
          <cell r="W666">
            <v>12</v>
          </cell>
          <cell r="X666">
            <v>95</v>
          </cell>
          <cell r="Y666">
            <v>0</v>
          </cell>
          <cell r="Z666">
            <v>0</v>
          </cell>
          <cell r="AB666" t="str">
            <v>14</v>
          </cell>
          <cell r="AC666">
            <v>1</v>
          </cell>
          <cell r="AD666" t="str">
            <v>0</v>
          </cell>
          <cell r="AE666" t="str">
            <v>0</v>
          </cell>
          <cell r="AF666" t="str">
            <v>00</v>
          </cell>
          <cell r="AI666">
            <v>24348</v>
          </cell>
          <cell r="AJ666">
            <v>6087</v>
          </cell>
        </row>
        <row r="667">
          <cell r="A667" t="str">
            <v>02</v>
          </cell>
          <cell r="B667" t="str">
            <v>15</v>
          </cell>
          <cell r="C667" t="str">
            <v>1571</v>
          </cell>
          <cell r="D667" t="str">
            <v>Переходник П-160х250</v>
          </cell>
          <cell r="G667" t="str">
            <v>01</v>
          </cell>
          <cell r="H667">
            <v>29.46</v>
          </cell>
          <cell r="I667">
            <v>0</v>
          </cell>
          <cell r="J667">
            <v>0</v>
          </cell>
          <cell r="K667">
            <v>1.21</v>
          </cell>
          <cell r="L667" t="str">
            <v>88/2</v>
          </cell>
          <cell r="M667" t="str">
            <v>30123</v>
          </cell>
          <cell r="N667" t="str">
            <v>14 2928666</v>
          </cell>
          <cell r="O667" t="str">
            <v>05</v>
          </cell>
          <cell r="P667">
            <v>12.5</v>
          </cell>
          <cell r="Q667">
            <v>0</v>
          </cell>
          <cell r="R667" t="str">
            <v>1</v>
          </cell>
          <cell r="S667" t="str">
            <v>30</v>
          </cell>
          <cell r="T667">
            <v>95</v>
          </cell>
          <cell r="U667">
            <v>12</v>
          </cell>
          <cell r="V667">
            <v>95</v>
          </cell>
          <cell r="W667">
            <v>12</v>
          </cell>
          <cell r="X667">
            <v>95</v>
          </cell>
          <cell r="Y667">
            <v>0</v>
          </cell>
          <cell r="Z667">
            <v>0</v>
          </cell>
          <cell r="AB667" t="str">
            <v>14</v>
          </cell>
          <cell r="AC667">
            <v>1</v>
          </cell>
          <cell r="AD667" t="str">
            <v>0</v>
          </cell>
          <cell r="AE667" t="str">
            <v>0</v>
          </cell>
          <cell r="AF667" t="str">
            <v>00</v>
          </cell>
          <cell r="AI667">
            <v>24348</v>
          </cell>
          <cell r="AJ667">
            <v>6087</v>
          </cell>
        </row>
        <row r="668">
          <cell r="A668" t="str">
            <v>02</v>
          </cell>
          <cell r="B668" t="str">
            <v>15</v>
          </cell>
          <cell r="C668" t="str">
            <v>1572</v>
          </cell>
          <cell r="D668" t="str">
            <v>Переходник П-160х250</v>
          </cell>
          <cell r="G668" t="str">
            <v>01</v>
          </cell>
          <cell r="H668">
            <v>29.46</v>
          </cell>
          <cell r="I668">
            <v>0</v>
          </cell>
          <cell r="J668">
            <v>0</v>
          </cell>
          <cell r="K668">
            <v>1.21</v>
          </cell>
          <cell r="L668" t="str">
            <v>88/2</v>
          </cell>
          <cell r="M668" t="str">
            <v>30123</v>
          </cell>
          <cell r="N668" t="str">
            <v>14 2928666</v>
          </cell>
          <cell r="O668" t="str">
            <v>05</v>
          </cell>
          <cell r="P668">
            <v>12.5</v>
          </cell>
          <cell r="Q668">
            <v>0</v>
          </cell>
          <cell r="R668" t="str">
            <v>1</v>
          </cell>
          <cell r="S668" t="str">
            <v>30</v>
          </cell>
          <cell r="T668">
            <v>95</v>
          </cell>
          <cell r="U668">
            <v>12</v>
          </cell>
          <cell r="V668">
            <v>95</v>
          </cell>
          <cell r="W668">
            <v>12</v>
          </cell>
          <cell r="X668">
            <v>95</v>
          </cell>
          <cell r="Y668">
            <v>0</v>
          </cell>
          <cell r="Z668">
            <v>0</v>
          </cell>
          <cell r="AB668" t="str">
            <v>14</v>
          </cell>
          <cell r="AC668">
            <v>1</v>
          </cell>
          <cell r="AD668" t="str">
            <v>0</v>
          </cell>
          <cell r="AE668" t="str">
            <v>0</v>
          </cell>
          <cell r="AF668" t="str">
            <v>00</v>
          </cell>
          <cell r="AI668">
            <v>24348</v>
          </cell>
          <cell r="AJ668">
            <v>6087</v>
          </cell>
        </row>
        <row r="669">
          <cell r="A669" t="str">
            <v>02</v>
          </cell>
          <cell r="B669" t="str">
            <v>15</v>
          </cell>
          <cell r="C669" t="str">
            <v>1573</v>
          </cell>
          <cell r="D669" t="str">
            <v>Переходник П-160х250</v>
          </cell>
          <cell r="G669" t="str">
            <v>01</v>
          </cell>
          <cell r="H669">
            <v>29.46</v>
          </cell>
          <cell r="I669">
            <v>0</v>
          </cell>
          <cell r="J669">
            <v>0</v>
          </cell>
          <cell r="K669">
            <v>1.21</v>
          </cell>
          <cell r="L669" t="str">
            <v>88/2</v>
          </cell>
          <cell r="M669" t="str">
            <v>30123</v>
          </cell>
          <cell r="N669" t="str">
            <v>14 2928666</v>
          </cell>
          <cell r="O669" t="str">
            <v>05</v>
          </cell>
          <cell r="P669">
            <v>12.5</v>
          </cell>
          <cell r="Q669">
            <v>0</v>
          </cell>
          <cell r="R669" t="str">
            <v>1</v>
          </cell>
          <cell r="S669" t="str">
            <v>30</v>
          </cell>
          <cell r="T669">
            <v>95</v>
          </cell>
          <cell r="U669">
            <v>12</v>
          </cell>
          <cell r="V669">
            <v>95</v>
          </cell>
          <cell r="W669">
            <v>12</v>
          </cell>
          <cell r="X669">
            <v>95</v>
          </cell>
          <cell r="Y669">
            <v>0</v>
          </cell>
          <cell r="Z669">
            <v>0</v>
          </cell>
          <cell r="AB669" t="str">
            <v>14</v>
          </cell>
          <cell r="AC669">
            <v>1</v>
          </cell>
          <cell r="AD669" t="str">
            <v>0</v>
          </cell>
          <cell r="AE669" t="str">
            <v>0</v>
          </cell>
          <cell r="AF669" t="str">
            <v>00</v>
          </cell>
          <cell r="AI669">
            <v>24348</v>
          </cell>
          <cell r="AJ669">
            <v>6087</v>
          </cell>
        </row>
        <row r="670">
          <cell r="A670" t="str">
            <v>02</v>
          </cell>
          <cell r="B670" t="str">
            <v>15</v>
          </cell>
          <cell r="C670" t="str">
            <v>1574</v>
          </cell>
          <cell r="D670" t="str">
            <v>Переходник</v>
          </cell>
          <cell r="E670" t="str">
            <v>П-160х250</v>
          </cell>
          <cell r="G670" t="str">
            <v>01</v>
          </cell>
          <cell r="H670">
            <v>29.46</v>
          </cell>
          <cell r="I670">
            <v>0</v>
          </cell>
          <cell r="J670">
            <v>0</v>
          </cell>
          <cell r="K670">
            <v>1.21</v>
          </cell>
          <cell r="L670" t="str">
            <v>88/2</v>
          </cell>
          <cell r="M670" t="str">
            <v>30123</v>
          </cell>
          <cell r="N670" t="str">
            <v>14 2928666</v>
          </cell>
          <cell r="O670" t="str">
            <v>05</v>
          </cell>
          <cell r="P670">
            <v>12.5</v>
          </cell>
          <cell r="Q670">
            <v>0</v>
          </cell>
          <cell r="R670" t="str">
            <v>1</v>
          </cell>
          <cell r="S670" t="str">
            <v>30</v>
          </cell>
          <cell r="T670">
            <v>95</v>
          </cell>
          <cell r="U670">
            <v>12</v>
          </cell>
          <cell r="V670">
            <v>95</v>
          </cell>
          <cell r="W670">
            <v>12</v>
          </cell>
          <cell r="X670">
            <v>95</v>
          </cell>
          <cell r="Y670">
            <v>0</v>
          </cell>
          <cell r="Z670">
            <v>0</v>
          </cell>
          <cell r="AB670" t="str">
            <v>14</v>
          </cell>
          <cell r="AC670">
            <v>1</v>
          </cell>
          <cell r="AD670" t="str">
            <v>0</v>
          </cell>
          <cell r="AE670" t="str">
            <v>0</v>
          </cell>
          <cell r="AF670" t="str">
            <v>00</v>
          </cell>
          <cell r="AI670">
            <v>24349</v>
          </cell>
          <cell r="AJ670">
            <v>6087.25</v>
          </cell>
        </row>
        <row r="671">
          <cell r="A671" t="str">
            <v>02</v>
          </cell>
          <cell r="B671" t="str">
            <v>15</v>
          </cell>
          <cell r="C671" t="str">
            <v>1575</v>
          </cell>
          <cell r="D671" t="str">
            <v>Энергосборник ЕСУ</v>
          </cell>
          <cell r="G671" t="str">
            <v>01</v>
          </cell>
          <cell r="H671">
            <v>465</v>
          </cell>
          <cell r="I671">
            <v>0</v>
          </cell>
          <cell r="J671">
            <v>0</v>
          </cell>
          <cell r="K671">
            <v>1.04</v>
          </cell>
          <cell r="L671" t="str">
            <v>88/2</v>
          </cell>
          <cell r="M671" t="str">
            <v>40701</v>
          </cell>
          <cell r="N671" t="str">
            <v>14 2947193</v>
          </cell>
          <cell r="O671" t="str">
            <v>066</v>
          </cell>
          <cell r="P671">
            <v>4.4000000000000004</v>
          </cell>
          <cell r="Q671">
            <v>0</v>
          </cell>
          <cell r="R671" t="str">
            <v>1</v>
          </cell>
          <cell r="S671" t="str">
            <v>40</v>
          </cell>
          <cell r="T671">
            <v>95</v>
          </cell>
          <cell r="U671">
            <v>12</v>
          </cell>
          <cell r="V671">
            <v>95</v>
          </cell>
          <cell r="W671">
            <v>12</v>
          </cell>
          <cell r="X671">
            <v>95</v>
          </cell>
          <cell r="Y671">
            <v>0</v>
          </cell>
          <cell r="Z671">
            <v>0</v>
          </cell>
          <cell r="AB671" t="str">
            <v>14</v>
          </cell>
          <cell r="AC671">
            <v>10</v>
          </cell>
          <cell r="AD671" t="str">
            <v>0</v>
          </cell>
          <cell r="AE671" t="str">
            <v>0</v>
          </cell>
          <cell r="AF671" t="str">
            <v>00</v>
          </cell>
          <cell r="AI671">
            <v>446904</v>
          </cell>
          <cell r="AJ671">
            <v>39327.550000000003</v>
          </cell>
        </row>
        <row r="672">
          <cell r="A672" t="str">
            <v>02</v>
          </cell>
          <cell r="B672" t="str">
            <v>15</v>
          </cell>
          <cell r="C672" t="str">
            <v>1576</v>
          </cell>
          <cell r="D672" t="str">
            <v>Энергосборник ЕСУ</v>
          </cell>
          <cell r="G672" t="str">
            <v>01</v>
          </cell>
          <cell r="H672">
            <v>465</v>
          </cell>
          <cell r="I672">
            <v>0</v>
          </cell>
          <cell r="J672">
            <v>0</v>
          </cell>
          <cell r="K672">
            <v>1.04</v>
          </cell>
          <cell r="L672" t="str">
            <v>88/2</v>
          </cell>
          <cell r="M672" t="str">
            <v>40701</v>
          </cell>
          <cell r="N672" t="str">
            <v>14 2947193</v>
          </cell>
          <cell r="O672" t="str">
            <v>066</v>
          </cell>
          <cell r="P672">
            <v>4.4000000000000004</v>
          </cell>
          <cell r="Q672">
            <v>0</v>
          </cell>
          <cell r="R672" t="str">
            <v>1</v>
          </cell>
          <cell r="S672" t="str">
            <v>40</v>
          </cell>
          <cell r="T672">
            <v>95</v>
          </cell>
          <cell r="U672">
            <v>12</v>
          </cell>
          <cell r="V672">
            <v>95</v>
          </cell>
          <cell r="W672">
            <v>12</v>
          </cell>
          <cell r="X672">
            <v>95</v>
          </cell>
          <cell r="Y672">
            <v>0</v>
          </cell>
          <cell r="Z672">
            <v>0</v>
          </cell>
          <cell r="AB672" t="str">
            <v>14</v>
          </cell>
          <cell r="AC672">
            <v>10</v>
          </cell>
          <cell r="AD672" t="str">
            <v>0</v>
          </cell>
          <cell r="AE672" t="str">
            <v>0</v>
          </cell>
          <cell r="AF672" t="str">
            <v>00</v>
          </cell>
          <cell r="AI672">
            <v>446904</v>
          </cell>
          <cell r="AJ672">
            <v>39327.550000000003</v>
          </cell>
        </row>
        <row r="673">
          <cell r="A673" t="str">
            <v>02</v>
          </cell>
          <cell r="B673" t="str">
            <v>11</v>
          </cell>
          <cell r="C673" t="str">
            <v>1577</v>
          </cell>
          <cell r="D673" t="str">
            <v>Энергосборник ЕСУ</v>
          </cell>
          <cell r="G673" t="str">
            <v>01</v>
          </cell>
          <cell r="H673">
            <v>465</v>
          </cell>
          <cell r="I673">
            <v>0</v>
          </cell>
          <cell r="J673">
            <v>0</v>
          </cell>
          <cell r="K673">
            <v>1.04</v>
          </cell>
          <cell r="L673" t="str">
            <v>20</v>
          </cell>
          <cell r="M673" t="str">
            <v>40701</v>
          </cell>
          <cell r="N673" t="str">
            <v>14 2947193</v>
          </cell>
          <cell r="O673" t="str">
            <v>066</v>
          </cell>
          <cell r="P673">
            <v>4.4000000000000004</v>
          </cell>
          <cell r="Q673">
            <v>0</v>
          </cell>
          <cell r="R673" t="str">
            <v>1</v>
          </cell>
          <cell r="S673" t="str">
            <v>40</v>
          </cell>
          <cell r="T673">
            <v>95</v>
          </cell>
          <cell r="U673">
            <v>12</v>
          </cell>
          <cell r="V673">
            <v>95</v>
          </cell>
          <cell r="W673">
            <v>12</v>
          </cell>
          <cell r="X673">
            <v>95</v>
          </cell>
          <cell r="Y673">
            <v>0</v>
          </cell>
          <cell r="Z673">
            <v>0</v>
          </cell>
          <cell r="AD673" t="str">
            <v>2</v>
          </cell>
          <cell r="AE673" t="str">
            <v>0</v>
          </cell>
          <cell r="AF673" t="str">
            <v>00</v>
          </cell>
          <cell r="AI673">
            <v>446902</v>
          </cell>
          <cell r="AJ673">
            <v>39327.379999999997</v>
          </cell>
        </row>
        <row r="674">
          <cell r="A674" t="str">
            <v>02</v>
          </cell>
          <cell r="B674" t="str">
            <v>15</v>
          </cell>
          <cell r="C674" t="str">
            <v>1578</v>
          </cell>
          <cell r="D674" t="str">
            <v>Вентилятор ФУН-300</v>
          </cell>
          <cell r="G674" t="str">
            <v>01</v>
          </cell>
          <cell r="H674">
            <v>1174.0899999999999</v>
          </cell>
          <cell r="I674">
            <v>0</v>
          </cell>
          <cell r="J674">
            <v>0</v>
          </cell>
          <cell r="K674">
            <v>1.21</v>
          </cell>
          <cell r="L674" t="str">
            <v>88/2</v>
          </cell>
          <cell r="M674" t="str">
            <v>41604</v>
          </cell>
          <cell r="N674" t="str">
            <v>14 3699000</v>
          </cell>
          <cell r="O674" t="str">
            <v>062</v>
          </cell>
          <cell r="P674">
            <v>27</v>
          </cell>
          <cell r="Q674">
            <v>0</v>
          </cell>
          <cell r="R674" t="str">
            <v>1</v>
          </cell>
          <cell r="S674" t="str">
            <v>41</v>
          </cell>
          <cell r="T674">
            <v>95</v>
          </cell>
          <cell r="U674">
            <v>12</v>
          </cell>
          <cell r="V674">
            <v>95</v>
          </cell>
          <cell r="W674">
            <v>12</v>
          </cell>
          <cell r="X674">
            <v>95</v>
          </cell>
          <cell r="Y674">
            <v>0</v>
          </cell>
          <cell r="Z674">
            <v>0</v>
          </cell>
          <cell r="AB674" t="str">
            <v>14</v>
          </cell>
          <cell r="AC674">
            <v>10</v>
          </cell>
          <cell r="AD674" t="str">
            <v>0</v>
          </cell>
          <cell r="AE674" t="str">
            <v>0</v>
          </cell>
          <cell r="AF674" t="str">
            <v>00</v>
          </cell>
          <cell r="AG674">
            <v>970326</v>
          </cell>
          <cell r="AI674">
            <v>970326</v>
          </cell>
          <cell r="AJ674">
            <v>523976.04</v>
          </cell>
        </row>
        <row r="675">
          <cell r="A675" t="str">
            <v>02</v>
          </cell>
          <cell r="B675" t="str">
            <v>15</v>
          </cell>
          <cell r="C675" t="str">
            <v>1579</v>
          </cell>
          <cell r="D675" t="str">
            <v>Вентилятор ФУН-300</v>
          </cell>
          <cell r="G675" t="str">
            <v>01</v>
          </cell>
          <cell r="H675">
            <v>1174.0899999999999</v>
          </cell>
          <cell r="I675">
            <v>0</v>
          </cell>
          <cell r="J675">
            <v>0</v>
          </cell>
          <cell r="K675">
            <v>1.21</v>
          </cell>
          <cell r="L675" t="str">
            <v>88/2</v>
          </cell>
          <cell r="M675" t="str">
            <v>41604</v>
          </cell>
          <cell r="N675" t="str">
            <v>14 3699000</v>
          </cell>
          <cell r="O675" t="str">
            <v>062</v>
          </cell>
          <cell r="P675">
            <v>27</v>
          </cell>
          <cell r="Q675">
            <v>0</v>
          </cell>
          <cell r="R675" t="str">
            <v>1</v>
          </cell>
          <cell r="S675" t="str">
            <v>41</v>
          </cell>
          <cell r="T675">
            <v>95</v>
          </cell>
          <cell r="U675">
            <v>12</v>
          </cell>
          <cell r="V675">
            <v>95</v>
          </cell>
          <cell r="W675">
            <v>12</v>
          </cell>
          <cell r="X675">
            <v>95</v>
          </cell>
          <cell r="Y675">
            <v>0</v>
          </cell>
          <cell r="Z675">
            <v>0</v>
          </cell>
          <cell r="AB675" t="str">
            <v>14</v>
          </cell>
          <cell r="AC675">
            <v>10</v>
          </cell>
          <cell r="AD675" t="str">
            <v>0</v>
          </cell>
          <cell r="AE675" t="str">
            <v>0</v>
          </cell>
          <cell r="AF675" t="str">
            <v>00</v>
          </cell>
          <cell r="AG675">
            <v>970326</v>
          </cell>
          <cell r="AI675">
            <v>970326</v>
          </cell>
          <cell r="AJ675">
            <v>523976.04</v>
          </cell>
        </row>
        <row r="676">
          <cell r="A676" t="str">
            <v>02</v>
          </cell>
          <cell r="B676" t="str">
            <v>15</v>
          </cell>
          <cell r="C676" t="str">
            <v>1580</v>
          </cell>
          <cell r="D676" t="str">
            <v>Вентилятор ФУН-300</v>
          </cell>
          <cell r="G676" t="str">
            <v>01</v>
          </cell>
          <cell r="H676">
            <v>1174.0899999999999</v>
          </cell>
          <cell r="I676">
            <v>0</v>
          </cell>
          <cell r="J676">
            <v>0</v>
          </cell>
          <cell r="K676">
            <v>1.21</v>
          </cell>
          <cell r="L676" t="str">
            <v>88/2</v>
          </cell>
          <cell r="M676" t="str">
            <v>41604</v>
          </cell>
          <cell r="N676" t="str">
            <v>14 3699000</v>
          </cell>
          <cell r="O676" t="str">
            <v>062</v>
          </cell>
          <cell r="P676">
            <v>27</v>
          </cell>
          <cell r="Q676">
            <v>0</v>
          </cell>
          <cell r="R676" t="str">
            <v>1</v>
          </cell>
          <cell r="S676" t="str">
            <v>41</v>
          </cell>
          <cell r="T676">
            <v>95</v>
          </cell>
          <cell r="U676">
            <v>12</v>
          </cell>
          <cell r="V676">
            <v>95</v>
          </cell>
          <cell r="W676">
            <v>12</v>
          </cell>
          <cell r="X676">
            <v>95</v>
          </cell>
          <cell r="Y676">
            <v>0</v>
          </cell>
          <cell r="Z676">
            <v>0</v>
          </cell>
          <cell r="AB676" t="str">
            <v>14</v>
          </cell>
          <cell r="AC676">
            <v>10</v>
          </cell>
          <cell r="AD676" t="str">
            <v>0</v>
          </cell>
          <cell r="AE676" t="str">
            <v>0</v>
          </cell>
          <cell r="AF676" t="str">
            <v>00</v>
          </cell>
          <cell r="AG676">
            <v>970326</v>
          </cell>
          <cell r="AI676">
            <v>970326</v>
          </cell>
          <cell r="AJ676">
            <v>523976.04</v>
          </cell>
        </row>
        <row r="677">
          <cell r="A677" t="str">
            <v>02</v>
          </cell>
          <cell r="B677" t="str">
            <v>15</v>
          </cell>
          <cell r="C677" t="str">
            <v>1581</v>
          </cell>
          <cell r="D677" t="str">
            <v>Вентилятор ФУН-300</v>
          </cell>
          <cell r="G677" t="str">
            <v>01</v>
          </cell>
          <cell r="H677">
            <v>1174.0899999999999</v>
          </cell>
          <cell r="I677">
            <v>0</v>
          </cell>
          <cell r="J677">
            <v>0</v>
          </cell>
          <cell r="K677">
            <v>1.21</v>
          </cell>
          <cell r="L677" t="str">
            <v>88/2</v>
          </cell>
          <cell r="M677" t="str">
            <v>41604</v>
          </cell>
          <cell r="N677" t="str">
            <v>14 3699000</v>
          </cell>
          <cell r="O677" t="str">
            <v>062</v>
          </cell>
          <cell r="P677">
            <v>27</v>
          </cell>
          <cell r="Q677">
            <v>0</v>
          </cell>
          <cell r="R677" t="str">
            <v>1</v>
          </cell>
          <cell r="S677" t="str">
            <v>41</v>
          </cell>
          <cell r="T677">
            <v>95</v>
          </cell>
          <cell r="U677">
            <v>12</v>
          </cell>
          <cell r="V677">
            <v>95</v>
          </cell>
          <cell r="W677">
            <v>12</v>
          </cell>
          <cell r="X677">
            <v>95</v>
          </cell>
          <cell r="Y677">
            <v>0</v>
          </cell>
          <cell r="Z677">
            <v>0</v>
          </cell>
          <cell r="AB677" t="str">
            <v>14</v>
          </cell>
          <cell r="AC677">
            <v>10</v>
          </cell>
          <cell r="AD677" t="str">
            <v>0</v>
          </cell>
          <cell r="AE677" t="str">
            <v>0</v>
          </cell>
          <cell r="AF677" t="str">
            <v>00</v>
          </cell>
          <cell r="AG677">
            <v>970326</v>
          </cell>
          <cell r="AI677">
            <v>970326</v>
          </cell>
          <cell r="AJ677">
            <v>523976.04</v>
          </cell>
        </row>
        <row r="678">
          <cell r="A678" t="str">
            <v>02</v>
          </cell>
          <cell r="B678" t="str">
            <v>15</v>
          </cell>
          <cell r="C678" t="str">
            <v>1582</v>
          </cell>
          <cell r="D678" t="str">
            <v>Вентилятор ФУН-300</v>
          </cell>
          <cell r="G678" t="str">
            <v>01</v>
          </cell>
          <cell r="H678">
            <v>1174.0899999999999</v>
          </cell>
          <cell r="I678">
            <v>0</v>
          </cell>
          <cell r="J678">
            <v>0</v>
          </cell>
          <cell r="K678">
            <v>1.21</v>
          </cell>
          <cell r="L678" t="str">
            <v>88/2</v>
          </cell>
          <cell r="M678" t="str">
            <v>41604</v>
          </cell>
          <cell r="N678" t="str">
            <v>14 3699000</v>
          </cell>
          <cell r="O678" t="str">
            <v>062</v>
          </cell>
          <cell r="P678">
            <v>27</v>
          </cell>
          <cell r="Q678">
            <v>0</v>
          </cell>
          <cell r="R678" t="str">
            <v>1</v>
          </cell>
          <cell r="S678" t="str">
            <v>41</v>
          </cell>
          <cell r="T678">
            <v>95</v>
          </cell>
          <cell r="U678">
            <v>12</v>
          </cell>
          <cell r="V678">
            <v>95</v>
          </cell>
          <cell r="W678">
            <v>12</v>
          </cell>
          <cell r="X678">
            <v>95</v>
          </cell>
          <cell r="Y678">
            <v>0</v>
          </cell>
          <cell r="Z678">
            <v>0</v>
          </cell>
          <cell r="AB678" t="str">
            <v>14</v>
          </cell>
          <cell r="AC678">
            <v>10</v>
          </cell>
          <cell r="AD678" t="str">
            <v>0</v>
          </cell>
          <cell r="AE678" t="str">
            <v>0</v>
          </cell>
          <cell r="AF678" t="str">
            <v>00</v>
          </cell>
          <cell r="AG678">
            <v>970326</v>
          </cell>
          <cell r="AI678">
            <v>970326</v>
          </cell>
          <cell r="AJ678">
            <v>523976.04</v>
          </cell>
        </row>
        <row r="679">
          <cell r="A679" t="str">
            <v>02</v>
          </cell>
          <cell r="B679" t="str">
            <v>15</v>
          </cell>
          <cell r="C679" t="str">
            <v>1610</v>
          </cell>
          <cell r="D679" t="str">
            <v>Подвесное устройство</v>
          </cell>
          <cell r="E679" t="str">
            <v>Р-25-100</v>
          </cell>
          <cell r="G679" t="str">
            <v>01</v>
          </cell>
          <cell r="H679">
            <v>985</v>
          </cell>
          <cell r="I679">
            <v>0</v>
          </cell>
          <cell r="J679">
            <v>0</v>
          </cell>
          <cell r="K679">
            <v>1.04</v>
          </cell>
          <cell r="L679" t="str">
            <v>88/2</v>
          </cell>
          <cell r="M679" t="str">
            <v>42000</v>
          </cell>
          <cell r="N679" t="str">
            <v>14 2947192</v>
          </cell>
          <cell r="O679" t="str">
            <v>064</v>
          </cell>
          <cell r="P679">
            <v>12.5</v>
          </cell>
          <cell r="Q679">
            <v>0</v>
          </cell>
          <cell r="R679" t="str">
            <v>1</v>
          </cell>
          <cell r="S679" t="str">
            <v>42</v>
          </cell>
          <cell r="T679">
            <v>95</v>
          </cell>
          <cell r="U679">
            <v>12</v>
          </cell>
          <cell r="V679">
            <v>95</v>
          </cell>
          <cell r="W679">
            <v>12</v>
          </cell>
          <cell r="X679">
            <v>95</v>
          </cell>
          <cell r="Y679">
            <v>0</v>
          </cell>
          <cell r="Z679">
            <v>0</v>
          </cell>
          <cell r="AB679" t="str">
            <v>14</v>
          </cell>
          <cell r="AC679">
            <v>10</v>
          </cell>
          <cell r="AD679" t="str">
            <v>0</v>
          </cell>
          <cell r="AE679" t="str">
            <v>0</v>
          </cell>
          <cell r="AF679" t="str">
            <v>00</v>
          </cell>
          <cell r="AG679">
            <v>949000</v>
          </cell>
          <cell r="AI679">
            <v>949000</v>
          </cell>
          <cell r="AJ679">
            <v>237250</v>
          </cell>
        </row>
        <row r="680">
          <cell r="A680" t="str">
            <v>02</v>
          </cell>
          <cell r="B680" t="str">
            <v>15</v>
          </cell>
          <cell r="C680" t="str">
            <v>1584</v>
          </cell>
          <cell r="D680" t="str">
            <v>Подвесное устройство</v>
          </cell>
          <cell r="E680" t="str">
            <v>Р-25-100</v>
          </cell>
          <cell r="G680" t="str">
            <v>01</v>
          </cell>
          <cell r="H680">
            <v>985</v>
          </cell>
          <cell r="I680">
            <v>0</v>
          </cell>
          <cell r="J680">
            <v>0</v>
          </cell>
          <cell r="K680">
            <v>1.04</v>
          </cell>
          <cell r="L680" t="str">
            <v>88/2</v>
          </cell>
          <cell r="M680" t="str">
            <v>42000</v>
          </cell>
          <cell r="N680" t="str">
            <v>14 2947192</v>
          </cell>
          <cell r="O680" t="str">
            <v>064</v>
          </cell>
          <cell r="P680">
            <v>12.5</v>
          </cell>
          <cell r="Q680">
            <v>0</v>
          </cell>
          <cell r="R680" t="str">
            <v>1</v>
          </cell>
          <cell r="S680" t="str">
            <v>42</v>
          </cell>
          <cell r="T680">
            <v>95</v>
          </cell>
          <cell r="U680">
            <v>12</v>
          </cell>
          <cell r="V680">
            <v>95</v>
          </cell>
          <cell r="W680">
            <v>12</v>
          </cell>
          <cell r="X680">
            <v>95</v>
          </cell>
          <cell r="Y680">
            <v>0</v>
          </cell>
          <cell r="Z680">
            <v>0</v>
          </cell>
          <cell r="AB680" t="str">
            <v>14</v>
          </cell>
          <cell r="AC680">
            <v>10</v>
          </cell>
          <cell r="AD680" t="str">
            <v>0</v>
          </cell>
          <cell r="AE680" t="str">
            <v>0</v>
          </cell>
          <cell r="AF680" t="str">
            <v>00</v>
          </cell>
          <cell r="AG680">
            <v>949000</v>
          </cell>
          <cell r="AI680">
            <v>949000</v>
          </cell>
          <cell r="AJ680">
            <v>237250</v>
          </cell>
        </row>
        <row r="681">
          <cell r="A681" t="str">
            <v>02</v>
          </cell>
          <cell r="B681" t="str">
            <v>15</v>
          </cell>
          <cell r="C681" t="str">
            <v>1585</v>
          </cell>
          <cell r="D681" t="str">
            <v>Консольное поворотно</v>
          </cell>
          <cell r="E681" t="str">
            <v>е устройство</v>
          </cell>
          <cell r="G681" t="str">
            <v>01</v>
          </cell>
          <cell r="H681">
            <v>1125.1300000000001</v>
          </cell>
          <cell r="I681">
            <v>0</v>
          </cell>
          <cell r="J681">
            <v>0</v>
          </cell>
          <cell r="K681">
            <v>1.21</v>
          </cell>
          <cell r="L681" t="str">
            <v>88/2</v>
          </cell>
          <cell r="M681" t="str">
            <v>41722</v>
          </cell>
          <cell r="N681" t="str">
            <v>14 2915202</v>
          </cell>
          <cell r="O681" t="str">
            <v>063</v>
          </cell>
          <cell r="P681">
            <v>14.3</v>
          </cell>
          <cell r="Q681">
            <v>0</v>
          </cell>
          <cell r="R681" t="str">
            <v>1</v>
          </cell>
          <cell r="S681" t="str">
            <v>41</v>
          </cell>
          <cell r="T681">
            <v>95</v>
          </cell>
          <cell r="U681">
            <v>12</v>
          </cell>
          <cell r="V681">
            <v>95</v>
          </cell>
          <cell r="W681">
            <v>12</v>
          </cell>
          <cell r="X681">
            <v>95</v>
          </cell>
          <cell r="Y681">
            <v>0</v>
          </cell>
          <cell r="Z681">
            <v>0</v>
          </cell>
          <cell r="AB681" t="str">
            <v>14</v>
          </cell>
          <cell r="AC681">
            <v>1</v>
          </cell>
          <cell r="AD681" t="str">
            <v>0</v>
          </cell>
          <cell r="AE681" t="str">
            <v>0</v>
          </cell>
          <cell r="AF681" t="str">
            <v>00</v>
          </cell>
          <cell r="AI681">
            <v>929863</v>
          </cell>
          <cell r="AJ681">
            <v>265940.82</v>
          </cell>
        </row>
        <row r="682">
          <cell r="A682" t="str">
            <v>02</v>
          </cell>
          <cell r="B682" t="str">
            <v>15</v>
          </cell>
          <cell r="C682" t="str">
            <v>1586</v>
          </cell>
          <cell r="D682" t="str">
            <v>Коксольно-поворотное</v>
          </cell>
          <cell r="E682" t="str">
            <v>мест. УК 4516</v>
          </cell>
          <cell r="G682" t="str">
            <v>01</v>
          </cell>
          <cell r="H682">
            <v>1432.69</v>
          </cell>
          <cell r="I682">
            <v>0</v>
          </cell>
          <cell r="J682">
            <v>0</v>
          </cell>
          <cell r="K682">
            <v>1.21</v>
          </cell>
          <cell r="L682" t="str">
            <v>88/2</v>
          </cell>
          <cell r="M682" t="str">
            <v>41722</v>
          </cell>
          <cell r="N682" t="str">
            <v>14 2915202</v>
          </cell>
          <cell r="O682" t="str">
            <v>063</v>
          </cell>
          <cell r="P682">
            <v>14.3</v>
          </cell>
          <cell r="Q682">
            <v>0</v>
          </cell>
          <cell r="R682" t="str">
            <v>1</v>
          </cell>
          <cell r="S682" t="str">
            <v>41</v>
          </cell>
          <cell r="T682">
            <v>95</v>
          </cell>
          <cell r="U682">
            <v>12</v>
          </cell>
          <cell r="V682">
            <v>95</v>
          </cell>
          <cell r="W682">
            <v>12</v>
          </cell>
          <cell r="X682">
            <v>95</v>
          </cell>
          <cell r="Y682">
            <v>0</v>
          </cell>
          <cell r="Z682">
            <v>0</v>
          </cell>
          <cell r="AB682" t="str">
            <v>14</v>
          </cell>
          <cell r="AC682">
            <v>1</v>
          </cell>
          <cell r="AD682" t="str">
            <v>0</v>
          </cell>
          <cell r="AE682" t="str">
            <v>0</v>
          </cell>
          <cell r="AF682" t="str">
            <v>00</v>
          </cell>
          <cell r="AI682">
            <v>1184040</v>
          </cell>
          <cell r="AJ682">
            <v>338635.44</v>
          </cell>
        </row>
        <row r="683">
          <cell r="A683" t="str">
            <v>02</v>
          </cell>
          <cell r="B683" t="str">
            <v>15</v>
          </cell>
          <cell r="C683" t="str">
            <v>1587</v>
          </cell>
          <cell r="D683" t="str">
            <v>Консольно-поворотное</v>
          </cell>
          <cell r="E683" t="str">
            <v>мест. УК 4516</v>
          </cell>
          <cell r="G683" t="str">
            <v>01</v>
          </cell>
          <cell r="H683">
            <v>1432.69</v>
          </cell>
          <cell r="I683">
            <v>0</v>
          </cell>
          <cell r="J683">
            <v>0</v>
          </cell>
          <cell r="K683">
            <v>1.21</v>
          </cell>
          <cell r="L683" t="str">
            <v>88/2</v>
          </cell>
          <cell r="M683" t="str">
            <v>41722</v>
          </cell>
          <cell r="N683" t="str">
            <v>14 2915202</v>
          </cell>
          <cell r="O683" t="str">
            <v>063</v>
          </cell>
          <cell r="P683">
            <v>14.3</v>
          </cell>
          <cell r="Q683">
            <v>0</v>
          </cell>
          <cell r="R683" t="str">
            <v>1</v>
          </cell>
          <cell r="S683" t="str">
            <v>41</v>
          </cell>
          <cell r="T683">
            <v>95</v>
          </cell>
          <cell r="U683">
            <v>12</v>
          </cell>
          <cell r="V683">
            <v>95</v>
          </cell>
          <cell r="W683">
            <v>12</v>
          </cell>
          <cell r="X683">
            <v>95</v>
          </cell>
          <cell r="Y683">
            <v>0</v>
          </cell>
          <cell r="Z683">
            <v>0</v>
          </cell>
          <cell r="AB683" t="str">
            <v>14</v>
          </cell>
          <cell r="AC683">
            <v>1</v>
          </cell>
          <cell r="AD683" t="str">
            <v>0</v>
          </cell>
          <cell r="AE683" t="str">
            <v>0</v>
          </cell>
          <cell r="AF683" t="str">
            <v>00</v>
          </cell>
          <cell r="AI683">
            <v>1184040</v>
          </cell>
          <cell r="AJ683">
            <v>338635.44</v>
          </cell>
        </row>
        <row r="684">
          <cell r="A684" t="str">
            <v>02</v>
          </cell>
          <cell r="B684" t="str">
            <v>15</v>
          </cell>
          <cell r="C684" t="str">
            <v>1588</v>
          </cell>
          <cell r="D684" t="str">
            <v>Емкость V-25м3</v>
          </cell>
          <cell r="G684" t="str">
            <v>01</v>
          </cell>
          <cell r="H684">
            <v>10965.24</v>
          </cell>
          <cell r="I684">
            <v>0</v>
          </cell>
          <cell r="J684">
            <v>0</v>
          </cell>
          <cell r="K684">
            <v>1.43</v>
          </cell>
          <cell r="L684" t="str">
            <v>88/2</v>
          </cell>
          <cell r="M684" t="str">
            <v>42906</v>
          </cell>
          <cell r="N684" t="str">
            <v>12 2812157</v>
          </cell>
          <cell r="O684" t="str">
            <v>067</v>
          </cell>
          <cell r="P684">
            <v>11</v>
          </cell>
          <cell r="Q684">
            <v>0</v>
          </cell>
          <cell r="R684" t="str">
            <v>1</v>
          </cell>
          <cell r="S684" t="str">
            <v>42</v>
          </cell>
          <cell r="T684">
            <v>95</v>
          </cell>
          <cell r="U684">
            <v>12</v>
          </cell>
          <cell r="V684">
            <v>95</v>
          </cell>
          <cell r="W684">
            <v>12</v>
          </cell>
          <cell r="X684">
            <v>95</v>
          </cell>
          <cell r="Y684">
            <v>0</v>
          </cell>
          <cell r="Z684">
            <v>0</v>
          </cell>
          <cell r="AB684" t="str">
            <v>14</v>
          </cell>
          <cell r="AC684">
            <v>10</v>
          </cell>
          <cell r="AD684" t="str">
            <v>0</v>
          </cell>
          <cell r="AE684" t="str">
            <v>0</v>
          </cell>
          <cell r="AF684" t="str">
            <v>00</v>
          </cell>
          <cell r="AG684">
            <v>7668000</v>
          </cell>
          <cell r="AI684">
            <v>7668000</v>
          </cell>
          <cell r="AJ684">
            <v>1686960</v>
          </cell>
        </row>
        <row r="685">
          <cell r="A685" t="str">
            <v>02</v>
          </cell>
          <cell r="B685" t="str">
            <v>15</v>
          </cell>
          <cell r="C685" t="str">
            <v>1589</v>
          </cell>
          <cell r="D685" t="str">
            <v>Емкость V-25м3</v>
          </cell>
          <cell r="G685" t="str">
            <v>01</v>
          </cell>
          <cell r="H685">
            <v>10965.24</v>
          </cell>
          <cell r="I685">
            <v>0</v>
          </cell>
          <cell r="J685">
            <v>0</v>
          </cell>
          <cell r="K685">
            <v>1.43</v>
          </cell>
          <cell r="L685" t="str">
            <v>88/2</v>
          </cell>
          <cell r="M685" t="str">
            <v>42906</v>
          </cell>
          <cell r="N685" t="str">
            <v>12 2812157</v>
          </cell>
          <cell r="O685" t="str">
            <v>067</v>
          </cell>
          <cell r="P685">
            <v>11</v>
          </cell>
          <cell r="Q685">
            <v>0</v>
          </cell>
          <cell r="R685" t="str">
            <v>1</v>
          </cell>
          <cell r="S685" t="str">
            <v>42</v>
          </cell>
          <cell r="T685">
            <v>95</v>
          </cell>
          <cell r="U685">
            <v>12</v>
          </cell>
          <cell r="V685">
            <v>95</v>
          </cell>
          <cell r="W685">
            <v>12</v>
          </cell>
          <cell r="X685">
            <v>95</v>
          </cell>
          <cell r="Y685">
            <v>0</v>
          </cell>
          <cell r="Z685">
            <v>0</v>
          </cell>
          <cell r="AB685" t="str">
            <v>14</v>
          </cell>
          <cell r="AC685">
            <v>10</v>
          </cell>
          <cell r="AD685" t="str">
            <v>0</v>
          </cell>
          <cell r="AE685" t="str">
            <v>0</v>
          </cell>
          <cell r="AF685" t="str">
            <v>00</v>
          </cell>
          <cell r="AG685">
            <v>7668000</v>
          </cell>
          <cell r="AI685">
            <v>7668000</v>
          </cell>
          <cell r="AJ685">
            <v>1686960</v>
          </cell>
        </row>
        <row r="686">
          <cell r="A686" t="str">
            <v>02</v>
          </cell>
          <cell r="B686" t="str">
            <v>15</v>
          </cell>
          <cell r="C686" t="str">
            <v>1590</v>
          </cell>
          <cell r="D686" t="str">
            <v>Компрессор без аккум</v>
          </cell>
          <cell r="E686" t="str">
            <v>улятора</v>
          </cell>
          <cell r="G686" t="str">
            <v>01</v>
          </cell>
          <cell r="H686">
            <v>7965</v>
          </cell>
          <cell r="I686">
            <v>0</v>
          </cell>
          <cell r="J686">
            <v>0</v>
          </cell>
          <cell r="K686">
            <v>1.01</v>
          </cell>
          <cell r="L686" t="str">
            <v>88/2</v>
          </cell>
          <cell r="M686" t="str">
            <v>41404</v>
          </cell>
          <cell r="N686" t="str">
            <v>14 2912132</v>
          </cell>
          <cell r="O686" t="str">
            <v>067</v>
          </cell>
          <cell r="P686">
            <v>14.3</v>
          </cell>
          <cell r="Q686">
            <v>0</v>
          </cell>
          <cell r="R686" t="str">
            <v>1</v>
          </cell>
          <cell r="S686" t="str">
            <v>41</v>
          </cell>
          <cell r="T686">
            <v>95</v>
          </cell>
          <cell r="U686">
            <v>12</v>
          </cell>
          <cell r="V686">
            <v>95</v>
          </cell>
          <cell r="W686">
            <v>12</v>
          </cell>
          <cell r="X686">
            <v>95</v>
          </cell>
          <cell r="Y686">
            <v>0</v>
          </cell>
          <cell r="Z686">
            <v>0</v>
          </cell>
          <cell r="AB686" t="str">
            <v>14</v>
          </cell>
          <cell r="AC686">
            <v>10</v>
          </cell>
          <cell r="AD686" t="str">
            <v>0</v>
          </cell>
          <cell r="AE686" t="str">
            <v>0</v>
          </cell>
          <cell r="AF686" t="str">
            <v>00</v>
          </cell>
          <cell r="AG686">
            <v>7873000</v>
          </cell>
          <cell r="AI686">
            <v>7873000</v>
          </cell>
          <cell r="AJ686">
            <v>2251678</v>
          </cell>
        </row>
        <row r="687">
          <cell r="A687" t="str">
            <v>02</v>
          </cell>
          <cell r="B687" t="str">
            <v>15</v>
          </cell>
          <cell r="C687" t="str">
            <v>1591</v>
          </cell>
          <cell r="D687" t="str">
            <v>Компрессор без аккум</v>
          </cell>
          <cell r="E687" t="str">
            <v>улятора</v>
          </cell>
          <cell r="G687" t="str">
            <v>01</v>
          </cell>
          <cell r="H687">
            <v>7965</v>
          </cell>
          <cell r="I687">
            <v>0</v>
          </cell>
          <cell r="J687">
            <v>0</v>
          </cell>
          <cell r="K687">
            <v>1.01</v>
          </cell>
          <cell r="L687" t="str">
            <v>88/2</v>
          </cell>
          <cell r="M687" t="str">
            <v>41404</v>
          </cell>
          <cell r="N687" t="str">
            <v>14 2912132</v>
          </cell>
          <cell r="O687" t="str">
            <v>067</v>
          </cell>
          <cell r="P687">
            <v>14.3</v>
          </cell>
          <cell r="Q687">
            <v>0</v>
          </cell>
          <cell r="R687" t="str">
            <v>1</v>
          </cell>
          <cell r="S687" t="str">
            <v>41</v>
          </cell>
          <cell r="T687">
            <v>95</v>
          </cell>
          <cell r="U687">
            <v>12</v>
          </cell>
          <cell r="V687">
            <v>95</v>
          </cell>
          <cell r="W687">
            <v>12</v>
          </cell>
          <cell r="X687">
            <v>95</v>
          </cell>
          <cell r="Y687">
            <v>0</v>
          </cell>
          <cell r="Z687">
            <v>0</v>
          </cell>
          <cell r="AB687" t="str">
            <v>14</v>
          </cell>
          <cell r="AC687">
            <v>10</v>
          </cell>
          <cell r="AD687" t="str">
            <v>0</v>
          </cell>
          <cell r="AE687" t="str">
            <v>0</v>
          </cell>
          <cell r="AF687" t="str">
            <v>00</v>
          </cell>
          <cell r="AG687">
            <v>7873000</v>
          </cell>
          <cell r="AI687">
            <v>7873000</v>
          </cell>
          <cell r="AJ687">
            <v>2251678</v>
          </cell>
        </row>
        <row r="688">
          <cell r="A688" t="str">
            <v>02</v>
          </cell>
          <cell r="B688" t="str">
            <v>15</v>
          </cell>
          <cell r="C688" t="str">
            <v>1592</v>
          </cell>
          <cell r="D688" t="str">
            <v>Емкость V-4.5 м</v>
          </cell>
          <cell r="G688" t="str">
            <v>01</v>
          </cell>
          <cell r="H688">
            <v>353.21</v>
          </cell>
          <cell r="I688">
            <v>0</v>
          </cell>
          <cell r="J688">
            <v>0</v>
          </cell>
          <cell r="K688">
            <v>1.43</v>
          </cell>
          <cell r="L688" t="str">
            <v>88/2</v>
          </cell>
          <cell r="M688" t="str">
            <v>42906</v>
          </cell>
          <cell r="N688" t="str">
            <v>12 2812157</v>
          </cell>
          <cell r="O688" t="str">
            <v>067</v>
          </cell>
          <cell r="P688">
            <v>11</v>
          </cell>
          <cell r="Q688">
            <v>0</v>
          </cell>
          <cell r="R688" t="str">
            <v>1</v>
          </cell>
          <cell r="S688" t="str">
            <v>42</v>
          </cell>
          <cell r="T688">
            <v>0</v>
          </cell>
          <cell r="U688">
            <v>12</v>
          </cell>
          <cell r="V688">
            <v>95</v>
          </cell>
          <cell r="W688">
            <v>12</v>
          </cell>
          <cell r="X688">
            <v>95</v>
          </cell>
          <cell r="Y688">
            <v>0</v>
          </cell>
          <cell r="Z688">
            <v>0</v>
          </cell>
          <cell r="AB688" t="str">
            <v>14</v>
          </cell>
          <cell r="AC688">
            <v>10</v>
          </cell>
          <cell r="AD688" t="str">
            <v>0</v>
          </cell>
          <cell r="AE688" t="str">
            <v>0</v>
          </cell>
          <cell r="AF688" t="str">
            <v>00</v>
          </cell>
          <cell r="AG688">
            <v>247000</v>
          </cell>
          <cell r="AI688">
            <v>247000</v>
          </cell>
          <cell r="AJ688">
            <v>54340</v>
          </cell>
        </row>
        <row r="689">
          <cell r="A689" t="str">
            <v>02</v>
          </cell>
          <cell r="B689" t="str">
            <v>15</v>
          </cell>
          <cell r="C689" t="str">
            <v>1593</v>
          </cell>
          <cell r="D689" t="str">
            <v>Редуктор У-24-200</v>
          </cell>
          <cell r="G689" t="str">
            <v>01</v>
          </cell>
          <cell r="H689">
            <v>7534.67</v>
          </cell>
          <cell r="I689">
            <v>0</v>
          </cell>
          <cell r="J689">
            <v>0</v>
          </cell>
          <cell r="K689">
            <v>1.21</v>
          </cell>
          <cell r="L689" t="str">
            <v>88/2</v>
          </cell>
          <cell r="M689" t="str">
            <v>41726</v>
          </cell>
          <cell r="N689" t="str">
            <v>14 2915299</v>
          </cell>
          <cell r="O689" t="str">
            <v>067</v>
          </cell>
          <cell r="P689">
            <v>16.7</v>
          </cell>
          <cell r="Q689">
            <v>0</v>
          </cell>
          <cell r="R689" t="str">
            <v>1</v>
          </cell>
          <cell r="S689" t="str">
            <v>41</v>
          </cell>
          <cell r="T689">
            <v>95</v>
          </cell>
          <cell r="U689">
            <v>12</v>
          </cell>
          <cell r="V689">
            <v>95</v>
          </cell>
          <cell r="W689">
            <v>12</v>
          </cell>
          <cell r="X689">
            <v>95</v>
          </cell>
          <cell r="Y689">
            <v>0</v>
          </cell>
          <cell r="Z689">
            <v>0</v>
          </cell>
          <cell r="AB689" t="str">
            <v>14</v>
          </cell>
          <cell r="AC689">
            <v>10</v>
          </cell>
          <cell r="AD689" t="str">
            <v>0</v>
          </cell>
          <cell r="AE689" t="str">
            <v>0</v>
          </cell>
          <cell r="AF689" t="str">
            <v>00</v>
          </cell>
          <cell r="AG689">
            <v>6227000</v>
          </cell>
          <cell r="AI689">
            <v>6227000</v>
          </cell>
          <cell r="AJ689">
            <v>2079818</v>
          </cell>
        </row>
        <row r="690">
          <cell r="A690" t="str">
            <v>02</v>
          </cell>
          <cell r="B690" t="str">
            <v>15</v>
          </cell>
          <cell r="C690" t="str">
            <v>1594</v>
          </cell>
          <cell r="D690" t="str">
            <v>Редуктор У-24-200</v>
          </cell>
          <cell r="G690" t="str">
            <v>01</v>
          </cell>
          <cell r="H690">
            <v>7534.67</v>
          </cell>
          <cell r="I690">
            <v>0</v>
          </cell>
          <cell r="J690">
            <v>0</v>
          </cell>
          <cell r="K690">
            <v>1.21</v>
          </cell>
          <cell r="L690" t="str">
            <v>88/2</v>
          </cell>
          <cell r="M690" t="str">
            <v>41726</v>
          </cell>
          <cell r="N690" t="str">
            <v>14 2915299</v>
          </cell>
          <cell r="O690" t="str">
            <v>067</v>
          </cell>
          <cell r="P690">
            <v>16.7</v>
          </cell>
          <cell r="Q690">
            <v>0</v>
          </cell>
          <cell r="R690" t="str">
            <v>1</v>
          </cell>
          <cell r="S690" t="str">
            <v>41</v>
          </cell>
          <cell r="T690">
            <v>95</v>
          </cell>
          <cell r="U690">
            <v>12</v>
          </cell>
          <cell r="V690">
            <v>95</v>
          </cell>
          <cell r="W690">
            <v>12</v>
          </cell>
          <cell r="X690">
            <v>95</v>
          </cell>
          <cell r="Y690">
            <v>0</v>
          </cell>
          <cell r="Z690">
            <v>0</v>
          </cell>
          <cell r="AB690" t="str">
            <v>14</v>
          </cell>
          <cell r="AC690">
            <v>10</v>
          </cell>
          <cell r="AD690" t="str">
            <v>0</v>
          </cell>
          <cell r="AE690" t="str">
            <v>0</v>
          </cell>
          <cell r="AF690" t="str">
            <v>00</v>
          </cell>
          <cell r="AG690">
            <v>6227000</v>
          </cell>
          <cell r="AI690">
            <v>6227000</v>
          </cell>
          <cell r="AJ690">
            <v>2079818</v>
          </cell>
        </row>
        <row r="691">
          <cell r="A691" t="str">
            <v>02</v>
          </cell>
          <cell r="B691" t="str">
            <v>15</v>
          </cell>
          <cell r="C691" t="str">
            <v>1611</v>
          </cell>
          <cell r="D691" t="str">
            <v>Редуктор У-24-200</v>
          </cell>
          <cell r="G691" t="str">
            <v>01</v>
          </cell>
          <cell r="H691">
            <v>7534.67</v>
          </cell>
          <cell r="I691">
            <v>0</v>
          </cell>
          <cell r="J691">
            <v>0</v>
          </cell>
          <cell r="K691">
            <v>1.21</v>
          </cell>
          <cell r="L691" t="str">
            <v>88/2</v>
          </cell>
          <cell r="M691" t="str">
            <v>41726</v>
          </cell>
          <cell r="N691" t="str">
            <v>14 2915299</v>
          </cell>
          <cell r="O691" t="str">
            <v>067</v>
          </cell>
          <cell r="P691">
            <v>16.7</v>
          </cell>
          <cell r="Q691">
            <v>0</v>
          </cell>
          <cell r="R691" t="str">
            <v>1</v>
          </cell>
          <cell r="S691" t="str">
            <v>41</v>
          </cell>
          <cell r="T691">
            <v>95</v>
          </cell>
          <cell r="U691">
            <v>12</v>
          </cell>
          <cell r="V691">
            <v>95</v>
          </cell>
          <cell r="W691">
            <v>12</v>
          </cell>
          <cell r="X691">
            <v>95</v>
          </cell>
          <cell r="Y691">
            <v>0</v>
          </cell>
          <cell r="Z691">
            <v>0</v>
          </cell>
          <cell r="AB691" t="str">
            <v>14</v>
          </cell>
          <cell r="AC691">
            <v>10</v>
          </cell>
          <cell r="AD691" t="str">
            <v>0</v>
          </cell>
          <cell r="AE691" t="str">
            <v>0</v>
          </cell>
          <cell r="AF691" t="str">
            <v>00</v>
          </cell>
          <cell r="AG691">
            <v>6227000</v>
          </cell>
          <cell r="AI691">
            <v>6227000</v>
          </cell>
          <cell r="AJ691">
            <v>2079818</v>
          </cell>
        </row>
        <row r="692">
          <cell r="A692" t="str">
            <v>02</v>
          </cell>
          <cell r="B692" t="str">
            <v>15</v>
          </cell>
          <cell r="C692" t="str">
            <v>1596</v>
          </cell>
          <cell r="D692" t="str">
            <v>Редуктор У-24-200</v>
          </cell>
          <cell r="G692" t="str">
            <v>01</v>
          </cell>
          <cell r="H692">
            <v>7534.67</v>
          </cell>
          <cell r="I692">
            <v>0</v>
          </cell>
          <cell r="J692">
            <v>0</v>
          </cell>
          <cell r="K692">
            <v>1.21</v>
          </cell>
          <cell r="L692" t="str">
            <v>88/2</v>
          </cell>
          <cell r="M692" t="str">
            <v>41726</v>
          </cell>
          <cell r="N692" t="str">
            <v>14 2915299</v>
          </cell>
          <cell r="O692" t="str">
            <v>067</v>
          </cell>
          <cell r="P692">
            <v>16.7</v>
          </cell>
          <cell r="Q692">
            <v>0</v>
          </cell>
          <cell r="R692" t="str">
            <v>1</v>
          </cell>
          <cell r="S692" t="str">
            <v>41</v>
          </cell>
          <cell r="T692">
            <v>95</v>
          </cell>
          <cell r="U692">
            <v>12</v>
          </cell>
          <cell r="V692">
            <v>95</v>
          </cell>
          <cell r="W692">
            <v>12</v>
          </cell>
          <cell r="X692">
            <v>95</v>
          </cell>
          <cell r="Y692">
            <v>0</v>
          </cell>
          <cell r="Z692">
            <v>0</v>
          </cell>
          <cell r="AB692" t="str">
            <v>14</v>
          </cell>
          <cell r="AC692">
            <v>10</v>
          </cell>
          <cell r="AD692" t="str">
            <v>0</v>
          </cell>
          <cell r="AE692" t="str">
            <v>0</v>
          </cell>
          <cell r="AF692" t="str">
            <v>00</v>
          </cell>
          <cell r="AG692">
            <v>6227000</v>
          </cell>
          <cell r="AI692">
            <v>6227000</v>
          </cell>
          <cell r="AJ692">
            <v>2079818</v>
          </cell>
        </row>
        <row r="693">
          <cell r="A693" t="str">
            <v>02</v>
          </cell>
          <cell r="B693" t="str">
            <v>15</v>
          </cell>
          <cell r="C693" t="str">
            <v>1597</v>
          </cell>
          <cell r="D693" t="str">
            <v>Кран козловой грузоп</v>
          </cell>
          <cell r="E693" t="str">
            <v>одъемностью 25 тн</v>
          </cell>
          <cell r="G693" t="str">
            <v>01</v>
          </cell>
          <cell r="H693">
            <v>250227</v>
          </cell>
          <cell r="I693">
            <v>0</v>
          </cell>
          <cell r="J693">
            <v>0</v>
          </cell>
          <cell r="K693">
            <v>1.05</v>
          </cell>
          <cell r="L693" t="str">
            <v>88/2</v>
          </cell>
          <cell r="M693" t="str">
            <v>41705</v>
          </cell>
          <cell r="N693" t="str">
            <v>14 2915163</v>
          </cell>
          <cell r="O693" t="str">
            <v>064</v>
          </cell>
          <cell r="P693">
            <v>5</v>
          </cell>
          <cell r="Q693">
            <v>0</v>
          </cell>
          <cell r="R693" t="str">
            <v>1</v>
          </cell>
          <cell r="S693" t="str">
            <v>41</v>
          </cell>
          <cell r="T693">
            <v>95</v>
          </cell>
          <cell r="U693">
            <v>12</v>
          </cell>
          <cell r="V693">
            <v>95</v>
          </cell>
          <cell r="W693">
            <v>12</v>
          </cell>
          <cell r="X693">
            <v>95</v>
          </cell>
          <cell r="Y693">
            <v>0</v>
          </cell>
          <cell r="Z693">
            <v>0</v>
          </cell>
          <cell r="AB693" t="str">
            <v>14</v>
          </cell>
          <cell r="AC693">
            <v>10</v>
          </cell>
          <cell r="AD693" t="str">
            <v>0</v>
          </cell>
          <cell r="AE693" t="str">
            <v>0</v>
          </cell>
          <cell r="AF693" t="str">
            <v>00</v>
          </cell>
          <cell r="AG693">
            <v>239003000</v>
          </cell>
          <cell r="AI693">
            <v>239003000</v>
          </cell>
          <cell r="AJ693">
            <v>23900300</v>
          </cell>
        </row>
        <row r="694">
          <cell r="A694" t="str">
            <v>02</v>
          </cell>
          <cell r="B694" t="str">
            <v>15</v>
          </cell>
          <cell r="C694" t="str">
            <v>1612</v>
          </cell>
          <cell r="D694" t="str">
            <v>Здание арочное /одно</v>
          </cell>
          <cell r="E694" t="str">
            <v>этажное/</v>
          </cell>
          <cell r="G694" t="str">
            <v>01</v>
          </cell>
          <cell r="H694">
            <v>67500.11</v>
          </cell>
          <cell r="I694">
            <v>0</v>
          </cell>
          <cell r="J694">
            <v>0</v>
          </cell>
          <cell r="K694">
            <v>1.03</v>
          </cell>
          <cell r="L694" t="str">
            <v>88/2</v>
          </cell>
          <cell r="M694" t="str">
            <v>10005</v>
          </cell>
          <cell r="N694" t="str">
            <v>11 4527204</v>
          </cell>
          <cell r="O694" t="str">
            <v>064</v>
          </cell>
          <cell r="P694">
            <v>5</v>
          </cell>
          <cell r="Q694">
            <v>0</v>
          </cell>
          <cell r="R694" t="str">
            <v>1</v>
          </cell>
          <cell r="S694" t="str">
            <v>41</v>
          </cell>
          <cell r="T694">
            <v>95</v>
          </cell>
          <cell r="U694">
            <v>12</v>
          </cell>
          <cell r="V694">
            <v>95</v>
          </cell>
          <cell r="W694">
            <v>12</v>
          </cell>
          <cell r="X694">
            <v>95</v>
          </cell>
          <cell r="Y694">
            <v>0</v>
          </cell>
          <cell r="Z694">
            <v>0</v>
          </cell>
          <cell r="AB694" t="str">
            <v>14</v>
          </cell>
          <cell r="AC694">
            <v>10</v>
          </cell>
          <cell r="AD694" t="str">
            <v>0</v>
          </cell>
          <cell r="AE694" t="str">
            <v>0</v>
          </cell>
          <cell r="AF694" t="str">
            <v>00</v>
          </cell>
          <cell r="AG694">
            <v>65535000</v>
          </cell>
          <cell r="AI694">
            <v>65535000</v>
          </cell>
          <cell r="AJ694">
            <v>6553500</v>
          </cell>
        </row>
        <row r="695">
          <cell r="A695" t="str">
            <v>02</v>
          </cell>
          <cell r="B695" t="str">
            <v>15</v>
          </cell>
          <cell r="C695" t="str">
            <v>1599</v>
          </cell>
          <cell r="D695" t="str">
            <v>Платформа транспорти</v>
          </cell>
          <cell r="E695" t="str">
            <v>ровочная</v>
          </cell>
          <cell r="G695" t="str">
            <v>01</v>
          </cell>
          <cell r="H695">
            <v>70000</v>
          </cell>
          <cell r="I695">
            <v>0</v>
          </cell>
          <cell r="J695">
            <v>0</v>
          </cell>
          <cell r="K695">
            <v>1.01</v>
          </cell>
          <cell r="L695" t="str">
            <v>88/2</v>
          </cell>
          <cell r="M695" t="str">
            <v>50007</v>
          </cell>
          <cell r="N695" t="str">
            <v>14 2915000</v>
          </cell>
          <cell r="O695" t="str">
            <v>075</v>
          </cell>
          <cell r="P695">
            <v>3.1</v>
          </cell>
          <cell r="Q695">
            <v>0</v>
          </cell>
          <cell r="R695" t="str">
            <v>1</v>
          </cell>
          <cell r="S695" t="str">
            <v>50</v>
          </cell>
          <cell r="T695">
            <v>95</v>
          </cell>
          <cell r="U695">
            <v>12</v>
          </cell>
          <cell r="V695">
            <v>95</v>
          </cell>
          <cell r="W695">
            <v>12</v>
          </cell>
          <cell r="X695">
            <v>95</v>
          </cell>
          <cell r="Y695">
            <v>0</v>
          </cell>
          <cell r="Z695">
            <v>0</v>
          </cell>
          <cell r="AB695" t="str">
            <v>14</v>
          </cell>
          <cell r="AC695">
            <v>10</v>
          </cell>
          <cell r="AD695" t="str">
            <v>0</v>
          </cell>
          <cell r="AE695" t="str">
            <v>0</v>
          </cell>
          <cell r="AF695" t="str">
            <v>00</v>
          </cell>
          <cell r="AG695">
            <v>69417000</v>
          </cell>
          <cell r="AI695">
            <v>69417000</v>
          </cell>
          <cell r="AJ695">
            <v>4303854</v>
          </cell>
        </row>
        <row r="696">
          <cell r="A696" t="str">
            <v>02</v>
          </cell>
          <cell r="B696" t="str">
            <v>11</v>
          </cell>
          <cell r="C696" t="str">
            <v>1600</v>
          </cell>
          <cell r="D696" t="str">
            <v>Подогреватель ПП-6-8</v>
          </cell>
          <cell r="G696" t="str">
            <v>01</v>
          </cell>
          <cell r="H696">
            <v>1468.23</v>
          </cell>
          <cell r="I696">
            <v>0</v>
          </cell>
          <cell r="J696">
            <v>0</v>
          </cell>
          <cell r="K696">
            <v>1.21</v>
          </cell>
          <cell r="L696" t="str">
            <v>20</v>
          </cell>
          <cell r="M696" t="str">
            <v>40700</v>
          </cell>
          <cell r="N696" t="str">
            <v>14 2813181</v>
          </cell>
          <cell r="O696" t="str">
            <v>067</v>
          </cell>
          <cell r="P696">
            <v>3.7</v>
          </cell>
          <cell r="Q696">
            <v>0</v>
          </cell>
          <cell r="R696" t="str">
            <v>1</v>
          </cell>
          <cell r="S696" t="str">
            <v>40</v>
          </cell>
          <cell r="T696">
            <v>95</v>
          </cell>
          <cell r="U696">
            <v>12</v>
          </cell>
          <cell r="V696">
            <v>95</v>
          </cell>
          <cell r="W696">
            <v>12</v>
          </cell>
          <cell r="X696">
            <v>95</v>
          </cell>
          <cell r="Y696">
            <v>0</v>
          </cell>
          <cell r="Z696">
            <v>0</v>
          </cell>
          <cell r="AD696" t="str">
            <v>0</v>
          </cell>
          <cell r="AE696" t="str">
            <v>1</v>
          </cell>
          <cell r="AF696" t="str">
            <v>00</v>
          </cell>
          <cell r="AI696">
            <v>1213411</v>
          </cell>
          <cell r="AJ696">
            <v>89792.41</v>
          </cell>
        </row>
        <row r="697">
          <cell r="A697" t="str">
            <v>02</v>
          </cell>
          <cell r="B697" t="str">
            <v>11</v>
          </cell>
          <cell r="C697" t="str">
            <v>1601</v>
          </cell>
          <cell r="D697" t="str">
            <v>Подогреватель ПП-6-8</v>
          </cell>
          <cell r="G697" t="str">
            <v>01</v>
          </cell>
          <cell r="H697">
            <v>1468.23</v>
          </cell>
          <cell r="I697">
            <v>0</v>
          </cell>
          <cell r="J697">
            <v>0</v>
          </cell>
          <cell r="K697">
            <v>1.21</v>
          </cell>
          <cell r="L697" t="str">
            <v>20</v>
          </cell>
          <cell r="M697" t="str">
            <v>40700</v>
          </cell>
          <cell r="N697" t="str">
            <v>14 2813181</v>
          </cell>
          <cell r="O697" t="str">
            <v>067</v>
          </cell>
          <cell r="P697">
            <v>3.7</v>
          </cell>
          <cell r="Q697">
            <v>0</v>
          </cell>
          <cell r="R697" t="str">
            <v>1</v>
          </cell>
          <cell r="S697" t="str">
            <v>40</v>
          </cell>
          <cell r="T697">
            <v>95</v>
          </cell>
          <cell r="U697">
            <v>12</v>
          </cell>
          <cell r="V697">
            <v>95</v>
          </cell>
          <cell r="W697">
            <v>12</v>
          </cell>
          <cell r="X697">
            <v>95</v>
          </cell>
          <cell r="Y697">
            <v>0</v>
          </cell>
          <cell r="Z697">
            <v>0</v>
          </cell>
          <cell r="AD697" t="str">
            <v>0</v>
          </cell>
          <cell r="AE697" t="str">
            <v>0</v>
          </cell>
          <cell r="AF697" t="str">
            <v>00</v>
          </cell>
          <cell r="AI697">
            <v>1213412</v>
          </cell>
          <cell r="AJ697">
            <v>89792.49</v>
          </cell>
        </row>
        <row r="698">
          <cell r="A698" t="str">
            <v>02</v>
          </cell>
          <cell r="B698" t="str">
            <v>11</v>
          </cell>
          <cell r="C698" t="str">
            <v>1602</v>
          </cell>
          <cell r="D698" t="str">
            <v>Котельная ПКН-2М</v>
          </cell>
          <cell r="G698" t="str">
            <v>01</v>
          </cell>
          <cell r="H698">
            <v>141648.62</v>
          </cell>
          <cell r="I698">
            <v>0</v>
          </cell>
          <cell r="J698">
            <v>0</v>
          </cell>
          <cell r="K698">
            <v>1.51</v>
          </cell>
          <cell r="L698" t="str">
            <v>20</v>
          </cell>
          <cell r="M698" t="str">
            <v>40001</v>
          </cell>
          <cell r="N698" t="str">
            <v>14 2813101</v>
          </cell>
          <cell r="O698" t="str">
            <v>064</v>
          </cell>
          <cell r="P698">
            <v>4.2</v>
          </cell>
          <cell r="Q698">
            <v>0</v>
          </cell>
          <cell r="R698" t="str">
            <v>1</v>
          </cell>
          <cell r="S698" t="str">
            <v>40</v>
          </cell>
          <cell r="T698">
            <v>95</v>
          </cell>
          <cell r="U698">
            <v>12</v>
          </cell>
          <cell r="V698">
            <v>95</v>
          </cell>
          <cell r="W698">
            <v>12</v>
          </cell>
          <cell r="X698">
            <v>95</v>
          </cell>
          <cell r="Y698">
            <v>0</v>
          </cell>
          <cell r="Z698">
            <v>0</v>
          </cell>
          <cell r="AD698" t="str">
            <v>2</v>
          </cell>
          <cell r="AE698" t="str">
            <v>0</v>
          </cell>
          <cell r="AF698" t="str">
            <v>00</v>
          </cell>
          <cell r="AI698">
            <v>93807032</v>
          </cell>
          <cell r="AJ698">
            <v>7879790.6900000004</v>
          </cell>
        </row>
        <row r="699">
          <cell r="A699" t="str">
            <v>02</v>
          </cell>
          <cell r="B699" t="str">
            <v>11</v>
          </cell>
          <cell r="C699" t="str">
            <v>1603</v>
          </cell>
          <cell r="D699" t="str">
            <v>Котельная ПКН-2М</v>
          </cell>
          <cell r="G699" t="str">
            <v>01</v>
          </cell>
          <cell r="H699">
            <v>141648.62</v>
          </cell>
          <cell r="I699">
            <v>0</v>
          </cell>
          <cell r="J699">
            <v>0</v>
          </cell>
          <cell r="K699">
            <v>1.51</v>
          </cell>
          <cell r="L699" t="str">
            <v>20</v>
          </cell>
          <cell r="M699" t="str">
            <v>40001</v>
          </cell>
          <cell r="N699" t="str">
            <v>14 2813101</v>
          </cell>
          <cell r="O699" t="str">
            <v>064</v>
          </cell>
          <cell r="P699">
            <v>4.2</v>
          </cell>
          <cell r="Q699">
            <v>0</v>
          </cell>
          <cell r="R699" t="str">
            <v>1</v>
          </cell>
          <cell r="S699" t="str">
            <v>40</v>
          </cell>
          <cell r="T699">
            <v>95</v>
          </cell>
          <cell r="U699">
            <v>12</v>
          </cell>
          <cell r="V699">
            <v>95</v>
          </cell>
          <cell r="W699">
            <v>12</v>
          </cell>
          <cell r="X699">
            <v>95</v>
          </cell>
          <cell r="Y699">
            <v>0</v>
          </cell>
          <cell r="Z699">
            <v>0</v>
          </cell>
          <cell r="AD699" t="str">
            <v>2</v>
          </cell>
          <cell r="AE699" t="str">
            <v>0</v>
          </cell>
          <cell r="AF699" t="str">
            <v>00</v>
          </cell>
          <cell r="AI699">
            <v>93807032</v>
          </cell>
          <cell r="AJ699">
            <v>7879790.6900000004</v>
          </cell>
        </row>
        <row r="700">
          <cell r="A700" t="str">
            <v>02</v>
          </cell>
          <cell r="B700" t="str">
            <v>15</v>
          </cell>
          <cell r="C700" t="str">
            <v>1604</v>
          </cell>
          <cell r="D700" t="str">
            <v>Распределительный шк</v>
          </cell>
          <cell r="E700" t="str">
            <v>аф С-9522-14</v>
          </cell>
          <cell r="G700" t="str">
            <v>01</v>
          </cell>
          <cell r="H700">
            <v>2155.23</v>
          </cell>
          <cell r="I700">
            <v>0</v>
          </cell>
          <cell r="J700">
            <v>0</v>
          </cell>
          <cell r="K700">
            <v>1.21</v>
          </cell>
          <cell r="L700" t="str">
            <v>88/2</v>
          </cell>
          <cell r="M700" t="str">
            <v>40702</v>
          </cell>
          <cell r="N700" t="str">
            <v>14 3120390</v>
          </cell>
          <cell r="O700" t="str">
            <v>067</v>
          </cell>
          <cell r="P700">
            <v>9.1</v>
          </cell>
          <cell r="Q700">
            <v>0</v>
          </cell>
          <cell r="R700" t="str">
            <v>1</v>
          </cell>
          <cell r="S700" t="str">
            <v>40</v>
          </cell>
          <cell r="T700">
            <v>95</v>
          </cell>
          <cell r="U700">
            <v>12</v>
          </cell>
          <cell r="V700">
            <v>95</v>
          </cell>
          <cell r="W700">
            <v>12</v>
          </cell>
          <cell r="X700">
            <v>95</v>
          </cell>
          <cell r="Y700">
            <v>0</v>
          </cell>
          <cell r="Z700">
            <v>0</v>
          </cell>
          <cell r="AB700" t="str">
            <v>14</v>
          </cell>
          <cell r="AC700">
            <v>10</v>
          </cell>
          <cell r="AD700" t="str">
            <v>0</v>
          </cell>
          <cell r="AE700" t="str">
            <v>0</v>
          </cell>
          <cell r="AF700" t="str">
            <v>00</v>
          </cell>
          <cell r="AG700">
            <v>1781184</v>
          </cell>
          <cell r="AI700">
            <v>1781184</v>
          </cell>
          <cell r="AJ700">
            <v>324175.49</v>
          </cell>
        </row>
        <row r="701">
          <cell r="A701" t="str">
            <v>02</v>
          </cell>
          <cell r="B701" t="str">
            <v>15</v>
          </cell>
          <cell r="C701" t="str">
            <v>1605</v>
          </cell>
          <cell r="D701" t="str">
            <v>Рольганг /механическ</v>
          </cell>
          <cell r="E701" t="str">
            <v>ий под трубы/</v>
          </cell>
          <cell r="G701" t="str">
            <v>01</v>
          </cell>
          <cell r="H701">
            <v>87000</v>
          </cell>
          <cell r="I701">
            <v>0</v>
          </cell>
          <cell r="J701">
            <v>0</v>
          </cell>
          <cell r="K701">
            <v>1</v>
          </cell>
          <cell r="L701" t="str">
            <v>88/2</v>
          </cell>
          <cell r="M701" t="str">
            <v>43813</v>
          </cell>
          <cell r="N701" t="str">
            <v>14 2915000</v>
          </cell>
          <cell r="O701" t="str">
            <v>067</v>
          </cell>
          <cell r="P701">
            <v>12.5</v>
          </cell>
          <cell r="Q701">
            <v>0</v>
          </cell>
          <cell r="R701" t="str">
            <v>1</v>
          </cell>
          <cell r="S701" t="str">
            <v>43</v>
          </cell>
          <cell r="T701">
            <v>95</v>
          </cell>
          <cell r="U701">
            <v>12</v>
          </cell>
          <cell r="V701">
            <v>95</v>
          </cell>
          <cell r="W701">
            <v>12</v>
          </cell>
          <cell r="X701">
            <v>95</v>
          </cell>
          <cell r="Y701">
            <v>0</v>
          </cell>
          <cell r="Z701">
            <v>0</v>
          </cell>
          <cell r="AB701" t="str">
            <v>14</v>
          </cell>
          <cell r="AC701">
            <v>10</v>
          </cell>
          <cell r="AD701" t="str">
            <v>0</v>
          </cell>
          <cell r="AE701" t="str">
            <v>0</v>
          </cell>
          <cell r="AF701" t="str">
            <v>00</v>
          </cell>
          <cell r="AG701">
            <v>86592000</v>
          </cell>
          <cell r="AI701">
            <v>86592000</v>
          </cell>
          <cell r="AJ701">
            <v>21648000</v>
          </cell>
        </row>
        <row r="702">
          <cell r="A702" t="str">
            <v>02</v>
          </cell>
          <cell r="B702" t="str">
            <v>15</v>
          </cell>
          <cell r="C702" t="str">
            <v>1606</v>
          </cell>
          <cell r="D702" t="str">
            <v>Рольганг /механическ</v>
          </cell>
          <cell r="E702" t="str">
            <v>ий под трубы/</v>
          </cell>
          <cell r="G702" t="str">
            <v>01</v>
          </cell>
          <cell r="H702">
            <v>87000</v>
          </cell>
          <cell r="I702">
            <v>0</v>
          </cell>
          <cell r="J702">
            <v>0</v>
          </cell>
          <cell r="K702">
            <v>1</v>
          </cell>
          <cell r="L702" t="str">
            <v>88/2</v>
          </cell>
          <cell r="M702" t="str">
            <v>43813</v>
          </cell>
          <cell r="N702" t="str">
            <v>14 2915000</v>
          </cell>
          <cell r="O702" t="str">
            <v>067</v>
          </cell>
          <cell r="P702">
            <v>12.5</v>
          </cell>
          <cell r="Q702">
            <v>0</v>
          </cell>
          <cell r="R702" t="str">
            <v>1</v>
          </cell>
          <cell r="S702" t="str">
            <v>43</v>
          </cell>
          <cell r="T702">
            <v>95</v>
          </cell>
          <cell r="U702">
            <v>12</v>
          </cell>
          <cell r="V702">
            <v>95</v>
          </cell>
          <cell r="W702">
            <v>12</v>
          </cell>
          <cell r="X702">
            <v>95</v>
          </cell>
          <cell r="Y702">
            <v>0</v>
          </cell>
          <cell r="Z702">
            <v>0</v>
          </cell>
          <cell r="AB702" t="str">
            <v>14</v>
          </cell>
          <cell r="AC702">
            <v>10</v>
          </cell>
          <cell r="AD702" t="str">
            <v>0</v>
          </cell>
          <cell r="AE702" t="str">
            <v>0</v>
          </cell>
          <cell r="AF702" t="str">
            <v>00</v>
          </cell>
          <cell r="AG702">
            <v>86592000</v>
          </cell>
          <cell r="AI702">
            <v>86592000</v>
          </cell>
          <cell r="AJ702">
            <v>21648000</v>
          </cell>
        </row>
        <row r="703">
          <cell r="A703" t="str">
            <v>02</v>
          </cell>
          <cell r="B703" t="str">
            <v>15</v>
          </cell>
          <cell r="C703" t="str">
            <v>1607</v>
          </cell>
          <cell r="D703" t="str">
            <v>Рольганг /механическ</v>
          </cell>
          <cell r="E703" t="str">
            <v>ий под трубы/</v>
          </cell>
          <cell r="G703" t="str">
            <v>01</v>
          </cell>
          <cell r="H703">
            <v>87000</v>
          </cell>
          <cell r="I703">
            <v>0</v>
          </cell>
          <cell r="J703">
            <v>0</v>
          </cell>
          <cell r="K703">
            <v>1</v>
          </cell>
          <cell r="L703" t="str">
            <v>88/2</v>
          </cell>
          <cell r="M703" t="str">
            <v>43813</v>
          </cell>
          <cell r="N703" t="str">
            <v>14 2915000</v>
          </cell>
          <cell r="O703" t="str">
            <v>067</v>
          </cell>
          <cell r="P703">
            <v>12.5</v>
          </cell>
          <cell r="Q703">
            <v>0</v>
          </cell>
          <cell r="R703" t="str">
            <v>1</v>
          </cell>
          <cell r="S703" t="str">
            <v>43</v>
          </cell>
          <cell r="T703">
            <v>95</v>
          </cell>
          <cell r="U703">
            <v>12</v>
          </cell>
          <cell r="V703">
            <v>95</v>
          </cell>
          <cell r="W703">
            <v>12</v>
          </cell>
          <cell r="X703">
            <v>95</v>
          </cell>
          <cell r="Y703">
            <v>0</v>
          </cell>
          <cell r="Z703">
            <v>0</v>
          </cell>
          <cell r="AB703" t="str">
            <v>14</v>
          </cell>
          <cell r="AC703">
            <v>10</v>
          </cell>
          <cell r="AD703" t="str">
            <v>0</v>
          </cell>
          <cell r="AE703" t="str">
            <v>0</v>
          </cell>
          <cell r="AF703" t="str">
            <v>00</v>
          </cell>
          <cell r="AG703">
            <v>86592000</v>
          </cell>
          <cell r="AI703">
            <v>86592000</v>
          </cell>
          <cell r="AJ703">
            <v>21648000</v>
          </cell>
        </row>
        <row r="704">
          <cell r="A704" t="str">
            <v>02</v>
          </cell>
          <cell r="B704" t="str">
            <v>15</v>
          </cell>
          <cell r="C704" t="str">
            <v>1608</v>
          </cell>
          <cell r="D704" t="str">
            <v>Рольганг /механическ</v>
          </cell>
          <cell r="E704" t="str">
            <v>ий под трубы/</v>
          </cell>
          <cell r="G704" t="str">
            <v>01</v>
          </cell>
          <cell r="H704">
            <v>87000</v>
          </cell>
          <cell r="I704">
            <v>0</v>
          </cell>
          <cell r="J704">
            <v>0</v>
          </cell>
          <cell r="K704">
            <v>1</v>
          </cell>
          <cell r="L704" t="str">
            <v>88/2</v>
          </cell>
          <cell r="M704" t="str">
            <v>43813</v>
          </cell>
          <cell r="N704" t="str">
            <v>14 2915000</v>
          </cell>
          <cell r="O704" t="str">
            <v>067</v>
          </cell>
          <cell r="P704">
            <v>12.5</v>
          </cell>
          <cell r="Q704">
            <v>0</v>
          </cell>
          <cell r="R704" t="str">
            <v>1</v>
          </cell>
          <cell r="S704" t="str">
            <v>43</v>
          </cell>
          <cell r="T704">
            <v>95</v>
          </cell>
          <cell r="U704">
            <v>12</v>
          </cell>
          <cell r="V704">
            <v>95</v>
          </cell>
          <cell r="W704">
            <v>12</v>
          </cell>
          <cell r="X704">
            <v>95</v>
          </cell>
          <cell r="Y704">
            <v>0</v>
          </cell>
          <cell r="Z704">
            <v>0</v>
          </cell>
          <cell r="AB704" t="str">
            <v>14</v>
          </cell>
          <cell r="AC704">
            <v>10</v>
          </cell>
          <cell r="AD704" t="str">
            <v>0</v>
          </cell>
          <cell r="AE704" t="str">
            <v>0</v>
          </cell>
          <cell r="AF704" t="str">
            <v>00</v>
          </cell>
          <cell r="AG704">
            <v>86592000</v>
          </cell>
          <cell r="AI704">
            <v>86592000</v>
          </cell>
          <cell r="AJ704">
            <v>21648000</v>
          </cell>
        </row>
        <row r="705">
          <cell r="A705" t="str">
            <v>16</v>
          </cell>
          <cell r="B705" t="str">
            <v>06</v>
          </cell>
          <cell r="C705" t="str">
            <v>1613</v>
          </cell>
          <cell r="D705" t="str">
            <v>ВЛ-10 воздушная</v>
          </cell>
          <cell r="E705" t="str">
            <v>3600м</v>
          </cell>
          <cell r="G705" t="str">
            <v>01</v>
          </cell>
          <cell r="H705">
            <v>549805.82999999996</v>
          </cell>
          <cell r="I705">
            <v>0</v>
          </cell>
          <cell r="J705">
            <v>556800</v>
          </cell>
          <cell r="K705">
            <v>1.42</v>
          </cell>
          <cell r="L705" t="str">
            <v>88/1</v>
          </cell>
          <cell r="M705" t="str">
            <v>30009</v>
          </cell>
          <cell r="N705" t="str">
            <v>14 3131101</v>
          </cell>
          <cell r="O705" t="str">
            <v>05</v>
          </cell>
          <cell r="P705">
            <v>2</v>
          </cell>
          <cell r="Q705">
            <v>0</v>
          </cell>
          <cell r="R705" t="str">
            <v>1</v>
          </cell>
          <cell r="S705" t="str">
            <v>30</v>
          </cell>
          <cell r="T705">
            <v>95</v>
          </cell>
          <cell r="U705">
            <v>12</v>
          </cell>
          <cell r="V705">
            <v>95</v>
          </cell>
          <cell r="W705">
            <v>12</v>
          </cell>
          <cell r="X705">
            <v>95</v>
          </cell>
          <cell r="Y705">
            <v>12</v>
          </cell>
          <cell r="Z705">
            <v>95</v>
          </cell>
          <cell r="AB705" t="str">
            <v>14</v>
          </cell>
          <cell r="AC705">
            <v>2</v>
          </cell>
          <cell r="AD705" t="str">
            <v>0</v>
          </cell>
          <cell r="AE705" t="str">
            <v>0</v>
          </cell>
          <cell r="AF705" t="str">
            <v>16</v>
          </cell>
          <cell r="AI705">
            <v>390935707</v>
          </cell>
          <cell r="AJ705">
            <v>15637428.279999999</v>
          </cell>
        </row>
        <row r="706">
          <cell r="A706" t="str">
            <v>02</v>
          </cell>
          <cell r="B706" t="str">
            <v>80</v>
          </cell>
          <cell r="C706" t="str">
            <v>1614</v>
          </cell>
          <cell r="D706" t="str">
            <v>Компьютер Notebooc</v>
          </cell>
          <cell r="E706" t="str">
            <v>Panasonic 486</v>
          </cell>
          <cell r="G706" t="str">
            <v>01</v>
          </cell>
          <cell r="H706">
            <v>12794.9</v>
          </cell>
          <cell r="I706">
            <v>0</v>
          </cell>
          <cell r="J706">
            <v>0</v>
          </cell>
          <cell r="K706">
            <v>0.97</v>
          </cell>
          <cell r="L706" t="str">
            <v>26</v>
          </cell>
          <cell r="M706" t="str">
            <v>48008</v>
          </cell>
          <cell r="N706" t="str">
            <v>14 3020203</v>
          </cell>
          <cell r="P706">
            <v>10</v>
          </cell>
          <cell r="Q706">
            <v>0</v>
          </cell>
          <cell r="R706" t="str">
            <v>1</v>
          </cell>
          <cell r="S706" t="str">
            <v>48</v>
          </cell>
          <cell r="T706">
            <v>95</v>
          </cell>
          <cell r="U706">
            <v>1</v>
          </cell>
          <cell r="V706">
            <v>96</v>
          </cell>
          <cell r="W706">
            <v>1</v>
          </cell>
          <cell r="X706">
            <v>96</v>
          </cell>
          <cell r="Y706">
            <v>0</v>
          </cell>
          <cell r="Z706">
            <v>0</v>
          </cell>
          <cell r="AD706" t="str">
            <v>0</v>
          </cell>
          <cell r="AE706" t="str">
            <v>0</v>
          </cell>
          <cell r="AF706" t="str">
            <v>00</v>
          </cell>
          <cell r="AI706">
            <v>13200000</v>
          </cell>
          <cell r="AJ706">
            <v>2530000</v>
          </cell>
        </row>
        <row r="707">
          <cell r="A707" t="str">
            <v>02</v>
          </cell>
          <cell r="B707" t="str">
            <v>80</v>
          </cell>
          <cell r="C707" t="str">
            <v>1615</v>
          </cell>
          <cell r="D707" t="str">
            <v>Плоттер AL Rolland</v>
          </cell>
          <cell r="G707" t="str">
            <v>01</v>
          </cell>
          <cell r="H707">
            <v>16677.87</v>
          </cell>
          <cell r="I707">
            <v>0</v>
          </cell>
          <cell r="J707">
            <v>0</v>
          </cell>
          <cell r="K707">
            <v>0.93</v>
          </cell>
          <cell r="L707" t="str">
            <v>26</v>
          </cell>
          <cell r="M707" t="str">
            <v>48003</v>
          </cell>
          <cell r="N707" t="str">
            <v>14 3020350</v>
          </cell>
          <cell r="P707">
            <v>11.1</v>
          </cell>
          <cell r="Q707">
            <v>0</v>
          </cell>
          <cell r="R707" t="str">
            <v>1</v>
          </cell>
          <cell r="S707" t="str">
            <v>48</v>
          </cell>
          <cell r="T707">
            <v>95</v>
          </cell>
          <cell r="U707">
            <v>1</v>
          </cell>
          <cell r="V707">
            <v>96</v>
          </cell>
          <cell r="W707">
            <v>1</v>
          </cell>
          <cell r="X707">
            <v>96</v>
          </cell>
          <cell r="Y707">
            <v>0</v>
          </cell>
          <cell r="Z707">
            <v>0</v>
          </cell>
          <cell r="AD707" t="str">
            <v>0</v>
          </cell>
          <cell r="AE707" t="str">
            <v>0</v>
          </cell>
          <cell r="AF707" t="str">
            <v>00</v>
          </cell>
          <cell r="AI707">
            <v>18000000</v>
          </cell>
          <cell r="AJ707">
            <v>3829500</v>
          </cell>
        </row>
        <row r="708">
          <cell r="A708" t="str">
            <v>02</v>
          </cell>
          <cell r="B708" t="str">
            <v>80</v>
          </cell>
          <cell r="C708" t="str">
            <v>1616</v>
          </cell>
          <cell r="D708" t="str">
            <v>Стойка с поворотной</v>
          </cell>
          <cell r="E708" t="str">
            <v>плоскостью для Rolla</v>
          </cell>
          <cell r="F708" t="str">
            <v>nd</v>
          </cell>
          <cell r="G708" t="str">
            <v>01</v>
          </cell>
          <cell r="H708">
            <v>15200</v>
          </cell>
          <cell r="I708">
            <v>0</v>
          </cell>
          <cell r="J708">
            <v>0</v>
          </cell>
          <cell r="K708">
            <v>1.01</v>
          </cell>
          <cell r="L708" t="str">
            <v>26</v>
          </cell>
          <cell r="M708" t="str">
            <v>48010</v>
          </cell>
          <cell r="N708" t="str">
            <v>14 3010010</v>
          </cell>
          <cell r="P708">
            <v>10</v>
          </cell>
          <cell r="Q708">
            <v>0</v>
          </cell>
          <cell r="R708" t="str">
            <v>1</v>
          </cell>
          <cell r="S708" t="str">
            <v>48</v>
          </cell>
          <cell r="T708">
            <v>95</v>
          </cell>
          <cell r="U708">
            <v>1</v>
          </cell>
          <cell r="V708">
            <v>96</v>
          </cell>
          <cell r="W708">
            <v>1</v>
          </cell>
          <cell r="X708">
            <v>96</v>
          </cell>
          <cell r="Y708">
            <v>0</v>
          </cell>
          <cell r="Z708">
            <v>0</v>
          </cell>
          <cell r="AD708" t="str">
            <v>0</v>
          </cell>
          <cell r="AE708" t="str">
            <v>0</v>
          </cell>
          <cell r="AF708" t="str">
            <v>00</v>
          </cell>
          <cell r="AI708">
            <v>15000000</v>
          </cell>
          <cell r="AJ708">
            <v>2875000</v>
          </cell>
        </row>
        <row r="709">
          <cell r="A709" t="str">
            <v>02</v>
          </cell>
          <cell r="B709" t="str">
            <v>05</v>
          </cell>
          <cell r="C709" t="str">
            <v>1617</v>
          </cell>
          <cell r="D709" t="str">
            <v>Снегоход БУРАН</v>
          </cell>
          <cell r="E709" t="str">
            <v>зав. N 85040040</v>
          </cell>
          <cell r="G709" t="str">
            <v>01</v>
          </cell>
          <cell r="H709">
            <v>15800</v>
          </cell>
          <cell r="I709">
            <v>0</v>
          </cell>
          <cell r="J709">
            <v>0</v>
          </cell>
          <cell r="K709">
            <v>1.1499999999999999</v>
          </cell>
          <cell r="L709" t="str">
            <v>20</v>
          </cell>
          <cell r="M709" t="str">
            <v>50511</v>
          </cell>
          <cell r="N709" t="str">
            <v>15 3591102</v>
          </cell>
          <cell r="P709">
            <v>21.3</v>
          </cell>
          <cell r="Q709">
            <v>0</v>
          </cell>
          <cell r="R709" t="str">
            <v>1</v>
          </cell>
          <cell r="S709" t="str">
            <v>50</v>
          </cell>
          <cell r="T709">
            <v>95</v>
          </cell>
          <cell r="U709">
            <v>1</v>
          </cell>
          <cell r="V709">
            <v>96</v>
          </cell>
          <cell r="W709">
            <v>1</v>
          </cell>
          <cell r="X709">
            <v>96</v>
          </cell>
          <cell r="Y709">
            <v>0</v>
          </cell>
          <cell r="Z709">
            <v>0</v>
          </cell>
          <cell r="AD709" t="str">
            <v>0</v>
          </cell>
          <cell r="AE709" t="str">
            <v>0</v>
          </cell>
          <cell r="AF709" t="str">
            <v>00</v>
          </cell>
          <cell r="AI709">
            <v>13750000</v>
          </cell>
          <cell r="AJ709">
            <v>5613437.5</v>
          </cell>
        </row>
        <row r="710">
          <cell r="A710" t="str">
            <v>15</v>
          </cell>
          <cell r="B710" t="str">
            <v>81</v>
          </cell>
          <cell r="C710" t="str">
            <v>1620</v>
          </cell>
          <cell r="D710" t="str">
            <v>Б/х анализаторBIOSED</v>
          </cell>
          <cell r="E710" t="str">
            <v>в к-те с реагентами</v>
          </cell>
          <cell r="G710" t="str">
            <v>01</v>
          </cell>
          <cell r="H710">
            <v>54790</v>
          </cell>
          <cell r="I710">
            <v>0</v>
          </cell>
          <cell r="J710">
            <v>0</v>
          </cell>
          <cell r="K710">
            <v>1.02</v>
          </cell>
          <cell r="L710" t="str">
            <v>88/2</v>
          </cell>
          <cell r="M710" t="str">
            <v>46012</v>
          </cell>
          <cell r="N710" t="str">
            <v>14 3311269</v>
          </cell>
          <cell r="P710">
            <v>10</v>
          </cell>
          <cell r="Q710">
            <v>0</v>
          </cell>
          <cell r="R710" t="str">
            <v>1</v>
          </cell>
          <cell r="S710" t="str">
            <v>46</v>
          </cell>
          <cell r="T710">
            <v>96</v>
          </cell>
          <cell r="U710">
            <v>2</v>
          </cell>
          <cell r="V710">
            <v>96</v>
          </cell>
          <cell r="W710">
            <v>2</v>
          </cell>
          <cell r="X710">
            <v>96</v>
          </cell>
          <cell r="Y710">
            <v>0</v>
          </cell>
          <cell r="Z710">
            <v>0</v>
          </cell>
          <cell r="AB710" t="str">
            <v>14</v>
          </cell>
          <cell r="AC710">
            <v>2</v>
          </cell>
          <cell r="AD710" t="str">
            <v>0</v>
          </cell>
          <cell r="AE710" t="str">
            <v>0</v>
          </cell>
          <cell r="AF710" t="str">
            <v>15</v>
          </cell>
          <cell r="AI710">
            <v>53874849</v>
          </cell>
          <cell r="AJ710">
            <v>9877055.6500000004</v>
          </cell>
        </row>
        <row r="711">
          <cell r="A711" t="str">
            <v>15</v>
          </cell>
          <cell r="B711" t="str">
            <v>81</v>
          </cell>
          <cell r="C711" t="str">
            <v>1621</v>
          </cell>
          <cell r="D711" t="str">
            <v>Анализатор мочи IMAC</v>
          </cell>
          <cell r="E711" t="str">
            <v>O /Германия/ с т/по-</v>
          </cell>
          <cell r="F711" t="str">
            <v>лосками и бумагой</v>
          </cell>
          <cell r="G711" t="str">
            <v>01</v>
          </cell>
          <cell r="H711">
            <v>22252</v>
          </cell>
          <cell r="I711">
            <v>0</v>
          </cell>
          <cell r="J711">
            <v>0</v>
          </cell>
          <cell r="K711">
            <v>0.92</v>
          </cell>
          <cell r="L711" t="str">
            <v>88/2</v>
          </cell>
          <cell r="M711" t="str">
            <v>46012</v>
          </cell>
          <cell r="N711" t="str">
            <v>14 3311269</v>
          </cell>
          <cell r="P711">
            <v>10</v>
          </cell>
          <cell r="Q711">
            <v>0</v>
          </cell>
          <cell r="R711" t="str">
            <v>1</v>
          </cell>
          <cell r="S711" t="str">
            <v>46</v>
          </cell>
          <cell r="T711">
            <v>96</v>
          </cell>
          <cell r="U711">
            <v>2</v>
          </cell>
          <cell r="V711">
            <v>96</v>
          </cell>
          <cell r="W711">
            <v>2</v>
          </cell>
          <cell r="X711">
            <v>96</v>
          </cell>
          <cell r="Y711">
            <v>0</v>
          </cell>
          <cell r="Z711">
            <v>0</v>
          </cell>
          <cell r="AB711" t="str">
            <v>14</v>
          </cell>
          <cell r="AC711">
            <v>2</v>
          </cell>
          <cell r="AD711" t="str">
            <v>0</v>
          </cell>
          <cell r="AE711" t="str">
            <v>0</v>
          </cell>
          <cell r="AF711" t="str">
            <v>15</v>
          </cell>
          <cell r="AI711">
            <v>24295717</v>
          </cell>
          <cell r="AJ711">
            <v>4454214.78</v>
          </cell>
        </row>
        <row r="712">
          <cell r="A712" t="str">
            <v>15</v>
          </cell>
          <cell r="B712" t="str">
            <v>81</v>
          </cell>
          <cell r="C712" t="str">
            <v>1622</v>
          </cell>
          <cell r="D712" t="str">
            <v>Алкогольметр /Велико</v>
          </cell>
          <cell r="E712" t="str">
            <v>британия/</v>
          </cell>
          <cell r="G712" t="str">
            <v>01</v>
          </cell>
          <cell r="H712">
            <v>6500</v>
          </cell>
          <cell r="I712">
            <v>0</v>
          </cell>
          <cell r="J712">
            <v>0</v>
          </cell>
          <cell r="K712">
            <v>1</v>
          </cell>
          <cell r="L712" t="str">
            <v>88/2</v>
          </cell>
          <cell r="M712" t="str">
            <v>46012</v>
          </cell>
          <cell r="N712" t="str">
            <v>14 3311269</v>
          </cell>
          <cell r="P712">
            <v>10</v>
          </cell>
          <cell r="Q712">
            <v>0</v>
          </cell>
          <cell r="R712" t="str">
            <v>1</v>
          </cell>
          <cell r="S712" t="str">
            <v>46</v>
          </cell>
          <cell r="T712">
            <v>96</v>
          </cell>
          <cell r="U712">
            <v>2</v>
          </cell>
          <cell r="V712">
            <v>96</v>
          </cell>
          <cell r="W712">
            <v>2</v>
          </cell>
          <cell r="X712">
            <v>96</v>
          </cell>
          <cell r="Y712">
            <v>0</v>
          </cell>
          <cell r="Z712">
            <v>0</v>
          </cell>
          <cell r="AB712" t="str">
            <v>14</v>
          </cell>
          <cell r="AC712">
            <v>2</v>
          </cell>
          <cell r="AD712" t="str">
            <v>0</v>
          </cell>
          <cell r="AE712" t="str">
            <v>0</v>
          </cell>
          <cell r="AF712" t="str">
            <v>15</v>
          </cell>
          <cell r="AI712">
            <v>6497413</v>
          </cell>
          <cell r="AJ712">
            <v>1191192.3799999999</v>
          </cell>
        </row>
        <row r="713">
          <cell r="A713" t="str">
            <v>15</v>
          </cell>
          <cell r="B713" t="str">
            <v>81</v>
          </cell>
          <cell r="C713" t="str">
            <v>1623</v>
          </cell>
          <cell r="D713" t="str">
            <v>Алкогольметр /Велико</v>
          </cell>
          <cell r="E713" t="str">
            <v>британия/</v>
          </cell>
          <cell r="G713" t="str">
            <v>01</v>
          </cell>
          <cell r="H713">
            <v>6500</v>
          </cell>
          <cell r="I713">
            <v>0</v>
          </cell>
          <cell r="J713">
            <v>0</v>
          </cell>
          <cell r="K713">
            <v>1</v>
          </cell>
          <cell r="L713" t="str">
            <v>88/2</v>
          </cell>
          <cell r="M713" t="str">
            <v>46012</v>
          </cell>
          <cell r="N713" t="str">
            <v>14 3311269</v>
          </cell>
          <cell r="P713">
            <v>10</v>
          </cell>
          <cell r="Q713">
            <v>0</v>
          </cell>
          <cell r="R713" t="str">
            <v>1</v>
          </cell>
          <cell r="S713" t="str">
            <v>46</v>
          </cell>
          <cell r="T713">
            <v>96</v>
          </cell>
          <cell r="U713">
            <v>2</v>
          </cell>
          <cell r="V713">
            <v>96</v>
          </cell>
          <cell r="W713">
            <v>2</v>
          </cell>
          <cell r="X713">
            <v>96</v>
          </cell>
          <cell r="Y713">
            <v>0</v>
          </cell>
          <cell r="Z713">
            <v>0</v>
          </cell>
          <cell r="AB713" t="str">
            <v>14</v>
          </cell>
          <cell r="AC713">
            <v>2</v>
          </cell>
          <cell r="AD713" t="str">
            <v>0</v>
          </cell>
          <cell r="AE713" t="str">
            <v>0</v>
          </cell>
          <cell r="AF713" t="str">
            <v>15</v>
          </cell>
          <cell r="AI713">
            <v>6497413</v>
          </cell>
          <cell r="AJ713">
            <v>1191192.3799999999</v>
          </cell>
        </row>
        <row r="714">
          <cell r="A714" t="str">
            <v>02</v>
          </cell>
          <cell r="B714" t="str">
            <v>80</v>
          </cell>
          <cell r="C714" t="str">
            <v>1624</v>
          </cell>
          <cell r="D714" t="str">
            <v>Модем</v>
          </cell>
          <cell r="G714" t="str">
            <v>01</v>
          </cell>
          <cell r="H714">
            <v>2042</v>
          </cell>
          <cell r="I714">
            <v>491.1</v>
          </cell>
          <cell r="J714">
            <v>0</v>
          </cell>
          <cell r="K714">
            <v>0.34</v>
          </cell>
          <cell r="L714" t="str">
            <v>26</v>
          </cell>
          <cell r="M714" t="str">
            <v>48003</v>
          </cell>
          <cell r="N714" t="str">
            <v>14 3020380</v>
          </cell>
          <cell r="P714">
            <v>11.1</v>
          </cell>
          <cell r="Q714">
            <v>0</v>
          </cell>
          <cell r="R714" t="str">
            <v>1</v>
          </cell>
          <cell r="S714" t="str">
            <v>45</v>
          </cell>
          <cell r="T714">
            <v>93</v>
          </cell>
          <cell r="U714">
            <v>2</v>
          </cell>
          <cell r="V714">
            <v>96</v>
          </cell>
          <cell r="W714">
            <v>2</v>
          </cell>
          <cell r="X714">
            <v>96</v>
          </cell>
          <cell r="Y714">
            <v>0</v>
          </cell>
          <cell r="Z714">
            <v>0</v>
          </cell>
          <cell r="AD714" t="str">
            <v>0</v>
          </cell>
          <cell r="AE714" t="str">
            <v>0</v>
          </cell>
          <cell r="AF714" t="str">
            <v>00</v>
          </cell>
          <cell r="AI714">
            <v>6032977</v>
          </cell>
          <cell r="AJ714">
            <v>2678641.8199999998</v>
          </cell>
        </row>
        <row r="715">
          <cell r="A715" t="str">
            <v>02</v>
          </cell>
          <cell r="B715" t="str">
            <v>41</v>
          </cell>
          <cell r="C715" t="str">
            <v>1618</v>
          </cell>
          <cell r="D715" t="str">
            <v>Рентген. аппарат АРИ</v>
          </cell>
          <cell r="E715" t="str">
            <v>НА-2-02</v>
          </cell>
          <cell r="G715" t="str">
            <v>01</v>
          </cell>
          <cell r="H715">
            <v>6350</v>
          </cell>
          <cell r="I715">
            <v>0</v>
          </cell>
          <cell r="J715">
            <v>0</v>
          </cell>
          <cell r="K715">
            <v>1.06</v>
          </cell>
          <cell r="L715" t="str">
            <v>20</v>
          </cell>
          <cell r="M715" t="str">
            <v>47024</v>
          </cell>
          <cell r="N715" t="str">
            <v>14 3313341</v>
          </cell>
          <cell r="P715">
            <v>10.4</v>
          </cell>
          <cell r="Q715">
            <v>0</v>
          </cell>
          <cell r="R715" t="str">
            <v>1</v>
          </cell>
          <cell r="S715" t="str">
            <v>47</v>
          </cell>
          <cell r="T715">
            <v>95</v>
          </cell>
          <cell r="U715">
            <v>2</v>
          </cell>
          <cell r="V715">
            <v>96</v>
          </cell>
          <cell r="W715">
            <v>2</v>
          </cell>
          <cell r="X715">
            <v>96</v>
          </cell>
          <cell r="Y715">
            <v>0</v>
          </cell>
          <cell r="Z715">
            <v>0</v>
          </cell>
          <cell r="AD715" t="str">
            <v>0</v>
          </cell>
          <cell r="AE715" t="str">
            <v>0</v>
          </cell>
          <cell r="AF715" t="str">
            <v>00</v>
          </cell>
          <cell r="AI715">
            <v>6000000</v>
          </cell>
          <cell r="AJ715">
            <v>1144000</v>
          </cell>
        </row>
        <row r="716">
          <cell r="A716" t="str">
            <v>02</v>
          </cell>
          <cell r="B716" t="str">
            <v>41</v>
          </cell>
          <cell r="C716" t="str">
            <v>1619</v>
          </cell>
          <cell r="D716" t="str">
            <v>Рентген.аппарат АРИН</v>
          </cell>
          <cell r="E716" t="str">
            <v>А-2-02</v>
          </cell>
          <cell r="G716" t="str">
            <v>01</v>
          </cell>
          <cell r="H716">
            <v>6350</v>
          </cell>
          <cell r="I716">
            <v>0</v>
          </cell>
          <cell r="J716">
            <v>0</v>
          </cell>
          <cell r="K716">
            <v>1.06</v>
          </cell>
          <cell r="L716" t="str">
            <v>20</v>
          </cell>
          <cell r="M716" t="str">
            <v>47024</v>
          </cell>
          <cell r="N716" t="str">
            <v>14 3313341</v>
          </cell>
          <cell r="P716">
            <v>10.4</v>
          </cell>
          <cell r="Q716">
            <v>0</v>
          </cell>
          <cell r="R716" t="str">
            <v>1</v>
          </cell>
          <cell r="S716" t="str">
            <v>47</v>
          </cell>
          <cell r="T716">
            <v>95</v>
          </cell>
          <cell r="U716">
            <v>2</v>
          </cell>
          <cell r="V716">
            <v>96</v>
          </cell>
          <cell r="W716">
            <v>2</v>
          </cell>
          <cell r="X716">
            <v>96</v>
          </cell>
          <cell r="Y716">
            <v>0</v>
          </cell>
          <cell r="Z716">
            <v>0</v>
          </cell>
          <cell r="AD716" t="str">
            <v>0</v>
          </cell>
          <cell r="AE716" t="str">
            <v>0</v>
          </cell>
          <cell r="AF716" t="str">
            <v>00</v>
          </cell>
          <cell r="AI716">
            <v>6000000</v>
          </cell>
          <cell r="AJ716">
            <v>1144000</v>
          </cell>
        </row>
        <row r="717">
          <cell r="A717" t="str">
            <v>02</v>
          </cell>
          <cell r="B717" t="str">
            <v>80</v>
          </cell>
          <cell r="C717" t="str">
            <v>1625</v>
          </cell>
          <cell r="D717" t="str">
            <v>Факс SAMSUNG</v>
          </cell>
          <cell r="G717" t="str">
            <v>01</v>
          </cell>
          <cell r="H717">
            <v>1418.57</v>
          </cell>
          <cell r="I717">
            <v>0</v>
          </cell>
          <cell r="J717">
            <v>0</v>
          </cell>
          <cell r="K717">
            <v>0.68</v>
          </cell>
          <cell r="L717" t="str">
            <v>26</v>
          </cell>
          <cell r="M717" t="str">
            <v>45613</v>
          </cell>
          <cell r="N717" t="str">
            <v>14 3222146</v>
          </cell>
          <cell r="P717">
            <v>7.4</v>
          </cell>
          <cell r="Q717">
            <v>0</v>
          </cell>
          <cell r="R717" t="str">
            <v>1</v>
          </cell>
          <cell r="S717" t="str">
            <v>45</v>
          </cell>
          <cell r="T717">
            <v>95</v>
          </cell>
          <cell r="U717">
            <v>2</v>
          </cell>
          <cell r="V717">
            <v>96</v>
          </cell>
          <cell r="W717">
            <v>2</v>
          </cell>
          <cell r="X717">
            <v>96</v>
          </cell>
          <cell r="Y717">
            <v>0</v>
          </cell>
          <cell r="Z717">
            <v>0</v>
          </cell>
          <cell r="AD717" t="str">
            <v>0</v>
          </cell>
          <cell r="AE717" t="str">
            <v>0</v>
          </cell>
          <cell r="AF717" t="str">
            <v>00</v>
          </cell>
          <cell r="AI717">
            <v>2072388</v>
          </cell>
          <cell r="AJ717">
            <v>281153.96999999997</v>
          </cell>
        </row>
        <row r="718">
          <cell r="A718" t="str">
            <v>02</v>
          </cell>
          <cell r="B718" t="str">
            <v>80</v>
          </cell>
          <cell r="C718" t="str">
            <v>1626</v>
          </cell>
          <cell r="D718" t="str">
            <v>Компьютер TOSHIBA c</v>
          </cell>
          <cell r="E718" t="str">
            <v>принтером EPSON</v>
          </cell>
          <cell r="G718" t="str">
            <v>01</v>
          </cell>
          <cell r="H718">
            <v>11868.9</v>
          </cell>
          <cell r="I718">
            <v>0</v>
          </cell>
          <cell r="J718">
            <v>0</v>
          </cell>
          <cell r="K718">
            <v>0.98</v>
          </cell>
          <cell r="L718" t="str">
            <v>26</v>
          </cell>
          <cell r="M718" t="str">
            <v>48008</v>
          </cell>
          <cell r="N718" t="str">
            <v>14 3020203</v>
          </cell>
          <cell r="P718">
            <v>10</v>
          </cell>
          <cell r="Q718">
            <v>0</v>
          </cell>
          <cell r="R718" t="str">
            <v>1</v>
          </cell>
          <cell r="S718" t="str">
            <v>48</v>
          </cell>
          <cell r="T718">
            <v>95</v>
          </cell>
          <cell r="U718">
            <v>2</v>
          </cell>
          <cell r="V718">
            <v>96</v>
          </cell>
          <cell r="W718">
            <v>2</v>
          </cell>
          <cell r="X718">
            <v>96</v>
          </cell>
          <cell r="Y718">
            <v>0</v>
          </cell>
          <cell r="Z718">
            <v>0</v>
          </cell>
          <cell r="AD718" t="str">
            <v>0</v>
          </cell>
          <cell r="AE718" t="str">
            <v>0</v>
          </cell>
          <cell r="AF718" t="str">
            <v>00</v>
          </cell>
          <cell r="AI718">
            <v>10400000</v>
          </cell>
          <cell r="AJ718">
            <v>1906666.67</v>
          </cell>
        </row>
        <row r="719">
          <cell r="A719" t="str">
            <v>02</v>
          </cell>
          <cell r="B719" t="str">
            <v>80</v>
          </cell>
          <cell r="C719" t="str">
            <v>1627</v>
          </cell>
          <cell r="D719" t="str">
            <v>Компьютер 486-ДХ 4-1</v>
          </cell>
          <cell r="E719" t="str">
            <v>00</v>
          </cell>
          <cell r="G719" t="str">
            <v>01</v>
          </cell>
          <cell r="H719">
            <v>3500</v>
          </cell>
          <cell r="I719">
            <v>0</v>
          </cell>
          <cell r="J719">
            <v>0</v>
          </cell>
          <cell r="K719">
            <v>0.39</v>
          </cell>
          <cell r="L719" t="str">
            <v>26</v>
          </cell>
          <cell r="M719" t="str">
            <v>48008</v>
          </cell>
          <cell r="N719" t="str">
            <v>14 3020203</v>
          </cell>
          <cell r="P719">
            <v>10</v>
          </cell>
          <cell r="Q719">
            <v>0</v>
          </cell>
          <cell r="R719" t="str">
            <v>1</v>
          </cell>
          <cell r="S719" t="str">
            <v>48</v>
          </cell>
          <cell r="T719">
            <v>95</v>
          </cell>
          <cell r="U719">
            <v>2</v>
          </cell>
          <cell r="V719">
            <v>96</v>
          </cell>
          <cell r="W719">
            <v>2</v>
          </cell>
          <cell r="X719">
            <v>96</v>
          </cell>
          <cell r="Y719">
            <v>0</v>
          </cell>
          <cell r="Z719">
            <v>0</v>
          </cell>
          <cell r="AD719" t="str">
            <v>0</v>
          </cell>
          <cell r="AE719" t="str">
            <v>0</v>
          </cell>
          <cell r="AF719" t="str">
            <v>00</v>
          </cell>
          <cell r="AI719">
            <v>9000000</v>
          </cell>
          <cell r="AJ719">
            <v>1650000</v>
          </cell>
        </row>
        <row r="720">
          <cell r="A720" t="str">
            <v>02</v>
          </cell>
          <cell r="B720" t="str">
            <v>23</v>
          </cell>
          <cell r="C720" t="str">
            <v>1628</v>
          </cell>
          <cell r="D720" t="str">
            <v>Компьютер 486-ДХ 4-1</v>
          </cell>
          <cell r="E720" t="str">
            <v>00 с принтером EPSON</v>
          </cell>
          <cell r="F720" t="str">
            <v>LX-100</v>
          </cell>
          <cell r="G720" t="str">
            <v>01</v>
          </cell>
          <cell r="H720">
            <v>4390.08</v>
          </cell>
          <cell r="I720">
            <v>0</v>
          </cell>
          <cell r="J720">
            <v>11390.08</v>
          </cell>
          <cell r="K720">
            <v>0.39</v>
          </cell>
          <cell r="L720" t="str">
            <v>23</v>
          </cell>
          <cell r="M720" t="str">
            <v>48008</v>
          </cell>
          <cell r="N720" t="str">
            <v>22 0000000</v>
          </cell>
          <cell r="P720">
            <v>10</v>
          </cell>
          <cell r="Q720">
            <v>0</v>
          </cell>
          <cell r="R720" t="str">
            <v>1</v>
          </cell>
          <cell r="S720" t="str">
            <v>48</v>
          </cell>
          <cell r="T720">
            <v>95</v>
          </cell>
          <cell r="U720">
            <v>2</v>
          </cell>
          <cell r="V720">
            <v>96</v>
          </cell>
          <cell r="W720">
            <v>2</v>
          </cell>
          <cell r="X720">
            <v>96</v>
          </cell>
          <cell r="Y720">
            <v>5</v>
          </cell>
          <cell r="Z720">
            <v>99</v>
          </cell>
          <cell r="AB720" t="str">
            <v>14</v>
          </cell>
          <cell r="AC720">
            <v>10</v>
          </cell>
          <cell r="AD720" t="str">
            <v>0</v>
          </cell>
          <cell r="AE720" t="str">
            <v>0</v>
          </cell>
          <cell r="AF720" t="str">
            <v>00</v>
          </cell>
          <cell r="AI720">
            <v>9000000</v>
          </cell>
          <cell r="AJ720">
            <v>1650000</v>
          </cell>
        </row>
        <row r="721">
          <cell r="A721" t="str">
            <v>02</v>
          </cell>
          <cell r="B721" t="str">
            <v>05</v>
          </cell>
          <cell r="C721" t="str">
            <v>1631</v>
          </cell>
          <cell r="D721" t="str">
            <v>Мотопомпа ММ-27/100</v>
          </cell>
          <cell r="E721" t="str">
            <v>с двигателем Дружба</v>
          </cell>
          <cell r="G721" t="str">
            <v>01</v>
          </cell>
          <cell r="H721">
            <v>35697</v>
          </cell>
          <cell r="I721">
            <v>0</v>
          </cell>
          <cell r="J721">
            <v>0</v>
          </cell>
          <cell r="K721">
            <v>1.1000000000000001</v>
          </cell>
          <cell r="L721" t="str">
            <v>20</v>
          </cell>
          <cell r="M721" t="str">
            <v>42405</v>
          </cell>
          <cell r="N721" t="str">
            <v>14 2912000</v>
          </cell>
          <cell r="P721">
            <v>12.5</v>
          </cell>
          <cell r="Q721">
            <v>0</v>
          </cell>
          <cell r="R721" t="str">
            <v>1</v>
          </cell>
          <cell r="S721" t="str">
            <v>42</v>
          </cell>
          <cell r="T721">
            <v>95</v>
          </cell>
          <cell r="U721">
            <v>3</v>
          </cell>
          <cell r="V721">
            <v>96</v>
          </cell>
          <cell r="W721">
            <v>3</v>
          </cell>
          <cell r="X721">
            <v>96</v>
          </cell>
          <cell r="Y721">
            <v>0</v>
          </cell>
          <cell r="Z721">
            <v>0</v>
          </cell>
          <cell r="AB721" t="str">
            <v>14</v>
          </cell>
          <cell r="AC721">
            <v>11</v>
          </cell>
          <cell r="AD721" t="str">
            <v>0</v>
          </cell>
          <cell r="AE721" t="str">
            <v>0</v>
          </cell>
          <cell r="AF721" t="str">
            <v>00</v>
          </cell>
          <cell r="AI721">
            <v>32500000</v>
          </cell>
          <cell r="AJ721">
            <v>7109375</v>
          </cell>
        </row>
        <row r="722">
          <cell r="A722" t="str">
            <v>02</v>
          </cell>
          <cell r="B722" t="str">
            <v>99</v>
          </cell>
          <cell r="C722" t="str">
            <v>1633</v>
          </cell>
          <cell r="D722" t="str">
            <v>Вагон жилой КЕДР-4</v>
          </cell>
          <cell r="E722" t="str">
            <v>дерево-металлич.</v>
          </cell>
          <cell r="G722" t="str">
            <v>01</v>
          </cell>
          <cell r="H722">
            <v>85000</v>
          </cell>
          <cell r="I722">
            <v>3364.58</v>
          </cell>
          <cell r="J722">
            <v>0</v>
          </cell>
          <cell r="K722">
            <v>1.2</v>
          </cell>
          <cell r="L722" t="str">
            <v>20</v>
          </cell>
          <cell r="M722" t="str">
            <v>10010</v>
          </cell>
          <cell r="N722" t="str">
            <v>13 2022261</v>
          </cell>
          <cell r="P722">
            <v>12.5</v>
          </cell>
          <cell r="Q722">
            <v>0</v>
          </cell>
          <cell r="R722" t="str">
            <v>1</v>
          </cell>
          <cell r="S722" t="str">
            <v>10</v>
          </cell>
          <cell r="T722">
            <v>95</v>
          </cell>
          <cell r="U722">
            <v>3</v>
          </cell>
          <cell r="V722">
            <v>96</v>
          </cell>
          <cell r="W722">
            <v>3</v>
          </cell>
          <cell r="X722">
            <v>96</v>
          </cell>
          <cell r="Y722">
            <v>0</v>
          </cell>
          <cell r="Z722">
            <v>0</v>
          </cell>
          <cell r="AB722" t="str">
            <v>14</v>
          </cell>
          <cell r="AC722">
            <v>3</v>
          </cell>
          <cell r="AD722" t="str">
            <v>0</v>
          </cell>
          <cell r="AE722" t="str">
            <v>0</v>
          </cell>
          <cell r="AF722" t="str">
            <v>00</v>
          </cell>
          <cell r="AI722">
            <v>71111112</v>
          </cell>
          <cell r="AJ722">
            <v>18370369.75</v>
          </cell>
        </row>
        <row r="723">
          <cell r="A723" t="str">
            <v>02</v>
          </cell>
          <cell r="B723" t="str">
            <v>05</v>
          </cell>
          <cell r="C723" t="str">
            <v>1634</v>
          </cell>
          <cell r="D723" t="str">
            <v>Вагон жилой КЕДР-4</v>
          </cell>
          <cell r="E723" t="str">
            <v>дерево-мет.</v>
          </cell>
          <cell r="G723" t="str">
            <v>01</v>
          </cell>
          <cell r="H723">
            <v>85000</v>
          </cell>
          <cell r="I723">
            <v>3364.58</v>
          </cell>
          <cell r="J723">
            <v>0</v>
          </cell>
          <cell r="K723">
            <v>1.2</v>
          </cell>
          <cell r="L723" t="str">
            <v>20</v>
          </cell>
          <cell r="M723" t="str">
            <v>10010</v>
          </cell>
          <cell r="N723" t="str">
            <v>13 2022261</v>
          </cell>
          <cell r="P723">
            <v>12.5</v>
          </cell>
          <cell r="Q723">
            <v>0</v>
          </cell>
          <cell r="R723" t="str">
            <v>1</v>
          </cell>
          <cell r="S723" t="str">
            <v>10</v>
          </cell>
          <cell r="T723">
            <v>95</v>
          </cell>
          <cell r="U723">
            <v>3</v>
          </cell>
          <cell r="V723">
            <v>96</v>
          </cell>
          <cell r="W723">
            <v>3</v>
          </cell>
          <cell r="X723">
            <v>96</v>
          </cell>
          <cell r="Y723">
            <v>0</v>
          </cell>
          <cell r="Z723">
            <v>0</v>
          </cell>
          <cell r="AB723" t="str">
            <v>14</v>
          </cell>
          <cell r="AC723">
            <v>8</v>
          </cell>
          <cell r="AD723" t="str">
            <v>0</v>
          </cell>
          <cell r="AE723" t="str">
            <v>0</v>
          </cell>
          <cell r="AF723" t="str">
            <v>00</v>
          </cell>
          <cell r="AI723">
            <v>71111112</v>
          </cell>
          <cell r="AJ723">
            <v>18370369.75</v>
          </cell>
        </row>
        <row r="724">
          <cell r="A724" t="str">
            <v>02</v>
          </cell>
          <cell r="B724" t="str">
            <v>05</v>
          </cell>
          <cell r="C724" t="str">
            <v>1632</v>
          </cell>
          <cell r="D724" t="str">
            <v>Нефтесборщик на базе</v>
          </cell>
          <cell r="E724" t="str">
            <v>катера с дизел.гидав</v>
          </cell>
          <cell r="F724" t="str">
            <v>блоком и нефт.насосо</v>
          </cell>
          <cell r="G724" t="str">
            <v>01</v>
          </cell>
          <cell r="H724">
            <v>2650000</v>
          </cell>
          <cell r="I724">
            <v>0</v>
          </cell>
          <cell r="J724">
            <v>0</v>
          </cell>
          <cell r="K724">
            <v>1.03</v>
          </cell>
          <cell r="L724" t="str">
            <v>20</v>
          </cell>
          <cell r="M724" t="str">
            <v>50136</v>
          </cell>
          <cell r="N724" t="str">
            <v>15 3511225</v>
          </cell>
          <cell r="P724">
            <v>10</v>
          </cell>
          <cell r="Q724">
            <v>0</v>
          </cell>
          <cell r="R724" t="str">
            <v>1</v>
          </cell>
          <cell r="S724" t="str">
            <v>50</v>
          </cell>
          <cell r="T724">
            <v>95</v>
          </cell>
          <cell r="U724">
            <v>3</v>
          </cell>
          <cell r="V724">
            <v>96</v>
          </cell>
          <cell r="W724">
            <v>3</v>
          </cell>
          <cell r="X724">
            <v>96</v>
          </cell>
          <cell r="Y724">
            <v>0</v>
          </cell>
          <cell r="Z724">
            <v>0</v>
          </cell>
          <cell r="AD724" t="str">
            <v>0</v>
          </cell>
          <cell r="AE724" t="str">
            <v>0</v>
          </cell>
          <cell r="AF724" t="str">
            <v>00</v>
          </cell>
          <cell r="AI724">
            <v>2568619920</v>
          </cell>
          <cell r="AJ724">
            <v>449508486</v>
          </cell>
        </row>
        <row r="725">
          <cell r="A725" t="str">
            <v>19</v>
          </cell>
          <cell r="B725" t="str">
            <v>19</v>
          </cell>
          <cell r="C725" t="str">
            <v>1635</v>
          </cell>
          <cell r="D725" t="str">
            <v>К-кт ЗККМ на базе ЗИ</v>
          </cell>
          <cell r="E725" t="str">
            <v>Х-60LD 260 /Кассовый</v>
          </cell>
          <cell r="F725" t="str">
            <v>аппарат/</v>
          </cell>
          <cell r="G725" t="str">
            <v>01</v>
          </cell>
          <cell r="H725">
            <v>2745</v>
          </cell>
          <cell r="I725">
            <v>0</v>
          </cell>
          <cell r="J725">
            <v>0</v>
          </cell>
          <cell r="K725">
            <v>1</v>
          </cell>
          <cell r="L725" t="str">
            <v>88/4</v>
          </cell>
          <cell r="M725" t="str">
            <v>47013</v>
          </cell>
          <cell r="N725" t="str">
            <v>16 3697650</v>
          </cell>
          <cell r="P725">
            <v>11</v>
          </cell>
          <cell r="Q725">
            <v>0</v>
          </cell>
          <cell r="R725" t="str">
            <v>1</v>
          </cell>
          <cell r="S725" t="str">
            <v>47</v>
          </cell>
          <cell r="T725">
            <v>95</v>
          </cell>
          <cell r="U725">
            <v>3</v>
          </cell>
          <cell r="V725">
            <v>96</v>
          </cell>
          <cell r="W725">
            <v>3</v>
          </cell>
          <cell r="X725">
            <v>96</v>
          </cell>
          <cell r="Y725">
            <v>0</v>
          </cell>
          <cell r="Z725">
            <v>0</v>
          </cell>
          <cell r="AB725" t="str">
            <v>14</v>
          </cell>
          <cell r="AC725">
            <v>8</v>
          </cell>
          <cell r="AD725" t="str">
            <v>0</v>
          </cell>
          <cell r="AE725" t="str">
            <v>0</v>
          </cell>
          <cell r="AF725" t="str">
            <v>19</v>
          </cell>
          <cell r="AI725">
            <v>2750000</v>
          </cell>
          <cell r="AJ725">
            <v>529375</v>
          </cell>
        </row>
        <row r="726">
          <cell r="A726" t="str">
            <v>02</v>
          </cell>
          <cell r="B726" t="str">
            <v>80</v>
          </cell>
          <cell r="C726" t="str">
            <v>1636</v>
          </cell>
          <cell r="D726" t="str">
            <v>К-кт ЗККМ на базе ЗИ</v>
          </cell>
          <cell r="E726" t="str">
            <v>Х-60LD 260 /Кассовый</v>
          </cell>
          <cell r="F726" t="str">
            <v>аппарат/</v>
          </cell>
          <cell r="G726" t="str">
            <v>01</v>
          </cell>
          <cell r="H726">
            <v>2745</v>
          </cell>
          <cell r="I726">
            <v>0</v>
          </cell>
          <cell r="J726">
            <v>0</v>
          </cell>
          <cell r="K726">
            <v>1</v>
          </cell>
          <cell r="L726" t="str">
            <v>26</v>
          </cell>
          <cell r="M726" t="str">
            <v>47013</v>
          </cell>
          <cell r="N726" t="str">
            <v>14 2945119</v>
          </cell>
          <cell r="P726">
            <v>11</v>
          </cell>
          <cell r="Q726">
            <v>0</v>
          </cell>
          <cell r="R726" t="str">
            <v>1</v>
          </cell>
          <cell r="S726" t="str">
            <v>47</v>
          </cell>
          <cell r="T726">
            <v>95</v>
          </cell>
          <cell r="U726">
            <v>3</v>
          </cell>
          <cell r="V726">
            <v>96</v>
          </cell>
          <cell r="W726">
            <v>3</v>
          </cell>
          <cell r="X726">
            <v>96</v>
          </cell>
          <cell r="Y726">
            <v>0</v>
          </cell>
          <cell r="Z726">
            <v>0</v>
          </cell>
          <cell r="AD726" t="str">
            <v>0</v>
          </cell>
          <cell r="AE726" t="str">
            <v>0</v>
          </cell>
          <cell r="AF726" t="str">
            <v>00</v>
          </cell>
          <cell r="AI726">
            <v>2750000</v>
          </cell>
          <cell r="AJ726">
            <v>529375</v>
          </cell>
        </row>
        <row r="727">
          <cell r="A727" t="str">
            <v>17</v>
          </cell>
          <cell r="B727" t="str">
            <v>82</v>
          </cell>
          <cell r="C727" t="str">
            <v>1637</v>
          </cell>
          <cell r="D727" t="str">
            <v>К-кт ЗККМ на базе ЗИ</v>
          </cell>
          <cell r="E727" t="str">
            <v>Х-60LD 260 /Кассовый</v>
          </cell>
          <cell r="F727" t="str">
            <v>аппарат/</v>
          </cell>
          <cell r="G727" t="str">
            <v>01</v>
          </cell>
          <cell r="H727">
            <v>2745</v>
          </cell>
          <cell r="I727">
            <v>0</v>
          </cell>
          <cell r="J727">
            <v>0</v>
          </cell>
          <cell r="K727">
            <v>1</v>
          </cell>
          <cell r="L727" t="str">
            <v>26</v>
          </cell>
          <cell r="M727" t="str">
            <v>47013</v>
          </cell>
          <cell r="N727" t="str">
            <v>14 2945119</v>
          </cell>
          <cell r="P727">
            <v>11</v>
          </cell>
          <cell r="Q727">
            <v>0</v>
          </cell>
          <cell r="R727" t="str">
            <v>1</v>
          </cell>
          <cell r="S727" t="str">
            <v>47</v>
          </cell>
          <cell r="T727">
            <v>95</v>
          </cell>
          <cell r="U727">
            <v>3</v>
          </cell>
          <cell r="V727">
            <v>96</v>
          </cell>
          <cell r="W727">
            <v>3</v>
          </cell>
          <cell r="X727">
            <v>96</v>
          </cell>
          <cell r="Y727">
            <v>0</v>
          </cell>
          <cell r="Z727">
            <v>0</v>
          </cell>
          <cell r="AB727" t="str">
            <v>14</v>
          </cell>
          <cell r="AC727">
            <v>11</v>
          </cell>
          <cell r="AD727" t="str">
            <v>0</v>
          </cell>
          <cell r="AE727" t="str">
            <v>0</v>
          </cell>
          <cell r="AF727" t="str">
            <v>17</v>
          </cell>
          <cell r="AI727">
            <v>2750000</v>
          </cell>
          <cell r="AJ727">
            <v>529375</v>
          </cell>
        </row>
        <row r="728">
          <cell r="A728" t="str">
            <v>02</v>
          </cell>
          <cell r="B728" t="str">
            <v>70</v>
          </cell>
          <cell r="C728" t="str">
            <v>1638</v>
          </cell>
          <cell r="D728" t="str">
            <v>Сварочная установка</v>
          </cell>
          <cell r="E728" t="str">
            <v>АС-22 на базе тракто</v>
          </cell>
          <cell r="F728" t="str">
            <v>ра Беларусь /колесн/</v>
          </cell>
          <cell r="G728" t="str">
            <v>01</v>
          </cell>
          <cell r="H728">
            <v>91000</v>
          </cell>
          <cell r="I728">
            <v>0</v>
          </cell>
          <cell r="J728">
            <v>0</v>
          </cell>
          <cell r="K728">
            <v>1</v>
          </cell>
          <cell r="L728" t="str">
            <v>20</v>
          </cell>
          <cell r="M728" t="str">
            <v>40609</v>
          </cell>
          <cell r="N728" t="str">
            <v>14 2947193</v>
          </cell>
          <cell r="P728">
            <v>9.1</v>
          </cell>
          <cell r="Q728">
            <v>0</v>
          </cell>
          <cell r="R728" t="str">
            <v>1</v>
          </cell>
          <cell r="S728" t="str">
            <v>40</v>
          </cell>
          <cell r="T728">
            <v>95</v>
          </cell>
          <cell r="U728">
            <v>4</v>
          </cell>
          <cell r="V728">
            <v>96</v>
          </cell>
          <cell r="W728">
            <v>4</v>
          </cell>
          <cell r="X728">
            <v>96</v>
          </cell>
          <cell r="Y728">
            <v>0</v>
          </cell>
          <cell r="Z728">
            <v>0</v>
          </cell>
          <cell r="AB728" t="str">
            <v>14</v>
          </cell>
          <cell r="AC728">
            <v>12</v>
          </cell>
          <cell r="AD728" t="str">
            <v>0</v>
          </cell>
          <cell r="AE728" t="str">
            <v>0</v>
          </cell>
          <cell r="AF728" t="str">
            <v>00</v>
          </cell>
          <cell r="AI728">
            <v>90847736</v>
          </cell>
          <cell r="AJ728">
            <v>13778573.289999999</v>
          </cell>
        </row>
        <row r="729">
          <cell r="A729" t="str">
            <v>02</v>
          </cell>
          <cell r="B729" t="str">
            <v>99</v>
          </cell>
          <cell r="C729" t="str">
            <v>1639</v>
          </cell>
          <cell r="D729" t="str">
            <v>Сварочная установка</v>
          </cell>
          <cell r="E729" t="str">
            <v>АС-22 на базе тракто</v>
          </cell>
          <cell r="F729" t="str">
            <v>ра Беларусь /колесн/</v>
          </cell>
          <cell r="G729" t="str">
            <v>01</v>
          </cell>
          <cell r="H729">
            <v>91000</v>
          </cell>
          <cell r="I729">
            <v>0</v>
          </cell>
          <cell r="J729">
            <v>0</v>
          </cell>
          <cell r="K729">
            <v>1</v>
          </cell>
          <cell r="L729" t="str">
            <v>20</v>
          </cell>
          <cell r="M729" t="str">
            <v>40609</v>
          </cell>
          <cell r="N729" t="str">
            <v>14 2947193</v>
          </cell>
          <cell r="P729">
            <v>9.1</v>
          </cell>
          <cell r="Q729">
            <v>0</v>
          </cell>
          <cell r="R729" t="str">
            <v>1</v>
          </cell>
          <cell r="S729" t="str">
            <v>40</v>
          </cell>
          <cell r="T729">
            <v>95</v>
          </cell>
          <cell r="U729">
            <v>4</v>
          </cell>
          <cell r="V729">
            <v>96</v>
          </cell>
          <cell r="W729">
            <v>4</v>
          </cell>
          <cell r="X729">
            <v>96</v>
          </cell>
          <cell r="Y729">
            <v>0</v>
          </cell>
          <cell r="Z729">
            <v>0</v>
          </cell>
          <cell r="AB729" t="str">
            <v>14</v>
          </cell>
          <cell r="AC729">
            <v>10</v>
          </cell>
          <cell r="AD729" t="str">
            <v>0</v>
          </cell>
          <cell r="AE729" t="str">
            <v>0</v>
          </cell>
          <cell r="AF729" t="str">
            <v>00</v>
          </cell>
          <cell r="AI729">
            <v>90847737</v>
          </cell>
          <cell r="AJ729">
            <v>13778573.439999999</v>
          </cell>
        </row>
        <row r="730">
          <cell r="A730" t="str">
            <v>16</v>
          </cell>
          <cell r="B730" t="str">
            <v>06</v>
          </cell>
          <cell r="C730" t="str">
            <v>1640</v>
          </cell>
          <cell r="D730" t="str">
            <v>Трактор Т-16МГ</v>
          </cell>
          <cell r="E730" t="str">
            <v>зав.N528166. дв24438</v>
          </cell>
          <cell r="G730" t="str">
            <v>01</v>
          </cell>
          <cell r="H730">
            <v>28750</v>
          </cell>
          <cell r="I730">
            <v>0</v>
          </cell>
          <cell r="J730">
            <v>34500</v>
          </cell>
          <cell r="K730">
            <v>0.88</v>
          </cell>
          <cell r="L730" t="str">
            <v>88/1</v>
          </cell>
          <cell r="M730" t="str">
            <v>40610</v>
          </cell>
          <cell r="N730" t="str">
            <v>14 2918103</v>
          </cell>
          <cell r="P730">
            <v>12.5</v>
          </cell>
          <cell r="Q730">
            <v>0</v>
          </cell>
          <cell r="R730" t="str">
            <v>1</v>
          </cell>
          <cell r="S730" t="str">
            <v>40</v>
          </cell>
          <cell r="T730">
            <v>95</v>
          </cell>
          <cell r="U730">
            <v>4</v>
          </cell>
          <cell r="V730">
            <v>96</v>
          </cell>
          <cell r="W730">
            <v>4</v>
          </cell>
          <cell r="X730">
            <v>96</v>
          </cell>
          <cell r="Y730">
            <v>6</v>
          </cell>
          <cell r="Z730">
            <v>96</v>
          </cell>
          <cell r="AB730" t="str">
            <v>14</v>
          </cell>
          <cell r="AC730">
            <v>2</v>
          </cell>
          <cell r="AD730" t="str">
            <v>0</v>
          </cell>
          <cell r="AE730" t="str">
            <v>0</v>
          </cell>
          <cell r="AF730" t="str">
            <v>16</v>
          </cell>
          <cell r="AI730">
            <v>39000000</v>
          </cell>
          <cell r="AJ730">
            <v>7989583.3300000001</v>
          </cell>
        </row>
        <row r="731">
          <cell r="A731" t="str">
            <v>02</v>
          </cell>
          <cell r="B731" t="str">
            <v>71</v>
          </cell>
          <cell r="C731" t="str">
            <v>1641</v>
          </cell>
          <cell r="D731" t="str">
            <v>Холодильная камера</v>
          </cell>
          <cell r="E731" t="str">
            <v>КХСН-2-6 /4места/</v>
          </cell>
          <cell r="G731" t="str">
            <v>01</v>
          </cell>
          <cell r="H731">
            <v>22600</v>
          </cell>
          <cell r="I731">
            <v>0</v>
          </cell>
          <cell r="J731">
            <v>0</v>
          </cell>
          <cell r="K731">
            <v>0.95</v>
          </cell>
          <cell r="L731" t="str">
            <v>23</v>
          </cell>
          <cell r="M731" t="str">
            <v>45800</v>
          </cell>
          <cell r="N731" t="str">
            <v>16 2930100</v>
          </cell>
          <cell r="P731">
            <v>10</v>
          </cell>
          <cell r="Q731">
            <v>0</v>
          </cell>
          <cell r="R731" t="str">
            <v>1</v>
          </cell>
          <cell r="S731" t="str">
            <v>45</v>
          </cell>
          <cell r="T731">
            <v>94</v>
          </cell>
          <cell r="U731">
            <v>4</v>
          </cell>
          <cell r="V731">
            <v>96</v>
          </cell>
          <cell r="W731">
            <v>4</v>
          </cell>
          <cell r="X731">
            <v>96</v>
          </cell>
          <cell r="Y731">
            <v>0</v>
          </cell>
          <cell r="Z731">
            <v>0</v>
          </cell>
          <cell r="AD731" t="str">
            <v>0</v>
          </cell>
          <cell r="AE731" t="str">
            <v>0</v>
          </cell>
          <cell r="AF731" t="str">
            <v>00</v>
          </cell>
          <cell r="AI731">
            <v>23705280</v>
          </cell>
          <cell r="AJ731">
            <v>3950880</v>
          </cell>
        </row>
        <row r="732">
          <cell r="A732" t="str">
            <v>02</v>
          </cell>
          <cell r="B732" t="str">
            <v>05</v>
          </cell>
          <cell r="C732" t="str">
            <v>1642</v>
          </cell>
          <cell r="D732" t="str">
            <v>Двигатель АИУ -112-</v>
          </cell>
          <cell r="E732" t="str">
            <v>М2-2081  7,5/3000</v>
          </cell>
          <cell r="F732" t="str">
            <v>зав.N3651271</v>
          </cell>
          <cell r="G732" t="str">
            <v>01</v>
          </cell>
          <cell r="H732">
            <v>1968.41</v>
          </cell>
          <cell r="I732">
            <v>0</v>
          </cell>
          <cell r="J732">
            <v>0</v>
          </cell>
          <cell r="K732">
            <v>1.1100000000000001</v>
          </cell>
          <cell r="L732" t="str">
            <v>20</v>
          </cell>
          <cell r="M732" t="str">
            <v>40200</v>
          </cell>
          <cell r="N732" t="str">
            <v>14 3114104</v>
          </cell>
          <cell r="P732">
            <v>6.6</v>
          </cell>
          <cell r="Q732">
            <v>0</v>
          </cell>
          <cell r="R732" t="str">
            <v>1</v>
          </cell>
          <cell r="S732" t="str">
            <v>40</v>
          </cell>
          <cell r="T732">
            <v>95</v>
          </cell>
          <cell r="U732">
            <v>4</v>
          </cell>
          <cell r="V732">
            <v>96</v>
          </cell>
          <cell r="W732">
            <v>4</v>
          </cell>
          <cell r="X732">
            <v>96</v>
          </cell>
          <cell r="Y732">
            <v>0</v>
          </cell>
          <cell r="Z732">
            <v>0</v>
          </cell>
          <cell r="AD732" t="str">
            <v>0</v>
          </cell>
          <cell r="AE732" t="str">
            <v>0</v>
          </cell>
          <cell r="AF732" t="str">
            <v>00</v>
          </cell>
          <cell r="AI732">
            <v>1773338</v>
          </cell>
          <cell r="AJ732">
            <v>195067.18</v>
          </cell>
        </row>
        <row r="733">
          <cell r="A733" t="str">
            <v>02</v>
          </cell>
          <cell r="B733" t="str">
            <v>71</v>
          </cell>
          <cell r="C733" t="str">
            <v>1643</v>
          </cell>
          <cell r="D733" t="str">
            <v>Экскаватор одноковш.</v>
          </cell>
          <cell r="E733" t="str">
            <v>на пнев.ходу ем ковш</v>
          </cell>
          <cell r="F733" t="str">
            <v>до 0.4м ЭО-2621</v>
          </cell>
          <cell r="G733" t="str">
            <v>01</v>
          </cell>
          <cell r="H733">
            <v>73500</v>
          </cell>
          <cell r="I733">
            <v>0</v>
          </cell>
          <cell r="J733">
            <v>0</v>
          </cell>
          <cell r="K733">
            <v>0.98</v>
          </cell>
          <cell r="L733" t="str">
            <v>23</v>
          </cell>
          <cell r="M733" t="str">
            <v>41800</v>
          </cell>
          <cell r="N733" t="str">
            <v>14 2924331</v>
          </cell>
          <cell r="P733">
            <v>12.5</v>
          </cell>
          <cell r="Q733">
            <v>0</v>
          </cell>
          <cell r="R733" t="str">
            <v>1</v>
          </cell>
          <cell r="S733" t="str">
            <v>41</v>
          </cell>
          <cell r="T733">
            <v>95</v>
          </cell>
          <cell r="U733">
            <v>4</v>
          </cell>
          <cell r="V733">
            <v>96</v>
          </cell>
          <cell r="W733">
            <v>4</v>
          </cell>
          <cell r="X733">
            <v>96</v>
          </cell>
          <cell r="Y733">
            <v>0</v>
          </cell>
          <cell r="Z733">
            <v>0</v>
          </cell>
          <cell r="AD733" t="str">
            <v>0</v>
          </cell>
          <cell r="AE733" t="str">
            <v>0</v>
          </cell>
          <cell r="AF733" t="str">
            <v>00</v>
          </cell>
          <cell r="AI733">
            <v>75000000</v>
          </cell>
          <cell r="AJ733">
            <v>15625000</v>
          </cell>
        </row>
        <row r="734">
          <cell r="A734" t="str">
            <v>02</v>
          </cell>
          <cell r="B734" t="str">
            <v>05</v>
          </cell>
          <cell r="C734" t="str">
            <v>1644</v>
          </cell>
          <cell r="D734" t="str">
            <v>Машина очистная ОМГ-</v>
          </cell>
          <cell r="E734" t="str">
            <v>820</v>
          </cell>
          <cell r="G734" t="str">
            <v>01</v>
          </cell>
          <cell r="H734">
            <v>4000</v>
          </cell>
          <cell r="I734">
            <v>0</v>
          </cell>
          <cell r="J734">
            <v>0</v>
          </cell>
          <cell r="K734">
            <v>1</v>
          </cell>
          <cell r="L734" t="str">
            <v>20</v>
          </cell>
          <cell r="M734" t="str">
            <v>43803</v>
          </cell>
          <cell r="N734" t="str">
            <v>14 2920000</v>
          </cell>
          <cell r="P734">
            <v>33.299999999999997</v>
          </cell>
          <cell r="Q734">
            <v>0</v>
          </cell>
          <cell r="R734" t="str">
            <v>1</v>
          </cell>
          <cell r="S734" t="str">
            <v>43</v>
          </cell>
          <cell r="T734">
            <v>96</v>
          </cell>
          <cell r="U734">
            <v>5</v>
          </cell>
          <cell r="V734">
            <v>96</v>
          </cell>
          <cell r="W734">
            <v>5</v>
          </cell>
          <cell r="X734">
            <v>96</v>
          </cell>
          <cell r="Y734">
            <v>0</v>
          </cell>
          <cell r="Z734">
            <v>0</v>
          </cell>
          <cell r="AB734" t="str">
            <v>14</v>
          </cell>
          <cell r="AC734">
            <v>5</v>
          </cell>
          <cell r="AD734" t="str">
            <v>0</v>
          </cell>
          <cell r="AE734" t="str">
            <v>0</v>
          </cell>
          <cell r="AF734" t="str">
            <v>00</v>
          </cell>
          <cell r="AI734">
            <v>3988371</v>
          </cell>
          <cell r="AJ734">
            <v>2102868.61</v>
          </cell>
        </row>
        <row r="735">
          <cell r="A735" t="str">
            <v>02</v>
          </cell>
          <cell r="B735" t="str">
            <v>70</v>
          </cell>
          <cell r="C735" t="str">
            <v>1645</v>
          </cell>
          <cell r="D735" t="str">
            <v>Машина изоляционная</v>
          </cell>
          <cell r="E735" t="str">
            <v>ИМГ-820</v>
          </cell>
          <cell r="G735" t="str">
            <v>01</v>
          </cell>
          <cell r="H735">
            <v>4890</v>
          </cell>
          <cell r="I735">
            <v>0</v>
          </cell>
          <cell r="J735">
            <v>0</v>
          </cell>
          <cell r="K735">
            <v>0.99</v>
          </cell>
          <cell r="L735" t="str">
            <v>20</v>
          </cell>
          <cell r="M735" t="str">
            <v>43803</v>
          </cell>
          <cell r="N735" t="str">
            <v>14 2920000</v>
          </cell>
          <cell r="P735">
            <v>33.299999999999997</v>
          </cell>
          <cell r="Q735">
            <v>0</v>
          </cell>
          <cell r="R735" t="str">
            <v>1</v>
          </cell>
          <cell r="S735" t="str">
            <v>43</v>
          </cell>
          <cell r="T735">
            <v>96</v>
          </cell>
          <cell r="U735">
            <v>5</v>
          </cell>
          <cell r="V735">
            <v>96</v>
          </cell>
          <cell r="W735">
            <v>5</v>
          </cell>
          <cell r="X735">
            <v>96</v>
          </cell>
          <cell r="Y735">
            <v>0</v>
          </cell>
          <cell r="Z735">
            <v>0</v>
          </cell>
          <cell r="AB735" t="str">
            <v>14</v>
          </cell>
          <cell r="AC735">
            <v>3</v>
          </cell>
          <cell r="AD735" t="str">
            <v>0</v>
          </cell>
          <cell r="AE735" t="str">
            <v>0</v>
          </cell>
          <cell r="AF735" t="str">
            <v>00</v>
          </cell>
          <cell r="AI735">
            <v>4950000</v>
          </cell>
          <cell r="AJ735">
            <v>2609887.5</v>
          </cell>
        </row>
        <row r="736">
          <cell r="A736" t="str">
            <v>02</v>
          </cell>
          <cell r="B736" t="str">
            <v>15</v>
          </cell>
          <cell r="C736" t="str">
            <v>1646</v>
          </cell>
          <cell r="D736" t="str">
            <v>Гидравлическая устан</v>
          </cell>
          <cell r="E736" t="str">
            <v>овка ГУВД 70/63</v>
          </cell>
          <cell r="G736" t="str">
            <v>01</v>
          </cell>
          <cell r="H736">
            <v>102000</v>
          </cell>
          <cell r="I736">
            <v>0</v>
          </cell>
          <cell r="J736">
            <v>0</v>
          </cell>
          <cell r="K736">
            <v>1.01</v>
          </cell>
          <cell r="L736" t="str">
            <v>88/2</v>
          </cell>
          <cell r="M736" t="str">
            <v>43800</v>
          </cell>
          <cell r="N736" t="str">
            <v>14 2916340</v>
          </cell>
          <cell r="P736">
            <v>14.3</v>
          </cell>
          <cell r="Q736">
            <v>0</v>
          </cell>
          <cell r="R736" t="str">
            <v>1</v>
          </cell>
          <cell r="S736" t="str">
            <v>43</v>
          </cell>
          <cell r="T736">
            <v>95</v>
          </cell>
          <cell r="U736">
            <v>5</v>
          </cell>
          <cell r="V736">
            <v>96</v>
          </cell>
          <cell r="W736">
            <v>5</v>
          </cell>
          <cell r="X736">
            <v>96</v>
          </cell>
          <cell r="Y736">
            <v>0</v>
          </cell>
          <cell r="Z736">
            <v>0</v>
          </cell>
          <cell r="AB736" t="str">
            <v>14</v>
          </cell>
          <cell r="AC736">
            <v>10</v>
          </cell>
          <cell r="AD736" t="str">
            <v>0</v>
          </cell>
          <cell r="AE736" t="str">
            <v>0</v>
          </cell>
          <cell r="AF736" t="str">
            <v>00</v>
          </cell>
          <cell r="AI736">
            <v>100769922</v>
          </cell>
          <cell r="AJ736">
            <v>22815989.84</v>
          </cell>
        </row>
        <row r="737">
          <cell r="A737" t="str">
            <v>02</v>
          </cell>
          <cell r="B737" t="str">
            <v>03</v>
          </cell>
          <cell r="C737" t="str">
            <v>1649</v>
          </cell>
          <cell r="D737" t="str">
            <v>Устройство для врезк</v>
          </cell>
          <cell r="E737" t="str">
            <v>и отводов УВО-150</v>
          </cell>
          <cell r="G737" t="str">
            <v>01</v>
          </cell>
          <cell r="H737">
            <v>34600</v>
          </cell>
          <cell r="I737">
            <v>0</v>
          </cell>
          <cell r="J737">
            <v>0</v>
          </cell>
          <cell r="K737">
            <v>1.07</v>
          </cell>
          <cell r="L737" t="str">
            <v>26</v>
          </cell>
          <cell r="M737" t="str">
            <v>41000</v>
          </cell>
          <cell r="N737" t="str">
            <v>14 2894000</v>
          </cell>
          <cell r="P737">
            <v>5</v>
          </cell>
          <cell r="Q737">
            <v>0</v>
          </cell>
          <cell r="R737" t="str">
            <v>1</v>
          </cell>
          <cell r="S737" t="str">
            <v>41</v>
          </cell>
          <cell r="T737">
            <v>96</v>
          </cell>
          <cell r="U737">
            <v>5</v>
          </cell>
          <cell r="V737">
            <v>96</v>
          </cell>
          <cell r="W737">
            <v>5</v>
          </cell>
          <cell r="X737">
            <v>96</v>
          </cell>
          <cell r="Y737">
            <v>0</v>
          </cell>
          <cell r="Z737">
            <v>0</v>
          </cell>
          <cell r="AD737" t="str">
            <v>0</v>
          </cell>
          <cell r="AE737" t="str">
            <v>0</v>
          </cell>
          <cell r="AF737" t="str">
            <v>00</v>
          </cell>
          <cell r="AI737">
            <v>32284062</v>
          </cell>
          <cell r="AJ737">
            <v>2555821.5699999998</v>
          </cell>
        </row>
        <row r="738">
          <cell r="A738" t="str">
            <v>16</v>
          </cell>
          <cell r="B738" t="str">
            <v>06</v>
          </cell>
          <cell r="C738" t="str">
            <v>1647</v>
          </cell>
          <cell r="D738" t="str">
            <v>Щит ЩО-1-10</v>
          </cell>
          <cell r="G738" t="str">
            <v>01</v>
          </cell>
          <cell r="H738">
            <v>20937.5</v>
          </cell>
          <cell r="I738">
            <v>0</v>
          </cell>
          <cell r="J738">
            <v>25125</v>
          </cell>
          <cell r="K738">
            <v>1.04</v>
          </cell>
          <cell r="L738" t="str">
            <v>88/1</v>
          </cell>
          <cell r="M738" t="str">
            <v>40702</v>
          </cell>
          <cell r="N738" t="str">
            <v>14 3120390</v>
          </cell>
          <cell r="P738">
            <v>9.1</v>
          </cell>
          <cell r="Q738">
            <v>0</v>
          </cell>
          <cell r="R738" t="str">
            <v>1</v>
          </cell>
          <cell r="S738" t="str">
            <v>40</v>
          </cell>
          <cell r="T738">
            <v>96</v>
          </cell>
          <cell r="U738">
            <v>5</v>
          </cell>
          <cell r="V738">
            <v>96</v>
          </cell>
          <cell r="W738">
            <v>5</v>
          </cell>
          <cell r="X738">
            <v>96</v>
          </cell>
          <cell r="Y738">
            <v>6</v>
          </cell>
          <cell r="Z738">
            <v>96</v>
          </cell>
          <cell r="AB738" t="str">
            <v>14</v>
          </cell>
          <cell r="AC738">
            <v>2</v>
          </cell>
          <cell r="AD738" t="str">
            <v>0</v>
          </cell>
          <cell r="AE738" t="str">
            <v>1</v>
          </cell>
          <cell r="AF738" t="str">
            <v>16</v>
          </cell>
          <cell r="AI738">
            <v>24192007</v>
          </cell>
          <cell r="AJ738">
            <v>3455089.01</v>
          </cell>
        </row>
        <row r="739">
          <cell r="A739" t="str">
            <v>02</v>
          </cell>
          <cell r="B739" t="str">
            <v>80</v>
          </cell>
          <cell r="C739" t="str">
            <v>1650</v>
          </cell>
          <cell r="D739" t="str">
            <v>Стол S-135</v>
          </cell>
          <cell r="G739" t="str">
            <v>01</v>
          </cell>
          <cell r="H739">
            <v>664</v>
          </cell>
          <cell r="I739">
            <v>0</v>
          </cell>
          <cell r="J739">
            <v>0</v>
          </cell>
          <cell r="K739">
            <v>1</v>
          </cell>
          <cell r="L739" t="str">
            <v>26</v>
          </cell>
          <cell r="M739" t="str">
            <v>70003</v>
          </cell>
          <cell r="N739" t="str">
            <v>16 3612421</v>
          </cell>
          <cell r="P739">
            <v>10</v>
          </cell>
          <cell r="Q739">
            <v>0</v>
          </cell>
          <cell r="R739" t="str">
            <v>1</v>
          </cell>
          <cell r="S739" t="str">
            <v>70</v>
          </cell>
          <cell r="T739">
            <v>96</v>
          </cell>
          <cell r="U739">
            <v>5</v>
          </cell>
          <cell r="V739">
            <v>96</v>
          </cell>
          <cell r="W739">
            <v>5</v>
          </cell>
          <cell r="X739">
            <v>96</v>
          </cell>
          <cell r="Y739">
            <v>0</v>
          </cell>
          <cell r="Z739">
            <v>0</v>
          </cell>
          <cell r="AD739" t="str">
            <v>0</v>
          </cell>
          <cell r="AE739" t="str">
            <v>0</v>
          </cell>
          <cell r="AF739" t="str">
            <v>00</v>
          </cell>
          <cell r="AI739">
            <v>666667</v>
          </cell>
          <cell r="AJ739">
            <v>105555.61</v>
          </cell>
        </row>
        <row r="740">
          <cell r="A740" t="str">
            <v>02</v>
          </cell>
          <cell r="B740" t="str">
            <v>80</v>
          </cell>
          <cell r="C740" t="str">
            <v>1651</v>
          </cell>
          <cell r="D740" t="str">
            <v>Стол S-135</v>
          </cell>
          <cell r="G740" t="str">
            <v>01</v>
          </cell>
          <cell r="H740">
            <v>664</v>
          </cell>
          <cell r="I740">
            <v>0</v>
          </cell>
          <cell r="J740">
            <v>0</v>
          </cell>
          <cell r="K740">
            <v>1</v>
          </cell>
          <cell r="L740" t="str">
            <v>26</v>
          </cell>
          <cell r="M740" t="str">
            <v>70003</v>
          </cell>
          <cell r="N740" t="str">
            <v>16 3612421</v>
          </cell>
          <cell r="P740">
            <v>10</v>
          </cell>
          <cell r="Q740">
            <v>0</v>
          </cell>
          <cell r="R740" t="str">
            <v>1</v>
          </cell>
          <cell r="S740" t="str">
            <v>70</v>
          </cell>
          <cell r="T740">
            <v>96</v>
          </cell>
          <cell r="U740">
            <v>5</v>
          </cell>
          <cell r="V740">
            <v>96</v>
          </cell>
          <cell r="W740">
            <v>5</v>
          </cell>
          <cell r="X740">
            <v>96</v>
          </cell>
          <cell r="Y740">
            <v>0</v>
          </cell>
          <cell r="Z740">
            <v>0</v>
          </cell>
          <cell r="AD740" t="str">
            <v>0</v>
          </cell>
          <cell r="AE740" t="str">
            <v>0</v>
          </cell>
          <cell r="AF740" t="str">
            <v>00</v>
          </cell>
          <cell r="AI740">
            <v>666667</v>
          </cell>
          <cell r="AJ740">
            <v>105555.61</v>
          </cell>
        </row>
        <row r="741">
          <cell r="A741" t="str">
            <v>02</v>
          </cell>
          <cell r="B741" t="str">
            <v>80</v>
          </cell>
          <cell r="C741" t="str">
            <v>1652</v>
          </cell>
          <cell r="D741" t="str">
            <v>Тумба</v>
          </cell>
          <cell r="G741" t="str">
            <v>01</v>
          </cell>
          <cell r="H741">
            <v>512</v>
          </cell>
          <cell r="I741">
            <v>0</v>
          </cell>
          <cell r="J741">
            <v>0</v>
          </cell>
          <cell r="K741">
            <v>0.65</v>
          </cell>
          <cell r="L741" t="str">
            <v>26</v>
          </cell>
          <cell r="M741" t="str">
            <v>70003</v>
          </cell>
          <cell r="N741" t="str">
            <v>16 3612461</v>
          </cell>
          <cell r="P741">
            <v>10</v>
          </cell>
          <cell r="Q741">
            <v>0</v>
          </cell>
          <cell r="R741" t="str">
            <v>1</v>
          </cell>
          <cell r="S741" t="str">
            <v>70</v>
          </cell>
          <cell r="T741">
            <v>96</v>
          </cell>
          <cell r="U741">
            <v>5</v>
          </cell>
          <cell r="V741">
            <v>96</v>
          </cell>
          <cell r="W741">
            <v>5</v>
          </cell>
          <cell r="X741">
            <v>96</v>
          </cell>
          <cell r="Y741">
            <v>0</v>
          </cell>
          <cell r="Z741">
            <v>0</v>
          </cell>
          <cell r="AD741" t="str">
            <v>0</v>
          </cell>
          <cell r="AE741" t="str">
            <v>0</v>
          </cell>
          <cell r="AF741" t="str">
            <v>00</v>
          </cell>
          <cell r="AI741">
            <v>791666</v>
          </cell>
          <cell r="AJ741">
            <v>125347.12</v>
          </cell>
        </row>
        <row r="742">
          <cell r="A742" t="str">
            <v>02</v>
          </cell>
          <cell r="B742" t="str">
            <v>80</v>
          </cell>
          <cell r="C742" t="str">
            <v>1653</v>
          </cell>
          <cell r="D742" t="str">
            <v>Тумба</v>
          </cell>
          <cell r="G742" t="str">
            <v>01</v>
          </cell>
          <cell r="H742">
            <v>512</v>
          </cell>
          <cell r="I742">
            <v>0</v>
          </cell>
          <cell r="J742">
            <v>0</v>
          </cell>
          <cell r="K742">
            <v>0.65</v>
          </cell>
          <cell r="L742" t="str">
            <v>26</v>
          </cell>
          <cell r="M742" t="str">
            <v>70003</v>
          </cell>
          <cell r="N742" t="str">
            <v>16 3612461</v>
          </cell>
          <cell r="P742">
            <v>10</v>
          </cell>
          <cell r="Q742">
            <v>0</v>
          </cell>
          <cell r="R742" t="str">
            <v>1</v>
          </cell>
          <cell r="S742" t="str">
            <v>70</v>
          </cell>
          <cell r="T742">
            <v>96</v>
          </cell>
          <cell r="U742">
            <v>5</v>
          </cell>
          <cell r="V742">
            <v>96</v>
          </cell>
          <cell r="W742">
            <v>5</v>
          </cell>
          <cell r="X742">
            <v>96</v>
          </cell>
          <cell r="Y742">
            <v>0</v>
          </cell>
          <cell r="Z742">
            <v>0</v>
          </cell>
          <cell r="AD742" t="str">
            <v>0</v>
          </cell>
          <cell r="AE742" t="str">
            <v>0</v>
          </cell>
          <cell r="AF742" t="str">
            <v>00</v>
          </cell>
          <cell r="AI742">
            <v>791666</v>
          </cell>
          <cell r="AJ742">
            <v>125347.12</v>
          </cell>
        </row>
        <row r="743">
          <cell r="A743" t="str">
            <v>02</v>
          </cell>
          <cell r="B743" t="str">
            <v>80</v>
          </cell>
          <cell r="C743" t="str">
            <v>1654</v>
          </cell>
          <cell r="D743" t="str">
            <v>Стеллаж S-135</v>
          </cell>
          <cell r="G743" t="str">
            <v>01</v>
          </cell>
          <cell r="H743">
            <v>833.33</v>
          </cell>
          <cell r="I743">
            <v>0</v>
          </cell>
          <cell r="J743">
            <v>0</v>
          </cell>
          <cell r="K743">
            <v>1</v>
          </cell>
          <cell r="L743" t="str">
            <v>26</v>
          </cell>
          <cell r="M743" t="str">
            <v>70003</v>
          </cell>
          <cell r="N743" t="str">
            <v>16 3612431</v>
          </cell>
          <cell r="P743">
            <v>10</v>
          </cell>
          <cell r="Q743">
            <v>0</v>
          </cell>
          <cell r="R743" t="str">
            <v>1</v>
          </cell>
          <cell r="S743" t="str">
            <v>70</v>
          </cell>
          <cell r="T743">
            <v>96</v>
          </cell>
          <cell r="U743">
            <v>5</v>
          </cell>
          <cell r="V743">
            <v>96</v>
          </cell>
          <cell r="W743">
            <v>5</v>
          </cell>
          <cell r="X743">
            <v>96</v>
          </cell>
          <cell r="Y743">
            <v>0</v>
          </cell>
          <cell r="Z743">
            <v>0</v>
          </cell>
          <cell r="AD743" t="str">
            <v>0</v>
          </cell>
          <cell r="AE743" t="str">
            <v>0</v>
          </cell>
          <cell r="AF743" t="str">
            <v>00</v>
          </cell>
          <cell r="AI743">
            <v>833333</v>
          </cell>
          <cell r="AJ743">
            <v>131944.39000000001</v>
          </cell>
        </row>
        <row r="744">
          <cell r="A744" t="str">
            <v>02</v>
          </cell>
          <cell r="B744" t="str">
            <v>80</v>
          </cell>
          <cell r="C744" t="str">
            <v>1655</v>
          </cell>
          <cell r="D744" t="str">
            <v>Стеллаж S-135</v>
          </cell>
          <cell r="G744" t="str">
            <v>01</v>
          </cell>
          <cell r="H744">
            <v>833.33</v>
          </cell>
          <cell r="I744">
            <v>0</v>
          </cell>
          <cell r="J744">
            <v>0</v>
          </cell>
          <cell r="K744">
            <v>1</v>
          </cell>
          <cell r="L744" t="str">
            <v>26</v>
          </cell>
          <cell r="M744" t="str">
            <v>70003</v>
          </cell>
          <cell r="N744" t="str">
            <v>16 3612431</v>
          </cell>
          <cell r="P744">
            <v>10</v>
          </cell>
          <cell r="Q744">
            <v>0</v>
          </cell>
          <cell r="R744" t="str">
            <v>1</v>
          </cell>
          <cell r="S744" t="str">
            <v>70</v>
          </cell>
          <cell r="T744">
            <v>96</v>
          </cell>
          <cell r="U744">
            <v>5</v>
          </cell>
          <cell r="V744">
            <v>96</v>
          </cell>
          <cell r="W744">
            <v>5</v>
          </cell>
          <cell r="X744">
            <v>96</v>
          </cell>
          <cell r="Y744">
            <v>0</v>
          </cell>
          <cell r="Z744">
            <v>0</v>
          </cell>
          <cell r="AD744" t="str">
            <v>0</v>
          </cell>
          <cell r="AE744" t="str">
            <v>0</v>
          </cell>
          <cell r="AF744" t="str">
            <v>00</v>
          </cell>
          <cell r="AI744">
            <v>833333</v>
          </cell>
          <cell r="AJ744">
            <v>131944.39000000001</v>
          </cell>
        </row>
        <row r="745">
          <cell r="A745" t="str">
            <v>02</v>
          </cell>
          <cell r="B745" t="str">
            <v>80</v>
          </cell>
          <cell r="C745" t="str">
            <v>1656</v>
          </cell>
          <cell r="D745" t="str">
            <v>Шкаф с цоколем</v>
          </cell>
          <cell r="G745" t="str">
            <v>01</v>
          </cell>
          <cell r="H745">
            <v>1175</v>
          </cell>
          <cell r="I745">
            <v>0</v>
          </cell>
          <cell r="J745">
            <v>0</v>
          </cell>
          <cell r="K745">
            <v>1</v>
          </cell>
          <cell r="L745" t="str">
            <v>26</v>
          </cell>
          <cell r="M745" t="str">
            <v>70003</v>
          </cell>
          <cell r="N745" t="str">
            <v>16 3612430</v>
          </cell>
          <cell r="P745">
            <v>10</v>
          </cell>
          <cell r="Q745">
            <v>0</v>
          </cell>
          <cell r="R745" t="str">
            <v>1</v>
          </cell>
          <cell r="S745" t="str">
            <v>70</v>
          </cell>
          <cell r="T745">
            <v>96</v>
          </cell>
          <cell r="U745">
            <v>5</v>
          </cell>
          <cell r="V745">
            <v>96</v>
          </cell>
          <cell r="W745">
            <v>5</v>
          </cell>
          <cell r="X745">
            <v>96</v>
          </cell>
          <cell r="Y745">
            <v>0</v>
          </cell>
          <cell r="Z745">
            <v>0</v>
          </cell>
          <cell r="AD745" t="str">
            <v>0</v>
          </cell>
          <cell r="AE745" t="str">
            <v>0</v>
          </cell>
          <cell r="AF745" t="str">
            <v>00</v>
          </cell>
          <cell r="AI745">
            <v>1174999</v>
          </cell>
          <cell r="AJ745">
            <v>186041.51</v>
          </cell>
        </row>
        <row r="746">
          <cell r="A746" t="str">
            <v>02</v>
          </cell>
          <cell r="B746" t="str">
            <v>23</v>
          </cell>
          <cell r="C746" t="str">
            <v>1660</v>
          </cell>
          <cell r="D746" t="str">
            <v>Источник бесперебойн</v>
          </cell>
          <cell r="E746" t="str">
            <v>ого питания BACK=UPS</v>
          </cell>
          <cell r="F746" t="str">
            <v>-250 APS    Америка</v>
          </cell>
          <cell r="G746" t="str">
            <v>01</v>
          </cell>
          <cell r="H746">
            <v>778.82</v>
          </cell>
          <cell r="I746">
            <v>0</v>
          </cell>
          <cell r="J746">
            <v>0</v>
          </cell>
          <cell r="K746">
            <v>0.26</v>
          </cell>
          <cell r="L746" t="str">
            <v>23</v>
          </cell>
          <cell r="M746" t="str">
            <v>48003</v>
          </cell>
          <cell r="N746" t="str">
            <v>22 0000000</v>
          </cell>
          <cell r="P746">
            <v>11.1</v>
          </cell>
          <cell r="Q746">
            <v>0</v>
          </cell>
          <cell r="R746" t="str">
            <v>1</v>
          </cell>
          <cell r="S746" t="str">
            <v>48</v>
          </cell>
          <cell r="T746">
            <v>96</v>
          </cell>
          <cell r="U746">
            <v>5</v>
          </cell>
          <cell r="V746">
            <v>96</v>
          </cell>
          <cell r="W746">
            <v>5</v>
          </cell>
          <cell r="X746">
            <v>96</v>
          </cell>
          <cell r="Y746">
            <v>0</v>
          </cell>
          <cell r="Z746">
            <v>0</v>
          </cell>
          <cell r="AB746" t="str">
            <v>14</v>
          </cell>
          <cell r="AC746">
            <v>8</v>
          </cell>
          <cell r="AD746" t="str">
            <v>0</v>
          </cell>
          <cell r="AE746" t="str">
            <v>0</v>
          </cell>
          <cell r="AF746" t="str">
            <v>00</v>
          </cell>
          <cell r="AI746">
            <v>3000000</v>
          </cell>
          <cell r="AJ746">
            <v>527250</v>
          </cell>
        </row>
        <row r="747">
          <cell r="A747" t="str">
            <v>02</v>
          </cell>
          <cell r="B747" t="str">
            <v>80</v>
          </cell>
          <cell r="C747" t="str">
            <v>1661</v>
          </cell>
          <cell r="D747" t="str">
            <v>Компьютер Pentum 90/</v>
          </cell>
          <cell r="E747" t="str">
            <v>16 c принтером EPSON</v>
          </cell>
          <cell r="F747" t="str">
            <v>-1050</v>
          </cell>
          <cell r="G747" t="str">
            <v>01</v>
          </cell>
          <cell r="H747">
            <v>6580.9</v>
          </cell>
          <cell r="I747">
            <v>0</v>
          </cell>
          <cell r="J747">
            <v>15259.3</v>
          </cell>
          <cell r="K747">
            <v>0.45</v>
          </cell>
          <cell r="L747" t="str">
            <v>26</v>
          </cell>
          <cell r="M747" t="str">
            <v>48008</v>
          </cell>
          <cell r="N747" t="str">
            <v>14 3020203</v>
          </cell>
          <cell r="P747">
            <v>10</v>
          </cell>
          <cell r="Q747">
            <v>0</v>
          </cell>
          <cell r="R747" t="str">
            <v>1</v>
          </cell>
          <cell r="S747" t="str">
            <v>48</v>
          </cell>
          <cell r="T747">
            <v>96</v>
          </cell>
          <cell r="U747">
            <v>5</v>
          </cell>
          <cell r="V747">
            <v>96</v>
          </cell>
          <cell r="W747">
            <v>5</v>
          </cell>
          <cell r="X747">
            <v>96</v>
          </cell>
          <cell r="Y747">
            <v>6</v>
          </cell>
          <cell r="Z747">
            <v>99</v>
          </cell>
          <cell r="AD747" t="str">
            <v>0</v>
          </cell>
          <cell r="AE747" t="str">
            <v>0</v>
          </cell>
          <cell r="AF747" t="str">
            <v>00</v>
          </cell>
          <cell r="AI747">
            <v>11000000</v>
          </cell>
          <cell r="AJ747">
            <v>1741666.67</v>
          </cell>
        </row>
        <row r="748">
          <cell r="A748" t="str">
            <v>02</v>
          </cell>
          <cell r="B748" t="str">
            <v>80</v>
          </cell>
          <cell r="C748" t="str">
            <v>1662</v>
          </cell>
          <cell r="D748" t="str">
            <v>Компьютер 486 ДХ2-66</v>
          </cell>
          <cell r="E748" t="str">
            <v>1 4-1208SVQA c принт</v>
          </cell>
          <cell r="F748" t="str">
            <v>ером EPSON LX-300</v>
          </cell>
          <cell r="G748" t="str">
            <v>01</v>
          </cell>
          <cell r="H748">
            <v>4090</v>
          </cell>
          <cell r="I748">
            <v>0</v>
          </cell>
          <cell r="J748">
            <v>0</v>
          </cell>
          <cell r="K748">
            <v>0.46</v>
          </cell>
          <cell r="L748" t="str">
            <v>26</v>
          </cell>
          <cell r="M748" t="str">
            <v>48008</v>
          </cell>
          <cell r="N748" t="str">
            <v>14 3020203</v>
          </cell>
          <cell r="P748">
            <v>10</v>
          </cell>
          <cell r="Q748">
            <v>0</v>
          </cell>
          <cell r="R748" t="str">
            <v>1</v>
          </cell>
          <cell r="S748" t="str">
            <v>48</v>
          </cell>
          <cell r="T748">
            <v>96</v>
          </cell>
          <cell r="U748">
            <v>5</v>
          </cell>
          <cell r="V748">
            <v>96</v>
          </cell>
          <cell r="W748">
            <v>5</v>
          </cell>
          <cell r="X748">
            <v>96</v>
          </cell>
          <cell r="Y748">
            <v>0</v>
          </cell>
          <cell r="Z748">
            <v>0</v>
          </cell>
          <cell r="AD748" t="str">
            <v>0</v>
          </cell>
          <cell r="AE748" t="str">
            <v>0</v>
          </cell>
          <cell r="AF748" t="str">
            <v>00</v>
          </cell>
          <cell r="AI748">
            <v>7000000</v>
          </cell>
          <cell r="AJ748">
            <v>1108333.33</v>
          </cell>
        </row>
        <row r="749">
          <cell r="A749" t="str">
            <v>02</v>
          </cell>
          <cell r="B749" t="str">
            <v>80</v>
          </cell>
          <cell r="C749" t="str">
            <v>1663</v>
          </cell>
          <cell r="D749" t="str">
            <v>Компьютер 486 ДЧ2-66</v>
          </cell>
          <cell r="E749" t="str">
            <v>1 4-120/SVQA c принт</v>
          </cell>
          <cell r="F749" t="str">
            <v>ером EPSON LX-300</v>
          </cell>
          <cell r="G749" t="str">
            <v>01</v>
          </cell>
          <cell r="H749">
            <v>4090</v>
          </cell>
          <cell r="I749">
            <v>0</v>
          </cell>
          <cell r="J749">
            <v>8418.4</v>
          </cell>
          <cell r="K749">
            <v>0.46</v>
          </cell>
          <cell r="L749" t="str">
            <v>26</v>
          </cell>
          <cell r="M749" t="str">
            <v>48008</v>
          </cell>
          <cell r="N749" t="str">
            <v>14 3020203</v>
          </cell>
          <cell r="P749">
            <v>10</v>
          </cell>
          <cell r="Q749">
            <v>0</v>
          </cell>
          <cell r="R749" t="str">
            <v>1</v>
          </cell>
          <cell r="S749" t="str">
            <v>48</v>
          </cell>
          <cell r="T749">
            <v>96</v>
          </cell>
          <cell r="U749">
            <v>5</v>
          </cell>
          <cell r="V749">
            <v>96</v>
          </cell>
          <cell r="W749">
            <v>5</v>
          </cell>
          <cell r="X749">
            <v>96</v>
          </cell>
          <cell r="Y749">
            <v>6</v>
          </cell>
          <cell r="Z749">
            <v>99</v>
          </cell>
          <cell r="AD749" t="str">
            <v>0</v>
          </cell>
          <cell r="AE749" t="str">
            <v>0</v>
          </cell>
          <cell r="AF749" t="str">
            <v>00</v>
          </cell>
          <cell r="AI749">
            <v>7000000</v>
          </cell>
          <cell r="AJ749">
            <v>1108333.33</v>
          </cell>
        </row>
        <row r="750">
          <cell r="A750" t="str">
            <v>02</v>
          </cell>
          <cell r="B750" t="str">
            <v>80</v>
          </cell>
          <cell r="C750" t="str">
            <v>1664</v>
          </cell>
          <cell r="D750" t="str">
            <v>Факс Panasonic 390В</v>
          </cell>
          <cell r="G750" t="str">
            <v>01</v>
          </cell>
          <cell r="H750">
            <v>4173</v>
          </cell>
          <cell r="I750">
            <v>0</v>
          </cell>
          <cell r="J750">
            <v>0</v>
          </cell>
          <cell r="K750">
            <v>0.83</v>
          </cell>
          <cell r="L750" t="str">
            <v>26</v>
          </cell>
          <cell r="M750" t="str">
            <v>45613</v>
          </cell>
          <cell r="N750" t="str">
            <v>14 3222146</v>
          </cell>
          <cell r="P750">
            <v>7.4</v>
          </cell>
          <cell r="Q750">
            <v>0</v>
          </cell>
          <cell r="R750" t="str">
            <v>1</v>
          </cell>
          <cell r="S750" t="str">
            <v>48</v>
          </cell>
          <cell r="T750">
            <v>96</v>
          </cell>
          <cell r="U750">
            <v>5</v>
          </cell>
          <cell r="V750">
            <v>96</v>
          </cell>
          <cell r="W750">
            <v>5</v>
          </cell>
          <cell r="X750">
            <v>96</v>
          </cell>
          <cell r="Y750">
            <v>0</v>
          </cell>
          <cell r="Z750">
            <v>0</v>
          </cell>
          <cell r="AD750" t="str">
            <v>0</v>
          </cell>
          <cell r="AE750" t="str">
            <v>0</v>
          </cell>
          <cell r="AF750" t="str">
            <v>00</v>
          </cell>
          <cell r="AI750">
            <v>5000000</v>
          </cell>
          <cell r="AJ750">
            <v>585833.32999999996</v>
          </cell>
        </row>
        <row r="751">
          <cell r="A751" t="str">
            <v>02</v>
          </cell>
          <cell r="B751" t="str">
            <v>02</v>
          </cell>
          <cell r="C751" t="str">
            <v>1669</v>
          </cell>
          <cell r="D751" t="str">
            <v>Вагон "Кедр-4" пере-</v>
          </cell>
          <cell r="E751" t="str">
            <v>движной деревометалл</v>
          </cell>
          <cell r="F751" t="str">
            <v>ический</v>
          </cell>
          <cell r="G751" t="str">
            <v>01</v>
          </cell>
          <cell r="H751">
            <v>85000</v>
          </cell>
          <cell r="I751">
            <v>0</v>
          </cell>
          <cell r="J751">
            <v>0</v>
          </cell>
          <cell r="K751">
            <v>1</v>
          </cell>
          <cell r="L751" t="str">
            <v>20</v>
          </cell>
          <cell r="M751" t="str">
            <v>10010</v>
          </cell>
          <cell r="N751" t="str">
            <v>13 2022261</v>
          </cell>
          <cell r="P751">
            <v>12.5</v>
          </cell>
          <cell r="Q751">
            <v>0</v>
          </cell>
          <cell r="R751" t="str">
            <v>1</v>
          </cell>
          <cell r="S751" t="str">
            <v>10</v>
          </cell>
          <cell r="T751">
            <v>96</v>
          </cell>
          <cell r="U751">
            <v>6</v>
          </cell>
          <cell r="V751">
            <v>96</v>
          </cell>
          <cell r="W751">
            <v>6</v>
          </cell>
          <cell r="X751">
            <v>96</v>
          </cell>
          <cell r="Y751">
            <v>0</v>
          </cell>
          <cell r="Z751">
            <v>0</v>
          </cell>
          <cell r="AD751" t="str">
            <v>0</v>
          </cell>
          <cell r="AE751" t="str">
            <v>0</v>
          </cell>
          <cell r="AF751" t="str">
            <v>00</v>
          </cell>
          <cell r="AI751">
            <v>85000000</v>
          </cell>
          <cell r="AJ751">
            <v>15937500</v>
          </cell>
        </row>
        <row r="752">
          <cell r="A752" t="str">
            <v>02</v>
          </cell>
          <cell r="B752" t="str">
            <v>99</v>
          </cell>
          <cell r="C752" t="str">
            <v>1670</v>
          </cell>
          <cell r="D752" t="str">
            <v>Вагон "Кедр-4" перед</v>
          </cell>
          <cell r="E752" t="str">
            <v>вижной деревометалли</v>
          </cell>
          <cell r="F752" t="str">
            <v>ческий</v>
          </cell>
          <cell r="G752" t="str">
            <v>01</v>
          </cell>
          <cell r="H752">
            <v>85000</v>
          </cell>
          <cell r="I752">
            <v>0</v>
          </cell>
          <cell r="J752">
            <v>0</v>
          </cell>
          <cell r="K752">
            <v>1</v>
          </cell>
          <cell r="L752" t="str">
            <v>20</v>
          </cell>
          <cell r="M752" t="str">
            <v>10010</v>
          </cell>
          <cell r="N752" t="str">
            <v>13 2022261</v>
          </cell>
          <cell r="P752">
            <v>12.5</v>
          </cell>
          <cell r="Q752">
            <v>0</v>
          </cell>
          <cell r="R752" t="str">
            <v>1</v>
          </cell>
          <cell r="S752" t="str">
            <v>10</v>
          </cell>
          <cell r="T752">
            <v>96</v>
          </cell>
          <cell r="U752">
            <v>6</v>
          </cell>
          <cell r="V752">
            <v>96</v>
          </cell>
          <cell r="W752">
            <v>6</v>
          </cell>
          <cell r="X752">
            <v>96</v>
          </cell>
          <cell r="Y752">
            <v>0</v>
          </cell>
          <cell r="Z752">
            <v>0</v>
          </cell>
          <cell r="AB752" t="str">
            <v>14</v>
          </cell>
          <cell r="AC752">
            <v>3</v>
          </cell>
          <cell r="AD752" t="str">
            <v>0</v>
          </cell>
          <cell r="AE752" t="str">
            <v>0</v>
          </cell>
          <cell r="AF752" t="str">
            <v>00</v>
          </cell>
          <cell r="AI752">
            <v>85000000</v>
          </cell>
          <cell r="AJ752">
            <v>15937500</v>
          </cell>
        </row>
        <row r="753">
          <cell r="A753" t="str">
            <v>02</v>
          </cell>
          <cell r="B753" t="str">
            <v>02</v>
          </cell>
          <cell r="C753" t="str">
            <v>1671</v>
          </cell>
          <cell r="D753" t="str">
            <v>Вагон "Кедр-4" перед</v>
          </cell>
          <cell r="E753" t="str">
            <v>вижной деревометалли</v>
          </cell>
          <cell r="F753" t="str">
            <v>ческий</v>
          </cell>
          <cell r="G753" t="str">
            <v>01</v>
          </cell>
          <cell r="H753">
            <v>85000</v>
          </cell>
          <cell r="I753">
            <v>0</v>
          </cell>
          <cell r="J753">
            <v>0</v>
          </cell>
          <cell r="K753">
            <v>1</v>
          </cell>
          <cell r="L753" t="str">
            <v>20</v>
          </cell>
          <cell r="M753" t="str">
            <v>10010</v>
          </cell>
          <cell r="N753" t="str">
            <v>13 2022261</v>
          </cell>
          <cell r="P753">
            <v>12.5</v>
          </cell>
          <cell r="Q753">
            <v>0</v>
          </cell>
          <cell r="R753" t="str">
            <v>1</v>
          </cell>
          <cell r="S753" t="str">
            <v>10</v>
          </cell>
          <cell r="T753">
            <v>96</v>
          </cell>
          <cell r="U753">
            <v>6</v>
          </cell>
          <cell r="V753">
            <v>96</v>
          </cell>
          <cell r="W753">
            <v>6</v>
          </cell>
          <cell r="X753">
            <v>96</v>
          </cell>
          <cell r="Y753">
            <v>0</v>
          </cell>
          <cell r="Z753">
            <v>0</v>
          </cell>
          <cell r="AD753" t="str">
            <v>0</v>
          </cell>
          <cell r="AE753" t="str">
            <v>0</v>
          </cell>
          <cell r="AF753" t="str">
            <v>00</v>
          </cell>
          <cell r="AI753">
            <v>85000000</v>
          </cell>
          <cell r="AJ753">
            <v>15937500</v>
          </cell>
        </row>
        <row r="754">
          <cell r="A754" t="str">
            <v>02</v>
          </cell>
          <cell r="B754" t="str">
            <v>99</v>
          </cell>
          <cell r="C754" t="str">
            <v>1272</v>
          </cell>
          <cell r="D754" t="str">
            <v>Вагон "Кедр-4" перед</v>
          </cell>
          <cell r="E754" t="str">
            <v>вижной деревометалли</v>
          </cell>
          <cell r="F754" t="str">
            <v>ческий</v>
          </cell>
          <cell r="G754" t="str">
            <v>01</v>
          </cell>
          <cell r="H754">
            <v>85000</v>
          </cell>
          <cell r="I754">
            <v>0</v>
          </cell>
          <cell r="J754">
            <v>0</v>
          </cell>
          <cell r="K754">
            <v>1</v>
          </cell>
          <cell r="L754" t="str">
            <v>20</v>
          </cell>
          <cell r="M754" t="str">
            <v>10010</v>
          </cell>
          <cell r="N754" t="str">
            <v>13 2022261</v>
          </cell>
          <cell r="P754">
            <v>12.5</v>
          </cell>
          <cell r="Q754">
            <v>0</v>
          </cell>
          <cell r="R754" t="str">
            <v>1</v>
          </cell>
          <cell r="S754" t="str">
            <v>10</v>
          </cell>
          <cell r="T754">
            <v>96</v>
          </cell>
          <cell r="U754">
            <v>6</v>
          </cell>
          <cell r="V754">
            <v>96</v>
          </cell>
          <cell r="W754">
            <v>6</v>
          </cell>
          <cell r="X754">
            <v>96</v>
          </cell>
          <cell r="Y754">
            <v>0</v>
          </cell>
          <cell r="Z754">
            <v>0</v>
          </cell>
          <cell r="AB754" t="str">
            <v>14</v>
          </cell>
          <cell r="AC754">
            <v>3</v>
          </cell>
          <cell r="AD754" t="str">
            <v>0</v>
          </cell>
          <cell r="AE754" t="str">
            <v>0</v>
          </cell>
          <cell r="AF754" t="str">
            <v>00</v>
          </cell>
          <cell r="AI754">
            <v>85000000</v>
          </cell>
          <cell r="AJ754">
            <v>15937500</v>
          </cell>
        </row>
        <row r="755">
          <cell r="A755" t="str">
            <v>02</v>
          </cell>
          <cell r="B755" t="str">
            <v>02</v>
          </cell>
          <cell r="C755" t="str">
            <v>1673</v>
          </cell>
          <cell r="D755" t="str">
            <v>Машина для очистки и</v>
          </cell>
          <cell r="E755" t="str">
            <v xml:space="preserve"> изоляции трубопрово</v>
          </cell>
          <cell r="F755" t="str">
            <v>дов g1220мм комбайн</v>
          </cell>
          <cell r="G755" t="str">
            <v>01</v>
          </cell>
          <cell r="H755">
            <v>270000</v>
          </cell>
          <cell r="I755">
            <v>0</v>
          </cell>
          <cell r="J755">
            <v>0</v>
          </cell>
          <cell r="K755">
            <v>1.01</v>
          </cell>
          <cell r="L755" t="str">
            <v>20</v>
          </cell>
          <cell r="M755" t="str">
            <v>43803</v>
          </cell>
          <cell r="N755" t="str">
            <v>14 2947195</v>
          </cell>
          <cell r="P755">
            <v>33.299999999999997</v>
          </cell>
          <cell r="Q755">
            <v>0</v>
          </cell>
          <cell r="R755" t="str">
            <v>1</v>
          </cell>
          <cell r="S755" t="str">
            <v>43</v>
          </cell>
          <cell r="T755">
            <v>96</v>
          </cell>
          <cell r="U755">
            <v>6</v>
          </cell>
          <cell r="V755">
            <v>96</v>
          </cell>
          <cell r="W755">
            <v>6</v>
          </cell>
          <cell r="X755">
            <v>96</v>
          </cell>
          <cell r="Y755">
            <v>0</v>
          </cell>
          <cell r="Z755">
            <v>0</v>
          </cell>
          <cell r="AD755" t="str">
            <v>0</v>
          </cell>
          <cell r="AE755" t="str">
            <v>0</v>
          </cell>
          <cell r="AF755" t="str">
            <v>00</v>
          </cell>
          <cell r="AI755">
            <v>267424000</v>
          </cell>
          <cell r="AJ755">
            <v>133578288</v>
          </cell>
        </row>
        <row r="756">
          <cell r="A756" t="str">
            <v>02</v>
          </cell>
          <cell r="B756" t="str">
            <v>23</v>
          </cell>
          <cell r="C756" t="str">
            <v>1674</v>
          </cell>
          <cell r="D756" t="str">
            <v>П/прицеп ОДАЗ-9370</v>
          </cell>
          <cell r="E756" t="str">
            <v>14 тн. N АА36-24</v>
          </cell>
          <cell r="F756" t="str">
            <v>ш0294958</v>
          </cell>
          <cell r="G756" t="str">
            <v>01</v>
          </cell>
          <cell r="H756">
            <v>0</v>
          </cell>
          <cell r="I756">
            <v>0</v>
          </cell>
          <cell r="J756">
            <v>0</v>
          </cell>
          <cell r="L756" t="str">
            <v>23</v>
          </cell>
          <cell r="M756" t="str">
            <v>50411</v>
          </cell>
          <cell r="N756" t="str">
            <v>15 3420201</v>
          </cell>
          <cell r="P756">
            <v>10</v>
          </cell>
          <cell r="Q756">
            <v>0</v>
          </cell>
          <cell r="R756" t="str">
            <v>1</v>
          </cell>
          <cell r="S756" t="str">
            <v>50</v>
          </cell>
          <cell r="T756">
            <v>93</v>
          </cell>
          <cell r="U756">
            <v>6</v>
          </cell>
          <cell r="V756">
            <v>96</v>
          </cell>
          <cell r="W756">
            <v>6</v>
          </cell>
          <cell r="X756">
            <v>96</v>
          </cell>
          <cell r="Y756">
            <v>0</v>
          </cell>
          <cell r="Z756">
            <v>0</v>
          </cell>
          <cell r="AA756" t="str">
            <v>1</v>
          </cell>
          <cell r="AB756" t="str">
            <v>15</v>
          </cell>
          <cell r="AC756">
            <v>5</v>
          </cell>
          <cell r="AD756" t="str">
            <v>0</v>
          </cell>
          <cell r="AE756" t="str">
            <v>0</v>
          </cell>
          <cell r="AF756" t="str">
            <v>00</v>
          </cell>
          <cell r="AI756">
            <v>0</v>
          </cell>
          <cell r="AJ756">
            <v>0</v>
          </cell>
        </row>
        <row r="757">
          <cell r="A757" t="str">
            <v>02</v>
          </cell>
          <cell r="B757" t="str">
            <v>23</v>
          </cell>
          <cell r="C757" t="str">
            <v>1675</v>
          </cell>
          <cell r="D757" t="str">
            <v>П/прицеп ОДАЗ-9370</v>
          </cell>
          <cell r="E757" t="str">
            <v>14 тн. NАА36-23</v>
          </cell>
          <cell r="F757" t="str">
            <v>ш0294963</v>
          </cell>
          <cell r="G757" t="str">
            <v>01</v>
          </cell>
          <cell r="H757">
            <v>0</v>
          </cell>
          <cell r="I757">
            <v>0</v>
          </cell>
          <cell r="J757">
            <v>0</v>
          </cell>
          <cell r="L757" t="str">
            <v>23</v>
          </cell>
          <cell r="M757" t="str">
            <v>50411</v>
          </cell>
          <cell r="N757" t="str">
            <v>15 3420201</v>
          </cell>
          <cell r="P757">
            <v>10</v>
          </cell>
          <cell r="Q757">
            <v>0</v>
          </cell>
          <cell r="R757" t="str">
            <v>1</v>
          </cell>
          <cell r="S757" t="str">
            <v>50</v>
          </cell>
          <cell r="T757">
            <v>93</v>
          </cell>
          <cell r="U757">
            <v>6</v>
          </cell>
          <cell r="V757">
            <v>96</v>
          </cell>
          <cell r="W757">
            <v>6</v>
          </cell>
          <cell r="X757">
            <v>96</v>
          </cell>
          <cell r="Y757">
            <v>0</v>
          </cell>
          <cell r="Z757">
            <v>0</v>
          </cell>
          <cell r="AD757" t="str">
            <v>0</v>
          </cell>
          <cell r="AE757" t="str">
            <v>0</v>
          </cell>
          <cell r="AF757" t="str">
            <v>00</v>
          </cell>
          <cell r="AI757">
            <v>0</v>
          </cell>
          <cell r="AJ757">
            <v>0</v>
          </cell>
        </row>
        <row r="758">
          <cell r="A758" t="str">
            <v>02</v>
          </cell>
          <cell r="B758" t="str">
            <v>23</v>
          </cell>
          <cell r="C758" t="str">
            <v>1666</v>
          </cell>
          <cell r="D758" t="str">
            <v>Радиотелефон в а/м</v>
          </cell>
          <cell r="E758" t="str">
            <v>Volvo</v>
          </cell>
          <cell r="G758" t="str">
            <v>01</v>
          </cell>
          <cell r="H758">
            <v>2556</v>
          </cell>
          <cell r="I758">
            <v>0</v>
          </cell>
          <cell r="J758">
            <v>0</v>
          </cell>
          <cell r="K758">
            <v>0.2</v>
          </cell>
          <cell r="L758" t="str">
            <v>23</v>
          </cell>
          <cell r="M758" t="str">
            <v>45616</v>
          </cell>
          <cell r="N758" t="str">
            <v>14 3221000</v>
          </cell>
          <cell r="P758">
            <v>10</v>
          </cell>
          <cell r="Q758">
            <v>0</v>
          </cell>
          <cell r="R758" t="str">
            <v>1</v>
          </cell>
          <cell r="S758" t="str">
            <v>45</v>
          </cell>
          <cell r="T758">
            <v>96</v>
          </cell>
          <cell r="U758">
            <v>6</v>
          </cell>
          <cell r="V758">
            <v>96</v>
          </cell>
          <cell r="W758">
            <v>6</v>
          </cell>
          <cell r="X758">
            <v>96</v>
          </cell>
          <cell r="Y758">
            <v>0</v>
          </cell>
          <cell r="Z758">
            <v>0</v>
          </cell>
          <cell r="AD758" t="str">
            <v>0</v>
          </cell>
          <cell r="AE758" t="str">
            <v>0</v>
          </cell>
          <cell r="AF758" t="str">
            <v>00</v>
          </cell>
          <cell r="AI758">
            <v>12631550</v>
          </cell>
          <cell r="AJ758">
            <v>1894732.5</v>
          </cell>
        </row>
        <row r="759">
          <cell r="A759" t="str">
            <v>02</v>
          </cell>
          <cell r="B759" t="str">
            <v>02</v>
          </cell>
          <cell r="C759" t="str">
            <v>1665</v>
          </cell>
          <cell r="D759" t="str">
            <v>Телевизор "GLDSTAR"</v>
          </cell>
          <cell r="E759" t="str">
            <v>Корея</v>
          </cell>
          <cell r="G759" t="str">
            <v>01</v>
          </cell>
          <cell r="H759">
            <v>1424.13</v>
          </cell>
          <cell r="I759">
            <v>0</v>
          </cell>
          <cell r="J759">
            <v>0</v>
          </cell>
          <cell r="K759">
            <v>0.9</v>
          </cell>
          <cell r="L759" t="str">
            <v>20</v>
          </cell>
          <cell r="M759" t="str">
            <v>45625</v>
          </cell>
          <cell r="N759" t="str">
            <v>14 3230100</v>
          </cell>
          <cell r="P759">
            <v>10.5</v>
          </cell>
          <cell r="Q759">
            <v>0</v>
          </cell>
          <cell r="R759" t="str">
            <v>1</v>
          </cell>
          <cell r="S759" t="str">
            <v>45</v>
          </cell>
          <cell r="T759">
            <v>94</v>
          </cell>
          <cell r="U759">
            <v>6</v>
          </cell>
          <cell r="V759">
            <v>96</v>
          </cell>
          <cell r="W759">
            <v>6</v>
          </cell>
          <cell r="X759">
            <v>96</v>
          </cell>
          <cell r="Y759">
            <v>0</v>
          </cell>
          <cell r="Z759">
            <v>0</v>
          </cell>
          <cell r="AD759" t="str">
            <v>0</v>
          </cell>
          <cell r="AE759" t="str">
            <v>0</v>
          </cell>
          <cell r="AF759" t="str">
            <v>00</v>
          </cell>
          <cell r="AI759">
            <v>1590741</v>
          </cell>
          <cell r="AJ759">
            <v>250541.71</v>
          </cell>
        </row>
        <row r="760">
          <cell r="A760" t="str">
            <v>02</v>
          </cell>
          <cell r="B760" t="str">
            <v>80</v>
          </cell>
          <cell r="C760" t="str">
            <v>1667</v>
          </cell>
          <cell r="D760" t="str">
            <v>Компьютер 486-ДХ</v>
          </cell>
          <cell r="G760" t="str">
            <v>01</v>
          </cell>
          <cell r="H760">
            <v>3500</v>
          </cell>
          <cell r="I760">
            <v>0</v>
          </cell>
          <cell r="J760">
            <v>3753</v>
          </cell>
          <cell r="K760">
            <v>0.93</v>
          </cell>
          <cell r="L760" t="str">
            <v>26</v>
          </cell>
          <cell r="M760" t="str">
            <v>48008</v>
          </cell>
          <cell r="N760" t="str">
            <v>14 3020103</v>
          </cell>
          <cell r="P760">
            <v>10</v>
          </cell>
          <cell r="Q760">
            <v>0</v>
          </cell>
          <cell r="R760" t="str">
            <v>1</v>
          </cell>
          <cell r="S760" t="str">
            <v>48</v>
          </cell>
          <cell r="T760">
            <v>96</v>
          </cell>
          <cell r="U760">
            <v>6</v>
          </cell>
          <cell r="V760">
            <v>96</v>
          </cell>
          <cell r="W760">
            <v>6</v>
          </cell>
          <cell r="X760">
            <v>96</v>
          </cell>
          <cell r="Y760">
            <v>6</v>
          </cell>
          <cell r="Z760">
            <v>99</v>
          </cell>
          <cell r="AD760" t="str">
            <v>0</v>
          </cell>
          <cell r="AE760" t="str">
            <v>0</v>
          </cell>
          <cell r="AF760" t="str">
            <v>00</v>
          </cell>
          <cell r="AI760">
            <v>3750000</v>
          </cell>
          <cell r="AJ760">
            <v>562500</v>
          </cell>
        </row>
        <row r="761">
          <cell r="A761" t="str">
            <v>02</v>
          </cell>
          <cell r="B761" t="str">
            <v>71</v>
          </cell>
          <cell r="C761" t="str">
            <v>1668</v>
          </cell>
          <cell r="D761" t="str">
            <v>Компьютер 486-ДХ</v>
          </cell>
          <cell r="G761" t="str">
            <v>01</v>
          </cell>
          <cell r="H761">
            <v>3500</v>
          </cell>
          <cell r="I761">
            <v>0</v>
          </cell>
          <cell r="J761">
            <v>5168</v>
          </cell>
          <cell r="K761">
            <v>0.93</v>
          </cell>
          <cell r="L761" t="str">
            <v>23</v>
          </cell>
          <cell r="M761" t="str">
            <v>48008</v>
          </cell>
          <cell r="N761" t="str">
            <v>14 3020203</v>
          </cell>
          <cell r="P761">
            <v>10</v>
          </cell>
          <cell r="Q761">
            <v>0</v>
          </cell>
          <cell r="R761" t="str">
            <v>1</v>
          </cell>
          <cell r="S761" t="str">
            <v>48</v>
          </cell>
          <cell r="T761">
            <v>96</v>
          </cell>
          <cell r="U761">
            <v>6</v>
          </cell>
          <cell r="V761">
            <v>96</v>
          </cell>
          <cell r="W761">
            <v>6</v>
          </cell>
          <cell r="X761">
            <v>96</v>
          </cell>
          <cell r="Y761">
            <v>6</v>
          </cell>
          <cell r="Z761">
            <v>99</v>
          </cell>
          <cell r="AB761" t="str">
            <v>14</v>
          </cell>
          <cell r="AC761">
            <v>6</v>
          </cell>
          <cell r="AD761" t="str">
            <v>0</v>
          </cell>
          <cell r="AE761" t="str">
            <v>0</v>
          </cell>
          <cell r="AF761" t="str">
            <v>00</v>
          </cell>
          <cell r="AI761">
            <v>3750000</v>
          </cell>
          <cell r="AJ761">
            <v>562500</v>
          </cell>
        </row>
        <row r="762">
          <cell r="A762" t="str">
            <v>02</v>
          </cell>
          <cell r="B762" t="str">
            <v>02</v>
          </cell>
          <cell r="C762" t="str">
            <v>1698</v>
          </cell>
          <cell r="D762" t="str">
            <v>Трубоукладчик ТГ-502</v>
          </cell>
          <cell r="G762" t="str">
            <v>01</v>
          </cell>
          <cell r="H762">
            <v>268414.02</v>
          </cell>
          <cell r="I762">
            <v>67103.509999999995</v>
          </cell>
          <cell r="J762">
            <v>0</v>
          </cell>
          <cell r="K762">
            <v>1.05</v>
          </cell>
          <cell r="L762" t="str">
            <v>20</v>
          </cell>
          <cell r="M762" t="str">
            <v>41723</v>
          </cell>
          <cell r="N762" t="str">
            <v>14 2915246</v>
          </cell>
          <cell r="P762">
            <v>10</v>
          </cell>
          <cell r="Q762">
            <v>0</v>
          </cell>
          <cell r="R762" t="str">
            <v>1</v>
          </cell>
          <cell r="S762" t="str">
            <v>41</v>
          </cell>
          <cell r="T762">
            <v>95</v>
          </cell>
          <cell r="U762">
            <v>7</v>
          </cell>
          <cell r="V762">
            <v>96</v>
          </cell>
          <cell r="W762">
            <v>7</v>
          </cell>
          <cell r="X762">
            <v>96</v>
          </cell>
          <cell r="Y762">
            <v>0</v>
          </cell>
          <cell r="Z762">
            <v>0</v>
          </cell>
          <cell r="AD762" t="str">
            <v>0</v>
          </cell>
          <cell r="AE762" t="str">
            <v>0</v>
          </cell>
          <cell r="AF762" t="str">
            <v>00</v>
          </cell>
          <cell r="AI762">
            <v>255632400</v>
          </cell>
          <cell r="AJ762">
            <v>100122690</v>
          </cell>
        </row>
        <row r="763">
          <cell r="A763" t="str">
            <v>02</v>
          </cell>
          <cell r="B763" t="str">
            <v>71</v>
          </cell>
          <cell r="C763" t="str">
            <v>1687</v>
          </cell>
          <cell r="D763" t="str">
            <v>Станок 1М63Н-1 то-</v>
          </cell>
          <cell r="E763" t="str">
            <v>карно-винторезный</v>
          </cell>
          <cell r="G763" t="str">
            <v>01</v>
          </cell>
          <cell r="H763">
            <v>67932.539999999994</v>
          </cell>
          <cell r="I763">
            <v>0</v>
          </cell>
          <cell r="J763">
            <v>75726.899999999994</v>
          </cell>
          <cell r="K763">
            <v>0.86</v>
          </cell>
          <cell r="L763" t="str">
            <v>23</v>
          </cell>
          <cell r="M763" t="str">
            <v>41000</v>
          </cell>
          <cell r="N763" t="str">
            <v>14 2922105</v>
          </cell>
          <cell r="P763">
            <v>3.5</v>
          </cell>
          <cell r="Q763">
            <v>0</v>
          </cell>
          <cell r="R763" t="str">
            <v>1</v>
          </cell>
          <cell r="S763" t="str">
            <v>41</v>
          </cell>
          <cell r="T763">
            <v>96</v>
          </cell>
          <cell r="U763">
            <v>7</v>
          </cell>
          <cell r="V763">
            <v>96</v>
          </cell>
          <cell r="W763">
            <v>7</v>
          </cell>
          <cell r="X763">
            <v>96</v>
          </cell>
          <cell r="Y763">
            <v>7</v>
          </cell>
          <cell r="Z763">
            <v>96</v>
          </cell>
          <cell r="AD763" t="str">
            <v>0</v>
          </cell>
          <cell r="AE763" t="str">
            <v>0</v>
          </cell>
          <cell r="AF763" t="str">
            <v>00</v>
          </cell>
          <cell r="AI763">
            <v>88250000</v>
          </cell>
          <cell r="AJ763">
            <v>4375729.17</v>
          </cell>
        </row>
        <row r="764">
          <cell r="A764" t="str">
            <v>02</v>
          </cell>
          <cell r="B764" t="str">
            <v>23</v>
          </cell>
          <cell r="C764" t="str">
            <v>1680</v>
          </cell>
          <cell r="D764" t="str">
            <v>А/мУАЗ-3909 грузо-</v>
          </cell>
          <cell r="E764" t="str">
            <v>пасс. N В943РА</v>
          </cell>
          <cell r="F764" t="str">
            <v>дв 60100276 ш0344774</v>
          </cell>
          <cell r="G764" t="str">
            <v>01</v>
          </cell>
          <cell r="H764">
            <v>40260.33</v>
          </cell>
          <cell r="I764">
            <v>0</v>
          </cell>
          <cell r="J764">
            <v>47990</v>
          </cell>
          <cell r="K764">
            <v>1.06</v>
          </cell>
          <cell r="L764" t="str">
            <v>23</v>
          </cell>
          <cell r="M764" t="str">
            <v>50401</v>
          </cell>
          <cell r="N764" t="str">
            <v>15 3410170</v>
          </cell>
          <cell r="P764">
            <v>14.3</v>
          </cell>
          <cell r="Q764">
            <v>0</v>
          </cell>
          <cell r="R764" t="str">
            <v>1</v>
          </cell>
          <cell r="S764" t="str">
            <v>50</v>
          </cell>
          <cell r="T764">
            <v>96</v>
          </cell>
          <cell r="U764">
            <v>7</v>
          </cell>
          <cell r="V764">
            <v>96</v>
          </cell>
          <cell r="W764">
            <v>7</v>
          </cell>
          <cell r="X764">
            <v>96</v>
          </cell>
          <cell r="Y764">
            <v>7</v>
          </cell>
          <cell r="Z764">
            <v>96</v>
          </cell>
          <cell r="AD764" t="str">
            <v>0</v>
          </cell>
          <cell r="AE764" t="str">
            <v>0</v>
          </cell>
          <cell r="AF764" t="str">
            <v>00</v>
          </cell>
          <cell r="AI764">
            <v>45295708</v>
          </cell>
          <cell r="AJ764">
            <v>9176155.5099999998</v>
          </cell>
        </row>
        <row r="765">
          <cell r="A765" t="str">
            <v>02</v>
          </cell>
          <cell r="B765" t="str">
            <v>23</v>
          </cell>
          <cell r="C765" t="str">
            <v>1681</v>
          </cell>
          <cell r="D765" t="str">
            <v>А/м УАЗ-3909 грузо-</v>
          </cell>
          <cell r="E765" t="str">
            <v>пасс. N В944РА</v>
          </cell>
          <cell r="F765" t="str">
            <v>дв 51106119 ш341565</v>
          </cell>
          <cell r="G765" t="str">
            <v>01</v>
          </cell>
          <cell r="H765">
            <v>40260.33</v>
          </cell>
          <cell r="I765">
            <v>0</v>
          </cell>
          <cell r="J765">
            <v>47990</v>
          </cell>
          <cell r="K765">
            <v>1.06</v>
          </cell>
          <cell r="L765" t="str">
            <v>23</v>
          </cell>
          <cell r="M765" t="str">
            <v>50401</v>
          </cell>
          <cell r="N765" t="str">
            <v>15 3410170</v>
          </cell>
          <cell r="P765">
            <v>14.3</v>
          </cell>
          <cell r="Q765">
            <v>0</v>
          </cell>
          <cell r="R765" t="str">
            <v>1</v>
          </cell>
          <cell r="S765" t="str">
            <v>50</v>
          </cell>
          <cell r="T765">
            <v>95</v>
          </cell>
          <cell r="U765">
            <v>7</v>
          </cell>
          <cell r="V765">
            <v>96</v>
          </cell>
          <cell r="W765">
            <v>7</v>
          </cell>
          <cell r="X765">
            <v>96</v>
          </cell>
          <cell r="Y765">
            <v>7</v>
          </cell>
          <cell r="Z765">
            <v>96</v>
          </cell>
          <cell r="AD765" t="str">
            <v>0</v>
          </cell>
          <cell r="AE765" t="str">
            <v>0</v>
          </cell>
          <cell r="AF765" t="str">
            <v>00</v>
          </cell>
          <cell r="AI765">
            <v>45295708</v>
          </cell>
          <cell r="AJ765">
            <v>9176155.5099999998</v>
          </cell>
        </row>
        <row r="766">
          <cell r="A766" t="str">
            <v>02</v>
          </cell>
          <cell r="B766" t="str">
            <v>71</v>
          </cell>
          <cell r="C766" t="str">
            <v>1684</v>
          </cell>
          <cell r="D766" t="str">
            <v>А/м МАЗ-79092 груз-б</v>
          </cell>
          <cell r="E766" t="str">
            <v>орт дв3884 ш93070038</v>
          </cell>
          <cell r="F766" t="str">
            <v>гос N-В968РА</v>
          </cell>
          <cell r="G766" t="str">
            <v>01</v>
          </cell>
          <cell r="H766">
            <v>233540</v>
          </cell>
          <cell r="I766">
            <v>0</v>
          </cell>
          <cell r="J766">
            <v>0</v>
          </cell>
          <cell r="K766">
            <v>0.99</v>
          </cell>
          <cell r="L766" t="str">
            <v>23</v>
          </cell>
          <cell r="M766" t="str">
            <v>50402</v>
          </cell>
          <cell r="N766" t="str">
            <v>15 3410224</v>
          </cell>
          <cell r="P766">
            <v>0.37</v>
          </cell>
          <cell r="Q766">
            <v>0</v>
          </cell>
          <cell r="R766" t="str">
            <v>1</v>
          </cell>
          <cell r="S766" t="str">
            <v>50</v>
          </cell>
          <cell r="T766">
            <v>93</v>
          </cell>
          <cell r="U766">
            <v>7</v>
          </cell>
          <cell r="V766">
            <v>96</v>
          </cell>
          <cell r="W766">
            <v>7</v>
          </cell>
          <cell r="X766">
            <v>96</v>
          </cell>
          <cell r="Y766">
            <v>0</v>
          </cell>
          <cell r="Z766">
            <v>0</v>
          </cell>
          <cell r="AD766" t="str">
            <v>0</v>
          </cell>
          <cell r="AE766" t="str">
            <v>0</v>
          </cell>
          <cell r="AF766" t="str">
            <v>00</v>
          </cell>
          <cell r="AI766">
            <v>235077000</v>
          </cell>
          <cell r="AJ766">
            <v>235077000</v>
          </cell>
        </row>
        <row r="767">
          <cell r="A767" t="str">
            <v>02</v>
          </cell>
          <cell r="B767" t="str">
            <v>02</v>
          </cell>
          <cell r="C767" t="str">
            <v>1682</v>
          </cell>
          <cell r="D767" t="str">
            <v>Передвижной жилой ва</v>
          </cell>
          <cell r="E767" t="str">
            <v>гон деревометалличес</v>
          </cell>
          <cell r="F767" t="str">
            <v>кий</v>
          </cell>
          <cell r="G767" t="str">
            <v>01</v>
          </cell>
          <cell r="H767">
            <v>50600</v>
          </cell>
          <cell r="I767">
            <v>0</v>
          </cell>
          <cell r="J767">
            <v>0</v>
          </cell>
          <cell r="K767">
            <v>1.1499999999999999</v>
          </cell>
          <cell r="L767" t="str">
            <v>20</v>
          </cell>
          <cell r="M767" t="str">
            <v>10010</v>
          </cell>
          <cell r="N767" t="str">
            <v>13 2022261</v>
          </cell>
          <cell r="P767">
            <v>12.5</v>
          </cell>
          <cell r="Q767">
            <v>0</v>
          </cell>
          <cell r="R767" t="str">
            <v>1</v>
          </cell>
          <cell r="S767" t="str">
            <v>10</v>
          </cell>
          <cell r="T767">
            <v>96</v>
          </cell>
          <cell r="U767">
            <v>7</v>
          </cell>
          <cell r="V767">
            <v>96</v>
          </cell>
          <cell r="W767">
            <v>7</v>
          </cell>
          <cell r="X767">
            <v>96</v>
          </cell>
          <cell r="Y767">
            <v>0</v>
          </cell>
          <cell r="Z767">
            <v>0</v>
          </cell>
          <cell r="AD767" t="str">
            <v>0</v>
          </cell>
          <cell r="AE767" t="str">
            <v>0</v>
          </cell>
          <cell r="AF767" t="str">
            <v>00</v>
          </cell>
          <cell r="AI767">
            <v>44000000</v>
          </cell>
          <cell r="AJ767">
            <v>7791666.6699999999</v>
          </cell>
        </row>
        <row r="768">
          <cell r="A768" t="str">
            <v>02</v>
          </cell>
          <cell r="B768" t="str">
            <v>51</v>
          </cell>
          <cell r="C768" t="str">
            <v>1683</v>
          </cell>
          <cell r="D768" t="str">
            <v>Передвижной жилой ва</v>
          </cell>
          <cell r="E768" t="str">
            <v>гон деревометалличес</v>
          </cell>
          <cell r="F768" t="str">
            <v>кий</v>
          </cell>
          <cell r="G768" t="str">
            <v>01</v>
          </cell>
          <cell r="H768">
            <v>50600</v>
          </cell>
          <cell r="I768">
            <v>0</v>
          </cell>
          <cell r="J768">
            <v>0</v>
          </cell>
          <cell r="K768">
            <v>1.1499999999999999</v>
          </cell>
          <cell r="L768" t="str">
            <v>20</v>
          </cell>
          <cell r="M768" t="str">
            <v>10010</v>
          </cell>
          <cell r="N768" t="str">
            <v>13 2022261</v>
          </cell>
          <cell r="P768">
            <v>12.5</v>
          </cell>
          <cell r="Q768">
            <v>0</v>
          </cell>
          <cell r="R768" t="str">
            <v>1</v>
          </cell>
          <cell r="S768" t="str">
            <v>10</v>
          </cell>
          <cell r="T768">
            <v>96</v>
          </cell>
          <cell r="U768">
            <v>7</v>
          </cell>
          <cell r="V768">
            <v>96</v>
          </cell>
          <cell r="W768">
            <v>7</v>
          </cell>
          <cell r="X768">
            <v>96</v>
          </cell>
          <cell r="Y768">
            <v>0</v>
          </cell>
          <cell r="Z768">
            <v>0</v>
          </cell>
          <cell r="AD768" t="str">
            <v>0</v>
          </cell>
          <cell r="AE768" t="str">
            <v>0</v>
          </cell>
          <cell r="AF768" t="str">
            <v>00</v>
          </cell>
          <cell r="AI768">
            <v>44000000</v>
          </cell>
          <cell r="AJ768">
            <v>7791666.6699999999</v>
          </cell>
        </row>
        <row r="769">
          <cell r="A769" t="str">
            <v>02</v>
          </cell>
          <cell r="B769" t="str">
            <v>23</v>
          </cell>
          <cell r="C769" t="str">
            <v>1679</v>
          </cell>
          <cell r="D769" t="str">
            <v>Бур.уст.ПБУ-2-104 на</v>
          </cell>
          <cell r="E769" t="str">
            <v>ЗИЛ-131 N В997РА</v>
          </cell>
          <cell r="F769" t="str">
            <v>дв009231 ш048092</v>
          </cell>
          <cell r="G769" t="str">
            <v>01</v>
          </cell>
          <cell r="H769">
            <v>278335.19</v>
          </cell>
          <cell r="I769">
            <v>0</v>
          </cell>
          <cell r="J769">
            <v>334000</v>
          </cell>
          <cell r="K769">
            <v>0.95</v>
          </cell>
          <cell r="L769" t="str">
            <v>23</v>
          </cell>
          <cell r="M769" t="str">
            <v>43413</v>
          </cell>
          <cell r="N769" t="str">
            <v>14 2924452</v>
          </cell>
          <cell r="P769">
            <v>14.3</v>
          </cell>
          <cell r="Q769">
            <v>0</v>
          </cell>
          <cell r="R769" t="str">
            <v>1</v>
          </cell>
          <cell r="S769" t="str">
            <v>43</v>
          </cell>
          <cell r="T769">
            <v>96</v>
          </cell>
          <cell r="U769">
            <v>7</v>
          </cell>
          <cell r="V769">
            <v>96</v>
          </cell>
          <cell r="W769">
            <v>7</v>
          </cell>
          <cell r="X769">
            <v>96</v>
          </cell>
          <cell r="Y769">
            <v>7</v>
          </cell>
          <cell r="Z769">
            <v>96</v>
          </cell>
          <cell r="AD769" t="str">
            <v>0</v>
          </cell>
          <cell r="AE769" t="str">
            <v>0</v>
          </cell>
          <cell r="AF769" t="str">
            <v>00</v>
          </cell>
          <cell r="AI769">
            <v>350997660</v>
          </cell>
          <cell r="AJ769">
            <v>71106275.959999993</v>
          </cell>
        </row>
        <row r="770">
          <cell r="A770" t="str">
            <v>02</v>
          </cell>
          <cell r="B770" t="str">
            <v>99</v>
          </cell>
          <cell r="C770" t="str">
            <v>1678</v>
          </cell>
          <cell r="D770" t="str">
            <v>Выпрямитель сварочны</v>
          </cell>
          <cell r="E770" t="str">
            <v>й ВД-306</v>
          </cell>
          <cell r="G770" t="str">
            <v>01</v>
          </cell>
          <cell r="H770">
            <v>3488</v>
          </cell>
          <cell r="I770">
            <v>0</v>
          </cell>
          <cell r="J770">
            <v>0</v>
          </cell>
          <cell r="K770">
            <v>1.0900000000000001</v>
          </cell>
          <cell r="L770" t="str">
            <v>20</v>
          </cell>
          <cell r="M770" t="str">
            <v>42502</v>
          </cell>
          <cell r="N770" t="str">
            <v>14 2922804</v>
          </cell>
          <cell r="P770">
            <v>16.7</v>
          </cell>
          <cell r="Q770">
            <v>0</v>
          </cell>
          <cell r="R770" t="str">
            <v>1</v>
          </cell>
          <cell r="S770" t="str">
            <v>42</v>
          </cell>
          <cell r="T770">
            <v>96</v>
          </cell>
          <cell r="U770">
            <v>7</v>
          </cell>
          <cell r="V770">
            <v>96</v>
          </cell>
          <cell r="W770">
            <v>7</v>
          </cell>
          <cell r="X770">
            <v>96</v>
          </cell>
          <cell r="Y770">
            <v>0</v>
          </cell>
          <cell r="Z770">
            <v>0</v>
          </cell>
          <cell r="AB770" t="str">
            <v>14</v>
          </cell>
          <cell r="AC770">
            <v>9</v>
          </cell>
          <cell r="AD770" t="str">
            <v>0</v>
          </cell>
          <cell r="AE770" t="str">
            <v>0</v>
          </cell>
          <cell r="AF770" t="str">
            <v>00</v>
          </cell>
          <cell r="AI770">
            <v>3200000</v>
          </cell>
          <cell r="AJ770">
            <v>757066.67</v>
          </cell>
        </row>
        <row r="771">
          <cell r="A771" t="str">
            <v>02</v>
          </cell>
          <cell r="B771" t="str">
            <v>80</v>
          </cell>
          <cell r="C771" t="str">
            <v>1688</v>
          </cell>
          <cell r="D771" t="str">
            <v>Кондиционер</v>
          </cell>
          <cell r="G771" t="str">
            <v>01</v>
          </cell>
          <cell r="H771">
            <v>6500</v>
          </cell>
          <cell r="I771">
            <v>0</v>
          </cell>
          <cell r="J771">
            <v>0</v>
          </cell>
          <cell r="K771">
            <v>0.56999999999999995</v>
          </cell>
          <cell r="L771" t="str">
            <v>26</v>
          </cell>
          <cell r="M771" t="str">
            <v>41606</v>
          </cell>
          <cell r="N771" t="str">
            <v>16 2930274</v>
          </cell>
          <cell r="P771">
            <v>11.1</v>
          </cell>
          <cell r="Q771">
            <v>0</v>
          </cell>
          <cell r="R771" t="str">
            <v>1</v>
          </cell>
          <cell r="S771" t="str">
            <v>41</v>
          </cell>
          <cell r="T771">
            <v>96</v>
          </cell>
          <cell r="U771">
            <v>7</v>
          </cell>
          <cell r="V771">
            <v>96</v>
          </cell>
          <cell r="W771">
            <v>7</v>
          </cell>
          <cell r="X771">
            <v>96</v>
          </cell>
          <cell r="Y771">
            <v>0</v>
          </cell>
          <cell r="Z771">
            <v>0</v>
          </cell>
          <cell r="AD771" t="str">
            <v>0</v>
          </cell>
          <cell r="AE771" t="str">
            <v>0</v>
          </cell>
          <cell r="AF771" t="str">
            <v>00</v>
          </cell>
          <cell r="AI771">
            <v>11365000</v>
          </cell>
          <cell r="AJ771">
            <v>1787146.25</v>
          </cell>
        </row>
        <row r="772">
          <cell r="A772" t="str">
            <v>02</v>
          </cell>
          <cell r="B772" t="str">
            <v>80</v>
          </cell>
          <cell r="C772" t="str">
            <v>1689</v>
          </cell>
          <cell r="D772" t="str">
            <v>Кондиционер</v>
          </cell>
          <cell r="G772" t="str">
            <v>01</v>
          </cell>
          <cell r="H772">
            <v>6500</v>
          </cell>
          <cell r="I772">
            <v>0</v>
          </cell>
          <cell r="J772">
            <v>0</v>
          </cell>
          <cell r="K772">
            <v>0.56999999999999995</v>
          </cell>
          <cell r="L772" t="str">
            <v>26</v>
          </cell>
          <cell r="M772" t="str">
            <v>41606</v>
          </cell>
          <cell r="N772" t="str">
            <v>16 2930274</v>
          </cell>
          <cell r="P772">
            <v>11.1</v>
          </cell>
          <cell r="Q772">
            <v>0</v>
          </cell>
          <cell r="R772" t="str">
            <v>1</v>
          </cell>
          <cell r="S772" t="str">
            <v>41</v>
          </cell>
          <cell r="T772">
            <v>96</v>
          </cell>
          <cell r="U772">
            <v>7</v>
          </cell>
          <cell r="V772">
            <v>96</v>
          </cell>
          <cell r="W772">
            <v>7</v>
          </cell>
          <cell r="X772">
            <v>96</v>
          </cell>
          <cell r="Y772">
            <v>0</v>
          </cell>
          <cell r="Z772">
            <v>0</v>
          </cell>
          <cell r="AD772" t="str">
            <v>0</v>
          </cell>
          <cell r="AE772" t="str">
            <v>0</v>
          </cell>
          <cell r="AF772" t="str">
            <v>00</v>
          </cell>
          <cell r="AI772">
            <v>11365000</v>
          </cell>
          <cell r="AJ772">
            <v>1787146.25</v>
          </cell>
        </row>
        <row r="773">
          <cell r="A773" t="str">
            <v>02</v>
          </cell>
          <cell r="B773" t="str">
            <v>80</v>
          </cell>
          <cell r="C773" t="str">
            <v>1690</v>
          </cell>
          <cell r="D773" t="str">
            <v>Кондиционер</v>
          </cell>
          <cell r="G773" t="str">
            <v>01</v>
          </cell>
          <cell r="H773">
            <v>6500</v>
          </cell>
          <cell r="I773">
            <v>0</v>
          </cell>
          <cell r="J773">
            <v>0</v>
          </cell>
          <cell r="K773">
            <v>0.56999999999999995</v>
          </cell>
          <cell r="L773" t="str">
            <v>26</v>
          </cell>
          <cell r="M773" t="str">
            <v>41606</v>
          </cell>
          <cell r="N773" t="str">
            <v>16 2930274</v>
          </cell>
          <cell r="P773">
            <v>11.1</v>
          </cell>
          <cell r="Q773">
            <v>0</v>
          </cell>
          <cell r="R773" t="str">
            <v>1</v>
          </cell>
          <cell r="S773" t="str">
            <v>41</v>
          </cell>
          <cell r="T773">
            <v>96</v>
          </cell>
          <cell r="U773">
            <v>7</v>
          </cell>
          <cell r="V773">
            <v>96</v>
          </cell>
          <cell r="W773">
            <v>7</v>
          </cell>
          <cell r="X773">
            <v>96</v>
          </cell>
          <cell r="Y773">
            <v>0</v>
          </cell>
          <cell r="Z773">
            <v>0</v>
          </cell>
          <cell r="AD773" t="str">
            <v>0</v>
          </cell>
          <cell r="AE773" t="str">
            <v>0</v>
          </cell>
          <cell r="AF773" t="str">
            <v>00</v>
          </cell>
          <cell r="AI773">
            <v>11365000</v>
          </cell>
          <cell r="AJ773">
            <v>1787146.25</v>
          </cell>
        </row>
        <row r="774">
          <cell r="A774" t="str">
            <v>02</v>
          </cell>
          <cell r="B774" t="str">
            <v>23</v>
          </cell>
          <cell r="C774" t="str">
            <v>1691</v>
          </cell>
          <cell r="D774" t="str">
            <v>Кондиционер FS12SHQ</v>
          </cell>
          <cell r="G774" t="str">
            <v>01</v>
          </cell>
          <cell r="H774">
            <v>6500</v>
          </cell>
          <cell r="I774">
            <v>0</v>
          </cell>
          <cell r="J774">
            <v>0</v>
          </cell>
          <cell r="K774">
            <v>0.56999999999999995</v>
          </cell>
          <cell r="L774" t="str">
            <v>23</v>
          </cell>
          <cell r="M774" t="str">
            <v>41606</v>
          </cell>
          <cell r="N774" t="str">
            <v>16 3697000</v>
          </cell>
          <cell r="P774">
            <v>10</v>
          </cell>
          <cell r="Q774">
            <v>0</v>
          </cell>
          <cell r="R774" t="str">
            <v>1</v>
          </cell>
          <cell r="S774" t="str">
            <v>41</v>
          </cell>
          <cell r="T774">
            <v>96</v>
          </cell>
          <cell r="U774">
            <v>7</v>
          </cell>
          <cell r="V774">
            <v>96</v>
          </cell>
          <cell r="W774">
            <v>7</v>
          </cell>
          <cell r="X774">
            <v>96</v>
          </cell>
          <cell r="Y774">
            <v>0</v>
          </cell>
          <cell r="Z774">
            <v>0</v>
          </cell>
          <cell r="AB774" t="str">
            <v>14</v>
          </cell>
          <cell r="AC774">
            <v>6</v>
          </cell>
          <cell r="AD774" t="str">
            <v>0</v>
          </cell>
          <cell r="AE774" t="str">
            <v>0</v>
          </cell>
          <cell r="AF774" t="str">
            <v>00</v>
          </cell>
          <cell r="AI774">
            <v>11365000</v>
          </cell>
          <cell r="AJ774">
            <v>1610041.67</v>
          </cell>
        </row>
        <row r="775">
          <cell r="A775" t="str">
            <v>02</v>
          </cell>
          <cell r="B775" t="str">
            <v>80</v>
          </cell>
          <cell r="C775" t="str">
            <v>1692</v>
          </cell>
          <cell r="D775" t="str">
            <v>Кондиционер FC12SHQ</v>
          </cell>
          <cell r="G775" t="str">
            <v>01</v>
          </cell>
          <cell r="H775">
            <v>6500</v>
          </cell>
          <cell r="I775">
            <v>0</v>
          </cell>
          <cell r="J775">
            <v>0</v>
          </cell>
          <cell r="K775">
            <v>0.56999999999999995</v>
          </cell>
          <cell r="L775" t="str">
            <v>26</v>
          </cell>
          <cell r="M775" t="str">
            <v>41606</v>
          </cell>
          <cell r="N775" t="str">
            <v>16 3697000</v>
          </cell>
          <cell r="P775">
            <v>10</v>
          </cell>
          <cell r="Q775">
            <v>0</v>
          </cell>
          <cell r="R775" t="str">
            <v>1</v>
          </cell>
          <cell r="S775" t="str">
            <v>41</v>
          </cell>
          <cell r="T775">
            <v>96</v>
          </cell>
          <cell r="U775">
            <v>7</v>
          </cell>
          <cell r="V775">
            <v>96</v>
          </cell>
          <cell r="W775">
            <v>7</v>
          </cell>
          <cell r="X775">
            <v>96</v>
          </cell>
          <cell r="Y775">
            <v>0</v>
          </cell>
          <cell r="Z775">
            <v>0</v>
          </cell>
          <cell r="AB775" t="str">
            <v>14</v>
          </cell>
          <cell r="AC775">
            <v>6</v>
          </cell>
          <cell r="AD775" t="str">
            <v>0</v>
          </cell>
          <cell r="AE775" t="str">
            <v>0</v>
          </cell>
          <cell r="AF775" t="str">
            <v>00</v>
          </cell>
          <cell r="AI775">
            <v>11365000</v>
          </cell>
          <cell r="AJ775">
            <v>1610041.67</v>
          </cell>
        </row>
        <row r="776">
          <cell r="A776" t="str">
            <v>02</v>
          </cell>
          <cell r="B776" t="str">
            <v>80</v>
          </cell>
          <cell r="C776" t="str">
            <v>1693</v>
          </cell>
          <cell r="D776" t="str">
            <v>Кондиционер FC12SHQ</v>
          </cell>
          <cell r="G776" t="str">
            <v>01</v>
          </cell>
          <cell r="H776">
            <v>6500</v>
          </cell>
          <cell r="I776">
            <v>0</v>
          </cell>
          <cell r="J776">
            <v>0</v>
          </cell>
          <cell r="K776">
            <v>0.56999999999999995</v>
          </cell>
          <cell r="L776" t="str">
            <v>26</v>
          </cell>
          <cell r="M776" t="str">
            <v>41606</v>
          </cell>
          <cell r="N776" t="str">
            <v>16 3697000</v>
          </cell>
          <cell r="P776">
            <v>10</v>
          </cell>
          <cell r="Q776">
            <v>0</v>
          </cell>
          <cell r="R776" t="str">
            <v>1</v>
          </cell>
          <cell r="S776" t="str">
            <v>41</v>
          </cell>
          <cell r="T776">
            <v>96</v>
          </cell>
          <cell r="U776">
            <v>7</v>
          </cell>
          <cell r="V776">
            <v>96</v>
          </cell>
          <cell r="W776">
            <v>7</v>
          </cell>
          <cell r="X776">
            <v>96</v>
          </cell>
          <cell r="Y776">
            <v>0</v>
          </cell>
          <cell r="Z776">
            <v>0</v>
          </cell>
          <cell r="AB776" t="str">
            <v>14</v>
          </cell>
          <cell r="AC776">
            <v>6</v>
          </cell>
          <cell r="AD776" t="str">
            <v>0</v>
          </cell>
          <cell r="AE776" t="str">
            <v>0</v>
          </cell>
          <cell r="AF776" t="str">
            <v>00</v>
          </cell>
          <cell r="AI776">
            <v>11365000</v>
          </cell>
          <cell r="AJ776">
            <v>1610041.67</v>
          </cell>
        </row>
        <row r="777">
          <cell r="A777" t="str">
            <v>02</v>
          </cell>
          <cell r="B777" t="str">
            <v>02</v>
          </cell>
          <cell r="C777" t="str">
            <v>1694</v>
          </cell>
          <cell r="D777" t="str">
            <v>Кондиционер FC12SHQ</v>
          </cell>
          <cell r="G777" t="str">
            <v>01</v>
          </cell>
          <cell r="H777">
            <v>6500</v>
          </cell>
          <cell r="I777">
            <v>0</v>
          </cell>
          <cell r="J777">
            <v>0</v>
          </cell>
          <cell r="K777">
            <v>0.56999999999999995</v>
          </cell>
          <cell r="L777" t="str">
            <v>20</v>
          </cell>
          <cell r="M777" t="str">
            <v>41606</v>
          </cell>
          <cell r="N777" t="str">
            <v>16 3697000</v>
          </cell>
          <cell r="P777">
            <v>10</v>
          </cell>
          <cell r="Q777">
            <v>0</v>
          </cell>
          <cell r="R777" t="str">
            <v>1</v>
          </cell>
          <cell r="S777" t="str">
            <v>41</v>
          </cell>
          <cell r="T777">
            <v>96</v>
          </cell>
          <cell r="U777">
            <v>7</v>
          </cell>
          <cell r="V777">
            <v>96</v>
          </cell>
          <cell r="W777">
            <v>7</v>
          </cell>
          <cell r="X777">
            <v>96</v>
          </cell>
          <cell r="Y777">
            <v>0</v>
          </cell>
          <cell r="Z777">
            <v>0</v>
          </cell>
          <cell r="AB777" t="str">
            <v>14</v>
          </cell>
          <cell r="AC777">
            <v>6</v>
          </cell>
          <cell r="AD777" t="str">
            <v>0</v>
          </cell>
          <cell r="AE777" t="str">
            <v>0</v>
          </cell>
          <cell r="AF777" t="str">
            <v>00</v>
          </cell>
          <cell r="AI777">
            <v>11365000</v>
          </cell>
          <cell r="AJ777">
            <v>1610041.67</v>
          </cell>
        </row>
        <row r="778">
          <cell r="A778" t="str">
            <v>02</v>
          </cell>
          <cell r="B778" t="str">
            <v>02</v>
          </cell>
          <cell r="C778" t="str">
            <v>1695</v>
          </cell>
          <cell r="D778" t="str">
            <v>Кондиционер FC12SHQ</v>
          </cell>
          <cell r="G778" t="str">
            <v>01</v>
          </cell>
          <cell r="H778">
            <v>6500</v>
          </cell>
          <cell r="I778">
            <v>0</v>
          </cell>
          <cell r="J778">
            <v>0</v>
          </cell>
          <cell r="K778">
            <v>0.56999999999999995</v>
          </cell>
          <cell r="L778" t="str">
            <v>20</v>
          </cell>
          <cell r="M778" t="str">
            <v>41606</v>
          </cell>
          <cell r="N778" t="str">
            <v>16 3697000</v>
          </cell>
          <cell r="P778">
            <v>10</v>
          </cell>
          <cell r="Q778">
            <v>0</v>
          </cell>
          <cell r="R778" t="str">
            <v>1</v>
          </cell>
          <cell r="S778" t="str">
            <v>41</v>
          </cell>
          <cell r="T778">
            <v>96</v>
          </cell>
          <cell r="U778">
            <v>7</v>
          </cell>
          <cell r="V778">
            <v>96</v>
          </cell>
          <cell r="W778">
            <v>7</v>
          </cell>
          <cell r="X778">
            <v>96</v>
          </cell>
          <cell r="Y778">
            <v>0</v>
          </cell>
          <cell r="Z778">
            <v>0</v>
          </cell>
          <cell r="AB778" t="str">
            <v>14</v>
          </cell>
          <cell r="AC778">
            <v>6</v>
          </cell>
          <cell r="AD778" t="str">
            <v>0</v>
          </cell>
          <cell r="AE778" t="str">
            <v>0</v>
          </cell>
          <cell r="AF778" t="str">
            <v>00</v>
          </cell>
          <cell r="AI778">
            <v>11365000</v>
          </cell>
          <cell r="AJ778">
            <v>1610041.67</v>
          </cell>
        </row>
        <row r="779">
          <cell r="A779" t="str">
            <v>02</v>
          </cell>
          <cell r="B779" t="str">
            <v>55</v>
          </cell>
          <cell r="C779" t="str">
            <v>1696</v>
          </cell>
          <cell r="D779" t="str">
            <v>Кондиционер FC12SHQ</v>
          </cell>
          <cell r="G779" t="str">
            <v>01</v>
          </cell>
          <cell r="H779">
            <v>6500</v>
          </cell>
          <cell r="I779">
            <v>0</v>
          </cell>
          <cell r="J779">
            <v>0</v>
          </cell>
          <cell r="K779">
            <v>0.56999999999999995</v>
          </cell>
          <cell r="L779" t="str">
            <v>26</v>
          </cell>
          <cell r="M779" t="str">
            <v>41606</v>
          </cell>
          <cell r="N779" t="str">
            <v>16 3697000</v>
          </cell>
          <cell r="P779">
            <v>10</v>
          </cell>
          <cell r="Q779">
            <v>0</v>
          </cell>
          <cell r="R779" t="str">
            <v>1</v>
          </cell>
          <cell r="S779" t="str">
            <v>41</v>
          </cell>
          <cell r="T779">
            <v>96</v>
          </cell>
          <cell r="U779">
            <v>7</v>
          </cell>
          <cell r="V779">
            <v>96</v>
          </cell>
          <cell r="W779">
            <v>7</v>
          </cell>
          <cell r="X779">
            <v>96</v>
          </cell>
          <cell r="Y779">
            <v>0</v>
          </cell>
          <cell r="Z779">
            <v>0</v>
          </cell>
          <cell r="AB779" t="str">
            <v>14</v>
          </cell>
          <cell r="AC779">
            <v>9</v>
          </cell>
          <cell r="AD779" t="str">
            <v>0</v>
          </cell>
          <cell r="AE779" t="str">
            <v>0</v>
          </cell>
          <cell r="AF779" t="str">
            <v>00</v>
          </cell>
          <cell r="AI779">
            <v>11365000</v>
          </cell>
          <cell r="AJ779">
            <v>1610041.67</v>
          </cell>
        </row>
        <row r="780">
          <cell r="A780" t="str">
            <v>02</v>
          </cell>
          <cell r="B780" t="str">
            <v>80</v>
          </cell>
          <cell r="C780" t="str">
            <v>1697</v>
          </cell>
          <cell r="D780" t="str">
            <v>Кондиционер FC12SHQ</v>
          </cell>
          <cell r="G780" t="str">
            <v>01</v>
          </cell>
          <cell r="H780">
            <v>6500</v>
          </cell>
          <cell r="I780">
            <v>0</v>
          </cell>
          <cell r="J780">
            <v>0</v>
          </cell>
          <cell r="K780">
            <v>0.56999999999999995</v>
          </cell>
          <cell r="L780" t="str">
            <v>26</v>
          </cell>
          <cell r="M780" t="str">
            <v>41606</v>
          </cell>
          <cell r="N780" t="str">
            <v>16 3697000</v>
          </cell>
          <cell r="P780">
            <v>10</v>
          </cell>
          <cell r="Q780">
            <v>0</v>
          </cell>
          <cell r="R780" t="str">
            <v>1</v>
          </cell>
          <cell r="S780" t="str">
            <v>41</v>
          </cell>
          <cell r="T780">
            <v>96</v>
          </cell>
          <cell r="U780">
            <v>7</v>
          </cell>
          <cell r="V780">
            <v>96</v>
          </cell>
          <cell r="W780">
            <v>7</v>
          </cell>
          <cell r="X780">
            <v>96</v>
          </cell>
          <cell r="Y780">
            <v>0</v>
          </cell>
          <cell r="Z780">
            <v>0</v>
          </cell>
          <cell r="AB780" t="str">
            <v>14</v>
          </cell>
          <cell r="AC780">
            <v>6</v>
          </cell>
          <cell r="AD780" t="str">
            <v>0</v>
          </cell>
          <cell r="AE780" t="str">
            <v>0</v>
          </cell>
          <cell r="AF780" t="str">
            <v>00</v>
          </cell>
          <cell r="AI780">
            <v>11365000</v>
          </cell>
          <cell r="AJ780">
            <v>1610041.67</v>
          </cell>
        </row>
        <row r="781">
          <cell r="A781" t="str">
            <v>02</v>
          </cell>
          <cell r="B781" t="str">
            <v>99</v>
          </cell>
          <cell r="C781" t="str">
            <v>1699</v>
          </cell>
          <cell r="D781" t="str">
            <v>Троллейная подвеска</v>
          </cell>
          <cell r="E781" t="str">
            <v>ТПП-821</v>
          </cell>
          <cell r="G781" t="str">
            <v>01</v>
          </cell>
          <cell r="H781">
            <v>24000</v>
          </cell>
          <cell r="I781">
            <v>0</v>
          </cell>
          <cell r="J781">
            <v>0</v>
          </cell>
          <cell r="K781">
            <v>1.03</v>
          </cell>
          <cell r="L781" t="str">
            <v>20</v>
          </cell>
          <cell r="M781" t="str">
            <v>43814</v>
          </cell>
          <cell r="N781" t="str">
            <v>14 2922721</v>
          </cell>
          <cell r="P781">
            <v>33.299999999999997</v>
          </cell>
          <cell r="Q781">
            <v>0</v>
          </cell>
          <cell r="R781" t="str">
            <v>1</v>
          </cell>
          <cell r="S781" t="str">
            <v>43</v>
          </cell>
          <cell r="T781">
            <v>96</v>
          </cell>
          <cell r="U781">
            <v>8</v>
          </cell>
          <cell r="V781">
            <v>96</v>
          </cell>
          <cell r="W781">
            <v>8</v>
          </cell>
          <cell r="X781">
            <v>96</v>
          </cell>
          <cell r="Y781">
            <v>0</v>
          </cell>
          <cell r="Z781">
            <v>0</v>
          </cell>
          <cell r="AB781" t="str">
            <v>14</v>
          </cell>
          <cell r="AC781">
            <v>12</v>
          </cell>
          <cell r="AD781" t="str">
            <v>0</v>
          </cell>
          <cell r="AE781" t="str">
            <v>0</v>
          </cell>
          <cell r="AF781" t="str">
            <v>00</v>
          </cell>
          <cell r="AI781">
            <v>23333333</v>
          </cell>
          <cell r="AJ781">
            <v>10359999.85</v>
          </cell>
        </row>
        <row r="782">
          <cell r="A782" t="str">
            <v>02</v>
          </cell>
          <cell r="B782" t="str">
            <v>99</v>
          </cell>
          <cell r="C782" t="str">
            <v>171</v>
          </cell>
          <cell r="D782" t="str">
            <v>Троллейная подвеска</v>
          </cell>
          <cell r="E782" t="str">
            <v>ТПП-821</v>
          </cell>
          <cell r="G782" t="str">
            <v>01</v>
          </cell>
          <cell r="H782">
            <v>24000</v>
          </cell>
          <cell r="I782">
            <v>0</v>
          </cell>
          <cell r="J782">
            <v>0</v>
          </cell>
          <cell r="K782">
            <v>1.03</v>
          </cell>
          <cell r="L782" t="str">
            <v>20</v>
          </cell>
          <cell r="M782" t="str">
            <v>43814</v>
          </cell>
          <cell r="N782" t="str">
            <v>14 2922721</v>
          </cell>
          <cell r="P782">
            <v>33.299999999999997</v>
          </cell>
          <cell r="Q782">
            <v>0</v>
          </cell>
          <cell r="R782" t="str">
            <v>1</v>
          </cell>
          <cell r="S782" t="str">
            <v>43</v>
          </cell>
          <cell r="T782">
            <v>96</v>
          </cell>
          <cell r="U782">
            <v>8</v>
          </cell>
          <cell r="V782">
            <v>96</v>
          </cell>
          <cell r="W782">
            <v>8</v>
          </cell>
          <cell r="X782">
            <v>96</v>
          </cell>
          <cell r="Y782">
            <v>0</v>
          </cell>
          <cell r="Z782">
            <v>0</v>
          </cell>
          <cell r="AB782" t="str">
            <v>14</v>
          </cell>
          <cell r="AC782">
            <v>12</v>
          </cell>
          <cell r="AD782" t="str">
            <v>0</v>
          </cell>
          <cell r="AE782" t="str">
            <v>1</v>
          </cell>
          <cell r="AF782" t="str">
            <v>00</v>
          </cell>
          <cell r="AI782">
            <v>23333333</v>
          </cell>
          <cell r="AJ782">
            <v>10359999.85</v>
          </cell>
        </row>
        <row r="783">
          <cell r="A783" t="str">
            <v>02</v>
          </cell>
          <cell r="B783" t="str">
            <v>99</v>
          </cell>
          <cell r="C783" t="str">
            <v>172</v>
          </cell>
          <cell r="D783" t="str">
            <v>Троллейная подвеска</v>
          </cell>
          <cell r="E783" t="str">
            <v>ТПП-821</v>
          </cell>
          <cell r="G783" t="str">
            <v>01</v>
          </cell>
          <cell r="H783">
            <v>24000</v>
          </cell>
          <cell r="I783">
            <v>0</v>
          </cell>
          <cell r="J783">
            <v>0</v>
          </cell>
          <cell r="K783">
            <v>1.03</v>
          </cell>
          <cell r="L783" t="str">
            <v>20</v>
          </cell>
          <cell r="M783" t="str">
            <v>43814</v>
          </cell>
          <cell r="N783" t="str">
            <v>14 2922721</v>
          </cell>
          <cell r="P783">
            <v>33.299999999999997</v>
          </cell>
          <cell r="Q783">
            <v>0</v>
          </cell>
          <cell r="R783" t="str">
            <v>1</v>
          </cell>
          <cell r="S783" t="str">
            <v>43</v>
          </cell>
          <cell r="T783">
            <v>96</v>
          </cell>
          <cell r="U783">
            <v>8</v>
          </cell>
          <cell r="V783">
            <v>96</v>
          </cell>
          <cell r="W783">
            <v>8</v>
          </cell>
          <cell r="X783">
            <v>96</v>
          </cell>
          <cell r="Y783">
            <v>0</v>
          </cell>
          <cell r="Z783">
            <v>0</v>
          </cell>
          <cell r="AB783" t="str">
            <v>14</v>
          </cell>
          <cell r="AC783">
            <v>5</v>
          </cell>
          <cell r="AD783" t="str">
            <v>0</v>
          </cell>
          <cell r="AE783" t="str">
            <v>0</v>
          </cell>
          <cell r="AF783" t="str">
            <v>00</v>
          </cell>
          <cell r="AI783">
            <v>23333334</v>
          </cell>
          <cell r="AJ783">
            <v>10360000.300000001</v>
          </cell>
        </row>
        <row r="784">
          <cell r="A784" t="str">
            <v>02</v>
          </cell>
          <cell r="B784" t="str">
            <v>99</v>
          </cell>
          <cell r="C784" t="str">
            <v>173</v>
          </cell>
          <cell r="D784" t="str">
            <v>Полотенца мягкие</v>
          </cell>
          <cell r="E784" t="str">
            <v>ПМ-524</v>
          </cell>
          <cell r="G784" t="str">
            <v>01</v>
          </cell>
          <cell r="H784">
            <v>7050</v>
          </cell>
          <cell r="I784">
            <v>0</v>
          </cell>
          <cell r="J784">
            <v>0</v>
          </cell>
          <cell r="K784">
            <v>1.01</v>
          </cell>
          <cell r="L784" t="str">
            <v>20</v>
          </cell>
          <cell r="M784" t="str">
            <v>43815</v>
          </cell>
          <cell r="N784" t="str">
            <v>14 2922721</v>
          </cell>
          <cell r="P784">
            <v>50</v>
          </cell>
          <cell r="Q784">
            <v>0</v>
          </cell>
          <cell r="R784" t="str">
            <v>1</v>
          </cell>
          <cell r="S784" t="str">
            <v>43</v>
          </cell>
          <cell r="T784">
            <v>96</v>
          </cell>
          <cell r="U784">
            <v>8</v>
          </cell>
          <cell r="V784">
            <v>96</v>
          </cell>
          <cell r="W784">
            <v>8</v>
          </cell>
          <cell r="X784">
            <v>96</v>
          </cell>
          <cell r="Y784">
            <v>0</v>
          </cell>
          <cell r="Z784">
            <v>0</v>
          </cell>
          <cell r="AB784" t="str">
            <v>14</v>
          </cell>
          <cell r="AC784">
            <v>6</v>
          </cell>
          <cell r="AD784" t="str">
            <v>0</v>
          </cell>
          <cell r="AE784" t="str">
            <v>0</v>
          </cell>
          <cell r="AF784" t="str">
            <v>00</v>
          </cell>
          <cell r="AI784">
            <v>7000000</v>
          </cell>
          <cell r="AJ784">
            <v>4666666.67</v>
          </cell>
        </row>
        <row r="785">
          <cell r="A785" t="str">
            <v>02</v>
          </cell>
          <cell r="B785" t="str">
            <v>03</v>
          </cell>
          <cell r="C785" t="str">
            <v>174</v>
          </cell>
          <cell r="D785" t="str">
            <v>Полотенца мягкие</v>
          </cell>
          <cell r="E785" t="str">
            <v>ПМ-524</v>
          </cell>
          <cell r="G785" t="str">
            <v>01</v>
          </cell>
          <cell r="H785">
            <v>7050</v>
          </cell>
          <cell r="I785">
            <v>0</v>
          </cell>
          <cell r="J785">
            <v>0</v>
          </cell>
          <cell r="K785">
            <v>1.01</v>
          </cell>
          <cell r="L785" t="str">
            <v>26</v>
          </cell>
          <cell r="M785" t="str">
            <v>43815</v>
          </cell>
          <cell r="N785" t="str">
            <v>14 2922721</v>
          </cell>
          <cell r="P785">
            <v>50</v>
          </cell>
          <cell r="Q785">
            <v>0</v>
          </cell>
          <cell r="R785" t="str">
            <v>1</v>
          </cell>
          <cell r="S785" t="str">
            <v>43</v>
          </cell>
          <cell r="T785">
            <v>96</v>
          </cell>
          <cell r="U785">
            <v>8</v>
          </cell>
          <cell r="V785">
            <v>96</v>
          </cell>
          <cell r="W785">
            <v>8</v>
          </cell>
          <cell r="X785">
            <v>96</v>
          </cell>
          <cell r="Y785">
            <v>0</v>
          </cell>
          <cell r="Z785">
            <v>0</v>
          </cell>
          <cell r="AD785" t="str">
            <v>0</v>
          </cell>
          <cell r="AE785" t="str">
            <v>0</v>
          </cell>
          <cell r="AF785" t="str">
            <v>00</v>
          </cell>
          <cell r="AI785">
            <v>7000000</v>
          </cell>
          <cell r="AJ785">
            <v>4666666.67</v>
          </cell>
        </row>
        <row r="786">
          <cell r="A786" t="str">
            <v>02</v>
          </cell>
          <cell r="B786" t="str">
            <v>03</v>
          </cell>
          <cell r="C786" t="str">
            <v>175</v>
          </cell>
          <cell r="D786" t="str">
            <v>Полотенца мягкие</v>
          </cell>
          <cell r="E786" t="str">
            <v>ПМ-524</v>
          </cell>
          <cell r="G786" t="str">
            <v>01</v>
          </cell>
          <cell r="H786">
            <v>7050</v>
          </cell>
          <cell r="I786">
            <v>0</v>
          </cell>
          <cell r="J786">
            <v>0</v>
          </cell>
          <cell r="K786">
            <v>1.01</v>
          </cell>
          <cell r="L786" t="str">
            <v>26</v>
          </cell>
          <cell r="M786" t="str">
            <v>43815</v>
          </cell>
          <cell r="N786" t="str">
            <v>14 2922721</v>
          </cell>
          <cell r="P786">
            <v>50</v>
          </cell>
          <cell r="Q786">
            <v>0</v>
          </cell>
          <cell r="R786" t="str">
            <v>1</v>
          </cell>
          <cell r="S786" t="str">
            <v>43</v>
          </cell>
          <cell r="T786">
            <v>96</v>
          </cell>
          <cell r="U786">
            <v>8</v>
          </cell>
          <cell r="V786">
            <v>96</v>
          </cell>
          <cell r="W786">
            <v>8</v>
          </cell>
          <cell r="X786">
            <v>96</v>
          </cell>
          <cell r="Y786">
            <v>0</v>
          </cell>
          <cell r="Z786">
            <v>0</v>
          </cell>
          <cell r="AD786" t="str">
            <v>0</v>
          </cell>
          <cell r="AE786" t="str">
            <v>0</v>
          </cell>
          <cell r="AF786" t="str">
            <v>00</v>
          </cell>
          <cell r="AI786">
            <v>7000000</v>
          </cell>
          <cell r="AJ786">
            <v>4666666.67</v>
          </cell>
        </row>
        <row r="787">
          <cell r="A787" t="str">
            <v>02</v>
          </cell>
          <cell r="B787" t="str">
            <v>03</v>
          </cell>
          <cell r="C787" t="str">
            <v>176</v>
          </cell>
          <cell r="D787" t="str">
            <v>Полотенца мягкие</v>
          </cell>
          <cell r="E787" t="str">
            <v>ПМ-524</v>
          </cell>
          <cell r="G787" t="str">
            <v>01</v>
          </cell>
          <cell r="H787">
            <v>7050</v>
          </cell>
          <cell r="I787">
            <v>0</v>
          </cell>
          <cell r="J787">
            <v>0</v>
          </cell>
          <cell r="K787">
            <v>1.01</v>
          </cell>
          <cell r="L787" t="str">
            <v>26</v>
          </cell>
          <cell r="M787" t="str">
            <v>43815</v>
          </cell>
          <cell r="N787" t="str">
            <v>14 2922721</v>
          </cell>
          <cell r="P787">
            <v>50</v>
          </cell>
          <cell r="Q787">
            <v>0</v>
          </cell>
          <cell r="R787" t="str">
            <v>1</v>
          </cell>
          <cell r="S787" t="str">
            <v>43</v>
          </cell>
          <cell r="T787">
            <v>96</v>
          </cell>
          <cell r="U787">
            <v>8</v>
          </cell>
          <cell r="V787">
            <v>96</v>
          </cell>
          <cell r="W787">
            <v>8</v>
          </cell>
          <cell r="X787">
            <v>96</v>
          </cell>
          <cell r="Y787">
            <v>0</v>
          </cell>
          <cell r="Z787">
            <v>0</v>
          </cell>
          <cell r="AD787" t="str">
            <v>0</v>
          </cell>
          <cell r="AE787" t="str">
            <v>0</v>
          </cell>
          <cell r="AF787" t="str">
            <v>00</v>
          </cell>
          <cell r="AI787">
            <v>7000000</v>
          </cell>
          <cell r="AJ787">
            <v>4666666.67</v>
          </cell>
        </row>
        <row r="788">
          <cell r="A788" t="str">
            <v>02</v>
          </cell>
          <cell r="B788" t="str">
            <v>05</v>
          </cell>
          <cell r="C788" t="str">
            <v>177</v>
          </cell>
          <cell r="D788" t="str">
            <v>Машина изоляционная</v>
          </cell>
          <cell r="E788" t="str">
            <v>ИМ-820</v>
          </cell>
          <cell r="G788" t="str">
            <v>01</v>
          </cell>
          <cell r="H788">
            <v>95600</v>
          </cell>
          <cell r="I788">
            <v>0</v>
          </cell>
          <cell r="J788">
            <v>0</v>
          </cell>
          <cell r="K788">
            <v>1.01</v>
          </cell>
          <cell r="L788" t="str">
            <v>20</v>
          </cell>
          <cell r="M788" t="str">
            <v>43803</v>
          </cell>
          <cell r="N788" t="str">
            <v>14 2947195</v>
          </cell>
          <cell r="P788">
            <v>33.299999999999997</v>
          </cell>
          <cell r="Q788">
            <v>0</v>
          </cell>
          <cell r="R788" t="str">
            <v>1</v>
          </cell>
          <cell r="S788" t="str">
            <v>43</v>
          </cell>
          <cell r="T788">
            <v>96</v>
          </cell>
          <cell r="U788">
            <v>8</v>
          </cell>
          <cell r="V788">
            <v>96</v>
          </cell>
          <cell r="W788">
            <v>8</v>
          </cell>
          <cell r="X788">
            <v>96</v>
          </cell>
          <cell r="Y788">
            <v>0</v>
          </cell>
          <cell r="Z788">
            <v>0</v>
          </cell>
          <cell r="AB788" t="str">
            <v>14</v>
          </cell>
          <cell r="AC788">
            <v>5</v>
          </cell>
          <cell r="AD788" t="str">
            <v>0</v>
          </cell>
          <cell r="AE788" t="str">
            <v>0</v>
          </cell>
          <cell r="AF788" t="str">
            <v>00</v>
          </cell>
          <cell r="AI788">
            <v>94290833</v>
          </cell>
          <cell r="AJ788">
            <v>41865129.850000001</v>
          </cell>
        </row>
        <row r="789">
          <cell r="A789" t="str">
            <v>02</v>
          </cell>
          <cell r="B789" t="str">
            <v>03</v>
          </cell>
          <cell r="C789" t="str">
            <v>178</v>
          </cell>
          <cell r="D789" t="str">
            <v>Снегоход РЫСЬ УС-440</v>
          </cell>
          <cell r="G789" t="str">
            <v>01</v>
          </cell>
          <cell r="H789">
            <v>17463</v>
          </cell>
          <cell r="I789">
            <v>0</v>
          </cell>
          <cell r="J789">
            <v>0</v>
          </cell>
          <cell r="K789">
            <v>1</v>
          </cell>
          <cell r="L789" t="str">
            <v>23</v>
          </cell>
          <cell r="M789" t="str">
            <v>50511</v>
          </cell>
          <cell r="N789" t="str">
            <v>16 3612050</v>
          </cell>
          <cell r="P789">
            <v>21.3</v>
          </cell>
          <cell r="Q789">
            <v>0</v>
          </cell>
          <cell r="R789" t="str">
            <v>1</v>
          </cell>
          <cell r="S789" t="str">
            <v>50</v>
          </cell>
          <cell r="T789">
            <v>96</v>
          </cell>
          <cell r="U789">
            <v>8</v>
          </cell>
          <cell r="V789">
            <v>96</v>
          </cell>
          <cell r="W789">
            <v>8</v>
          </cell>
          <cell r="X789">
            <v>96</v>
          </cell>
          <cell r="Y789">
            <v>0</v>
          </cell>
          <cell r="Z789">
            <v>0</v>
          </cell>
          <cell r="AD789" t="str">
            <v>0</v>
          </cell>
          <cell r="AE789" t="str">
            <v>0</v>
          </cell>
          <cell r="AF789" t="str">
            <v>00</v>
          </cell>
          <cell r="AI789">
            <v>17500000</v>
          </cell>
          <cell r="AJ789">
            <v>4970000</v>
          </cell>
        </row>
        <row r="790">
          <cell r="A790" t="str">
            <v>02</v>
          </cell>
          <cell r="B790" t="str">
            <v>05</v>
          </cell>
          <cell r="C790" t="str">
            <v>179</v>
          </cell>
          <cell r="D790" t="str">
            <v>Радиостанция КАМА</v>
          </cell>
          <cell r="E790" t="str">
            <v>г Горький</v>
          </cell>
          <cell r="G790" t="str">
            <v>01</v>
          </cell>
          <cell r="H790">
            <v>3846</v>
          </cell>
          <cell r="I790">
            <v>0</v>
          </cell>
          <cell r="J790">
            <v>0</v>
          </cell>
          <cell r="K790">
            <v>1.03</v>
          </cell>
          <cell r="L790" t="str">
            <v>20</v>
          </cell>
          <cell r="M790" t="str">
            <v>45620</v>
          </cell>
          <cell r="N790" t="str">
            <v>14 3221102</v>
          </cell>
          <cell r="P790">
            <v>12.5</v>
          </cell>
          <cell r="Q790">
            <v>0</v>
          </cell>
          <cell r="R790" t="str">
            <v>1</v>
          </cell>
          <cell r="S790" t="str">
            <v>45</v>
          </cell>
          <cell r="T790">
            <v>96</v>
          </cell>
          <cell r="U790">
            <v>8</v>
          </cell>
          <cell r="V790">
            <v>96</v>
          </cell>
          <cell r="W790">
            <v>8</v>
          </cell>
          <cell r="X790">
            <v>96</v>
          </cell>
          <cell r="Y790">
            <v>0</v>
          </cell>
          <cell r="Z790">
            <v>0</v>
          </cell>
          <cell r="AD790" t="str">
            <v>0</v>
          </cell>
          <cell r="AE790" t="str">
            <v>0</v>
          </cell>
          <cell r="AF790" t="str">
            <v>00</v>
          </cell>
          <cell r="AI790">
            <v>3722893</v>
          </cell>
          <cell r="AJ790">
            <v>620482.17000000004</v>
          </cell>
        </row>
        <row r="791">
          <cell r="A791" t="str">
            <v>02</v>
          </cell>
          <cell r="B791" t="str">
            <v>05</v>
          </cell>
          <cell r="C791" t="str">
            <v>180</v>
          </cell>
          <cell r="D791" t="str">
            <v>Радиостанция КАМА</v>
          </cell>
          <cell r="E791" t="str">
            <v>г Горький</v>
          </cell>
          <cell r="G791" t="str">
            <v>01</v>
          </cell>
          <cell r="H791">
            <v>3846</v>
          </cell>
          <cell r="I791">
            <v>0</v>
          </cell>
          <cell r="J791">
            <v>0</v>
          </cell>
          <cell r="K791">
            <v>1.03</v>
          </cell>
          <cell r="L791" t="str">
            <v>20</v>
          </cell>
          <cell r="M791" t="str">
            <v>45620</v>
          </cell>
          <cell r="N791" t="str">
            <v>14 3221102</v>
          </cell>
          <cell r="P791">
            <v>12.5</v>
          </cell>
          <cell r="Q791">
            <v>0</v>
          </cell>
          <cell r="R791" t="str">
            <v>1</v>
          </cell>
          <cell r="S791" t="str">
            <v>45</v>
          </cell>
          <cell r="T791">
            <v>96</v>
          </cell>
          <cell r="U791">
            <v>8</v>
          </cell>
          <cell r="V791">
            <v>96</v>
          </cell>
          <cell r="W791">
            <v>8</v>
          </cell>
          <cell r="X791">
            <v>96</v>
          </cell>
          <cell r="Y791">
            <v>0</v>
          </cell>
          <cell r="Z791">
            <v>0</v>
          </cell>
          <cell r="AD791" t="str">
            <v>0</v>
          </cell>
          <cell r="AE791" t="str">
            <v>0</v>
          </cell>
          <cell r="AF791" t="str">
            <v>00</v>
          </cell>
          <cell r="AI791">
            <v>3722893</v>
          </cell>
          <cell r="AJ791">
            <v>620482.17000000004</v>
          </cell>
        </row>
        <row r="792">
          <cell r="A792" t="str">
            <v>02</v>
          </cell>
          <cell r="B792" t="str">
            <v>02</v>
          </cell>
          <cell r="C792" t="str">
            <v>181</v>
          </cell>
          <cell r="D792" t="str">
            <v>Холодильный ларь F-4</v>
          </cell>
          <cell r="E792" t="str">
            <v>1  Дания</v>
          </cell>
          <cell r="G792" t="str">
            <v>01</v>
          </cell>
          <cell r="H792">
            <v>3375</v>
          </cell>
          <cell r="I792">
            <v>0</v>
          </cell>
          <cell r="J792">
            <v>0</v>
          </cell>
          <cell r="K792">
            <v>1</v>
          </cell>
          <cell r="L792" t="str">
            <v>20</v>
          </cell>
          <cell r="M792" t="str">
            <v>45800</v>
          </cell>
          <cell r="N792" t="str">
            <v>16 2930100</v>
          </cell>
          <cell r="P792">
            <v>10</v>
          </cell>
          <cell r="Q792">
            <v>0</v>
          </cell>
          <cell r="R792" t="str">
            <v>1</v>
          </cell>
          <cell r="S792" t="str">
            <v>45</v>
          </cell>
          <cell r="T792">
            <v>96</v>
          </cell>
          <cell r="U792">
            <v>8</v>
          </cell>
          <cell r="V792">
            <v>96</v>
          </cell>
          <cell r="W792">
            <v>8</v>
          </cell>
          <cell r="X792">
            <v>96</v>
          </cell>
          <cell r="Y792">
            <v>0</v>
          </cell>
          <cell r="Z792">
            <v>0</v>
          </cell>
          <cell r="AB792" t="str">
            <v>14</v>
          </cell>
          <cell r="AC792">
            <v>2</v>
          </cell>
          <cell r="AD792" t="str">
            <v>0</v>
          </cell>
          <cell r="AE792" t="str">
            <v>0</v>
          </cell>
          <cell r="AF792" t="str">
            <v>00</v>
          </cell>
          <cell r="AI792">
            <v>3375000</v>
          </cell>
          <cell r="AJ792">
            <v>450000</v>
          </cell>
        </row>
        <row r="793">
          <cell r="A793" t="str">
            <v>17</v>
          </cell>
          <cell r="B793" t="str">
            <v>82</v>
          </cell>
          <cell r="C793" t="str">
            <v>182</v>
          </cell>
          <cell r="D793" t="str">
            <v>Холодильный ларь F-4</v>
          </cell>
          <cell r="E793" t="str">
            <v>1</v>
          </cell>
          <cell r="G793" t="str">
            <v>01</v>
          </cell>
          <cell r="H793">
            <v>3375</v>
          </cell>
          <cell r="I793">
            <v>0</v>
          </cell>
          <cell r="J793">
            <v>0</v>
          </cell>
          <cell r="K793">
            <v>1</v>
          </cell>
          <cell r="L793" t="str">
            <v>29</v>
          </cell>
          <cell r="M793" t="str">
            <v>45800</v>
          </cell>
          <cell r="N793" t="str">
            <v>16 3697050</v>
          </cell>
          <cell r="P793">
            <v>10</v>
          </cell>
          <cell r="Q793">
            <v>0</v>
          </cell>
          <cell r="R793" t="str">
            <v>1</v>
          </cell>
          <cell r="S793" t="str">
            <v>45</v>
          </cell>
          <cell r="T793">
            <v>96</v>
          </cell>
          <cell r="U793">
            <v>8</v>
          </cell>
          <cell r="V793">
            <v>96</v>
          </cell>
          <cell r="W793">
            <v>8</v>
          </cell>
          <cell r="X793">
            <v>96</v>
          </cell>
          <cell r="Y793">
            <v>0</v>
          </cell>
          <cell r="Z793">
            <v>0</v>
          </cell>
          <cell r="AB793" t="str">
            <v>14</v>
          </cell>
          <cell r="AC793">
            <v>8</v>
          </cell>
          <cell r="AD793" t="str">
            <v>0</v>
          </cell>
          <cell r="AE793" t="str">
            <v>0</v>
          </cell>
          <cell r="AF793" t="str">
            <v>17</v>
          </cell>
          <cell r="AI793">
            <v>3375000</v>
          </cell>
          <cell r="AJ793">
            <v>450000</v>
          </cell>
        </row>
        <row r="794">
          <cell r="A794" t="str">
            <v>02</v>
          </cell>
          <cell r="B794" t="str">
            <v>02</v>
          </cell>
          <cell r="C794" t="str">
            <v>184</v>
          </cell>
          <cell r="D794" t="str">
            <v>Передвижная эл.станц</v>
          </cell>
          <cell r="E794" t="str">
            <v>ия 100 квт ДЭС-100</v>
          </cell>
          <cell r="G794" t="str">
            <v>01</v>
          </cell>
          <cell r="H794">
            <v>110000</v>
          </cell>
          <cell r="I794">
            <v>0</v>
          </cell>
          <cell r="J794">
            <v>0</v>
          </cell>
          <cell r="K794">
            <v>1.06</v>
          </cell>
          <cell r="L794" t="str">
            <v>20</v>
          </cell>
          <cell r="M794" t="str">
            <v>40307</v>
          </cell>
          <cell r="N794" t="str">
            <v>14 3149130</v>
          </cell>
          <cell r="P794">
            <v>14.3</v>
          </cell>
          <cell r="Q794">
            <v>0</v>
          </cell>
          <cell r="R794" t="str">
            <v>1</v>
          </cell>
          <cell r="S794" t="str">
            <v>40</v>
          </cell>
          <cell r="T794">
            <v>90</v>
          </cell>
          <cell r="U794">
            <v>9</v>
          </cell>
          <cell r="V794">
            <v>96</v>
          </cell>
          <cell r="W794">
            <v>9</v>
          </cell>
          <cell r="X794">
            <v>96</v>
          </cell>
          <cell r="Y794">
            <v>0</v>
          </cell>
          <cell r="Z794">
            <v>0</v>
          </cell>
          <cell r="AB794" t="str">
            <v>14</v>
          </cell>
          <cell r="AC794">
            <v>8</v>
          </cell>
          <cell r="AD794" t="str">
            <v>0</v>
          </cell>
          <cell r="AE794" t="str">
            <v>0</v>
          </cell>
          <cell r="AF794" t="str">
            <v>00</v>
          </cell>
          <cell r="AI794">
            <v>103329200</v>
          </cell>
          <cell r="AJ794">
            <v>18470094.5</v>
          </cell>
        </row>
        <row r="795">
          <cell r="A795" t="str">
            <v>02</v>
          </cell>
          <cell r="B795" t="str">
            <v>23</v>
          </cell>
          <cell r="C795" t="str">
            <v>185</v>
          </cell>
          <cell r="D795" t="str">
            <v>А/м КАМАЗ 4310 а/цис</v>
          </cell>
          <cell r="E795" t="str">
            <v>церна N С284ВУ</v>
          </cell>
          <cell r="F795" t="str">
            <v>дв065337 ш2085878</v>
          </cell>
          <cell r="G795" t="str">
            <v>01</v>
          </cell>
          <cell r="H795">
            <v>193667.96</v>
          </cell>
          <cell r="I795">
            <v>0</v>
          </cell>
          <cell r="J795">
            <v>232400</v>
          </cell>
          <cell r="K795">
            <v>1.06</v>
          </cell>
          <cell r="L795" t="str">
            <v>23</v>
          </cell>
          <cell r="M795" t="str">
            <v>42000</v>
          </cell>
          <cell r="N795" t="str">
            <v>15 3410364</v>
          </cell>
          <cell r="P795">
            <v>12.5</v>
          </cell>
          <cell r="Q795">
            <v>0</v>
          </cell>
          <cell r="R795" t="str">
            <v>1</v>
          </cell>
          <cell r="S795" t="str">
            <v>42</v>
          </cell>
          <cell r="T795">
            <v>96</v>
          </cell>
          <cell r="U795">
            <v>9</v>
          </cell>
          <cell r="V795">
            <v>96</v>
          </cell>
          <cell r="W795">
            <v>9</v>
          </cell>
          <cell r="X795">
            <v>96</v>
          </cell>
          <cell r="Y795">
            <v>9</v>
          </cell>
          <cell r="Z795">
            <v>96</v>
          </cell>
          <cell r="AD795" t="str">
            <v>0</v>
          </cell>
          <cell r="AE795" t="str">
            <v>0</v>
          </cell>
          <cell r="AF795" t="str">
            <v>00</v>
          </cell>
          <cell r="AI795">
            <v>220198532</v>
          </cell>
          <cell r="AJ795">
            <v>34406020.630000003</v>
          </cell>
        </row>
        <row r="796">
          <cell r="A796" t="str">
            <v>02</v>
          </cell>
          <cell r="B796" t="str">
            <v>23</v>
          </cell>
          <cell r="C796" t="str">
            <v>190</v>
          </cell>
          <cell r="D796" t="str">
            <v>А/м ЗИЛ-131 передвиж</v>
          </cell>
          <cell r="E796" t="str">
            <v>мастерская N С283ВУ</v>
          </cell>
          <cell r="F796" t="str">
            <v>дв499883 ш662224</v>
          </cell>
          <cell r="G796" t="str">
            <v>01</v>
          </cell>
          <cell r="H796">
            <v>56160</v>
          </cell>
          <cell r="I796">
            <v>0</v>
          </cell>
          <cell r="J796">
            <v>67391.55</v>
          </cell>
          <cell r="K796">
            <v>1.08</v>
          </cell>
          <cell r="L796" t="str">
            <v>23</v>
          </cell>
          <cell r="M796" t="str">
            <v>50426</v>
          </cell>
          <cell r="N796" t="str">
            <v>15 3410359</v>
          </cell>
          <cell r="P796">
            <v>10</v>
          </cell>
          <cell r="Q796">
            <v>0</v>
          </cell>
          <cell r="R796" t="str">
            <v>1</v>
          </cell>
          <cell r="S796" t="str">
            <v>50</v>
          </cell>
          <cell r="T796">
            <v>96</v>
          </cell>
          <cell r="U796">
            <v>9</v>
          </cell>
          <cell r="V796">
            <v>96</v>
          </cell>
          <cell r="W796">
            <v>9</v>
          </cell>
          <cell r="X796">
            <v>96</v>
          </cell>
          <cell r="Y796">
            <v>9</v>
          </cell>
          <cell r="Z796">
            <v>96</v>
          </cell>
          <cell r="AD796" t="str">
            <v>0</v>
          </cell>
          <cell r="AE796" t="str">
            <v>0</v>
          </cell>
          <cell r="AF796" t="str">
            <v>00</v>
          </cell>
          <cell r="AI796">
            <v>62399584</v>
          </cell>
          <cell r="AJ796">
            <v>7799948</v>
          </cell>
        </row>
        <row r="797">
          <cell r="A797" t="str">
            <v>17</v>
          </cell>
          <cell r="B797" t="str">
            <v>82</v>
          </cell>
          <cell r="C797" t="str">
            <v>191</v>
          </cell>
          <cell r="D797" t="str">
            <v>Эл.плита ПЭ-4Ш</v>
          </cell>
          <cell r="G797" t="str">
            <v>01</v>
          </cell>
          <cell r="H797">
            <v>3950</v>
          </cell>
          <cell r="I797">
            <v>0</v>
          </cell>
          <cell r="J797">
            <v>0</v>
          </cell>
          <cell r="K797">
            <v>0.95</v>
          </cell>
          <cell r="L797" t="str">
            <v>26</v>
          </cell>
          <cell r="M797" t="str">
            <v>45804</v>
          </cell>
          <cell r="N797" t="str">
            <v>16 2930122</v>
          </cell>
          <cell r="P797">
            <v>12.5</v>
          </cell>
          <cell r="Q797">
            <v>0</v>
          </cell>
          <cell r="R797" t="str">
            <v>1</v>
          </cell>
          <cell r="S797" t="str">
            <v>45</v>
          </cell>
          <cell r="T797">
            <v>96</v>
          </cell>
          <cell r="U797">
            <v>9</v>
          </cell>
          <cell r="V797">
            <v>96</v>
          </cell>
          <cell r="W797">
            <v>9</v>
          </cell>
          <cell r="X797">
            <v>96</v>
          </cell>
          <cell r="Y797">
            <v>0</v>
          </cell>
          <cell r="Z797">
            <v>0</v>
          </cell>
          <cell r="AB797" t="str">
            <v>14</v>
          </cell>
          <cell r="AC797">
            <v>11</v>
          </cell>
          <cell r="AD797" t="str">
            <v>0</v>
          </cell>
          <cell r="AE797" t="str">
            <v>0</v>
          </cell>
          <cell r="AF797" t="str">
            <v>17</v>
          </cell>
          <cell r="AI797">
            <v>4166667</v>
          </cell>
          <cell r="AJ797">
            <v>651041.72</v>
          </cell>
        </row>
        <row r="798">
          <cell r="A798" t="str">
            <v>17</v>
          </cell>
          <cell r="B798" t="str">
            <v>82</v>
          </cell>
          <cell r="C798" t="str">
            <v>192</v>
          </cell>
          <cell r="D798" t="str">
            <v>Эл.плита ПЭ-4Ш</v>
          </cell>
          <cell r="G798" t="str">
            <v>01</v>
          </cell>
          <cell r="H798">
            <v>3950</v>
          </cell>
          <cell r="I798">
            <v>0</v>
          </cell>
          <cell r="J798">
            <v>0</v>
          </cell>
          <cell r="K798">
            <v>0.95</v>
          </cell>
          <cell r="L798" t="str">
            <v>26</v>
          </cell>
          <cell r="M798" t="str">
            <v>45804</v>
          </cell>
          <cell r="N798" t="str">
            <v>16 2930122</v>
          </cell>
          <cell r="P798">
            <v>12.5</v>
          </cell>
          <cell r="Q798">
            <v>0</v>
          </cell>
          <cell r="R798" t="str">
            <v>1</v>
          </cell>
          <cell r="S798" t="str">
            <v>45</v>
          </cell>
          <cell r="T798">
            <v>96</v>
          </cell>
          <cell r="U798">
            <v>9</v>
          </cell>
          <cell r="V798">
            <v>96</v>
          </cell>
          <cell r="W798">
            <v>9</v>
          </cell>
          <cell r="X798">
            <v>96</v>
          </cell>
          <cell r="Y798">
            <v>0</v>
          </cell>
          <cell r="Z798">
            <v>0</v>
          </cell>
          <cell r="AB798" t="str">
            <v>14</v>
          </cell>
          <cell r="AC798">
            <v>11</v>
          </cell>
          <cell r="AD798" t="str">
            <v>0</v>
          </cell>
          <cell r="AE798" t="str">
            <v>0</v>
          </cell>
          <cell r="AF798" t="str">
            <v>17</v>
          </cell>
          <cell r="AI798">
            <v>4166667</v>
          </cell>
          <cell r="AJ798">
            <v>651041.72</v>
          </cell>
        </row>
        <row r="799">
          <cell r="A799" t="str">
            <v>02</v>
          </cell>
          <cell r="B799" t="str">
            <v>05</v>
          </cell>
          <cell r="C799" t="str">
            <v>195</v>
          </cell>
          <cell r="D799" t="str">
            <v>Мотопомпа с двигател</v>
          </cell>
          <cell r="E799" t="str">
            <v>ем Дружба</v>
          </cell>
          <cell r="G799" t="str">
            <v>01</v>
          </cell>
          <cell r="H799">
            <v>1487.5</v>
          </cell>
          <cell r="I799">
            <v>0</v>
          </cell>
          <cell r="J799">
            <v>0</v>
          </cell>
          <cell r="K799">
            <v>1.05</v>
          </cell>
          <cell r="L799" t="str">
            <v>20</v>
          </cell>
          <cell r="M799" t="str">
            <v>41502</v>
          </cell>
          <cell r="N799" t="str">
            <v>14 2912000</v>
          </cell>
          <cell r="P799">
            <v>12.5</v>
          </cell>
          <cell r="Q799">
            <v>0</v>
          </cell>
          <cell r="R799" t="str">
            <v>1</v>
          </cell>
          <cell r="S799" t="str">
            <v>41</v>
          </cell>
          <cell r="T799">
            <v>95</v>
          </cell>
          <cell r="U799">
            <v>10</v>
          </cell>
          <cell r="V799">
            <v>96</v>
          </cell>
          <cell r="W799">
            <v>10</v>
          </cell>
          <cell r="X799">
            <v>96</v>
          </cell>
          <cell r="Y799">
            <v>0</v>
          </cell>
          <cell r="Z799">
            <v>0</v>
          </cell>
          <cell r="AD799" t="str">
            <v>0</v>
          </cell>
          <cell r="AE799" t="str">
            <v>0</v>
          </cell>
          <cell r="AF799" t="str">
            <v>00</v>
          </cell>
          <cell r="AI799">
            <v>1416667</v>
          </cell>
          <cell r="AJ799">
            <v>206597.27</v>
          </cell>
        </row>
        <row r="800">
          <cell r="A800" t="str">
            <v>02</v>
          </cell>
          <cell r="B800" t="str">
            <v>05</v>
          </cell>
          <cell r="C800" t="str">
            <v>196</v>
          </cell>
          <cell r="D800" t="str">
            <v>Мотопомпа с двигател</v>
          </cell>
          <cell r="E800" t="str">
            <v>ем Дружба</v>
          </cell>
          <cell r="G800" t="str">
            <v>01</v>
          </cell>
          <cell r="H800">
            <v>1487.5</v>
          </cell>
          <cell r="I800">
            <v>0</v>
          </cell>
          <cell r="J800">
            <v>0</v>
          </cell>
          <cell r="K800">
            <v>1.05</v>
          </cell>
          <cell r="L800" t="str">
            <v>20</v>
          </cell>
          <cell r="M800" t="str">
            <v>41502</v>
          </cell>
          <cell r="N800" t="str">
            <v>14 2912000</v>
          </cell>
          <cell r="P800">
            <v>12.5</v>
          </cell>
          <cell r="Q800">
            <v>0</v>
          </cell>
          <cell r="R800" t="str">
            <v>1</v>
          </cell>
          <cell r="S800" t="str">
            <v>41</v>
          </cell>
          <cell r="T800">
            <v>95</v>
          </cell>
          <cell r="U800">
            <v>10</v>
          </cell>
          <cell r="V800">
            <v>96</v>
          </cell>
          <cell r="W800">
            <v>10</v>
          </cell>
          <cell r="X800">
            <v>96</v>
          </cell>
          <cell r="Y800">
            <v>0</v>
          </cell>
          <cell r="Z800">
            <v>0</v>
          </cell>
          <cell r="AD800" t="str">
            <v>0</v>
          </cell>
          <cell r="AE800" t="str">
            <v>0</v>
          </cell>
          <cell r="AF800" t="str">
            <v>00</v>
          </cell>
          <cell r="AI800">
            <v>1416667</v>
          </cell>
          <cell r="AJ800">
            <v>206597.27</v>
          </cell>
        </row>
        <row r="801">
          <cell r="A801" t="str">
            <v>02</v>
          </cell>
          <cell r="B801" t="str">
            <v>05</v>
          </cell>
          <cell r="C801" t="str">
            <v>197</v>
          </cell>
          <cell r="D801" t="str">
            <v>Мотор Ветерок 12 л с</v>
          </cell>
          <cell r="G801" t="str">
            <v>01</v>
          </cell>
          <cell r="H801">
            <v>1601.25</v>
          </cell>
          <cell r="I801">
            <v>0</v>
          </cell>
          <cell r="J801">
            <v>0</v>
          </cell>
          <cell r="K801">
            <v>1.05</v>
          </cell>
          <cell r="L801" t="str">
            <v>20</v>
          </cell>
          <cell r="M801" t="str">
            <v>40411</v>
          </cell>
          <cell r="N801" t="str">
            <v>14 2911110</v>
          </cell>
          <cell r="P801">
            <v>14.3</v>
          </cell>
          <cell r="Q801">
            <v>0</v>
          </cell>
          <cell r="R801" t="str">
            <v>1</v>
          </cell>
          <cell r="S801" t="str">
            <v>40</v>
          </cell>
          <cell r="T801">
            <v>96</v>
          </cell>
          <cell r="U801">
            <v>10</v>
          </cell>
          <cell r="V801">
            <v>96</v>
          </cell>
          <cell r="W801">
            <v>10</v>
          </cell>
          <cell r="X801">
            <v>96</v>
          </cell>
          <cell r="Y801">
            <v>0</v>
          </cell>
          <cell r="Z801">
            <v>0</v>
          </cell>
          <cell r="AD801" t="str">
            <v>0</v>
          </cell>
          <cell r="AE801" t="str">
            <v>0</v>
          </cell>
          <cell r="AF801" t="str">
            <v>00</v>
          </cell>
          <cell r="AI801">
            <v>1525000</v>
          </cell>
          <cell r="AJ801">
            <v>254420.83</v>
          </cell>
        </row>
        <row r="802">
          <cell r="A802" t="str">
            <v>02</v>
          </cell>
          <cell r="B802" t="str">
            <v>05</v>
          </cell>
          <cell r="C802" t="str">
            <v>198</v>
          </cell>
          <cell r="D802" t="str">
            <v>Бензопила Урал</v>
          </cell>
          <cell r="G802" t="str">
            <v>01</v>
          </cell>
          <cell r="H802">
            <v>1407.98</v>
          </cell>
          <cell r="I802">
            <v>0</v>
          </cell>
          <cell r="J802">
            <v>0</v>
          </cell>
          <cell r="K802">
            <v>1.1299999999999999</v>
          </cell>
          <cell r="L802" t="str">
            <v>20</v>
          </cell>
          <cell r="M802" t="str">
            <v>60002</v>
          </cell>
          <cell r="N802" t="str">
            <v>14 2941151</v>
          </cell>
          <cell r="P802">
            <v>20</v>
          </cell>
          <cell r="Q802">
            <v>0</v>
          </cell>
          <cell r="R802" t="str">
            <v>1</v>
          </cell>
          <cell r="S802" t="str">
            <v>60</v>
          </cell>
          <cell r="T802">
            <v>96</v>
          </cell>
          <cell r="U802">
            <v>10</v>
          </cell>
          <cell r="V802">
            <v>96</v>
          </cell>
          <cell r="W802">
            <v>10</v>
          </cell>
          <cell r="X802">
            <v>96</v>
          </cell>
          <cell r="Y802">
            <v>0</v>
          </cell>
          <cell r="Z802">
            <v>0</v>
          </cell>
          <cell r="AD802" t="str">
            <v>0</v>
          </cell>
          <cell r="AE802" t="str">
            <v>0</v>
          </cell>
          <cell r="AF802" t="str">
            <v>00</v>
          </cell>
          <cell r="AI802">
            <v>1250000</v>
          </cell>
          <cell r="AJ802">
            <v>291666.67</v>
          </cell>
        </row>
        <row r="803">
          <cell r="A803" t="str">
            <v>02</v>
          </cell>
          <cell r="B803" t="str">
            <v>04</v>
          </cell>
          <cell r="C803" t="str">
            <v>199</v>
          </cell>
          <cell r="D803" t="str">
            <v>Силовой трансформато</v>
          </cell>
          <cell r="E803" t="str">
            <v>р /подстанция/ мощ-</v>
          </cell>
          <cell r="F803" t="str">
            <v>ность 630 кВт</v>
          </cell>
          <cell r="G803" t="str">
            <v>01</v>
          </cell>
          <cell r="H803">
            <v>3784.47</v>
          </cell>
          <cell r="I803">
            <v>1790.68</v>
          </cell>
          <cell r="J803">
            <v>0</v>
          </cell>
          <cell r="K803">
            <v>1.01</v>
          </cell>
          <cell r="L803" t="str">
            <v>23</v>
          </cell>
          <cell r="M803" t="str">
            <v>40705</v>
          </cell>
          <cell r="N803" t="str">
            <v>14 3115202</v>
          </cell>
          <cell r="P803">
            <v>4.4000000000000004</v>
          </cell>
          <cell r="Q803">
            <v>0</v>
          </cell>
          <cell r="R803" t="str">
            <v>1</v>
          </cell>
          <cell r="S803" t="str">
            <v>40</v>
          </cell>
          <cell r="T803">
            <v>86</v>
          </cell>
          <cell r="U803">
            <v>11</v>
          </cell>
          <cell r="V803">
            <v>96</v>
          </cell>
          <cell r="W803">
            <v>11</v>
          </cell>
          <cell r="X803">
            <v>96</v>
          </cell>
          <cell r="Y803">
            <v>0</v>
          </cell>
          <cell r="Z803">
            <v>0</v>
          </cell>
          <cell r="AD803" t="str">
            <v>0</v>
          </cell>
          <cell r="AE803" t="str">
            <v>0</v>
          </cell>
          <cell r="AF803" t="str">
            <v>00</v>
          </cell>
          <cell r="AI803">
            <v>3746995</v>
          </cell>
          <cell r="AJ803">
            <v>1951560.12</v>
          </cell>
        </row>
        <row r="804">
          <cell r="A804" t="str">
            <v>02</v>
          </cell>
          <cell r="B804" t="str">
            <v>80</v>
          </cell>
          <cell r="C804" t="str">
            <v>200</v>
          </cell>
          <cell r="D804" t="str">
            <v>К-т офисной мебели</v>
          </cell>
          <cell r="E804" t="str">
            <v>Италия</v>
          </cell>
          <cell r="G804" t="str">
            <v>01</v>
          </cell>
          <cell r="H804">
            <v>44845.24</v>
          </cell>
          <cell r="I804">
            <v>0</v>
          </cell>
          <cell r="J804">
            <v>0</v>
          </cell>
          <cell r="K804">
            <v>1</v>
          </cell>
          <cell r="L804" t="str">
            <v>26</v>
          </cell>
          <cell r="M804" t="str">
            <v>70003</v>
          </cell>
          <cell r="N804" t="str">
            <v>16 3612050</v>
          </cell>
          <cell r="P804">
            <v>10</v>
          </cell>
          <cell r="Q804">
            <v>0</v>
          </cell>
          <cell r="R804" t="str">
            <v>1</v>
          </cell>
          <cell r="S804" t="str">
            <v>70</v>
          </cell>
          <cell r="T804">
            <v>96</v>
          </cell>
          <cell r="U804">
            <v>12</v>
          </cell>
          <cell r="V804">
            <v>96</v>
          </cell>
          <cell r="W804">
            <v>12</v>
          </cell>
          <cell r="X804">
            <v>96</v>
          </cell>
          <cell r="Y804">
            <v>0</v>
          </cell>
          <cell r="Z804">
            <v>0</v>
          </cell>
          <cell r="AB804" t="str">
            <v>14</v>
          </cell>
          <cell r="AC804">
            <v>4</v>
          </cell>
          <cell r="AD804" t="str">
            <v>0</v>
          </cell>
          <cell r="AE804" t="str">
            <v>0</v>
          </cell>
          <cell r="AF804" t="str">
            <v>00</v>
          </cell>
          <cell r="AI804">
            <v>44845235</v>
          </cell>
          <cell r="AJ804">
            <v>4484523.5</v>
          </cell>
        </row>
        <row r="805">
          <cell r="A805" t="str">
            <v>02</v>
          </cell>
          <cell r="B805" t="str">
            <v>80</v>
          </cell>
          <cell r="C805" t="str">
            <v>201</v>
          </cell>
          <cell r="D805" t="str">
            <v>К-т офисной мебели</v>
          </cell>
          <cell r="E805" t="str">
            <v>Италия</v>
          </cell>
          <cell r="G805" t="str">
            <v>01</v>
          </cell>
          <cell r="H805">
            <v>44845.24</v>
          </cell>
          <cell r="I805">
            <v>0</v>
          </cell>
          <cell r="J805">
            <v>0</v>
          </cell>
          <cell r="K805">
            <v>1</v>
          </cell>
          <cell r="L805" t="str">
            <v>26</v>
          </cell>
          <cell r="M805" t="str">
            <v>70003</v>
          </cell>
          <cell r="N805" t="str">
            <v>16 3612050</v>
          </cell>
          <cell r="P805">
            <v>10</v>
          </cell>
          <cell r="Q805">
            <v>0</v>
          </cell>
          <cell r="R805" t="str">
            <v>1</v>
          </cell>
          <cell r="S805" t="str">
            <v>70</v>
          </cell>
          <cell r="T805">
            <v>96</v>
          </cell>
          <cell r="U805">
            <v>12</v>
          </cell>
          <cell r="V805">
            <v>96</v>
          </cell>
          <cell r="W805">
            <v>12</v>
          </cell>
          <cell r="X805">
            <v>96</v>
          </cell>
          <cell r="Y805">
            <v>0</v>
          </cell>
          <cell r="Z805">
            <v>0</v>
          </cell>
          <cell r="AB805" t="str">
            <v>14</v>
          </cell>
          <cell r="AC805">
            <v>4</v>
          </cell>
          <cell r="AD805" t="str">
            <v>0</v>
          </cell>
          <cell r="AE805" t="str">
            <v>0</v>
          </cell>
          <cell r="AF805" t="str">
            <v>00</v>
          </cell>
          <cell r="AI805">
            <v>44845235</v>
          </cell>
          <cell r="AJ805">
            <v>4484523.5</v>
          </cell>
        </row>
        <row r="806">
          <cell r="A806" t="str">
            <v>02</v>
          </cell>
          <cell r="B806" t="str">
            <v>80</v>
          </cell>
          <cell r="C806" t="str">
            <v>202</v>
          </cell>
          <cell r="D806" t="str">
            <v>Унмверсальное очисти</v>
          </cell>
          <cell r="E806" t="str">
            <v>тельно-ингаляционное</v>
          </cell>
          <cell r="F806" t="str">
            <v>оборудование Rainbow</v>
          </cell>
          <cell r="G806" t="str">
            <v>01</v>
          </cell>
          <cell r="H806">
            <v>10219.18</v>
          </cell>
          <cell r="I806">
            <v>0</v>
          </cell>
          <cell r="J806">
            <v>0</v>
          </cell>
          <cell r="K806">
            <v>1.01</v>
          </cell>
          <cell r="L806" t="str">
            <v>26</v>
          </cell>
          <cell r="M806" t="str">
            <v>70005</v>
          </cell>
          <cell r="N806" t="str">
            <v>14 3311269</v>
          </cell>
          <cell r="P806">
            <v>8.3000000000000007</v>
          </cell>
          <cell r="Q806">
            <v>0</v>
          </cell>
          <cell r="R806" t="str">
            <v>1</v>
          </cell>
          <cell r="S806" t="str">
            <v>46</v>
          </cell>
          <cell r="T806">
            <v>96</v>
          </cell>
          <cell r="U806">
            <v>12</v>
          </cell>
          <cell r="V806">
            <v>96</v>
          </cell>
          <cell r="W806">
            <v>12</v>
          </cell>
          <cell r="X806">
            <v>96</v>
          </cell>
          <cell r="Y806">
            <v>0</v>
          </cell>
          <cell r="Z806">
            <v>0</v>
          </cell>
          <cell r="AB806" t="str">
            <v>14</v>
          </cell>
          <cell r="AC806">
            <v>10</v>
          </cell>
          <cell r="AD806" t="str">
            <v>0</v>
          </cell>
          <cell r="AE806" t="str">
            <v>0</v>
          </cell>
          <cell r="AF806" t="str">
            <v>00</v>
          </cell>
          <cell r="AI806">
            <v>10117996</v>
          </cell>
          <cell r="AJ806">
            <v>1011799.6</v>
          </cell>
        </row>
        <row r="807">
          <cell r="A807" t="str">
            <v>02</v>
          </cell>
          <cell r="B807" t="str">
            <v>80</v>
          </cell>
          <cell r="C807" t="str">
            <v>203</v>
          </cell>
          <cell r="D807" t="str">
            <v>Универсальное очисти</v>
          </cell>
          <cell r="E807" t="str">
            <v>тельно-ингаляционное</v>
          </cell>
          <cell r="F807" t="str">
            <v>оборудование Rainbow</v>
          </cell>
          <cell r="G807" t="str">
            <v>01</v>
          </cell>
          <cell r="H807">
            <v>10219.18</v>
          </cell>
          <cell r="I807">
            <v>0</v>
          </cell>
          <cell r="J807">
            <v>0</v>
          </cell>
          <cell r="K807">
            <v>1.01</v>
          </cell>
          <cell r="L807" t="str">
            <v>26</v>
          </cell>
          <cell r="M807" t="str">
            <v>70005</v>
          </cell>
          <cell r="N807" t="str">
            <v>14 3311269</v>
          </cell>
          <cell r="P807">
            <v>8.3000000000000007</v>
          </cell>
          <cell r="Q807">
            <v>0</v>
          </cell>
          <cell r="R807" t="str">
            <v>1</v>
          </cell>
          <cell r="S807" t="str">
            <v>46</v>
          </cell>
          <cell r="T807">
            <v>96</v>
          </cell>
          <cell r="U807">
            <v>12</v>
          </cell>
          <cell r="V807">
            <v>96</v>
          </cell>
          <cell r="W807">
            <v>12</v>
          </cell>
          <cell r="X807">
            <v>96</v>
          </cell>
          <cell r="Y807">
            <v>0</v>
          </cell>
          <cell r="Z807">
            <v>0</v>
          </cell>
          <cell r="AB807" t="str">
            <v>14</v>
          </cell>
          <cell r="AC807">
            <v>10</v>
          </cell>
          <cell r="AD807" t="str">
            <v>0</v>
          </cell>
          <cell r="AE807" t="str">
            <v>0</v>
          </cell>
          <cell r="AF807" t="str">
            <v>00</v>
          </cell>
          <cell r="AI807">
            <v>10117996</v>
          </cell>
          <cell r="AJ807">
            <v>1011799.6</v>
          </cell>
        </row>
        <row r="808">
          <cell r="A808" t="str">
            <v>02</v>
          </cell>
          <cell r="B808" t="str">
            <v>80</v>
          </cell>
          <cell r="C808" t="str">
            <v>204</v>
          </cell>
          <cell r="D808" t="str">
            <v>Унмверсальное очисти</v>
          </cell>
          <cell r="E808" t="str">
            <v>тельно-ингаляционное</v>
          </cell>
          <cell r="F808" t="str">
            <v>оборудование Rainbow</v>
          </cell>
          <cell r="G808" t="str">
            <v>01</v>
          </cell>
          <cell r="H808">
            <v>10219.18</v>
          </cell>
          <cell r="I808">
            <v>0</v>
          </cell>
          <cell r="J808">
            <v>0</v>
          </cell>
          <cell r="K808">
            <v>1.01</v>
          </cell>
          <cell r="L808" t="str">
            <v>26</v>
          </cell>
          <cell r="M808" t="str">
            <v>70005</v>
          </cell>
          <cell r="N808" t="str">
            <v>14 3311269</v>
          </cell>
          <cell r="P808">
            <v>8.3000000000000007</v>
          </cell>
          <cell r="Q808">
            <v>0</v>
          </cell>
          <cell r="R808" t="str">
            <v>1</v>
          </cell>
          <cell r="S808" t="str">
            <v>46</v>
          </cell>
          <cell r="T808">
            <v>96</v>
          </cell>
          <cell r="U808">
            <v>12</v>
          </cell>
          <cell r="V808">
            <v>96</v>
          </cell>
          <cell r="W808">
            <v>12</v>
          </cell>
          <cell r="X808">
            <v>96</v>
          </cell>
          <cell r="Y808">
            <v>0</v>
          </cell>
          <cell r="Z808">
            <v>0</v>
          </cell>
          <cell r="AB808" t="str">
            <v>14</v>
          </cell>
          <cell r="AC808">
            <v>10</v>
          </cell>
          <cell r="AD808" t="str">
            <v>0</v>
          </cell>
          <cell r="AE808" t="str">
            <v>0</v>
          </cell>
          <cell r="AF808" t="str">
            <v>00</v>
          </cell>
          <cell r="AI808">
            <v>10117996</v>
          </cell>
          <cell r="AJ808">
            <v>1011799.6</v>
          </cell>
        </row>
        <row r="809">
          <cell r="A809" t="str">
            <v>02</v>
          </cell>
          <cell r="B809" t="str">
            <v>03</v>
          </cell>
          <cell r="C809" t="str">
            <v>205</v>
          </cell>
          <cell r="D809" t="str">
            <v>Мельница</v>
          </cell>
          <cell r="G809" t="str">
            <v>01</v>
          </cell>
          <cell r="H809">
            <v>130000</v>
          </cell>
          <cell r="I809">
            <v>0</v>
          </cell>
          <cell r="J809">
            <v>0</v>
          </cell>
          <cell r="K809">
            <v>1.04</v>
          </cell>
          <cell r="L809" t="str">
            <v>26</v>
          </cell>
          <cell r="M809" t="str">
            <v>45008</v>
          </cell>
          <cell r="N809" t="str">
            <v>11 4255661</v>
          </cell>
          <cell r="P809">
            <v>10</v>
          </cell>
          <cell r="Q809">
            <v>0</v>
          </cell>
          <cell r="R809" t="str">
            <v>1</v>
          </cell>
          <cell r="S809" t="str">
            <v>45</v>
          </cell>
          <cell r="T809">
            <v>96</v>
          </cell>
          <cell r="U809">
            <v>12</v>
          </cell>
          <cell r="V809">
            <v>96</v>
          </cell>
          <cell r="W809">
            <v>12</v>
          </cell>
          <cell r="X809">
            <v>96</v>
          </cell>
          <cell r="Y809">
            <v>0</v>
          </cell>
          <cell r="Z809">
            <v>0</v>
          </cell>
          <cell r="AD809" t="str">
            <v>0</v>
          </cell>
          <cell r="AE809" t="str">
            <v>0</v>
          </cell>
          <cell r="AF809" t="str">
            <v>00</v>
          </cell>
          <cell r="AI809">
            <v>125000000</v>
          </cell>
          <cell r="AJ809">
            <v>12500000</v>
          </cell>
        </row>
        <row r="810">
          <cell r="A810" t="str">
            <v>02</v>
          </cell>
          <cell r="B810" t="str">
            <v>61</v>
          </cell>
          <cell r="C810" t="str">
            <v>206</v>
          </cell>
          <cell r="D810" t="str">
            <v>Перфоратор GBH 2-24</v>
          </cell>
          <cell r="E810" t="str">
            <v>DSR</v>
          </cell>
          <cell r="G810" t="str">
            <v>01</v>
          </cell>
          <cell r="H810">
            <v>1870</v>
          </cell>
          <cell r="I810">
            <v>0</v>
          </cell>
          <cell r="J810">
            <v>0</v>
          </cell>
          <cell r="K810">
            <v>0.43</v>
          </cell>
          <cell r="L810" t="str">
            <v>23</v>
          </cell>
          <cell r="M810" t="str">
            <v>60000</v>
          </cell>
          <cell r="N810" t="str">
            <v>14 2947142</v>
          </cell>
          <cell r="P810">
            <v>44.3</v>
          </cell>
          <cell r="Q810">
            <v>0</v>
          </cell>
          <cell r="R810" t="str">
            <v>1</v>
          </cell>
          <cell r="S810" t="str">
            <v>60</v>
          </cell>
          <cell r="T810">
            <v>96</v>
          </cell>
          <cell r="U810">
            <v>12</v>
          </cell>
          <cell r="V810">
            <v>96</v>
          </cell>
          <cell r="W810">
            <v>12</v>
          </cell>
          <cell r="X810">
            <v>96</v>
          </cell>
          <cell r="Y810">
            <v>0</v>
          </cell>
          <cell r="Z810">
            <v>0</v>
          </cell>
          <cell r="AD810" t="str">
            <v>0</v>
          </cell>
          <cell r="AE810" t="str">
            <v>0</v>
          </cell>
          <cell r="AF810" t="str">
            <v>00</v>
          </cell>
          <cell r="AI810">
            <v>4382000</v>
          </cell>
          <cell r="AJ810">
            <v>1941226</v>
          </cell>
        </row>
        <row r="811">
          <cell r="A811" t="str">
            <v>02</v>
          </cell>
          <cell r="B811" t="str">
            <v>80</v>
          </cell>
          <cell r="C811" t="str">
            <v>207</v>
          </cell>
          <cell r="D811" t="str">
            <v>Монитор SVGA 0.28</v>
          </cell>
          <cell r="E811" t="str">
            <v>LR с контроллером</v>
          </cell>
          <cell r="G811" t="str">
            <v>01</v>
          </cell>
          <cell r="H811">
            <v>2115</v>
          </cell>
          <cell r="I811">
            <v>0</v>
          </cell>
          <cell r="J811">
            <v>0</v>
          </cell>
          <cell r="K811">
            <v>1</v>
          </cell>
          <cell r="L811" t="str">
            <v>23</v>
          </cell>
          <cell r="M811" t="str">
            <v>48008</v>
          </cell>
          <cell r="N811" t="str">
            <v>14 3020350</v>
          </cell>
          <cell r="P811">
            <v>10</v>
          </cell>
          <cell r="Q811">
            <v>0</v>
          </cell>
          <cell r="R811" t="str">
            <v>1</v>
          </cell>
          <cell r="S811" t="str">
            <v>48</v>
          </cell>
          <cell r="T811">
            <v>96</v>
          </cell>
          <cell r="U811">
            <v>12</v>
          </cell>
          <cell r="V811">
            <v>96</v>
          </cell>
          <cell r="W811">
            <v>12</v>
          </cell>
          <cell r="X811">
            <v>96</v>
          </cell>
          <cell r="Y811">
            <v>0</v>
          </cell>
          <cell r="Z811">
            <v>0</v>
          </cell>
          <cell r="AD811" t="str">
            <v>0</v>
          </cell>
          <cell r="AE811" t="str">
            <v>0</v>
          </cell>
          <cell r="AF811" t="str">
            <v>00</v>
          </cell>
          <cell r="AI811">
            <v>2115000</v>
          </cell>
          <cell r="AJ811">
            <v>211500</v>
          </cell>
        </row>
        <row r="812">
          <cell r="A812" t="str">
            <v>15</v>
          </cell>
          <cell r="B812" t="str">
            <v>81</v>
          </cell>
          <cell r="C812" t="str">
            <v>208</v>
          </cell>
          <cell r="D812" t="str">
            <v>Ручной массажор LQ-8</v>
          </cell>
          <cell r="E812" t="str">
            <v>08</v>
          </cell>
          <cell r="G812" t="str">
            <v>01</v>
          </cell>
          <cell r="H812">
            <v>4230</v>
          </cell>
          <cell r="I812">
            <v>0</v>
          </cell>
          <cell r="J812">
            <v>0</v>
          </cell>
          <cell r="K812">
            <v>1</v>
          </cell>
          <cell r="L812" t="str">
            <v>88/2</v>
          </cell>
          <cell r="M812" t="str">
            <v>46012</v>
          </cell>
          <cell r="N812" t="str">
            <v>14 3311269</v>
          </cell>
          <cell r="P812">
            <v>10</v>
          </cell>
          <cell r="Q812">
            <v>0</v>
          </cell>
          <cell r="R812" t="str">
            <v>1</v>
          </cell>
          <cell r="S812" t="str">
            <v>46</v>
          </cell>
          <cell r="T812">
            <v>96</v>
          </cell>
          <cell r="U812">
            <v>12</v>
          </cell>
          <cell r="V812">
            <v>96</v>
          </cell>
          <cell r="W812">
            <v>12</v>
          </cell>
          <cell r="X812">
            <v>96</v>
          </cell>
          <cell r="Y812">
            <v>0</v>
          </cell>
          <cell r="Z812">
            <v>0</v>
          </cell>
          <cell r="AB812" t="str">
            <v>14</v>
          </cell>
          <cell r="AC812">
            <v>2</v>
          </cell>
          <cell r="AD812" t="str">
            <v>0</v>
          </cell>
          <cell r="AE812" t="str">
            <v>0</v>
          </cell>
          <cell r="AF812" t="str">
            <v>15</v>
          </cell>
          <cell r="AI812">
            <v>4236333</v>
          </cell>
          <cell r="AJ812">
            <v>423633.3</v>
          </cell>
        </row>
        <row r="813">
          <cell r="A813" t="str">
            <v>15</v>
          </cell>
          <cell r="B813" t="str">
            <v>81</v>
          </cell>
          <cell r="C813" t="str">
            <v>209</v>
          </cell>
          <cell r="D813" t="str">
            <v>Ручной массажор LQ-8</v>
          </cell>
          <cell r="E813" t="str">
            <v>08</v>
          </cell>
          <cell r="G813" t="str">
            <v>01</v>
          </cell>
          <cell r="H813">
            <v>4230</v>
          </cell>
          <cell r="I813">
            <v>0</v>
          </cell>
          <cell r="J813">
            <v>0</v>
          </cell>
          <cell r="K813">
            <v>1</v>
          </cell>
          <cell r="L813" t="str">
            <v>88/2</v>
          </cell>
          <cell r="M813" t="str">
            <v>46012</v>
          </cell>
          <cell r="N813" t="str">
            <v>14 3311269</v>
          </cell>
          <cell r="P813">
            <v>10</v>
          </cell>
          <cell r="Q813">
            <v>0</v>
          </cell>
          <cell r="R813" t="str">
            <v>1</v>
          </cell>
          <cell r="S813" t="str">
            <v>46</v>
          </cell>
          <cell r="T813">
            <v>96</v>
          </cell>
          <cell r="U813">
            <v>12</v>
          </cell>
          <cell r="V813">
            <v>96</v>
          </cell>
          <cell r="W813">
            <v>12</v>
          </cell>
          <cell r="X813">
            <v>96</v>
          </cell>
          <cell r="Y813">
            <v>0</v>
          </cell>
          <cell r="Z813">
            <v>0</v>
          </cell>
          <cell r="AB813" t="str">
            <v>14</v>
          </cell>
          <cell r="AC813">
            <v>2</v>
          </cell>
          <cell r="AD813" t="str">
            <v>0</v>
          </cell>
          <cell r="AE813" t="str">
            <v>0</v>
          </cell>
          <cell r="AF813" t="str">
            <v>15</v>
          </cell>
          <cell r="AI813">
            <v>4236334</v>
          </cell>
          <cell r="AJ813">
            <v>423633.4</v>
          </cell>
        </row>
        <row r="814">
          <cell r="A814" t="str">
            <v>02</v>
          </cell>
          <cell r="B814" t="str">
            <v>23</v>
          </cell>
          <cell r="C814" t="str">
            <v>210</v>
          </cell>
          <cell r="D814" t="str">
            <v>А/м ГАЗ-330210 спец.</v>
          </cell>
          <cell r="E814" t="str">
            <v>автобус д/перевозки</v>
          </cell>
          <cell r="F814" t="str">
            <v>б-х и м/обор.NВ949УУ</v>
          </cell>
          <cell r="G814" t="str">
            <v>01</v>
          </cell>
          <cell r="H814">
            <v>12499.58</v>
          </cell>
          <cell r="I814">
            <v>0</v>
          </cell>
          <cell r="J814">
            <v>75000</v>
          </cell>
          <cell r="K814">
            <v>1.01</v>
          </cell>
          <cell r="L814" t="str">
            <v>88</v>
          </cell>
          <cell r="M814" t="str">
            <v>50427</v>
          </cell>
          <cell r="N814" t="str">
            <v>15 3410302</v>
          </cell>
          <cell r="P814">
            <v>14.3</v>
          </cell>
          <cell r="Q814">
            <v>0</v>
          </cell>
          <cell r="R814" t="str">
            <v>1</v>
          </cell>
          <cell r="S814" t="str">
            <v>50</v>
          </cell>
          <cell r="T814">
            <v>96</v>
          </cell>
          <cell r="U814">
            <v>12</v>
          </cell>
          <cell r="V814">
            <v>96</v>
          </cell>
          <cell r="W814">
            <v>12</v>
          </cell>
          <cell r="X814">
            <v>96</v>
          </cell>
          <cell r="Y814">
            <v>12</v>
          </cell>
          <cell r="Z814">
            <v>96</v>
          </cell>
          <cell r="AD814" t="str">
            <v>0</v>
          </cell>
          <cell r="AE814" t="str">
            <v>0</v>
          </cell>
          <cell r="AF814" t="str">
            <v>00</v>
          </cell>
          <cell r="AI814">
            <v>74279505</v>
          </cell>
          <cell r="AJ814">
            <v>10621969.220000001</v>
          </cell>
        </row>
        <row r="815">
          <cell r="A815" t="str">
            <v>02</v>
          </cell>
          <cell r="B815" t="str">
            <v>05</v>
          </cell>
          <cell r="C815" t="str">
            <v>212</v>
          </cell>
          <cell r="D815" t="str">
            <v>Машина д/резки труб</v>
          </cell>
          <cell r="E815" t="str">
            <v>МРТ 219-530</v>
          </cell>
          <cell r="G815" t="str">
            <v>01</v>
          </cell>
          <cell r="H815">
            <v>40000</v>
          </cell>
          <cell r="I815">
            <v>0</v>
          </cell>
          <cell r="J815">
            <v>0</v>
          </cell>
          <cell r="K815">
            <v>1.01</v>
          </cell>
          <cell r="L815" t="str">
            <v>20</v>
          </cell>
          <cell r="M815" t="str">
            <v>43802</v>
          </cell>
          <cell r="N815" t="str">
            <v>14 2918423</v>
          </cell>
          <cell r="P815">
            <v>15.4</v>
          </cell>
          <cell r="Q815">
            <v>0</v>
          </cell>
          <cell r="R815" t="str">
            <v>1</v>
          </cell>
          <cell r="S815" t="str">
            <v>43</v>
          </cell>
          <cell r="T815">
            <v>96</v>
          </cell>
          <cell r="U815">
            <v>12</v>
          </cell>
          <cell r="V815">
            <v>96</v>
          </cell>
          <cell r="W815">
            <v>12</v>
          </cell>
          <cell r="X815">
            <v>96</v>
          </cell>
          <cell r="Y815">
            <v>0</v>
          </cell>
          <cell r="Z815">
            <v>0</v>
          </cell>
          <cell r="AD815" t="str">
            <v>0</v>
          </cell>
          <cell r="AE815" t="str">
            <v>0</v>
          </cell>
          <cell r="AF815" t="str">
            <v>00</v>
          </cell>
          <cell r="AI815">
            <v>39487700</v>
          </cell>
          <cell r="AJ815">
            <v>6081105.7999999998</v>
          </cell>
        </row>
        <row r="816">
          <cell r="A816" t="str">
            <v>02</v>
          </cell>
          <cell r="B816" t="str">
            <v>71</v>
          </cell>
          <cell r="C816" t="str">
            <v>27</v>
          </cell>
          <cell r="D816" t="str">
            <v>А/м МАЗ-537 груз тяг</v>
          </cell>
          <cell r="E816" t="str">
            <v>ач госN-В628ХО двТ12</v>
          </cell>
          <cell r="F816" t="str">
            <v>КТ2800 ш90010722</v>
          </cell>
          <cell r="G816" t="str">
            <v>01</v>
          </cell>
          <cell r="H816">
            <v>130000</v>
          </cell>
          <cell r="I816">
            <v>0</v>
          </cell>
          <cell r="J816">
            <v>155998.96</v>
          </cell>
          <cell r="K816">
            <v>1</v>
          </cell>
          <cell r="L816" t="str">
            <v>23</v>
          </cell>
          <cell r="M816" t="str">
            <v>50402</v>
          </cell>
          <cell r="N816" t="str">
            <v>15 3410224</v>
          </cell>
          <cell r="P816">
            <v>0.37</v>
          </cell>
          <cell r="Q816">
            <v>0</v>
          </cell>
          <cell r="R816" t="str">
            <v>1</v>
          </cell>
          <cell r="S816" t="str">
            <v>50</v>
          </cell>
          <cell r="T816">
            <v>90</v>
          </cell>
          <cell r="U816">
            <v>2</v>
          </cell>
          <cell r="V816">
            <v>97</v>
          </cell>
          <cell r="W816">
            <v>2</v>
          </cell>
          <cell r="X816">
            <v>97</v>
          </cell>
          <cell r="Y816">
            <v>2</v>
          </cell>
          <cell r="Z816">
            <v>97</v>
          </cell>
          <cell r="AD816" t="str">
            <v>0</v>
          </cell>
          <cell r="AE816" t="str">
            <v>0</v>
          </cell>
          <cell r="AF816" t="str">
            <v>00</v>
          </cell>
          <cell r="AI816">
            <v>0</v>
          </cell>
          <cell r="AJ816">
            <v>0</v>
          </cell>
        </row>
        <row r="817">
          <cell r="A817" t="str">
            <v>02</v>
          </cell>
          <cell r="B817" t="str">
            <v>71</v>
          </cell>
          <cell r="C817" t="str">
            <v>28</v>
          </cell>
          <cell r="D817" t="str">
            <v>П/прицеп ЗППТ-52 бор</v>
          </cell>
          <cell r="E817" t="str">
            <v>товой гос N АВ7611</v>
          </cell>
          <cell r="F817" t="str">
            <v>шК0003261</v>
          </cell>
          <cell r="G817" t="str">
            <v>01</v>
          </cell>
          <cell r="H817">
            <v>170000</v>
          </cell>
          <cell r="I817">
            <v>0</v>
          </cell>
          <cell r="J817">
            <v>186999.32</v>
          </cell>
          <cell r="K817">
            <v>1</v>
          </cell>
          <cell r="L817" t="str">
            <v>23</v>
          </cell>
          <cell r="M817" t="str">
            <v>50410</v>
          </cell>
          <cell r="N817" t="str">
            <v>15 3420208</v>
          </cell>
          <cell r="P817">
            <v>12.5</v>
          </cell>
          <cell r="Q817">
            <v>0</v>
          </cell>
          <cell r="R817" t="str">
            <v>1</v>
          </cell>
          <cell r="S817" t="str">
            <v>50</v>
          </cell>
          <cell r="T817">
            <v>89</v>
          </cell>
          <cell r="U817">
            <v>2</v>
          </cell>
          <cell r="V817">
            <v>97</v>
          </cell>
          <cell r="W817">
            <v>2</v>
          </cell>
          <cell r="X817">
            <v>97</v>
          </cell>
          <cell r="Y817">
            <v>5</v>
          </cell>
          <cell r="Z817">
            <v>97</v>
          </cell>
          <cell r="AD817" t="str">
            <v>0</v>
          </cell>
          <cell r="AE817" t="str">
            <v>0</v>
          </cell>
          <cell r="AF817" t="str">
            <v>00</v>
          </cell>
          <cell r="AI817">
            <v>0</v>
          </cell>
          <cell r="AJ817">
            <v>0</v>
          </cell>
        </row>
        <row r="818">
          <cell r="A818" t="str">
            <v>02</v>
          </cell>
          <cell r="B818" t="str">
            <v>02</v>
          </cell>
          <cell r="C818" t="str">
            <v>29</v>
          </cell>
          <cell r="D818" t="str">
            <v>Машина изоляционная</v>
          </cell>
          <cell r="E818" t="str">
            <v>ИМГ-1220</v>
          </cell>
          <cell r="G818" t="str">
            <v>01</v>
          </cell>
          <cell r="H818">
            <v>78000</v>
          </cell>
          <cell r="I818">
            <v>0</v>
          </cell>
          <cell r="J818">
            <v>0</v>
          </cell>
          <cell r="K818">
            <v>1</v>
          </cell>
          <cell r="L818" t="str">
            <v>20</v>
          </cell>
          <cell r="M818" t="str">
            <v>43803</v>
          </cell>
          <cell r="N818" t="str">
            <v>14 2947195</v>
          </cell>
          <cell r="P818">
            <v>33.299999999999997</v>
          </cell>
          <cell r="Q818">
            <v>0</v>
          </cell>
          <cell r="R818" t="str">
            <v>1</v>
          </cell>
          <cell r="S818" t="str">
            <v>43</v>
          </cell>
          <cell r="T818">
            <v>95</v>
          </cell>
          <cell r="U818">
            <v>2</v>
          </cell>
          <cell r="V818">
            <v>97</v>
          </cell>
          <cell r="W818">
            <v>2</v>
          </cell>
          <cell r="X818">
            <v>97</v>
          </cell>
          <cell r="Y818">
            <v>0</v>
          </cell>
          <cell r="Z818">
            <v>0</v>
          </cell>
          <cell r="AB818" t="str">
            <v>14</v>
          </cell>
          <cell r="AC818">
            <v>9</v>
          </cell>
          <cell r="AD818" t="str">
            <v>0</v>
          </cell>
          <cell r="AE818" t="str">
            <v>0</v>
          </cell>
          <cell r="AF818" t="str">
            <v>00</v>
          </cell>
          <cell r="AI818">
            <v>0</v>
          </cell>
          <cell r="AJ818">
            <v>0</v>
          </cell>
        </row>
        <row r="819">
          <cell r="A819" t="str">
            <v>02</v>
          </cell>
          <cell r="B819" t="str">
            <v>11</v>
          </cell>
          <cell r="C819" t="str">
            <v>21</v>
          </cell>
          <cell r="D819" t="str">
            <v>Цех ж/б изделий на п</v>
          </cell>
          <cell r="E819" t="str">
            <v>олигоне ЖБИ</v>
          </cell>
          <cell r="G819" t="str">
            <v>01</v>
          </cell>
          <cell r="H819">
            <v>584389</v>
          </cell>
          <cell r="I819">
            <v>0</v>
          </cell>
          <cell r="J819">
            <v>0</v>
          </cell>
          <cell r="K819">
            <v>1.02</v>
          </cell>
          <cell r="L819" t="str">
            <v>20</v>
          </cell>
          <cell r="M819" t="str">
            <v>10002</v>
          </cell>
          <cell r="N819" t="str">
            <v>114526675</v>
          </cell>
          <cell r="P819">
            <v>1.2</v>
          </cell>
          <cell r="Q819">
            <v>0</v>
          </cell>
          <cell r="R819" t="str">
            <v>1</v>
          </cell>
          <cell r="S819" t="str">
            <v>10</v>
          </cell>
          <cell r="T819">
            <v>96</v>
          </cell>
          <cell r="U819">
            <v>12</v>
          </cell>
          <cell r="V819">
            <v>96</v>
          </cell>
          <cell r="W819">
            <v>12</v>
          </cell>
          <cell r="X819">
            <v>96</v>
          </cell>
          <cell r="Y819">
            <v>0</v>
          </cell>
          <cell r="Z819">
            <v>0</v>
          </cell>
          <cell r="AD819" t="str">
            <v>2</v>
          </cell>
          <cell r="AE819" t="str">
            <v>0</v>
          </cell>
          <cell r="AF819" t="str">
            <v>00</v>
          </cell>
          <cell r="AI819">
            <v>572930000</v>
          </cell>
          <cell r="AJ819">
            <v>6875160</v>
          </cell>
        </row>
        <row r="820">
          <cell r="A820" t="str">
            <v>02</v>
          </cell>
          <cell r="B820" t="str">
            <v>11</v>
          </cell>
          <cell r="C820" t="str">
            <v>22</v>
          </cell>
          <cell r="D820" t="str">
            <v>Бытовое помещение на</v>
          </cell>
          <cell r="E820" t="str">
            <v>РБУ</v>
          </cell>
          <cell r="G820" t="str">
            <v>01</v>
          </cell>
          <cell r="H820">
            <v>531726</v>
          </cell>
          <cell r="I820">
            <v>0</v>
          </cell>
          <cell r="J820">
            <v>0</v>
          </cell>
          <cell r="K820">
            <v>1.02</v>
          </cell>
          <cell r="L820" t="str">
            <v>20</v>
          </cell>
          <cell r="M820" t="str">
            <v>10002</v>
          </cell>
          <cell r="N820" t="str">
            <v>114529020</v>
          </cell>
          <cell r="P820">
            <v>1.2</v>
          </cell>
          <cell r="Q820">
            <v>0</v>
          </cell>
          <cell r="R820" t="str">
            <v>1</v>
          </cell>
          <cell r="S820" t="str">
            <v>10</v>
          </cell>
          <cell r="T820">
            <v>96</v>
          </cell>
          <cell r="U820">
            <v>12</v>
          </cell>
          <cell r="V820">
            <v>96</v>
          </cell>
          <cell r="W820">
            <v>12</v>
          </cell>
          <cell r="X820">
            <v>96</v>
          </cell>
          <cell r="Y820">
            <v>0</v>
          </cell>
          <cell r="Z820">
            <v>0</v>
          </cell>
          <cell r="AD820" t="str">
            <v>2</v>
          </cell>
          <cell r="AE820" t="str">
            <v>0</v>
          </cell>
          <cell r="AF820" t="str">
            <v>00</v>
          </cell>
          <cell r="AI820">
            <v>521300000</v>
          </cell>
          <cell r="AJ820">
            <v>6255600</v>
          </cell>
        </row>
        <row r="821">
          <cell r="A821" t="str">
            <v>02</v>
          </cell>
          <cell r="B821" t="str">
            <v>11</v>
          </cell>
          <cell r="C821" t="str">
            <v>23</v>
          </cell>
          <cell r="D821" t="str">
            <v>Контрольно-пропускно</v>
          </cell>
          <cell r="E821" t="str">
            <v>й пункт на полигоне</v>
          </cell>
          <cell r="F821" t="str">
            <v>ЖБИ</v>
          </cell>
          <cell r="G821" t="str">
            <v>01</v>
          </cell>
          <cell r="H821">
            <v>34884</v>
          </cell>
          <cell r="I821">
            <v>0</v>
          </cell>
          <cell r="J821">
            <v>0</v>
          </cell>
          <cell r="K821">
            <v>1.02</v>
          </cell>
          <cell r="L821" t="str">
            <v>20</v>
          </cell>
          <cell r="M821" t="str">
            <v>10004</v>
          </cell>
          <cell r="N821" t="str">
            <v>11 4526675</v>
          </cell>
          <cell r="P821">
            <v>2.5</v>
          </cell>
          <cell r="Q821">
            <v>0</v>
          </cell>
          <cell r="R821" t="str">
            <v>1</v>
          </cell>
          <cell r="S821" t="str">
            <v>10</v>
          </cell>
          <cell r="T821">
            <v>96</v>
          </cell>
          <cell r="U821">
            <v>12</v>
          </cell>
          <cell r="V821">
            <v>96</v>
          </cell>
          <cell r="W821">
            <v>12</v>
          </cell>
          <cell r="X821">
            <v>96</v>
          </cell>
          <cell r="Y821">
            <v>0</v>
          </cell>
          <cell r="Z821">
            <v>0</v>
          </cell>
          <cell r="AD821" t="str">
            <v>2</v>
          </cell>
          <cell r="AE821" t="str">
            <v>0</v>
          </cell>
          <cell r="AF821" t="str">
            <v>00</v>
          </cell>
          <cell r="AI821">
            <v>34200000</v>
          </cell>
          <cell r="AJ821">
            <v>855000</v>
          </cell>
        </row>
        <row r="822">
          <cell r="A822" t="str">
            <v>02</v>
          </cell>
          <cell r="B822" t="str">
            <v>11</v>
          </cell>
          <cell r="C822" t="str">
            <v>25</v>
          </cell>
          <cell r="D822" t="str">
            <v>Стоянка спец.техники</v>
          </cell>
          <cell r="E822" t="str">
            <v>на полигоне ЖБИ</v>
          </cell>
          <cell r="G822" t="str">
            <v>01</v>
          </cell>
          <cell r="H822">
            <v>323136</v>
          </cell>
          <cell r="I822">
            <v>0</v>
          </cell>
          <cell r="J822">
            <v>0</v>
          </cell>
          <cell r="K822">
            <v>1.02</v>
          </cell>
          <cell r="L822" t="str">
            <v>20</v>
          </cell>
          <cell r="M822" t="str">
            <v>10004</v>
          </cell>
          <cell r="N822" t="str">
            <v>11 4526675</v>
          </cell>
          <cell r="P822">
            <v>2.5</v>
          </cell>
          <cell r="Q822">
            <v>0</v>
          </cell>
          <cell r="R822" t="str">
            <v>1</v>
          </cell>
          <cell r="S822" t="str">
            <v>10</v>
          </cell>
          <cell r="T822">
            <v>96</v>
          </cell>
          <cell r="U822">
            <v>12</v>
          </cell>
          <cell r="V822">
            <v>96</v>
          </cell>
          <cell r="W822">
            <v>12</v>
          </cell>
          <cell r="X822">
            <v>96</v>
          </cell>
          <cell r="Y822">
            <v>0</v>
          </cell>
          <cell r="Z822">
            <v>0</v>
          </cell>
          <cell r="AD822" t="str">
            <v>2</v>
          </cell>
          <cell r="AE822" t="str">
            <v>0</v>
          </cell>
          <cell r="AF822" t="str">
            <v>00</v>
          </cell>
          <cell r="AI822">
            <v>316800000</v>
          </cell>
          <cell r="AJ822">
            <v>7920000</v>
          </cell>
        </row>
        <row r="823">
          <cell r="A823" t="str">
            <v>02</v>
          </cell>
          <cell r="B823" t="str">
            <v>11</v>
          </cell>
          <cell r="C823" t="str">
            <v>24</v>
          </cell>
          <cell r="D823" t="str">
            <v>Благоустройство терр</v>
          </cell>
          <cell r="E823" t="str">
            <v>итории полигона ЖБИ</v>
          </cell>
          <cell r="G823" t="str">
            <v>01</v>
          </cell>
          <cell r="H823">
            <v>272600</v>
          </cell>
          <cell r="I823">
            <v>0</v>
          </cell>
          <cell r="J823">
            <v>0</v>
          </cell>
          <cell r="K823">
            <v>1.03</v>
          </cell>
          <cell r="L823" t="str">
            <v>20</v>
          </cell>
          <cell r="M823" t="str">
            <v>20223</v>
          </cell>
          <cell r="N823" t="str">
            <v>12 4526372</v>
          </cell>
          <cell r="P823">
            <v>3.2</v>
          </cell>
          <cell r="Q823">
            <v>0</v>
          </cell>
          <cell r="R823" t="str">
            <v>1</v>
          </cell>
          <cell r="S823" t="str">
            <v>20</v>
          </cell>
          <cell r="T823">
            <v>96</v>
          </cell>
          <cell r="U823">
            <v>12</v>
          </cell>
          <cell r="V823">
            <v>96</v>
          </cell>
          <cell r="W823">
            <v>12</v>
          </cell>
          <cell r="X823">
            <v>96</v>
          </cell>
          <cell r="Y823">
            <v>0</v>
          </cell>
          <cell r="Z823">
            <v>0</v>
          </cell>
          <cell r="AD823" t="str">
            <v>2</v>
          </cell>
          <cell r="AE823" t="str">
            <v>0</v>
          </cell>
          <cell r="AF823" t="str">
            <v>00</v>
          </cell>
          <cell r="AI823">
            <v>265300000</v>
          </cell>
          <cell r="AJ823">
            <v>8489600</v>
          </cell>
        </row>
        <row r="824">
          <cell r="A824" t="str">
            <v>02</v>
          </cell>
          <cell r="B824" t="str">
            <v>11</v>
          </cell>
          <cell r="C824" t="str">
            <v>261</v>
          </cell>
          <cell r="D824" t="str">
            <v>Тельфер с подкраново</v>
          </cell>
          <cell r="E824" t="str">
            <v>й балкой</v>
          </cell>
          <cell r="G824" t="str">
            <v>01</v>
          </cell>
          <cell r="H824">
            <v>13800</v>
          </cell>
          <cell r="I824">
            <v>0</v>
          </cell>
          <cell r="J824">
            <v>0</v>
          </cell>
          <cell r="K824">
            <v>1.01</v>
          </cell>
          <cell r="L824" t="str">
            <v>20</v>
          </cell>
          <cell r="M824" t="str">
            <v>41721</v>
          </cell>
          <cell r="N824" t="str">
            <v>14 2915480</v>
          </cell>
          <cell r="P824">
            <v>20</v>
          </cell>
          <cell r="Q824">
            <v>0</v>
          </cell>
          <cell r="R824" t="str">
            <v>1</v>
          </cell>
          <cell r="S824" t="str">
            <v>41</v>
          </cell>
          <cell r="T824">
            <v>96</v>
          </cell>
          <cell r="U824">
            <v>12</v>
          </cell>
          <cell r="V824">
            <v>96</v>
          </cell>
          <cell r="W824">
            <v>12</v>
          </cell>
          <cell r="X824">
            <v>96</v>
          </cell>
          <cell r="Y824">
            <v>0</v>
          </cell>
          <cell r="Z824">
            <v>0</v>
          </cell>
          <cell r="AD824" t="str">
            <v>2</v>
          </cell>
          <cell r="AE824" t="str">
            <v>0</v>
          </cell>
          <cell r="AF824" t="str">
            <v>00</v>
          </cell>
          <cell r="AI824">
            <v>13729000</v>
          </cell>
          <cell r="AJ824">
            <v>2745800</v>
          </cell>
        </row>
        <row r="825">
          <cell r="A825" t="str">
            <v>02</v>
          </cell>
          <cell r="B825" t="str">
            <v>11</v>
          </cell>
          <cell r="C825" t="str">
            <v>262</v>
          </cell>
          <cell r="D825" t="str">
            <v>Виброплощадка СМЖ-</v>
          </cell>
          <cell r="E825" t="str">
            <v>153 А</v>
          </cell>
          <cell r="G825" t="str">
            <v>01</v>
          </cell>
          <cell r="H825">
            <v>5400</v>
          </cell>
          <cell r="I825">
            <v>0</v>
          </cell>
          <cell r="J825">
            <v>0</v>
          </cell>
          <cell r="K825">
            <v>1</v>
          </cell>
          <cell r="L825" t="str">
            <v>20</v>
          </cell>
          <cell r="M825" t="str">
            <v>42005</v>
          </cell>
          <cell r="N825" t="str">
            <v>14 2947131</v>
          </cell>
          <cell r="P825">
            <v>20</v>
          </cell>
          <cell r="Q825">
            <v>0</v>
          </cell>
          <cell r="R825" t="str">
            <v>1</v>
          </cell>
          <cell r="S825" t="str">
            <v>42</v>
          </cell>
          <cell r="T825">
            <v>96</v>
          </cell>
          <cell r="U825">
            <v>12</v>
          </cell>
          <cell r="V825">
            <v>96</v>
          </cell>
          <cell r="W825">
            <v>12</v>
          </cell>
          <cell r="X825">
            <v>96</v>
          </cell>
          <cell r="Y825">
            <v>0</v>
          </cell>
          <cell r="Z825">
            <v>0</v>
          </cell>
          <cell r="AD825" t="str">
            <v>2</v>
          </cell>
          <cell r="AE825" t="str">
            <v>0</v>
          </cell>
          <cell r="AF825" t="str">
            <v>00</v>
          </cell>
          <cell r="AI825">
            <v>5400000</v>
          </cell>
          <cell r="AJ825">
            <v>1080000</v>
          </cell>
        </row>
        <row r="826">
          <cell r="A826" t="str">
            <v>02</v>
          </cell>
          <cell r="B826" t="str">
            <v>11</v>
          </cell>
          <cell r="C826" t="str">
            <v>263</v>
          </cell>
          <cell r="D826" t="str">
            <v>Виброплощадка СМЖ -</v>
          </cell>
          <cell r="E826" t="str">
            <v>187</v>
          </cell>
          <cell r="G826" t="str">
            <v>01</v>
          </cell>
          <cell r="H826">
            <v>850.9</v>
          </cell>
          <cell r="I826">
            <v>0</v>
          </cell>
          <cell r="J826">
            <v>0</v>
          </cell>
          <cell r="K826">
            <v>1.01</v>
          </cell>
          <cell r="L826" t="str">
            <v>20</v>
          </cell>
          <cell r="M826" t="str">
            <v>42005</v>
          </cell>
          <cell r="N826" t="str">
            <v>142947131</v>
          </cell>
          <cell r="P826">
            <v>20</v>
          </cell>
          <cell r="Q826">
            <v>0</v>
          </cell>
          <cell r="R826" t="str">
            <v>1</v>
          </cell>
          <cell r="S826" t="str">
            <v>42</v>
          </cell>
          <cell r="T826">
            <v>96</v>
          </cell>
          <cell r="U826">
            <v>12</v>
          </cell>
          <cell r="V826">
            <v>96</v>
          </cell>
          <cell r="W826">
            <v>12</v>
          </cell>
          <cell r="X826">
            <v>96</v>
          </cell>
          <cell r="Y826">
            <v>0</v>
          </cell>
          <cell r="Z826">
            <v>0</v>
          </cell>
          <cell r="AD826" t="str">
            <v>2</v>
          </cell>
          <cell r="AE826" t="str">
            <v>0</v>
          </cell>
          <cell r="AF826" t="str">
            <v>00</v>
          </cell>
          <cell r="AI826">
            <v>842474</v>
          </cell>
          <cell r="AJ826">
            <v>168494.8</v>
          </cell>
        </row>
        <row r="827">
          <cell r="A827" t="str">
            <v>02</v>
          </cell>
          <cell r="B827" t="str">
            <v>80</v>
          </cell>
          <cell r="C827" t="str">
            <v>264</v>
          </cell>
          <cell r="D827" t="str">
            <v>Линия АТС GOLD STAR</v>
          </cell>
          <cell r="E827" t="str">
            <v>/Корея/</v>
          </cell>
          <cell r="G827" t="str">
            <v>01</v>
          </cell>
          <cell r="H827">
            <v>10815</v>
          </cell>
          <cell r="I827">
            <v>0</v>
          </cell>
          <cell r="J827">
            <v>0</v>
          </cell>
          <cell r="K827">
            <v>1</v>
          </cell>
          <cell r="L827" t="str">
            <v>26</v>
          </cell>
          <cell r="M827" t="str">
            <v>30019</v>
          </cell>
          <cell r="N827" t="str">
            <v>14 3222131</v>
          </cell>
          <cell r="P827">
            <v>6.7</v>
          </cell>
          <cell r="Q827">
            <v>0</v>
          </cell>
          <cell r="R827" t="str">
            <v>1</v>
          </cell>
          <cell r="S827" t="str">
            <v>30</v>
          </cell>
          <cell r="T827">
            <v>92</v>
          </cell>
          <cell r="U827">
            <v>3</v>
          </cell>
          <cell r="V827">
            <v>97</v>
          </cell>
          <cell r="W827">
            <v>3</v>
          </cell>
          <cell r="X827">
            <v>97</v>
          </cell>
          <cell r="Y827">
            <v>0</v>
          </cell>
          <cell r="Z827">
            <v>0</v>
          </cell>
          <cell r="AD827" t="str">
            <v>0</v>
          </cell>
          <cell r="AE827" t="str">
            <v>0</v>
          </cell>
          <cell r="AF827" t="str">
            <v>00</v>
          </cell>
          <cell r="AI827">
            <v>0</v>
          </cell>
          <cell r="AJ827">
            <v>0</v>
          </cell>
        </row>
        <row r="828">
          <cell r="A828" t="str">
            <v>02</v>
          </cell>
          <cell r="B828" t="str">
            <v>71</v>
          </cell>
          <cell r="C828" t="str">
            <v>265</v>
          </cell>
          <cell r="D828" t="str">
            <v>Прицеп ЧМЗАП-ПТ-80тн</v>
          </cell>
          <cell r="E828" t="str">
            <v>гос N АВ7651 ш000002</v>
          </cell>
          <cell r="F828" t="str">
            <v>9</v>
          </cell>
          <cell r="G828" t="str">
            <v>01</v>
          </cell>
          <cell r="H828">
            <v>586293.5</v>
          </cell>
          <cell r="I828">
            <v>0</v>
          </cell>
          <cell r="J828">
            <v>644920.51</v>
          </cell>
          <cell r="K828">
            <v>1</v>
          </cell>
          <cell r="L828" t="str">
            <v>23</v>
          </cell>
          <cell r="M828" t="str">
            <v>50413</v>
          </cell>
          <cell r="N828" t="str">
            <v>15 3420208</v>
          </cell>
          <cell r="P828">
            <v>8.3000000000000007</v>
          </cell>
          <cell r="Q828">
            <v>0</v>
          </cell>
          <cell r="R828" t="str">
            <v>1</v>
          </cell>
          <cell r="S828" t="str">
            <v>50</v>
          </cell>
          <cell r="T828">
            <v>96</v>
          </cell>
          <cell r="U828">
            <v>4</v>
          </cell>
          <cell r="V828">
            <v>97</v>
          </cell>
          <cell r="W828">
            <v>4</v>
          </cell>
          <cell r="X828">
            <v>97</v>
          </cell>
          <cell r="Y828">
            <v>5</v>
          </cell>
          <cell r="Z828">
            <v>97</v>
          </cell>
          <cell r="AD828" t="str">
            <v>0</v>
          </cell>
          <cell r="AE828" t="str">
            <v>0</v>
          </cell>
          <cell r="AF828" t="str">
            <v>00</v>
          </cell>
          <cell r="AI828">
            <v>0</v>
          </cell>
          <cell r="AJ828">
            <v>0</v>
          </cell>
        </row>
        <row r="829">
          <cell r="A829" t="str">
            <v>02</v>
          </cell>
          <cell r="B829" t="str">
            <v>02</v>
          </cell>
          <cell r="C829" t="str">
            <v>266</v>
          </cell>
          <cell r="D829" t="str">
            <v>Ручная радиостанция</v>
          </cell>
          <cell r="E829" t="str">
            <v>НХ-190 зав.N27КО8310</v>
          </cell>
          <cell r="F829" t="str">
            <v>7</v>
          </cell>
          <cell r="G829" t="str">
            <v>01</v>
          </cell>
          <cell r="H829">
            <v>1758</v>
          </cell>
          <cell r="I829">
            <v>183</v>
          </cell>
          <cell r="J829">
            <v>0</v>
          </cell>
          <cell r="K829">
            <v>1</v>
          </cell>
          <cell r="L829" t="str">
            <v>20</v>
          </cell>
          <cell r="M829" t="str">
            <v>45620</v>
          </cell>
          <cell r="N829" t="str">
            <v>14 3221104</v>
          </cell>
          <cell r="P829">
            <v>12.5</v>
          </cell>
          <cell r="Q829">
            <v>0</v>
          </cell>
          <cell r="R829" t="str">
            <v>1</v>
          </cell>
          <cell r="S829" t="str">
            <v>45</v>
          </cell>
          <cell r="T829">
            <v>96</v>
          </cell>
          <cell r="U829">
            <v>4</v>
          </cell>
          <cell r="V829">
            <v>97</v>
          </cell>
          <cell r="W829">
            <v>4</v>
          </cell>
          <cell r="X829">
            <v>97</v>
          </cell>
          <cell r="Y829">
            <v>0</v>
          </cell>
          <cell r="Z829">
            <v>0</v>
          </cell>
          <cell r="AD829" t="str">
            <v>0</v>
          </cell>
          <cell r="AE829" t="str">
            <v>0</v>
          </cell>
          <cell r="AF829" t="str">
            <v>00</v>
          </cell>
          <cell r="AI829">
            <v>0</v>
          </cell>
          <cell r="AJ829">
            <v>0</v>
          </cell>
        </row>
        <row r="830">
          <cell r="A830" t="str">
            <v>02</v>
          </cell>
          <cell r="B830" t="str">
            <v>02</v>
          </cell>
          <cell r="C830" t="str">
            <v>267</v>
          </cell>
          <cell r="D830" t="str">
            <v>Ручная радиостанция</v>
          </cell>
          <cell r="E830" t="str">
            <v>НХ-190 зав.N27КО8310</v>
          </cell>
          <cell r="F830" t="str">
            <v>9</v>
          </cell>
          <cell r="G830" t="str">
            <v>01</v>
          </cell>
          <cell r="H830">
            <v>1758</v>
          </cell>
          <cell r="I830">
            <v>183</v>
          </cell>
          <cell r="J830">
            <v>0</v>
          </cell>
          <cell r="K830">
            <v>1</v>
          </cell>
          <cell r="L830" t="str">
            <v>20</v>
          </cell>
          <cell r="M830" t="str">
            <v>45620</v>
          </cell>
          <cell r="N830" t="str">
            <v>14 3221104</v>
          </cell>
          <cell r="P830">
            <v>12.5</v>
          </cell>
          <cell r="Q830">
            <v>0</v>
          </cell>
          <cell r="R830" t="str">
            <v>1</v>
          </cell>
          <cell r="S830" t="str">
            <v>45</v>
          </cell>
          <cell r="T830">
            <v>96</v>
          </cell>
          <cell r="U830">
            <v>4</v>
          </cell>
          <cell r="V830">
            <v>97</v>
          </cell>
          <cell r="W830">
            <v>4</v>
          </cell>
          <cell r="X830">
            <v>97</v>
          </cell>
          <cell r="Y830">
            <v>0</v>
          </cell>
          <cell r="Z830">
            <v>0</v>
          </cell>
          <cell r="AD830" t="str">
            <v>0</v>
          </cell>
          <cell r="AE830" t="str">
            <v>0</v>
          </cell>
          <cell r="AF830" t="str">
            <v>00</v>
          </cell>
          <cell r="AI830">
            <v>0</v>
          </cell>
          <cell r="AJ830">
            <v>0</v>
          </cell>
        </row>
        <row r="831">
          <cell r="A831" t="str">
            <v>02</v>
          </cell>
          <cell r="B831" t="str">
            <v>02</v>
          </cell>
          <cell r="C831" t="str">
            <v>268</v>
          </cell>
          <cell r="D831" t="str">
            <v>Холодильник Минск256</v>
          </cell>
          <cell r="E831" t="str">
            <v>Минский з-д хол-ков</v>
          </cell>
          <cell r="F831" t="str">
            <v>АО Атлант завN672602</v>
          </cell>
          <cell r="G831" t="str">
            <v>01</v>
          </cell>
          <cell r="H831">
            <v>1833.33</v>
          </cell>
          <cell r="I831">
            <v>0</v>
          </cell>
          <cell r="J831">
            <v>0</v>
          </cell>
          <cell r="K831">
            <v>1</v>
          </cell>
          <cell r="L831" t="str">
            <v>20</v>
          </cell>
          <cell r="M831" t="str">
            <v>45800</v>
          </cell>
          <cell r="N831" t="str">
            <v>2930100</v>
          </cell>
          <cell r="P831">
            <v>10</v>
          </cell>
          <cell r="Q831">
            <v>0</v>
          </cell>
          <cell r="R831" t="str">
            <v>1</v>
          </cell>
          <cell r="S831" t="str">
            <v>45</v>
          </cell>
          <cell r="T831">
            <v>96</v>
          </cell>
          <cell r="U831">
            <v>6</v>
          </cell>
          <cell r="V831">
            <v>97</v>
          </cell>
          <cell r="W831">
            <v>6</v>
          </cell>
          <cell r="X831">
            <v>97</v>
          </cell>
          <cell r="Y831">
            <v>0</v>
          </cell>
          <cell r="Z831">
            <v>0</v>
          </cell>
          <cell r="AD831" t="str">
            <v>0</v>
          </cell>
          <cell r="AE831" t="str">
            <v>0</v>
          </cell>
          <cell r="AF831" t="str">
            <v>00</v>
          </cell>
          <cell r="AI831">
            <v>0</v>
          </cell>
          <cell r="AJ831">
            <v>0</v>
          </cell>
        </row>
        <row r="832">
          <cell r="A832" t="str">
            <v>02</v>
          </cell>
          <cell r="B832" t="str">
            <v>70</v>
          </cell>
          <cell r="C832" t="str">
            <v>271</v>
          </cell>
          <cell r="D832" t="str">
            <v>Холодильник Минск357</v>
          </cell>
          <cell r="E832" t="str">
            <v>Минский з-д хол-ков</v>
          </cell>
          <cell r="F832" t="str">
            <v>АО АТЛАНТ</v>
          </cell>
          <cell r="G832" t="str">
            <v>01</v>
          </cell>
          <cell r="H832">
            <v>1625</v>
          </cell>
          <cell r="I832">
            <v>0</v>
          </cell>
          <cell r="J832">
            <v>0</v>
          </cell>
          <cell r="K832">
            <v>1</v>
          </cell>
          <cell r="L832" t="str">
            <v>20</v>
          </cell>
          <cell r="M832" t="str">
            <v>45800</v>
          </cell>
          <cell r="N832" t="str">
            <v>2930100</v>
          </cell>
          <cell r="P832">
            <v>10</v>
          </cell>
          <cell r="Q832">
            <v>0</v>
          </cell>
          <cell r="R832" t="str">
            <v>1</v>
          </cell>
          <cell r="S832" t="str">
            <v>45</v>
          </cell>
          <cell r="T832">
            <v>97</v>
          </cell>
          <cell r="U832">
            <v>6</v>
          </cell>
          <cell r="V832">
            <v>97</v>
          </cell>
          <cell r="W832">
            <v>6</v>
          </cell>
          <cell r="X832">
            <v>97</v>
          </cell>
          <cell r="Y832">
            <v>0</v>
          </cell>
          <cell r="Z832">
            <v>0</v>
          </cell>
          <cell r="AD832" t="str">
            <v>0</v>
          </cell>
          <cell r="AE832" t="str">
            <v>0</v>
          </cell>
          <cell r="AF832" t="str">
            <v>00</v>
          </cell>
          <cell r="AI832">
            <v>0</v>
          </cell>
          <cell r="AJ832">
            <v>0</v>
          </cell>
        </row>
        <row r="833">
          <cell r="A833" t="str">
            <v>19</v>
          </cell>
          <cell r="B833" t="str">
            <v>19</v>
          </cell>
          <cell r="C833" t="str">
            <v>272</v>
          </cell>
          <cell r="D833" t="str">
            <v>Здание мясокомбината</v>
          </cell>
          <cell r="G833" t="str">
            <v>01</v>
          </cell>
          <cell r="H833">
            <v>1654123.37</v>
          </cell>
          <cell r="I833">
            <v>302778.99</v>
          </cell>
          <cell r="J833">
            <v>0</v>
          </cell>
          <cell r="K833">
            <v>1</v>
          </cell>
          <cell r="L833" t="str">
            <v>88/4</v>
          </cell>
          <cell r="M833" t="str">
            <v>10005</v>
          </cell>
          <cell r="N833" t="str">
            <v>114524351</v>
          </cell>
          <cell r="P833">
            <v>5</v>
          </cell>
          <cell r="Q833">
            <v>0</v>
          </cell>
          <cell r="R833" t="str">
            <v>1</v>
          </cell>
          <cell r="S833" t="str">
            <v>10</v>
          </cell>
          <cell r="T833">
            <v>94</v>
          </cell>
          <cell r="U833">
            <v>6</v>
          </cell>
          <cell r="V833">
            <v>97</v>
          </cell>
          <cell r="W833">
            <v>6</v>
          </cell>
          <cell r="X833">
            <v>97</v>
          </cell>
          <cell r="Y833">
            <v>0</v>
          </cell>
          <cell r="Z833">
            <v>0</v>
          </cell>
          <cell r="AD833" t="str">
            <v>0</v>
          </cell>
          <cell r="AE833" t="str">
            <v>0</v>
          </cell>
          <cell r="AF833" t="str">
            <v>19</v>
          </cell>
          <cell r="AI833">
            <v>0</v>
          </cell>
          <cell r="AJ833">
            <v>0</v>
          </cell>
        </row>
        <row r="834">
          <cell r="A834" t="str">
            <v>19</v>
          </cell>
          <cell r="B834" t="str">
            <v>19</v>
          </cell>
          <cell r="C834" t="str">
            <v>273</v>
          </cell>
          <cell r="D834" t="str">
            <v>Лаборатория мясокомб</v>
          </cell>
          <cell r="E834" t="str">
            <v>ината</v>
          </cell>
          <cell r="G834" t="str">
            <v>01</v>
          </cell>
          <cell r="H834">
            <v>243490</v>
          </cell>
          <cell r="I834">
            <v>42609.919999999998</v>
          </cell>
          <cell r="J834">
            <v>0</v>
          </cell>
          <cell r="K834">
            <v>1</v>
          </cell>
          <cell r="L834" t="str">
            <v>88/4</v>
          </cell>
          <cell r="M834" t="str">
            <v>10008</v>
          </cell>
          <cell r="N834" t="str">
            <v>114524351</v>
          </cell>
          <cell r="P834">
            <v>5</v>
          </cell>
          <cell r="Q834">
            <v>0</v>
          </cell>
          <cell r="R834" t="str">
            <v>1</v>
          </cell>
          <cell r="S834" t="str">
            <v>10</v>
          </cell>
          <cell r="T834">
            <v>94</v>
          </cell>
          <cell r="U834">
            <v>6</v>
          </cell>
          <cell r="V834">
            <v>97</v>
          </cell>
          <cell r="W834">
            <v>6</v>
          </cell>
          <cell r="X834">
            <v>97</v>
          </cell>
          <cell r="Y834">
            <v>0</v>
          </cell>
          <cell r="Z834">
            <v>0</v>
          </cell>
          <cell r="AD834" t="str">
            <v>0</v>
          </cell>
          <cell r="AE834" t="str">
            <v>0</v>
          </cell>
          <cell r="AF834" t="str">
            <v>19</v>
          </cell>
          <cell r="AI834">
            <v>0</v>
          </cell>
          <cell r="AJ834">
            <v>0</v>
          </cell>
        </row>
        <row r="835">
          <cell r="A835" t="str">
            <v>19</v>
          </cell>
          <cell r="B835" t="str">
            <v>19</v>
          </cell>
          <cell r="C835" t="str">
            <v>274</v>
          </cell>
          <cell r="D835" t="str">
            <v>Аппарат промывной по</v>
          </cell>
          <cell r="E835" t="str">
            <v>д давлением</v>
          </cell>
          <cell r="G835" t="str">
            <v>01</v>
          </cell>
          <cell r="H835">
            <v>2950</v>
          </cell>
          <cell r="I835">
            <v>424.59</v>
          </cell>
          <cell r="J835">
            <v>0</v>
          </cell>
          <cell r="K835">
            <v>1</v>
          </cell>
          <cell r="L835" t="str">
            <v>88/4</v>
          </cell>
          <cell r="M835" t="str">
            <v>45102</v>
          </cell>
          <cell r="N835" t="str">
            <v>142925101</v>
          </cell>
          <cell r="P835">
            <v>15.4</v>
          </cell>
          <cell r="Q835">
            <v>0</v>
          </cell>
          <cell r="R835" t="str">
            <v>1</v>
          </cell>
          <cell r="S835" t="str">
            <v>45</v>
          </cell>
          <cell r="T835">
            <v>94</v>
          </cell>
          <cell r="U835">
            <v>6</v>
          </cell>
          <cell r="V835">
            <v>97</v>
          </cell>
          <cell r="W835">
            <v>6</v>
          </cell>
          <cell r="X835">
            <v>97</v>
          </cell>
          <cell r="Y835">
            <v>0</v>
          </cell>
          <cell r="Z835">
            <v>0</v>
          </cell>
          <cell r="AD835" t="str">
            <v>0</v>
          </cell>
          <cell r="AE835" t="str">
            <v>0</v>
          </cell>
          <cell r="AF835" t="str">
            <v>19</v>
          </cell>
          <cell r="AI835">
            <v>0</v>
          </cell>
          <cell r="AJ835">
            <v>0</v>
          </cell>
        </row>
        <row r="836">
          <cell r="A836" t="str">
            <v>19</v>
          </cell>
          <cell r="B836" t="str">
            <v>19</v>
          </cell>
          <cell r="C836" t="str">
            <v>275</v>
          </cell>
          <cell r="D836" t="str">
            <v>Бак для сбора крови</v>
          </cell>
          <cell r="G836" t="str">
            <v>01</v>
          </cell>
          <cell r="H836">
            <v>19640</v>
          </cell>
          <cell r="I836">
            <v>2828.03</v>
          </cell>
          <cell r="J836">
            <v>0</v>
          </cell>
          <cell r="K836">
            <v>1</v>
          </cell>
          <cell r="L836" t="str">
            <v>88/4</v>
          </cell>
          <cell r="M836" t="str">
            <v>45102</v>
          </cell>
          <cell r="N836" t="str">
            <v>142925101</v>
          </cell>
          <cell r="P836">
            <v>15.4</v>
          </cell>
          <cell r="Q836">
            <v>0</v>
          </cell>
          <cell r="R836" t="str">
            <v>1</v>
          </cell>
          <cell r="S836" t="str">
            <v>45</v>
          </cell>
          <cell r="T836">
            <v>94</v>
          </cell>
          <cell r="U836">
            <v>6</v>
          </cell>
          <cell r="V836">
            <v>97</v>
          </cell>
          <cell r="W836">
            <v>6</v>
          </cell>
          <cell r="X836">
            <v>97</v>
          </cell>
          <cell r="Y836">
            <v>0</v>
          </cell>
          <cell r="Z836">
            <v>0</v>
          </cell>
          <cell r="AD836" t="str">
            <v>0</v>
          </cell>
          <cell r="AE836" t="str">
            <v>0</v>
          </cell>
          <cell r="AF836" t="str">
            <v>19</v>
          </cell>
          <cell r="AI836">
            <v>0</v>
          </cell>
          <cell r="AJ836">
            <v>0</v>
          </cell>
        </row>
        <row r="837">
          <cell r="A837" t="str">
            <v>19</v>
          </cell>
          <cell r="B837" t="str">
            <v>19</v>
          </cell>
          <cell r="C837" t="str">
            <v>276</v>
          </cell>
          <cell r="D837" t="str">
            <v>Блок для промывки и</v>
          </cell>
          <cell r="E837" t="str">
            <v>стерилизации</v>
          </cell>
          <cell r="G837" t="str">
            <v>01</v>
          </cell>
          <cell r="H837">
            <v>1105.8699999999999</v>
          </cell>
          <cell r="I837">
            <v>159.65</v>
          </cell>
          <cell r="J837">
            <v>0</v>
          </cell>
          <cell r="K837">
            <v>1</v>
          </cell>
          <cell r="L837" t="str">
            <v>88/4</v>
          </cell>
          <cell r="M837" t="str">
            <v>45102</v>
          </cell>
          <cell r="N837" t="str">
            <v>142925101</v>
          </cell>
          <cell r="P837">
            <v>15.4</v>
          </cell>
          <cell r="Q837">
            <v>0</v>
          </cell>
          <cell r="R837" t="str">
            <v>1</v>
          </cell>
          <cell r="S837" t="str">
            <v>45</v>
          </cell>
          <cell r="T837">
            <v>94</v>
          </cell>
          <cell r="U837">
            <v>6</v>
          </cell>
          <cell r="V837">
            <v>97</v>
          </cell>
          <cell r="W837">
            <v>6</v>
          </cell>
          <cell r="X837">
            <v>97</v>
          </cell>
          <cell r="Y837">
            <v>0</v>
          </cell>
          <cell r="Z837">
            <v>0</v>
          </cell>
          <cell r="AD837" t="str">
            <v>0</v>
          </cell>
          <cell r="AE837" t="str">
            <v>0</v>
          </cell>
          <cell r="AF837" t="str">
            <v>19</v>
          </cell>
          <cell r="AI837">
            <v>0</v>
          </cell>
          <cell r="AJ837">
            <v>0</v>
          </cell>
        </row>
        <row r="838">
          <cell r="A838" t="str">
            <v>19</v>
          </cell>
          <cell r="B838" t="str">
            <v>19</v>
          </cell>
          <cell r="C838" t="str">
            <v>277</v>
          </cell>
          <cell r="D838" t="str">
            <v>Блок промывки</v>
          </cell>
          <cell r="G838" t="str">
            <v>01</v>
          </cell>
          <cell r="H838">
            <v>9200</v>
          </cell>
          <cell r="I838">
            <v>1325</v>
          </cell>
          <cell r="J838">
            <v>0</v>
          </cell>
          <cell r="K838">
            <v>1</v>
          </cell>
          <cell r="L838" t="str">
            <v>88/4</v>
          </cell>
          <cell r="M838" t="str">
            <v>45102</v>
          </cell>
          <cell r="N838" t="str">
            <v>142925101</v>
          </cell>
          <cell r="P838">
            <v>15.4</v>
          </cell>
          <cell r="Q838">
            <v>0</v>
          </cell>
          <cell r="R838" t="str">
            <v>1</v>
          </cell>
          <cell r="S838" t="str">
            <v>45</v>
          </cell>
          <cell r="T838">
            <v>94</v>
          </cell>
          <cell r="U838">
            <v>6</v>
          </cell>
          <cell r="V838">
            <v>97</v>
          </cell>
          <cell r="W838">
            <v>6</v>
          </cell>
          <cell r="X838">
            <v>97</v>
          </cell>
          <cell r="Y838">
            <v>0</v>
          </cell>
          <cell r="Z838">
            <v>0</v>
          </cell>
          <cell r="AD838" t="str">
            <v>0</v>
          </cell>
          <cell r="AE838" t="str">
            <v>0</v>
          </cell>
          <cell r="AF838" t="str">
            <v>19</v>
          </cell>
          <cell r="AI838">
            <v>0</v>
          </cell>
          <cell r="AJ838">
            <v>0</v>
          </cell>
        </row>
        <row r="839">
          <cell r="A839" t="str">
            <v>19</v>
          </cell>
          <cell r="B839" t="str">
            <v>19</v>
          </cell>
          <cell r="C839" t="str">
            <v>278</v>
          </cell>
          <cell r="D839" t="str">
            <v>Блок промывки и стер</v>
          </cell>
          <cell r="E839" t="str">
            <v>илизации</v>
          </cell>
          <cell r="G839" t="str">
            <v>01</v>
          </cell>
          <cell r="H839">
            <v>4560</v>
          </cell>
          <cell r="I839">
            <v>656.86</v>
          </cell>
          <cell r="J839">
            <v>0</v>
          </cell>
          <cell r="K839">
            <v>1</v>
          </cell>
          <cell r="L839" t="str">
            <v>88/4</v>
          </cell>
          <cell r="M839" t="str">
            <v>45102</v>
          </cell>
          <cell r="N839" t="str">
            <v>142925101</v>
          </cell>
          <cell r="P839">
            <v>15.4</v>
          </cell>
          <cell r="Q839">
            <v>0</v>
          </cell>
          <cell r="R839" t="str">
            <v>1</v>
          </cell>
          <cell r="S839" t="str">
            <v>45</v>
          </cell>
          <cell r="T839">
            <v>94</v>
          </cell>
          <cell r="U839">
            <v>6</v>
          </cell>
          <cell r="V839">
            <v>97</v>
          </cell>
          <cell r="W839">
            <v>6</v>
          </cell>
          <cell r="X839">
            <v>97</v>
          </cell>
          <cell r="Y839">
            <v>0</v>
          </cell>
          <cell r="Z839">
            <v>0</v>
          </cell>
          <cell r="AD839" t="str">
            <v>0</v>
          </cell>
          <cell r="AE839" t="str">
            <v>0</v>
          </cell>
          <cell r="AF839" t="str">
            <v>19</v>
          </cell>
          <cell r="AI839">
            <v>0</v>
          </cell>
          <cell r="AJ839">
            <v>0</v>
          </cell>
        </row>
        <row r="840">
          <cell r="A840" t="str">
            <v>19</v>
          </cell>
          <cell r="B840" t="str">
            <v>19</v>
          </cell>
          <cell r="C840" t="str">
            <v>279</v>
          </cell>
          <cell r="D840" t="str">
            <v>Блок промывки и стер</v>
          </cell>
          <cell r="E840" t="str">
            <v>илизации</v>
          </cell>
          <cell r="G840" t="str">
            <v>01</v>
          </cell>
          <cell r="H840">
            <v>19400</v>
          </cell>
          <cell r="I840">
            <v>2793.38</v>
          </cell>
          <cell r="J840">
            <v>0</v>
          </cell>
          <cell r="K840">
            <v>1</v>
          </cell>
          <cell r="L840" t="str">
            <v>88/4</v>
          </cell>
          <cell r="M840" t="str">
            <v>45102</v>
          </cell>
          <cell r="N840" t="str">
            <v>142925101</v>
          </cell>
          <cell r="P840">
            <v>15.4</v>
          </cell>
          <cell r="Q840">
            <v>0</v>
          </cell>
          <cell r="R840" t="str">
            <v>1</v>
          </cell>
          <cell r="S840" t="str">
            <v>45</v>
          </cell>
          <cell r="T840">
            <v>94</v>
          </cell>
          <cell r="U840">
            <v>6</v>
          </cell>
          <cell r="V840">
            <v>97</v>
          </cell>
          <cell r="W840">
            <v>6</v>
          </cell>
          <cell r="X840">
            <v>97</v>
          </cell>
          <cell r="Y840">
            <v>0</v>
          </cell>
          <cell r="Z840">
            <v>0</v>
          </cell>
          <cell r="AD840" t="str">
            <v>0</v>
          </cell>
          <cell r="AE840" t="str">
            <v>0</v>
          </cell>
          <cell r="AF840" t="str">
            <v>19</v>
          </cell>
          <cell r="AI840">
            <v>0</v>
          </cell>
          <cell r="AJ840">
            <v>0</v>
          </cell>
        </row>
        <row r="841">
          <cell r="A841" t="str">
            <v>19</v>
          </cell>
          <cell r="B841" t="str">
            <v>19</v>
          </cell>
          <cell r="C841" t="str">
            <v>280</v>
          </cell>
          <cell r="D841" t="str">
            <v>Блок промывки и стер</v>
          </cell>
          <cell r="E841" t="str">
            <v>илизации</v>
          </cell>
          <cell r="G841" t="str">
            <v>01</v>
          </cell>
          <cell r="H841">
            <v>4560</v>
          </cell>
          <cell r="I841">
            <v>657.07</v>
          </cell>
          <cell r="J841">
            <v>0</v>
          </cell>
          <cell r="K841">
            <v>1</v>
          </cell>
          <cell r="L841" t="str">
            <v>88/4</v>
          </cell>
          <cell r="M841" t="str">
            <v>45102</v>
          </cell>
          <cell r="N841" t="str">
            <v>142925101</v>
          </cell>
          <cell r="P841">
            <v>15.4</v>
          </cell>
          <cell r="Q841">
            <v>0</v>
          </cell>
          <cell r="R841" t="str">
            <v>1</v>
          </cell>
          <cell r="S841" t="str">
            <v>45</v>
          </cell>
          <cell r="T841">
            <v>94</v>
          </cell>
          <cell r="U841">
            <v>6</v>
          </cell>
          <cell r="V841">
            <v>97</v>
          </cell>
          <cell r="W841">
            <v>6</v>
          </cell>
          <cell r="X841">
            <v>97</v>
          </cell>
          <cell r="Y841">
            <v>0</v>
          </cell>
          <cell r="Z841">
            <v>0</v>
          </cell>
          <cell r="AD841" t="str">
            <v>0</v>
          </cell>
          <cell r="AE841" t="str">
            <v>0</v>
          </cell>
          <cell r="AF841" t="str">
            <v>19</v>
          </cell>
          <cell r="AI841">
            <v>0</v>
          </cell>
          <cell r="AJ841">
            <v>0</v>
          </cell>
        </row>
        <row r="842">
          <cell r="A842" t="str">
            <v>19</v>
          </cell>
          <cell r="B842" t="str">
            <v>19</v>
          </cell>
          <cell r="C842" t="str">
            <v>281</v>
          </cell>
          <cell r="D842" t="str">
            <v>Блок промывки и стер</v>
          </cell>
          <cell r="E842" t="str">
            <v>илизации</v>
          </cell>
          <cell r="G842" t="str">
            <v>01</v>
          </cell>
          <cell r="H842">
            <v>4560</v>
          </cell>
          <cell r="I842">
            <v>657.14</v>
          </cell>
          <cell r="J842">
            <v>0</v>
          </cell>
          <cell r="K842">
            <v>1</v>
          </cell>
          <cell r="L842" t="str">
            <v>88/4</v>
          </cell>
          <cell r="M842" t="str">
            <v>45102</v>
          </cell>
          <cell r="N842" t="str">
            <v>142925101</v>
          </cell>
          <cell r="P842">
            <v>15.4</v>
          </cell>
          <cell r="Q842">
            <v>0</v>
          </cell>
          <cell r="R842" t="str">
            <v>1</v>
          </cell>
          <cell r="S842" t="str">
            <v>45</v>
          </cell>
          <cell r="T842">
            <v>94</v>
          </cell>
          <cell r="U842">
            <v>6</v>
          </cell>
          <cell r="V842">
            <v>97</v>
          </cell>
          <cell r="W842">
            <v>6</v>
          </cell>
          <cell r="X842">
            <v>97</v>
          </cell>
          <cell r="Y842">
            <v>0</v>
          </cell>
          <cell r="Z842">
            <v>0</v>
          </cell>
          <cell r="AD842" t="str">
            <v>0</v>
          </cell>
          <cell r="AE842" t="str">
            <v>0</v>
          </cell>
          <cell r="AF842" t="str">
            <v>19</v>
          </cell>
          <cell r="AI842">
            <v>0</v>
          </cell>
          <cell r="AJ842">
            <v>0</v>
          </cell>
        </row>
        <row r="843">
          <cell r="A843" t="str">
            <v>19</v>
          </cell>
          <cell r="B843" t="str">
            <v>19</v>
          </cell>
          <cell r="C843" t="str">
            <v>282</v>
          </cell>
          <cell r="D843" t="str">
            <v>Бокс для оглушения</v>
          </cell>
          <cell r="G843" t="str">
            <v>01</v>
          </cell>
          <cell r="H843">
            <v>53600</v>
          </cell>
          <cell r="I843">
            <v>7718.28</v>
          </cell>
          <cell r="J843">
            <v>0</v>
          </cell>
          <cell r="K843">
            <v>1</v>
          </cell>
          <cell r="L843" t="str">
            <v>88/4</v>
          </cell>
          <cell r="M843" t="str">
            <v>45102</v>
          </cell>
          <cell r="N843" t="str">
            <v>142925101</v>
          </cell>
          <cell r="P843">
            <v>15.4</v>
          </cell>
          <cell r="Q843">
            <v>0</v>
          </cell>
          <cell r="R843" t="str">
            <v>1</v>
          </cell>
          <cell r="S843" t="str">
            <v>45</v>
          </cell>
          <cell r="T843">
            <v>94</v>
          </cell>
          <cell r="U843">
            <v>6</v>
          </cell>
          <cell r="V843">
            <v>97</v>
          </cell>
          <cell r="W843">
            <v>6</v>
          </cell>
          <cell r="X843">
            <v>97</v>
          </cell>
          <cell r="Y843">
            <v>0</v>
          </cell>
          <cell r="Z843">
            <v>0</v>
          </cell>
          <cell r="AD843" t="str">
            <v>0</v>
          </cell>
          <cell r="AE843" t="str">
            <v>0</v>
          </cell>
          <cell r="AF843" t="str">
            <v>19</v>
          </cell>
          <cell r="AI843">
            <v>0</v>
          </cell>
          <cell r="AJ843">
            <v>0</v>
          </cell>
        </row>
        <row r="844">
          <cell r="A844" t="str">
            <v>19</v>
          </cell>
          <cell r="B844" t="str">
            <v>19</v>
          </cell>
          <cell r="C844" t="str">
            <v>283</v>
          </cell>
          <cell r="D844" t="str">
            <v>Вакуумный барабан ВА</v>
          </cell>
          <cell r="E844" t="str">
            <v>-250</v>
          </cell>
          <cell r="G844" t="str">
            <v>01</v>
          </cell>
          <cell r="H844">
            <v>368000</v>
          </cell>
          <cell r="I844">
            <v>52991.57</v>
          </cell>
          <cell r="J844">
            <v>0</v>
          </cell>
          <cell r="K844">
            <v>1</v>
          </cell>
          <cell r="L844" t="str">
            <v>88/4</v>
          </cell>
          <cell r="M844" t="str">
            <v>45102</v>
          </cell>
          <cell r="N844" t="str">
            <v>142925101</v>
          </cell>
          <cell r="P844">
            <v>15.4</v>
          </cell>
          <cell r="Q844">
            <v>0</v>
          </cell>
          <cell r="R844" t="str">
            <v>1</v>
          </cell>
          <cell r="S844" t="str">
            <v>45</v>
          </cell>
          <cell r="T844">
            <v>94</v>
          </cell>
          <cell r="U844">
            <v>6</v>
          </cell>
          <cell r="V844">
            <v>97</v>
          </cell>
          <cell r="W844">
            <v>6</v>
          </cell>
          <cell r="X844">
            <v>97</v>
          </cell>
          <cell r="Y844">
            <v>0</v>
          </cell>
          <cell r="Z844">
            <v>0</v>
          </cell>
          <cell r="AD844" t="str">
            <v>0</v>
          </cell>
          <cell r="AE844" t="str">
            <v>0</v>
          </cell>
          <cell r="AF844" t="str">
            <v>19</v>
          </cell>
          <cell r="AI844">
            <v>0</v>
          </cell>
          <cell r="AJ844">
            <v>0</v>
          </cell>
        </row>
        <row r="845">
          <cell r="A845" t="str">
            <v>19</v>
          </cell>
          <cell r="B845" t="str">
            <v>19</v>
          </cell>
          <cell r="C845" t="str">
            <v>284</v>
          </cell>
          <cell r="D845" t="str">
            <v>Вакуумно-упаковочная</v>
          </cell>
          <cell r="E845" t="str">
            <v>машина А-200</v>
          </cell>
          <cell r="G845" t="str">
            <v>01</v>
          </cell>
          <cell r="H845">
            <v>26000</v>
          </cell>
          <cell r="I845">
            <v>3743.82</v>
          </cell>
          <cell r="J845">
            <v>0</v>
          </cell>
          <cell r="K845">
            <v>1</v>
          </cell>
          <cell r="L845" t="str">
            <v>88/4</v>
          </cell>
          <cell r="M845" t="str">
            <v>45102</v>
          </cell>
          <cell r="N845" t="str">
            <v>142925104</v>
          </cell>
          <cell r="P845">
            <v>15.4</v>
          </cell>
          <cell r="Q845">
            <v>0</v>
          </cell>
          <cell r="R845" t="str">
            <v>1</v>
          </cell>
          <cell r="S845" t="str">
            <v>45</v>
          </cell>
          <cell r="T845">
            <v>94</v>
          </cell>
          <cell r="U845">
            <v>6</v>
          </cell>
          <cell r="V845">
            <v>97</v>
          </cell>
          <cell r="W845">
            <v>6</v>
          </cell>
          <cell r="X845">
            <v>97</v>
          </cell>
          <cell r="Y845">
            <v>0</v>
          </cell>
          <cell r="Z845">
            <v>0</v>
          </cell>
          <cell r="AD845" t="str">
            <v>0</v>
          </cell>
          <cell r="AE845" t="str">
            <v>0</v>
          </cell>
          <cell r="AF845" t="str">
            <v>19</v>
          </cell>
          <cell r="AI845">
            <v>0</v>
          </cell>
          <cell r="AJ845">
            <v>0</v>
          </cell>
        </row>
        <row r="846">
          <cell r="A846" t="str">
            <v>19</v>
          </cell>
          <cell r="B846" t="str">
            <v>19</v>
          </cell>
          <cell r="C846" t="str">
            <v>285</v>
          </cell>
          <cell r="D846" t="str">
            <v>Ванна для отпаривани</v>
          </cell>
          <cell r="E846" t="str">
            <v>я</v>
          </cell>
          <cell r="G846" t="str">
            <v>01</v>
          </cell>
          <cell r="H846">
            <v>61350</v>
          </cell>
          <cell r="I846">
            <v>8834.76</v>
          </cell>
          <cell r="J846">
            <v>0</v>
          </cell>
          <cell r="K846">
            <v>1</v>
          </cell>
          <cell r="L846" t="str">
            <v>88/4</v>
          </cell>
          <cell r="M846" t="str">
            <v>45102</v>
          </cell>
          <cell r="N846" t="str">
            <v>142925101</v>
          </cell>
          <cell r="P846">
            <v>15.4</v>
          </cell>
          <cell r="Q846">
            <v>0</v>
          </cell>
          <cell r="R846" t="str">
            <v>1</v>
          </cell>
          <cell r="S846" t="str">
            <v>45</v>
          </cell>
          <cell r="T846">
            <v>94</v>
          </cell>
          <cell r="U846">
            <v>6</v>
          </cell>
          <cell r="V846">
            <v>97</v>
          </cell>
          <cell r="W846">
            <v>6</v>
          </cell>
          <cell r="X846">
            <v>97</v>
          </cell>
          <cell r="Y846">
            <v>0</v>
          </cell>
          <cell r="Z846">
            <v>0</v>
          </cell>
          <cell r="AD846" t="str">
            <v>0</v>
          </cell>
          <cell r="AE846" t="str">
            <v>0</v>
          </cell>
          <cell r="AF846" t="str">
            <v>19</v>
          </cell>
          <cell r="AI846">
            <v>0</v>
          </cell>
          <cell r="AJ846">
            <v>0</v>
          </cell>
        </row>
        <row r="847">
          <cell r="A847" t="str">
            <v>19</v>
          </cell>
          <cell r="B847" t="str">
            <v>19</v>
          </cell>
          <cell r="C847" t="str">
            <v>286</v>
          </cell>
          <cell r="D847" t="str">
            <v>Весы для скота в бок</v>
          </cell>
          <cell r="E847" t="str">
            <v>се</v>
          </cell>
          <cell r="G847" t="str">
            <v>01</v>
          </cell>
          <cell r="H847">
            <v>24600</v>
          </cell>
          <cell r="I847">
            <v>354.28</v>
          </cell>
          <cell r="J847">
            <v>0</v>
          </cell>
          <cell r="K847">
            <v>1</v>
          </cell>
          <cell r="L847" t="str">
            <v>88/4</v>
          </cell>
          <cell r="M847" t="str">
            <v>45102</v>
          </cell>
          <cell r="N847" t="str">
            <v>142925101</v>
          </cell>
          <cell r="P847">
            <v>15.4</v>
          </cell>
          <cell r="Q847">
            <v>0</v>
          </cell>
          <cell r="R847" t="str">
            <v>1</v>
          </cell>
          <cell r="S847" t="str">
            <v>45</v>
          </cell>
          <cell r="T847">
            <v>94</v>
          </cell>
          <cell r="U847">
            <v>6</v>
          </cell>
          <cell r="V847">
            <v>97</v>
          </cell>
          <cell r="W847">
            <v>6</v>
          </cell>
          <cell r="X847">
            <v>97</v>
          </cell>
          <cell r="Y847">
            <v>0</v>
          </cell>
          <cell r="Z847">
            <v>0</v>
          </cell>
          <cell r="AD847" t="str">
            <v>0</v>
          </cell>
          <cell r="AE847" t="str">
            <v>0</v>
          </cell>
          <cell r="AF847" t="str">
            <v>19</v>
          </cell>
          <cell r="AI847">
            <v>0</v>
          </cell>
          <cell r="AJ847">
            <v>0</v>
          </cell>
        </row>
        <row r="848">
          <cell r="A848" t="str">
            <v>19</v>
          </cell>
          <cell r="B848" t="str">
            <v>19</v>
          </cell>
          <cell r="C848" t="str">
            <v>287</v>
          </cell>
          <cell r="D848" t="str">
            <v>Весы на подвесном пу</v>
          </cell>
          <cell r="E848" t="str">
            <v>ти</v>
          </cell>
          <cell r="G848" t="str">
            <v>01</v>
          </cell>
          <cell r="H848">
            <v>18971.59</v>
          </cell>
          <cell r="I848">
            <v>2730.97</v>
          </cell>
          <cell r="J848">
            <v>0</v>
          </cell>
          <cell r="K848">
            <v>1</v>
          </cell>
          <cell r="L848" t="str">
            <v>88/4</v>
          </cell>
          <cell r="M848" t="str">
            <v>45102</v>
          </cell>
          <cell r="N848" t="str">
            <v>142925101</v>
          </cell>
          <cell r="P848">
            <v>15.4</v>
          </cell>
          <cell r="Q848">
            <v>0</v>
          </cell>
          <cell r="R848" t="str">
            <v>1</v>
          </cell>
          <cell r="S848" t="str">
            <v>45</v>
          </cell>
          <cell r="T848">
            <v>94</v>
          </cell>
          <cell r="U848">
            <v>6</v>
          </cell>
          <cell r="V848">
            <v>97</v>
          </cell>
          <cell r="W848">
            <v>6</v>
          </cell>
          <cell r="X848">
            <v>97</v>
          </cell>
          <cell r="Y848">
            <v>0</v>
          </cell>
          <cell r="Z848">
            <v>0</v>
          </cell>
          <cell r="AD848" t="str">
            <v>0</v>
          </cell>
          <cell r="AE848" t="str">
            <v>0</v>
          </cell>
          <cell r="AF848" t="str">
            <v>19</v>
          </cell>
          <cell r="AI848">
            <v>0</v>
          </cell>
          <cell r="AJ848">
            <v>0</v>
          </cell>
        </row>
        <row r="849">
          <cell r="A849" t="str">
            <v>19</v>
          </cell>
          <cell r="B849" t="str">
            <v>19</v>
          </cell>
          <cell r="C849" t="str">
            <v>288</v>
          </cell>
          <cell r="D849" t="str">
            <v>Весы с подставкой</v>
          </cell>
          <cell r="E849" t="str">
            <v>К-1Д-90-60</v>
          </cell>
          <cell r="G849" t="str">
            <v>01</v>
          </cell>
          <cell r="H849">
            <v>21346</v>
          </cell>
          <cell r="I849">
            <v>3074.09</v>
          </cell>
          <cell r="J849">
            <v>0</v>
          </cell>
          <cell r="K849">
            <v>1</v>
          </cell>
          <cell r="L849" t="str">
            <v>88/4</v>
          </cell>
          <cell r="M849" t="str">
            <v>45102</v>
          </cell>
          <cell r="N849" t="str">
            <v>142925101</v>
          </cell>
          <cell r="P849">
            <v>15.4</v>
          </cell>
          <cell r="Q849">
            <v>0</v>
          </cell>
          <cell r="R849" t="str">
            <v>1</v>
          </cell>
          <cell r="S849" t="str">
            <v>45</v>
          </cell>
          <cell r="T849">
            <v>94</v>
          </cell>
          <cell r="U849">
            <v>6</v>
          </cell>
          <cell r="V849">
            <v>97</v>
          </cell>
          <cell r="W849">
            <v>6</v>
          </cell>
          <cell r="X849">
            <v>97</v>
          </cell>
          <cell r="Y849">
            <v>0</v>
          </cell>
          <cell r="Z849">
            <v>0</v>
          </cell>
          <cell r="AD849" t="str">
            <v>0</v>
          </cell>
          <cell r="AE849" t="str">
            <v>0</v>
          </cell>
          <cell r="AF849" t="str">
            <v>19</v>
          </cell>
          <cell r="AI849">
            <v>0</v>
          </cell>
          <cell r="AJ849">
            <v>0</v>
          </cell>
        </row>
        <row r="850">
          <cell r="A850" t="str">
            <v>19</v>
          </cell>
          <cell r="B850" t="str">
            <v>19</v>
          </cell>
          <cell r="C850" t="str">
            <v>289</v>
          </cell>
          <cell r="D850" t="str">
            <v>Весы электронные нас</v>
          </cell>
          <cell r="E850" t="str">
            <v>тольные</v>
          </cell>
          <cell r="G850" t="str">
            <v>01</v>
          </cell>
          <cell r="H850">
            <v>11500</v>
          </cell>
          <cell r="I850">
            <v>1686.25</v>
          </cell>
          <cell r="J850">
            <v>0</v>
          </cell>
          <cell r="K850">
            <v>1</v>
          </cell>
          <cell r="L850" t="str">
            <v>88/4</v>
          </cell>
          <cell r="M850" t="str">
            <v>45102</v>
          </cell>
          <cell r="N850" t="str">
            <v>142925101</v>
          </cell>
          <cell r="P850">
            <v>15.4</v>
          </cell>
          <cell r="Q850">
            <v>0</v>
          </cell>
          <cell r="R850" t="str">
            <v>1</v>
          </cell>
          <cell r="S850" t="str">
            <v>45</v>
          </cell>
          <cell r="T850">
            <v>94</v>
          </cell>
          <cell r="U850">
            <v>6</v>
          </cell>
          <cell r="V850">
            <v>97</v>
          </cell>
          <cell r="W850">
            <v>6</v>
          </cell>
          <cell r="X850">
            <v>97</v>
          </cell>
          <cell r="Y850">
            <v>0</v>
          </cell>
          <cell r="Z850">
            <v>0</v>
          </cell>
          <cell r="AD850" t="str">
            <v>0</v>
          </cell>
          <cell r="AE850" t="str">
            <v>0</v>
          </cell>
          <cell r="AF850" t="str">
            <v>19</v>
          </cell>
          <cell r="AI850">
            <v>0</v>
          </cell>
          <cell r="AJ850">
            <v>0</v>
          </cell>
        </row>
        <row r="851">
          <cell r="A851" t="str">
            <v>19</v>
          </cell>
          <cell r="B851" t="str">
            <v>19</v>
          </cell>
          <cell r="C851" t="str">
            <v>290</v>
          </cell>
          <cell r="D851" t="str">
            <v>Волчок смесительный</v>
          </cell>
          <cell r="E851" t="str">
            <v>КТ-ЛМ</v>
          </cell>
          <cell r="G851" t="str">
            <v>01</v>
          </cell>
          <cell r="H851">
            <v>35777</v>
          </cell>
          <cell r="I851">
            <v>5152.51</v>
          </cell>
          <cell r="J851">
            <v>0</v>
          </cell>
          <cell r="K851">
            <v>1</v>
          </cell>
          <cell r="L851" t="str">
            <v>88/4</v>
          </cell>
          <cell r="M851" t="str">
            <v>45102</v>
          </cell>
          <cell r="N851" t="str">
            <v>142925101</v>
          </cell>
          <cell r="P851">
            <v>15.4</v>
          </cell>
          <cell r="Q851">
            <v>0</v>
          </cell>
          <cell r="R851" t="str">
            <v>1</v>
          </cell>
          <cell r="S851" t="str">
            <v>45</v>
          </cell>
          <cell r="T851">
            <v>94</v>
          </cell>
          <cell r="U851">
            <v>6</v>
          </cell>
          <cell r="V851">
            <v>97</v>
          </cell>
          <cell r="W851">
            <v>6</v>
          </cell>
          <cell r="X851">
            <v>97</v>
          </cell>
          <cell r="Y851">
            <v>0</v>
          </cell>
          <cell r="Z851">
            <v>0</v>
          </cell>
          <cell r="AD851" t="str">
            <v>0</v>
          </cell>
          <cell r="AE851" t="str">
            <v>0</v>
          </cell>
          <cell r="AF851" t="str">
            <v>19</v>
          </cell>
          <cell r="AI851">
            <v>0</v>
          </cell>
          <cell r="AJ851">
            <v>0</v>
          </cell>
        </row>
        <row r="852">
          <cell r="A852" t="str">
            <v>19</v>
          </cell>
          <cell r="B852" t="str">
            <v>19</v>
          </cell>
          <cell r="C852" t="str">
            <v>291</v>
          </cell>
          <cell r="D852" t="str">
            <v>Емкость 25м3</v>
          </cell>
          <cell r="G852" t="str">
            <v>01</v>
          </cell>
          <cell r="H852">
            <v>5122.25</v>
          </cell>
          <cell r="I852">
            <v>737.21</v>
          </cell>
          <cell r="J852">
            <v>0</v>
          </cell>
          <cell r="K852">
            <v>1</v>
          </cell>
          <cell r="L852" t="str">
            <v>88/4</v>
          </cell>
          <cell r="M852" t="str">
            <v>45102</v>
          </cell>
          <cell r="N852" t="str">
            <v>142925101</v>
          </cell>
          <cell r="P852">
            <v>15.4</v>
          </cell>
          <cell r="Q852">
            <v>0</v>
          </cell>
          <cell r="R852" t="str">
            <v>1</v>
          </cell>
          <cell r="S852" t="str">
            <v>45</v>
          </cell>
          <cell r="T852">
            <v>94</v>
          </cell>
          <cell r="U852">
            <v>6</v>
          </cell>
          <cell r="V852">
            <v>97</v>
          </cell>
          <cell r="W852">
            <v>6</v>
          </cell>
          <cell r="X852">
            <v>97</v>
          </cell>
          <cell r="Y852">
            <v>0</v>
          </cell>
          <cell r="Z852">
            <v>0</v>
          </cell>
          <cell r="AD852" t="str">
            <v>0</v>
          </cell>
          <cell r="AE852" t="str">
            <v>0</v>
          </cell>
          <cell r="AF852" t="str">
            <v>19</v>
          </cell>
          <cell r="AI852">
            <v>0</v>
          </cell>
          <cell r="AJ852">
            <v>0</v>
          </cell>
        </row>
        <row r="853">
          <cell r="A853" t="str">
            <v>19</v>
          </cell>
          <cell r="B853" t="str">
            <v>19</v>
          </cell>
          <cell r="C853" t="str">
            <v>292</v>
          </cell>
          <cell r="D853" t="str">
            <v>Камера горячего копч</v>
          </cell>
          <cell r="E853" t="str">
            <v>ения</v>
          </cell>
          <cell r="G853" t="str">
            <v>01</v>
          </cell>
          <cell r="H853">
            <v>289321</v>
          </cell>
          <cell r="I853">
            <v>41662.32</v>
          </cell>
          <cell r="J853">
            <v>0</v>
          </cell>
          <cell r="K853">
            <v>1</v>
          </cell>
          <cell r="L853" t="str">
            <v>88/4</v>
          </cell>
          <cell r="M853" t="str">
            <v>45102</v>
          </cell>
          <cell r="N853" t="str">
            <v>142925101</v>
          </cell>
          <cell r="P853">
            <v>15.4</v>
          </cell>
          <cell r="Q853">
            <v>0</v>
          </cell>
          <cell r="R853" t="str">
            <v>1</v>
          </cell>
          <cell r="S853" t="str">
            <v>45</v>
          </cell>
          <cell r="T853">
            <v>94</v>
          </cell>
          <cell r="U853">
            <v>6</v>
          </cell>
          <cell r="V853">
            <v>97</v>
          </cell>
          <cell r="W853">
            <v>6</v>
          </cell>
          <cell r="X853">
            <v>97</v>
          </cell>
          <cell r="Y853">
            <v>0</v>
          </cell>
          <cell r="Z853">
            <v>0</v>
          </cell>
          <cell r="AD853" t="str">
            <v>0</v>
          </cell>
          <cell r="AE853" t="str">
            <v>0</v>
          </cell>
          <cell r="AF853" t="str">
            <v>19</v>
          </cell>
          <cell r="AI853">
            <v>0</v>
          </cell>
          <cell r="AJ853">
            <v>0</v>
          </cell>
        </row>
        <row r="854">
          <cell r="A854" t="str">
            <v>19</v>
          </cell>
          <cell r="B854" t="str">
            <v>19</v>
          </cell>
          <cell r="C854" t="str">
            <v>293</v>
          </cell>
          <cell r="D854" t="str">
            <v>Камера горячего копч</v>
          </cell>
          <cell r="E854" t="str">
            <v>ения</v>
          </cell>
          <cell r="G854" t="str">
            <v>01</v>
          </cell>
          <cell r="H854">
            <v>289321</v>
          </cell>
          <cell r="I854">
            <v>41662.32</v>
          </cell>
          <cell r="J854">
            <v>0</v>
          </cell>
          <cell r="K854">
            <v>1</v>
          </cell>
          <cell r="L854" t="str">
            <v>88/4</v>
          </cell>
          <cell r="M854" t="str">
            <v>45102</v>
          </cell>
          <cell r="N854" t="str">
            <v>142925101</v>
          </cell>
          <cell r="P854">
            <v>15.4</v>
          </cell>
          <cell r="Q854">
            <v>0</v>
          </cell>
          <cell r="R854" t="str">
            <v>1</v>
          </cell>
          <cell r="S854" t="str">
            <v>45</v>
          </cell>
          <cell r="T854">
            <v>94</v>
          </cell>
          <cell r="U854">
            <v>6</v>
          </cell>
          <cell r="V854">
            <v>97</v>
          </cell>
          <cell r="W854">
            <v>6</v>
          </cell>
          <cell r="X854">
            <v>97</v>
          </cell>
          <cell r="Y854">
            <v>0</v>
          </cell>
          <cell r="Z854">
            <v>0</v>
          </cell>
          <cell r="AD854" t="str">
            <v>0</v>
          </cell>
          <cell r="AE854" t="str">
            <v>0</v>
          </cell>
          <cell r="AF854" t="str">
            <v>19</v>
          </cell>
          <cell r="AI854">
            <v>0</v>
          </cell>
          <cell r="AJ854">
            <v>0</v>
          </cell>
        </row>
        <row r="855">
          <cell r="A855" t="str">
            <v>19</v>
          </cell>
          <cell r="B855" t="str">
            <v>19</v>
          </cell>
          <cell r="C855" t="str">
            <v>294</v>
          </cell>
          <cell r="D855" t="str">
            <v>Камера холодного коп</v>
          </cell>
          <cell r="E855" t="str">
            <v>чения</v>
          </cell>
          <cell r="G855" t="str">
            <v>01</v>
          </cell>
          <cell r="H855">
            <v>289321</v>
          </cell>
          <cell r="I855">
            <v>41499.949999999997</v>
          </cell>
          <cell r="J855">
            <v>0</v>
          </cell>
          <cell r="K855">
            <v>1</v>
          </cell>
          <cell r="L855" t="str">
            <v>88/4</v>
          </cell>
          <cell r="M855" t="str">
            <v>45102</v>
          </cell>
          <cell r="N855" t="str">
            <v>142925101</v>
          </cell>
          <cell r="P855">
            <v>15.4</v>
          </cell>
          <cell r="Q855">
            <v>0</v>
          </cell>
          <cell r="R855" t="str">
            <v>1</v>
          </cell>
          <cell r="S855" t="str">
            <v>45</v>
          </cell>
          <cell r="T855">
            <v>94</v>
          </cell>
          <cell r="U855">
            <v>6</v>
          </cell>
          <cell r="V855">
            <v>97</v>
          </cell>
          <cell r="W855">
            <v>6</v>
          </cell>
          <cell r="X855">
            <v>97</v>
          </cell>
          <cell r="Y855">
            <v>0</v>
          </cell>
          <cell r="Z855">
            <v>0</v>
          </cell>
          <cell r="AD855" t="str">
            <v>0</v>
          </cell>
          <cell r="AE855" t="str">
            <v>0</v>
          </cell>
          <cell r="AF855" t="str">
            <v>19</v>
          </cell>
          <cell r="AI855">
            <v>0</v>
          </cell>
          <cell r="AJ855">
            <v>0</v>
          </cell>
        </row>
        <row r="856">
          <cell r="A856" t="str">
            <v>19</v>
          </cell>
          <cell r="B856" t="str">
            <v>19</v>
          </cell>
          <cell r="C856" t="str">
            <v>295</v>
          </cell>
          <cell r="D856" t="str">
            <v>Козлы для съемки шку</v>
          </cell>
          <cell r="E856" t="str">
            <v>р</v>
          </cell>
          <cell r="G856" t="str">
            <v>01</v>
          </cell>
          <cell r="H856">
            <v>8124</v>
          </cell>
          <cell r="I856">
            <v>1169.73</v>
          </cell>
          <cell r="J856">
            <v>0</v>
          </cell>
          <cell r="K856">
            <v>1</v>
          </cell>
          <cell r="L856" t="str">
            <v>88/4</v>
          </cell>
          <cell r="M856" t="str">
            <v>45102</v>
          </cell>
          <cell r="N856" t="str">
            <v>142925101</v>
          </cell>
          <cell r="P856">
            <v>15.4</v>
          </cell>
          <cell r="Q856">
            <v>0</v>
          </cell>
          <cell r="R856" t="str">
            <v>1</v>
          </cell>
          <cell r="S856" t="str">
            <v>45</v>
          </cell>
          <cell r="T856">
            <v>94</v>
          </cell>
          <cell r="U856">
            <v>6</v>
          </cell>
          <cell r="V856">
            <v>97</v>
          </cell>
          <cell r="W856">
            <v>6</v>
          </cell>
          <cell r="X856">
            <v>97</v>
          </cell>
          <cell r="Y856">
            <v>0</v>
          </cell>
          <cell r="Z856">
            <v>0</v>
          </cell>
          <cell r="AD856" t="str">
            <v>0</v>
          </cell>
          <cell r="AE856" t="str">
            <v>0</v>
          </cell>
          <cell r="AF856" t="str">
            <v>19</v>
          </cell>
          <cell r="AI856">
            <v>0</v>
          </cell>
          <cell r="AJ856">
            <v>0</v>
          </cell>
        </row>
        <row r="857">
          <cell r="A857" t="str">
            <v>19</v>
          </cell>
          <cell r="B857" t="str">
            <v>19</v>
          </cell>
          <cell r="C857" t="str">
            <v>296</v>
          </cell>
          <cell r="D857" t="str">
            <v>Конструкции бокса</v>
          </cell>
          <cell r="G857" t="str">
            <v>01</v>
          </cell>
          <cell r="H857">
            <v>45198.239999999998</v>
          </cell>
          <cell r="I857">
            <v>6508.49</v>
          </cell>
          <cell r="J857">
            <v>0</v>
          </cell>
          <cell r="K857">
            <v>1</v>
          </cell>
          <cell r="L857" t="str">
            <v>88/4</v>
          </cell>
          <cell r="M857" t="str">
            <v>45102</v>
          </cell>
          <cell r="N857" t="str">
            <v>142925101</v>
          </cell>
          <cell r="P857">
            <v>15.4</v>
          </cell>
          <cell r="Q857">
            <v>0</v>
          </cell>
          <cell r="R857" t="str">
            <v>1</v>
          </cell>
          <cell r="S857" t="str">
            <v>45</v>
          </cell>
          <cell r="T857">
            <v>94</v>
          </cell>
          <cell r="U857">
            <v>6</v>
          </cell>
          <cell r="V857">
            <v>97</v>
          </cell>
          <cell r="W857">
            <v>6</v>
          </cell>
          <cell r="X857">
            <v>97</v>
          </cell>
          <cell r="Y857">
            <v>0</v>
          </cell>
          <cell r="Z857">
            <v>0</v>
          </cell>
          <cell r="AD857" t="str">
            <v>0</v>
          </cell>
          <cell r="AE857" t="str">
            <v>0</v>
          </cell>
          <cell r="AF857" t="str">
            <v>19</v>
          </cell>
          <cell r="AI857">
            <v>0</v>
          </cell>
          <cell r="AJ857">
            <v>0</v>
          </cell>
        </row>
        <row r="858">
          <cell r="A858" t="str">
            <v>19</v>
          </cell>
          <cell r="B858" t="str">
            <v>19</v>
          </cell>
          <cell r="C858" t="str">
            <v>297</v>
          </cell>
          <cell r="D858" t="str">
            <v>Машина для очистки</v>
          </cell>
          <cell r="E858" t="str">
            <v>кишок</v>
          </cell>
          <cell r="G858" t="str">
            <v>01</v>
          </cell>
          <cell r="H858">
            <v>85700</v>
          </cell>
          <cell r="I858">
            <v>12340.87</v>
          </cell>
          <cell r="J858">
            <v>0</v>
          </cell>
          <cell r="K858">
            <v>1</v>
          </cell>
          <cell r="L858" t="str">
            <v>88/4</v>
          </cell>
          <cell r="M858" t="str">
            <v>45102</v>
          </cell>
          <cell r="N858" t="str">
            <v>142925101</v>
          </cell>
          <cell r="P858">
            <v>15.4</v>
          </cell>
          <cell r="Q858">
            <v>0</v>
          </cell>
          <cell r="R858" t="str">
            <v>1</v>
          </cell>
          <cell r="S858" t="str">
            <v>45</v>
          </cell>
          <cell r="T858">
            <v>94</v>
          </cell>
          <cell r="U858">
            <v>6</v>
          </cell>
          <cell r="V858">
            <v>97</v>
          </cell>
          <cell r="W858">
            <v>6</v>
          </cell>
          <cell r="X858">
            <v>97</v>
          </cell>
          <cell r="Y858">
            <v>0</v>
          </cell>
          <cell r="Z858">
            <v>0</v>
          </cell>
          <cell r="AD858" t="str">
            <v>0</v>
          </cell>
          <cell r="AE858" t="str">
            <v>0</v>
          </cell>
          <cell r="AF858" t="str">
            <v>19</v>
          </cell>
          <cell r="AI858">
            <v>0</v>
          </cell>
          <cell r="AJ858">
            <v>0</v>
          </cell>
        </row>
        <row r="859">
          <cell r="A859" t="str">
            <v>19</v>
          </cell>
          <cell r="B859" t="str">
            <v>19</v>
          </cell>
          <cell r="C859" t="str">
            <v>298</v>
          </cell>
          <cell r="D859" t="str">
            <v>Машина для производс</v>
          </cell>
          <cell r="E859" t="str">
            <v>тва льда</v>
          </cell>
          <cell r="G859" t="str">
            <v>01</v>
          </cell>
          <cell r="H859">
            <v>28418.85</v>
          </cell>
          <cell r="I859">
            <v>4091.81</v>
          </cell>
          <cell r="J859">
            <v>0</v>
          </cell>
          <cell r="K859">
            <v>1</v>
          </cell>
          <cell r="L859" t="str">
            <v>88/4</v>
          </cell>
          <cell r="M859" t="str">
            <v>45102</v>
          </cell>
          <cell r="N859" t="str">
            <v>142925101</v>
          </cell>
          <cell r="P859">
            <v>15.4</v>
          </cell>
          <cell r="Q859">
            <v>0</v>
          </cell>
          <cell r="R859" t="str">
            <v>1</v>
          </cell>
          <cell r="S859" t="str">
            <v>45</v>
          </cell>
          <cell r="T859">
            <v>94</v>
          </cell>
          <cell r="U859">
            <v>6</v>
          </cell>
          <cell r="V859">
            <v>97</v>
          </cell>
          <cell r="W859">
            <v>6</v>
          </cell>
          <cell r="X859">
            <v>97</v>
          </cell>
          <cell r="Y859">
            <v>0</v>
          </cell>
          <cell r="Z859">
            <v>0</v>
          </cell>
          <cell r="AD859" t="str">
            <v>0</v>
          </cell>
          <cell r="AE859" t="str">
            <v>0</v>
          </cell>
          <cell r="AF859" t="str">
            <v>19</v>
          </cell>
          <cell r="AI859">
            <v>0</v>
          </cell>
          <cell r="AJ859">
            <v>0</v>
          </cell>
        </row>
        <row r="860">
          <cell r="A860" t="str">
            <v>19</v>
          </cell>
          <cell r="B860" t="str">
            <v>19</v>
          </cell>
          <cell r="C860" t="str">
            <v>299</v>
          </cell>
          <cell r="D860" t="str">
            <v>Машина для произврдс</v>
          </cell>
          <cell r="E860" t="str">
            <v>тва фарша</v>
          </cell>
          <cell r="G860" t="str">
            <v>01</v>
          </cell>
          <cell r="H860">
            <v>320000</v>
          </cell>
          <cell r="I860">
            <v>46080.14</v>
          </cell>
          <cell r="J860">
            <v>0</v>
          </cell>
          <cell r="K860">
            <v>1</v>
          </cell>
          <cell r="L860" t="str">
            <v>88/4</v>
          </cell>
          <cell r="M860" t="str">
            <v>45102</v>
          </cell>
          <cell r="N860" t="str">
            <v>142925101</v>
          </cell>
          <cell r="P860">
            <v>15.4</v>
          </cell>
          <cell r="Q860">
            <v>0</v>
          </cell>
          <cell r="R860" t="str">
            <v>1</v>
          </cell>
          <cell r="S860" t="str">
            <v>45</v>
          </cell>
          <cell r="T860">
            <v>94</v>
          </cell>
          <cell r="U860">
            <v>6</v>
          </cell>
          <cell r="V860">
            <v>97</v>
          </cell>
          <cell r="W860">
            <v>6</v>
          </cell>
          <cell r="X860">
            <v>97</v>
          </cell>
          <cell r="Y860">
            <v>0</v>
          </cell>
          <cell r="Z860">
            <v>0</v>
          </cell>
          <cell r="AD860" t="str">
            <v>0</v>
          </cell>
          <cell r="AE860" t="str">
            <v>0</v>
          </cell>
          <cell r="AF860" t="str">
            <v>19</v>
          </cell>
          <cell r="AI860">
            <v>0</v>
          </cell>
          <cell r="AJ860">
            <v>0</v>
          </cell>
        </row>
        <row r="861">
          <cell r="A861" t="str">
            <v>19</v>
          </cell>
          <cell r="B861" t="str">
            <v>19</v>
          </cell>
          <cell r="C861" t="str">
            <v>300</v>
          </cell>
          <cell r="D861" t="str">
            <v>Машина для производс</v>
          </cell>
          <cell r="E861" t="str">
            <v>тва фарша</v>
          </cell>
          <cell r="G861" t="str">
            <v>01</v>
          </cell>
          <cell r="H861">
            <v>320000</v>
          </cell>
          <cell r="I861">
            <v>46080.14</v>
          </cell>
          <cell r="J861">
            <v>0</v>
          </cell>
          <cell r="K861">
            <v>1</v>
          </cell>
          <cell r="L861" t="str">
            <v>88/4</v>
          </cell>
          <cell r="M861" t="str">
            <v>45102</v>
          </cell>
          <cell r="N861" t="str">
            <v>142925101</v>
          </cell>
          <cell r="P861">
            <v>15.4</v>
          </cell>
          <cell r="Q861">
            <v>0</v>
          </cell>
          <cell r="R861" t="str">
            <v>1</v>
          </cell>
          <cell r="S861" t="str">
            <v>45</v>
          </cell>
          <cell r="T861">
            <v>94</v>
          </cell>
          <cell r="U861">
            <v>6</v>
          </cell>
          <cell r="V861">
            <v>97</v>
          </cell>
          <cell r="W861">
            <v>6</v>
          </cell>
          <cell r="X861">
            <v>97</v>
          </cell>
          <cell r="Y861">
            <v>0</v>
          </cell>
          <cell r="Z861">
            <v>0</v>
          </cell>
          <cell r="AD861" t="str">
            <v>0</v>
          </cell>
          <cell r="AE861" t="str">
            <v>0</v>
          </cell>
          <cell r="AF861" t="str">
            <v>19</v>
          </cell>
          <cell r="AI861">
            <v>0</v>
          </cell>
          <cell r="AJ861">
            <v>0</v>
          </cell>
        </row>
        <row r="862">
          <cell r="A862" t="str">
            <v>19</v>
          </cell>
          <cell r="B862" t="str">
            <v>19</v>
          </cell>
          <cell r="C862" t="str">
            <v>301</v>
          </cell>
          <cell r="D862" t="str">
            <v>Машина для снятия ко</v>
          </cell>
          <cell r="E862" t="str">
            <v>жи</v>
          </cell>
          <cell r="G862" t="str">
            <v>01</v>
          </cell>
          <cell r="H862">
            <v>84600</v>
          </cell>
          <cell r="I862">
            <v>12182.4</v>
          </cell>
          <cell r="J862">
            <v>0</v>
          </cell>
          <cell r="K862">
            <v>1</v>
          </cell>
          <cell r="L862" t="str">
            <v>88/4</v>
          </cell>
          <cell r="M862" t="str">
            <v>45102</v>
          </cell>
          <cell r="N862" t="str">
            <v>142925101</v>
          </cell>
          <cell r="P862">
            <v>15.4</v>
          </cell>
          <cell r="Q862">
            <v>0</v>
          </cell>
          <cell r="R862" t="str">
            <v>1</v>
          </cell>
          <cell r="S862" t="str">
            <v>45</v>
          </cell>
          <cell r="T862">
            <v>94</v>
          </cell>
          <cell r="U862">
            <v>6</v>
          </cell>
          <cell r="V862">
            <v>97</v>
          </cell>
          <cell r="W862">
            <v>6</v>
          </cell>
          <cell r="X862">
            <v>97</v>
          </cell>
          <cell r="Y862">
            <v>0</v>
          </cell>
          <cell r="Z862">
            <v>0</v>
          </cell>
          <cell r="AD862" t="str">
            <v>0</v>
          </cell>
          <cell r="AE862" t="str">
            <v>0</v>
          </cell>
          <cell r="AF862" t="str">
            <v>19</v>
          </cell>
          <cell r="AI862">
            <v>0</v>
          </cell>
          <cell r="AJ862">
            <v>0</v>
          </cell>
        </row>
        <row r="863">
          <cell r="A863" t="str">
            <v>19</v>
          </cell>
          <cell r="B863" t="str">
            <v>19</v>
          </cell>
          <cell r="C863" t="str">
            <v>302</v>
          </cell>
          <cell r="D863" t="str">
            <v>Оборудование терм.об</v>
          </cell>
          <cell r="E863" t="str">
            <v>работки</v>
          </cell>
          <cell r="G863" t="str">
            <v>01</v>
          </cell>
          <cell r="H863">
            <v>32400</v>
          </cell>
          <cell r="I863">
            <v>4665.3599999999997</v>
          </cell>
          <cell r="J863">
            <v>0</v>
          </cell>
          <cell r="K863">
            <v>1</v>
          </cell>
          <cell r="L863" t="str">
            <v>88/4</v>
          </cell>
          <cell r="M863" t="str">
            <v>45102</v>
          </cell>
          <cell r="N863" t="str">
            <v>142925101</v>
          </cell>
          <cell r="P863">
            <v>15.4</v>
          </cell>
          <cell r="Q863">
            <v>0</v>
          </cell>
          <cell r="R863" t="str">
            <v>1</v>
          </cell>
          <cell r="S863" t="str">
            <v>45</v>
          </cell>
          <cell r="T863">
            <v>94</v>
          </cell>
          <cell r="U863">
            <v>6</v>
          </cell>
          <cell r="V863">
            <v>97</v>
          </cell>
          <cell r="W863">
            <v>6</v>
          </cell>
          <cell r="X863">
            <v>97</v>
          </cell>
          <cell r="Y863">
            <v>0</v>
          </cell>
          <cell r="Z863">
            <v>0</v>
          </cell>
          <cell r="AD863" t="str">
            <v>0</v>
          </cell>
          <cell r="AE863" t="str">
            <v>0</v>
          </cell>
          <cell r="AF863" t="str">
            <v>19</v>
          </cell>
          <cell r="AI863">
            <v>0</v>
          </cell>
          <cell r="AJ863">
            <v>0</v>
          </cell>
        </row>
        <row r="864">
          <cell r="A864" t="str">
            <v>19</v>
          </cell>
          <cell r="B864" t="str">
            <v>19</v>
          </cell>
          <cell r="C864" t="str">
            <v>303</v>
          </cell>
          <cell r="D864" t="str">
            <v>Очистные сооружения</v>
          </cell>
          <cell r="G864" t="str">
            <v>01</v>
          </cell>
          <cell r="H864">
            <v>379305.29</v>
          </cell>
          <cell r="I864">
            <v>49677.919999999998</v>
          </cell>
          <cell r="J864">
            <v>0</v>
          </cell>
          <cell r="K864">
            <v>1</v>
          </cell>
          <cell r="L864" t="str">
            <v>88/4</v>
          </cell>
          <cell r="M864" t="str">
            <v>45102</v>
          </cell>
          <cell r="N864" t="str">
            <v>12 4527371</v>
          </cell>
          <cell r="P864">
            <v>15.4</v>
          </cell>
          <cell r="Q864">
            <v>0</v>
          </cell>
          <cell r="R864" t="str">
            <v>1</v>
          </cell>
          <cell r="S864" t="str">
            <v>45</v>
          </cell>
          <cell r="T864">
            <v>94</v>
          </cell>
          <cell r="U864">
            <v>6</v>
          </cell>
          <cell r="V864">
            <v>97</v>
          </cell>
          <cell r="W864">
            <v>6</v>
          </cell>
          <cell r="X864">
            <v>97</v>
          </cell>
          <cell r="Y864">
            <v>0</v>
          </cell>
          <cell r="Z864">
            <v>0</v>
          </cell>
          <cell r="AD864" t="str">
            <v>0</v>
          </cell>
          <cell r="AE864" t="str">
            <v>0</v>
          </cell>
          <cell r="AF864" t="str">
            <v>19</v>
          </cell>
          <cell r="AI864">
            <v>0</v>
          </cell>
          <cell r="AJ864">
            <v>0</v>
          </cell>
        </row>
        <row r="865">
          <cell r="A865" t="str">
            <v>19</v>
          </cell>
          <cell r="B865" t="str">
            <v>19</v>
          </cell>
          <cell r="C865" t="str">
            <v>304</v>
          </cell>
          <cell r="D865" t="str">
            <v>Пила ленточная для р</v>
          </cell>
          <cell r="E865" t="str">
            <v>азреза костей</v>
          </cell>
          <cell r="G865" t="str">
            <v>01</v>
          </cell>
          <cell r="H865">
            <v>28000</v>
          </cell>
          <cell r="I865">
            <v>4031.92</v>
          </cell>
          <cell r="J865">
            <v>0</v>
          </cell>
          <cell r="K865">
            <v>1</v>
          </cell>
          <cell r="L865" t="str">
            <v>88/4</v>
          </cell>
          <cell r="M865" t="str">
            <v>45102</v>
          </cell>
          <cell r="N865" t="str">
            <v>142925101</v>
          </cell>
          <cell r="P865">
            <v>15.4</v>
          </cell>
          <cell r="Q865">
            <v>0</v>
          </cell>
          <cell r="R865" t="str">
            <v>1</v>
          </cell>
          <cell r="S865" t="str">
            <v>45</v>
          </cell>
          <cell r="T865">
            <v>94</v>
          </cell>
          <cell r="U865">
            <v>6</v>
          </cell>
          <cell r="V865">
            <v>97</v>
          </cell>
          <cell r="W865">
            <v>6</v>
          </cell>
          <cell r="X865">
            <v>97</v>
          </cell>
          <cell r="Y865">
            <v>0</v>
          </cell>
          <cell r="Z865">
            <v>0</v>
          </cell>
          <cell r="AD865" t="str">
            <v>0</v>
          </cell>
          <cell r="AE865" t="str">
            <v>0</v>
          </cell>
          <cell r="AF865" t="str">
            <v>19</v>
          </cell>
          <cell r="AI865">
            <v>0</v>
          </cell>
          <cell r="AJ865">
            <v>0</v>
          </cell>
        </row>
        <row r="866">
          <cell r="A866" t="str">
            <v>19</v>
          </cell>
          <cell r="B866" t="str">
            <v>19</v>
          </cell>
          <cell r="C866" t="str">
            <v>305</v>
          </cell>
          <cell r="D866" t="str">
            <v>Пила эл.для разделки</v>
          </cell>
          <cell r="G866" t="str">
            <v>01</v>
          </cell>
          <cell r="H866">
            <v>20000</v>
          </cell>
          <cell r="I866">
            <v>2880.35</v>
          </cell>
          <cell r="J866">
            <v>0</v>
          </cell>
          <cell r="K866">
            <v>1</v>
          </cell>
          <cell r="L866" t="str">
            <v>88/4</v>
          </cell>
          <cell r="M866" t="str">
            <v>45102</v>
          </cell>
          <cell r="N866" t="str">
            <v>142925101</v>
          </cell>
          <cell r="P866">
            <v>15.4</v>
          </cell>
          <cell r="Q866">
            <v>0</v>
          </cell>
          <cell r="R866" t="str">
            <v>1</v>
          </cell>
          <cell r="S866" t="str">
            <v>45</v>
          </cell>
          <cell r="T866">
            <v>94</v>
          </cell>
          <cell r="U866">
            <v>6</v>
          </cell>
          <cell r="V866">
            <v>97</v>
          </cell>
          <cell r="W866">
            <v>6</v>
          </cell>
          <cell r="X866">
            <v>97</v>
          </cell>
          <cell r="Y866">
            <v>0</v>
          </cell>
          <cell r="Z866">
            <v>0</v>
          </cell>
          <cell r="AD866" t="str">
            <v>0</v>
          </cell>
          <cell r="AE866" t="str">
            <v>0</v>
          </cell>
          <cell r="AF866" t="str">
            <v>19</v>
          </cell>
          <cell r="AI866">
            <v>0</v>
          </cell>
          <cell r="AJ866">
            <v>0</v>
          </cell>
        </row>
        <row r="867">
          <cell r="A867" t="str">
            <v>19</v>
          </cell>
          <cell r="B867" t="str">
            <v>19</v>
          </cell>
          <cell r="C867" t="str">
            <v>306</v>
          </cell>
          <cell r="D867" t="str">
            <v>Пистолет для глушени</v>
          </cell>
          <cell r="E867" t="str">
            <v>я КРС</v>
          </cell>
          <cell r="G867" t="str">
            <v>01</v>
          </cell>
          <cell r="H867">
            <v>5783</v>
          </cell>
          <cell r="I867">
            <v>832.83</v>
          </cell>
          <cell r="J867">
            <v>0</v>
          </cell>
          <cell r="K867">
            <v>1</v>
          </cell>
          <cell r="L867" t="str">
            <v>88/4</v>
          </cell>
          <cell r="M867" t="str">
            <v>45102</v>
          </cell>
          <cell r="N867" t="str">
            <v>142925101</v>
          </cell>
          <cell r="P867">
            <v>15.4</v>
          </cell>
          <cell r="Q867">
            <v>0</v>
          </cell>
          <cell r="R867" t="str">
            <v>1</v>
          </cell>
          <cell r="S867" t="str">
            <v>45</v>
          </cell>
          <cell r="T867">
            <v>94</v>
          </cell>
          <cell r="U867">
            <v>6</v>
          </cell>
          <cell r="V867">
            <v>97</v>
          </cell>
          <cell r="W867">
            <v>6</v>
          </cell>
          <cell r="X867">
            <v>97</v>
          </cell>
          <cell r="Y867">
            <v>0</v>
          </cell>
          <cell r="Z867">
            <v>0</v>
          </cell>
          <cell r="AD867" t="str">
            <v>0</v>
          </cell>
          <cell r="AE867" t="str">
            <v>0</v>
          </cell>
          <cell r="AF867" t="str">
            <v>19</v>
          </cell>
          <cell r="AI867">
            <v>0</v>
          </cell>
          <cell r="AJ867">
            <v>0</v>
          </cell>
        </row>
        <row r="868">
          <cell r="A868" t="str">
            <v>19</v>
          </cell>
          <cell r="B868" t="str">
            <v>19</v>
          </cell>
          <cell r="C868" t="str">
            <v>307</v>
          </cell>
          <cell r="D868" t="str">
            <v>Пистолет электр.для</v>
          </cell>
          <cell r="E868" t="str">
            <v>глушения скота</v>
          </cell>
          <cell r="G868" t="str">
            <v>01</v>
          </cell>
          <cell r="H868">
            <v>9230</v>
          </cell>
          <cell r="I868">
            <v>1181.52</v>
          </cell>
          <cell r="J868">
            <v>0</v>
          </cell>
          <cell r="K868">
            <v>1</v>
          </cell>
          <cell r="L868" t="str">
            <v>88/4</v>
          </cell>
          <cell r="M868" t="str">
            <v>45102</v>
          </cell>
          <cell r="N868" t="str">
            <v>142925101</v>
          </cell>
          <cell r="P868">
            <v>15.4</v>
          </cell>
          <cell r="Q868">
            <v>0</v>
          </cell>
          <cell r="R868" t="str">
            <v>1</v>
          </cell>
          <cell r="S868" t="str">
            <v>45</v>
          </cell>
          <cell r="T868">
            <v>94</v>
          </cell>
          <cell r="U868">
            <v>6</v>
          </cell>
          <cell r="V868">
            <v>97</v>
          </cell>
          <cell r="W868">
            <v>6</v>
          </cell>
          <cell r="X868">
            <v>97</v>
          </cell>
          <cell r="Y868">
            <v>0</v>
          </cell>
          <cell r="Z868">
            <v>0</v>
          </cell>
          <cell r="AD868" t="str">
            <v>0</v>
          </cell>
          <cell r="AE868" t="str">
            <v>0</v>
          </cell>
          <cell r="AF868" t="str">
            <v>19</v>
          </cell>
          <cell r="AI868">
            <v>0</v>
          </cell>
          <cell r="AJ868">
            <v>0</v>
          </cell>
        </row>
        <row r="869">
          <cell r="A869" t="str">
            <v>19</v>
          </cell>
          <cell r="B869" t="str">
            <v>19</v>
          </cell>
          <cell r="C869" t="str">
            <v>308</v>
          </cell>
          <cell r="D869" t="str">
            <v>Площадка для распило</v>
          </cell>
          <cell r="E869" t="str">
            <v>вки туш</v>
          </cell>
          <cell r="G869" t="str">
            <v>01</v>
          </cell>
          <cell r="H869">
            <v>29000</v>
          </cell>
          <cell r="I869">
            <v>3712.03</v>
          </cell>
          <cell r="J869">
            <v>0</v>
          </cell>
          <cell r="K869">
            <v>1</v>
          </cell>
          <cell r="L869" t="str">
            <v>88/4</v>
          </cell>
          <cell r="M869" t="str">
            <v>45102</v>
          </cell>
          <cell r="N869" t="str">
            <v>142925101</v>
          </cell>
          <cell r="P869">
            <v>15.4</v>
          </cell>
          <cell r="Q869">
            <v>0</v>
          </cell>
          <cell r="R869" t="str">
            <v>1</v>
          </cell>
          <cell r="S869" t="str">
            <v>45</v>
          </cell>
          <cell r="T869">
            <v>94</v>
          </cell>
          <cell r="U869">
            <v>6</v>
          </cell>
          <cell r="V869">
            <v>97</v>
          </cell>
          <cell r="W869">
            <v>6</v>
          </cell>
          <cell r="X869">
            <v>97</v>
          </cell>
          <cell r="Y869">
            <v>0</v>
          </cell>
          <cell r="Z869">
            <v>0</v>
          </cell>
          <cell r="AD869" t="str">
            <v>0</v>
          </cell>
          <cell r="AE869" t="str">
            <v>0</v>
          </cell>
          <cell r="AF869" t="str">
            <v>19</v>
          </cell>
          <cell r="AI869">
            <v>0</v>
          </cell>
          <cell r="AJ869">
            <v>0</v>
          </cell>
        </row>
        <row r="870">
          <cell r="A870" t="str">
            <v>19</v>
          </cell>
          <cell r="B870" t="str">
            <v>19</v>
          </cell>
          <cell r="C870" t="str">
            <v>309</v>
          </cell>
          <cell r="D870" t="str">
            <v>Площадка для удалени</v>
          </cell>
          <cell r="E870" t="str">
            <v>я кишок</v>
          </cell>
          <cell r="G870" t="str">
            <v>01</v>
          </cell>
          <cell r="H870">
            <v>29000</v>
          </cell>
          <cell r="I870">
            <v>3712.03</v>
          </cell>
          <cell r="J870">
            <v>0</v>
          </cell>
          <cell r="K870">
            <v>1</v>
          </cell>
          <cell r="L870" t="str">
            <v>88/4</v>
          </cell>
          <cell r="M870" t="str">
            <v>45102</v>
          </cell>
          <cell r="N870" t="str">
            <v>142925101</v>
          </cell>
          <cell r="P870">
            <v>15.4</v>
          </cell>
          <cell r="Q870">
            <v>0</v>
          </cell>
          <cell r="R870" t="str">
            <v>1</v>
          </cell>
          <cell r="S870" t="str">
            <v>45</v>
          </cell>
          <cell r="T870">
            <v>94</v>
          </cell>
          <cell r="U870">
            <v>6</v>
          </cell>
          <cell r="V870">
            <v>97</v>
          </cell>
          <cell r="W870">
            <v>6</v>
          </cell>
          <cell r="X870">
            <v>97</v>
          </cell>
          <cell r="Y870">
            <v>0</v>
          </cell>
          <cell r="Z870">
            <v>0</v>
          </cell>
          <cell r="AD870" t="str">
            <v>0</v>
          </cell>
          <cell r="AE870" t="str">
            <v>0</v>
          </cell>
          <cell r="AF870" t="str">
            <v>19</v>
          </cell>
          <cell r="AI870">
            <v>0</v>
          </cell>
          <cell r="AJ870">
            <v>0</v>
          </cell>
        </row>
        <row r="871">
          <cell r="A871" t="str">
            <v>19</v>
          </cell>
          <cell r="B871" t="str">
            <v>19</v>
          </cell>
          <cell r="C871" t="str">
            <v>310</v>
          </cell>
          <cell r="D871" t="str">
            <v>Подъемник вагона</v>
          </cell>
          <cell r="G871" t="str">
            <v>01</v>
          </cell>
          <cell r="H871">
            <v>23600</v>
          </cell>
          <cell r="I871">
            <v>3020.94</v>
          </cell>
          <cell r="J871">
            <v>0</v>
          </cell>
          <cell r="K871">
            <v>1</v>
          </cell>
          <cell r="L871" t="str">
            <v>88/4</v>
          </cell>
          <cell r="M871" t="str">
            <v>45102</v>
          </cell>
          <cell r="N871" t="str">
            <v>142925101</v>
          </cell>
          <cell r="P871">
            <v>15.4</v>
          </cell>
          <cell r="Q871">
            <v>0</v>
          </cell>
          <cell r="R871" t="str">
            <v>1</v>
          </cell>
          <cell r="S871" t="str">
            <v>45</v>
          </cell>
          <cell r="T871">
            <v>94</v>
          </cell>
          <cell r="U871">
            <v>6</v>
          </cell>
          <cell r="V871">
            <v>97</v>
          </cell>
          <cell r="W871">
            <v>6</v>
          </cell>
          <cell r="X871">
            <v>97</v>
          </cell>
          <cell r="Y871">
            <v>0</v>
          </cell>
          <cell r="Z871">
            <v>0</v>
          </cell>
          <cell r="AD871" t="str">
            <v>0</v>
          </cell>
          <cell r="AE871" t="str">
            <v>0</v>
          </cell>
          <cell r="AF871" t="str">
            <v>19</v>
          </cell>
          <cell r="AI871">
            <v>0</v>
          </cell>
          <cell r="AJ871">
            <v>0</v>
          </cell>
        </row>
        <row r="872">
          <cell r="A872" t="str">
            <v>19</v>
          </cell>
          <cell r="B872" t="str">
            <v>19</v>
          </cell>
          <cell r="C872" t="str">
            <v>311</v>
          </cell>
          <cell r="D872" t="str">
            <v>Промывной шланг с на</v>
          </cell>
          <cell r="E872" t="str">
            <v>садкой</v>
          </cell>
          <cell r="G872" t="str">
            <v>01</v>
          </cell>
          <cell r="H872">
            <v>1300</v>
          </cell>
          <cell r="I872">
            <v>165.93</v>
          </cell>
          <cell r="J872">
            <v>0</v>
          </cell>
          <cell r="K872">
            <v>1</v>
          </cell>
          <cell r="L872" t="str">
            <v>88/4</v>
          </cell>
          <cell r="M872" t="str">
            <v>45102</v>
          </cell>
          <cell r="N872" t="str">
            <v>142925101</v>
          </cell>
          <cell r="P872">
            <v>15.4</v>
          </cell>
          <cell r="Q872">
            <v>0</v>
          </cell>
          <cell r="R872" t="str">
            <v>1</v>
          </cell>
          <cell r="S872" t="str">
            <v>45</v>
          </cell>
          <cell r="T872">
            <v>94</v>
          </cell>
          <cell r="U872">
            <v>6</v>
          </cell>
          <cell r="V872">
            <v>97</v>
          </cell>
          <cell r="W872">
            <v>6</v>
          </cell>
          <cell r="X872">
            <v>97</v>
          </cell>
          <cell r="Y872">
            <v>0</v>
          </cell>
          <cell r="Z872">
            <v>0</v>
          </cell>
          <cell r="AD872" t="str">
            <v>0</v>
          </cell>
          <cell r="AE872" t="str">
            <v>0</v>
          </cell>
          <cell r="AF872" t="str">
            <v>19</v>
          </cell>
          <cell r="AI872">
            <v>0</v>
          </cell>
          <cell r="AJ872">
            <v>0</v>
          </cell>
        </row>
        <row r="873">
          <cell r="A873" t="str">
            <v>19</v>
          </cell>
          <cell r="B873" t="str">
            <v>19</v>
          </cell>
          <cell r="C873" t="str">
            <v>312</v>
          </cell>
          <cell r="D873" t="str">
            <v>Путь убойно-подвесно</v>
          </cell>
          <cell r="E873" t="str">
            <v>й</v>
          </cell>
          <cell r="G873" t="str">
            <v>01</v>
          </cell>
          <cell r="H873">
            <v>22000</v>
          </cell>
          <cell r="I873">
            <v>2815.82</v>
          </cell>
          <cell r="J873">
            <v>0</v>
          </cell>
          <cell r="K873">
            <v>1</v>
          </cell>
          <cell r="L873" t="str">
            <v>88/4</v>
          </cell>
          <cell r="M873" t="str">
            <v>45102</v>
          </cell>
          <cell r="N873" t="str">
            <v>142925101</v>
          </cell>
          <cell r="P873">
            <v>15.4</v>
          </cell>
          <cell r="Q873">
            <v>0</v>
          </cell>
          <cell r="R873" t="str">
            <v>1</v>
          </cell>
          <cell r="S873" t="str">
            <v>45</v>
          </cell>
          <cell r="T873">
            <v>94</v>
          </cell>
          <cell r="U873">
            <v>6</v>
          </cell>
          <cell r="V873">
            <v>97</v>
          </cell>
          <cell r="W873">
            <v>6</v>
          </cell>
          <cell r="X873">
            <v>97</v>
          </cell>
          <cell r="Y873">
            <v>0</v>
          </cell>
          <cell r="Z873">
            <v>0</v>
          </cell>
          <cell r="AD873" t="str">
            <v>0</v>
          </cell>
          <cell r="AE873" t="str">
            <v>0</v>
          </cell>
          <cell r="AF873" t="str">
            <v>19</v>
          </cell>
          <cell r="AI873">
            <v>0</v>
          </cell>
          <cell r="AJ873">
            <v>0</v>
          </cell>
        </row>
        <row r="874">
          <cell r="A874" t="str">
            <v>19</v>
          </cell>
          <cell r="B874" t="str">
            <v>19</v>
          </cell>
          <cell r="C874" t="str">
            <v>313</v>
          </cell>
          <cell r="D874" t="str">
            <v>Путь убойно-подвесно</v>
          </cell>
          <cell r="E874" t="str">
            <v>й</v>
          </cell>
          <cell r="G874" t="str">
            <v>01</v>
          </cell>
          <cell r="H874">
            <v>37000</v>
          </cell>
          <cell r="I874">
            <v>4736.09</v>
          </cell>
          <cell r="J874">
            <v>0</v>
          </cell>
          <cell r="K874">
            <v>1</v>
          </cell>
          <cell r="L874" t="str">
            <v>88/4</v>
          </cell>
          <cell r="M874" t="str">
            <v>45102</v>
          </cell>
          <cell r="N874" t="str">
            <v>142925101</v>
          </cell>
          <cell r="P874">
            <v>15.4</v>
          </cell>
          <cell r="Q874">
            <v>0</v>
          </cell>
          <cell r="R874" t="str">
            <v>1</v>
          </cell>
          <cell r="S874" t="str">
            <v>45</v>
          </cell>
          <cell r="T874">
            <v>94</v>
          </cell>
          <cell r="U874">
            <v>6</v>
          </cell>
          <cell r="V874">
            <v>97</v>
          </cell>
          <cell r="W874">
            <v>6</v>
          </cell>
          <cell r="X874">
            <v>97</v>
          </cell>
          <cell r="Y874">
            <v>0</v>
          </cell>
          <cell r="Z874">
            <v>0</v>
          </cell>
          <cell r="AD874" t="str">
            <v>0</v>
          </cell>
          <cell r="AE874" t="str">
            <v>0</v>
          </cell>
          <cell r="AF874" t="str">
            <v>19</v>
          </cell>
          <cell r="AI874">
            <v>0</v>
          </cell>
          <cell r="AJ874">
            <v>0</v>
          </cell>
        </row>
        <row r="875">
          <cell r="A875" t="str">
            <v>19</v>
          </cell>
          <cell r="B875" t="str">
            <v>19</v>
          </cell>
          <cell r="C875" t="str">
            <v>314</v>
          </cell>
          <cell r="D875" t="str">
            <v>Стол-тележка для обд</v>
          </cell>
          <cell r="E875" t="str">
            <v>ирки шкур</v>
          </cell>
          <cell r="G875" t="str">
            <v>01</v>
          </cell>
          <cell r="H875">
            <v>8124</v>
          </cell>
          <cell r="I875">
            <v>1039.5</v>
          </cell>
          <cell r="J875">
            <v>0</v>
          </cell>
          <cell r="K875">
            <v>1</v>
          </cell>
          <cell r="L875" t="str">
            <v>88/4</v>
          </cell>
          <cell r="M875" t="str">
            <v>45102</v>
          </cell>
          <cell r="N875" t="str">
            <v>142925101</v>
          </cell>
          <cell r="P875">
            <v>15.4</v>
          </cell>
          <cell r="Q875">
            <v>0</v>
          </cell>
          <cell r="R875" t="str">
            <v>1</v>
          </cell>
          <cell r="S875" t="str">
            <v>45</v>
          </cell>
          <cell r="T875">
            <v>94</v>
          </cell>
          <cell r="U875">
            <v>6</v>
          </cell>
          <cell r="V875">
            <v>97</v>
          </cell>
          <cell r="W875">
            <v>6</v>
          </cell>
          <cell r="X875">
            <v>97</v>
          </cell>
          <cell r="Y875">
            <v>0</v>
          </cell>
          <cell r="Z875">
            <v>0</v>
          </cell>
          <cell r="AD875" t="str">
            <v>0</v>
          </cell>
          <cell r="AE875" t="str">
            <v>0</v>
          </cell>
          <cell r="AF875" t="str">
            <v>19</v>
          </cell>
          <cell r="AI875">
            <v>0</v>
          </cell>
          <cell r="AJ875">
            <v>0</v>
          </cell>
        </row>
        <row r="876">
          <cell r="A876" t="str">
            <v>19</v>
          </cell>
          <cell r="B876" t="str">
            <v>19</v>
          </cell>
          <cell r="C876" t="str">
            <v>315</v>
          </cell>
          <cell r="D876" t="str">
            <v>Стол для засолки</v>
          </cell>
          <cell r="G876" t="str">
            <v>01</v>
          </cell>
          <cell r="H876">
            <v>6120</v>
          </cell>
          <cell r="I876">
            <v>783.7</v>
          </cell>
          <cell r="J876">
            <v>0</v>
          </cell>
          <cell r="K876">
            <v>1</v>
          </cell>
          <cell r="L876" t="str">
            <v>88/4</v>
          </cell>
          <cell r="M876" t="str">
            <v>45102</v>
          </cell>
          <cell r="N876" t="str">
            <v>142925101</v>
          </cell>
          <cell r="P876">
            <v>15.4</v>
          </cell>
          <cell r="Q876">
            <v>0</v>
          </cell>
          <cell r="R876" t="str">
            <v>1</v>
          </cell>
          <cell r="S876" t="str">
            <v>45</v>
          </cell>
          <cell r="T876">
            <v>94</v>
          </cell>
          <cell r="U876">
            <v>6</v>
          </cell>
          <cell r="V876">
            <v>97</v>
          </cell>
          <cell r="W876">
            <v>6</v>
          </cell>
          <cell r="X876">
            <v>97</v>
          </cell>
          <cell r="Y876">
            <v>0</v>
          </cell>
          <cell r="Z876">
            <v>0</v>
          </cell>
          <cell r="AD876" t="str">
            <v>0</v>
          </cell>
          <cell r="AE876" t="str">
            <v>0</v>
          </cell>
          <cell r="AF876" t="str">
            <v>19</v>
          </cell>
          <cell r="AI876">
            <v>0</v>
          </cell>
          <cell r="AJ876">
            <v>0</v>
          </cell>
        </row>
        <row r="877">
          <cell r="A877" t="str">
            <v>19</v>
          </cell>
          <cell r="B877" t="str">
            <v>19</v>
          </cell>
          <cell r="C877" t="str">
            <v>316</v>
          </cell>
          <cell r="D877" t="str">
            <v>Стол для накопления</v>
          </cell>
          <cell r="E877" t="str">
            <v>колбас</v>
          </cell>
          <cell r="G877" t="str">
            <v>01</v>
          </cell>
          <cell r="H877">
            <v>6450</v>
          </cell>
          <cell r="I877">
            <v>825.73</v>
          </cell>
          <cell r="J877">
            <v>0</v>
          </cell>
          <cell r="K877">
            <v>1</v>
          </cell>
          <cell r="L877" t="str">
            <v>88/4</v>
          </cell>
          <cell r="M877" t="str">
            <v>45102</v>
          </cell>
          <cell r="N877" t="str">
            <v>142925101</v>
          </cell>
          <cell r="P877">
            <v>15.4</v>
          </cell>
          <cell r="Q877">
            <v>0</v>
          </cell>
          <cell r="R877" t="str">
            <v>1</v>
          </cell>
          <cell r="S877" t="str">
            <v>45</v>
          </cell>
          <cell r="T877">
            <v>94</v>
          </cell>
          <cell r="U877">
            <v>6</v>
          </cell>
          <cell r="V877">
            <v>97</v>
          </cell>
          <cell r="W877">
            <v>6</v>
          </cell>
          <cell r="X877">
            <v>97</v>
          </cell>
          <cell r="Y877">
            <v>0</v>
          </cell>
          <cell r="Z877">
            <v>0</v>
          </cell>
          <cell r="AD877" t="str">
            <v>0</v>
          </cell>
          <cell r="AE877" t="str">
            <v>0</v>
          </cell>
          <cell r="AF877" t="str">
            <v>19</v>
          </cell>
          <cell r="AI877">
            <v>0</v>
          </cell>
          <cell r="AJ877">
            <v>0</v>
          </cell>
        </row>
        <row r="878">
          <cell r="A878" t="str">
            <v>19</v>
          </cell>
          <cell r="B878" t="str">
            <v>19</v>
          </cell>
          <cell r="C878" t="str">
            <v>317</v>
          </cell>
          <cell r="D878" t="str">
            <v>Стол для обрезки</v>
          </cell>
          <cell r="G878" t="str">
            <v>01</v>
          </cell>
          <cell r="H878">
            <v>6450</v>
          </cell>
          <cell r="I878">
            <v>825.73</v>
          </cell>
          <cell r="J878">
            <v>0</v>
          </cell>
          <cell r="K878">
            <v>1</v>
          </cell>
          <cell r="L878" t="str">
            <v>88/4</v>
          </cell>
          <cell r="M878" t="str">
            <v>45102</v>
          </cell>
          <cell r="N878" t="str">
            <v>142925101</v>
          </cell>
          <cell r="P878">
            <v>15.4</v>
          </cell>
          <cell r="Q878">
            <v>0</v>
          </cell>
          <cell r="R878" t="str">
            <v>1</v>
          </cell>
          <cell r="S878" t="str">
            <v>45</v>
          </cell>
          <cell r="T878">
            <v>94</v>
          </cell>
          <cell r="U878">
            <v>6</v>
          </cell>
          <cell r="V878">
            <v>97</v>
          </cell>
          <cell r="W878">
            <v>6</v>
          </cell>
          <cell r="X878">
            <v>97</v>
          </cell>
          <cell r="Y878">
            <v>0</v>
          </cell>
          <cell r="Z878">
            <v>0</v>
          </cell>
          <cell r="AD878" t="str">
            <v>0</v>
          </cell>
          <cell r="AE878" t="str">
            <v>0</v>
          </cell>
          <cell r="AF878" t="str">
            <v>19</v>
          </cell>
          <cell r="AI878">
            <v>0</v>
          </cell>
          <cell r="AJ878">
            <v>0</v>
          </cell>
        </row>
        <row r="879">
          <cell r="A879" t="str">
            <v>19</v>
          </cell>
          <cell r="B879" t="str">
            <v>19</v>
          </cell>
          <cell r="C879" t="str">
            <v>318</v>
          </cell>
          <cell r="D879" t="str">
            <v>Стол для обрезки киш</v>
          </cell>
          <cell r="E879" t="str">
            <v>ок</v>
          </cell>
          <cell r="G879" t="str">
            <v>01</v>
          </cell>
          <cell r="H879">
            <v>8260</v>
          </cell>
          <cell r="I879">
            <v>1056.96</v>
          </cell>
          <cell r="J879">
            <v>0</v>
          </cell>
          <cell r="K879">
            <v>1</v>
          </cell>
          <cell r="L879" t="str">
            <v>88/4</v>
          </cell>
          <cell r="M879" t="str">
            <v>45102</v>
          </cell>
          <cell r="N879" t="str">
            <v>142925101</v>
          </cell>
          <cell r="P879">
            <v>15.4</v>
          </cell>
          <cell r="Q879">
            <v>0</v>
          </cell>
          <cell r="R879" t="str">
            <v>1</v>
          </cell>
          <cell r="S879" t="str">
            <v>45</v>
          </cell>
          <cell r="T879">
            <v>94</v>
          </cell>
          <cell r="U879">
            <v>6</v>
          </cell>
          <cell r="V879">
            <v>97</v>
          </cell>
          <cell r="W879">
            <v>6</v>
          </cell>
          <cell r="X879">
            <v>97</v>
          </cell>
          <cell r="Y879">
            <v>0</v>
          </cell>
          <cell r="Z879">
            <v>0</v>
          </cell>
          <cell r="AD879" t="str">
            <v>0</v>
          </cell>
          <cell r="AE879" t="str">
            <v>0</v>
          </cell>
          <cell r="AF879" t="str">
            <v>19</v>
          </cell>
          <cell r="AI879">
            <v>0</v>
          </cell>
          <cell r="AJ879">
            <v>0</v>
          </cell>
        </row>
        <row r="880">
          <cell r="A880" t="str">
            <v>19</v>
          </cell>
          <cell r="B880" t="str">
            <v>19</v>
          </cell>
          <cell r="C880" t="str">
            <v>319</v>
          </cell>
          <cell r="D880" t="str">
            <v>Стол для разделки</v>
          </cell>
          <cell r="G880" t="str">
            <v>01</v>
          </cell>
          <cell r="H880">
            <v>8260</v>
          </cell>
          <cell r="I880">
            <v>1056.76</v>
          </cell>
          <cell r="J880">
            <v>0</v>
          </cell>
          <cell r="K880">
            <v>1</v>
          </cell>
          <cell r="L880" t="str">
            <v>88/4</v>
          </cell>
          <cell r="M880" t="str">
            <v>45102</v>
          </cell>
          <cell r="N880" t="str">
            <v>142925101</v>
          </cell>
          <cell r="P880">
            <v>15.4</v>
          </cell>
          <cell r="Q880">
            <v>0</v>
          </cell>
          <cell r="R880" t="str">
            <v>1</v>
          </cell>
          <cell r="S880" t="str">
            <v>45</v>
          </cell>
          <cell r="T880">
            <v>94</v>
          </cell>
          <cell r="U880">
            <v>6</v>
          </cell>
          <cell r="V880">
            <v>97</v>
          </cell>
          <cell r="W880">
            <v>6</v>
          </cell>
          <cell r="X880">
            <v>97</v>
          </cell>
          <cell r="Y880">
            <v>0</v>
          </cell>
          <cell r="Z880">
            <v>0</v>
          </cell>
          <cell r="AD880" t="str">
            <v>0</v>
          </cell>
          <cell r="AE880" t="str">
            <v>0</v>
          </cell>
          <cell r="AF880" t="str">
            <v>19</v>
          </cell>
          <cell r="AI880">
            <v>0</v>
          </cell>
          <cell r="AJ880">
            <v>0</v>
          </cell>
        </row>
        <row r="881">
          <cell r="A881" t="str">
            <v>19</v>
          </cell>
          <cell r="B881" t="str">
            <v>19</v>
          </cell>
          <cell r="C881" t="str">
            <v>320</v>
          </cell>
          <cell r="D881" t="str">
            <v>Стол для упаковки</v>
          </cell>
          <cell r="G881" t="str">
            <v>01</v>
          </cell>
          <cell r="H881">
            <v>7500</v>
          </cell>
          <cell r="I881">
            <v>959.91</v>
          </cell>
          <cell r="J881">
            <v>0</v>
          </cell>
          <cell r="K881">
            <v>1</v>
          </cell>
          <cell r="L881" t="str">
            <v>88/4</v>
          </cell>
          <cell r="M881" t="str">
            <v>45102</v>
          </cell>
          <cell r="N881" t="str">
            <v>142925101</v>
          </cell>
          <cell r="P881">
            <v>15.4</v>
          </cell>
          <cell r="Q881">
            <v>0</v>
          </cell>
          <cell r="R881" t="str">
            <v>1</v>
          </cell>
          <cell r="S881" t="str">
            <v>45</v>
          </cell>
          <cell r="T881">
            <v>94</v>
          </cell>
          <cell r="U881">
            <v>6</v>
          </cell>
          <cell r="V881">
            <v>97</v>
          </cell>
          <cell r="W881">
            <v>6</v>
          </cell>
          <cell r="X881">
            <v>97</v>
          </cell>
          <cell r="Y881">
            <v>0</v>
          </cell>
          <cell r="Z881">
            <v>0</v>
          </cell>
          <cell r="AD881" t="str">
            <v>0</v>
          </cell>
          <cell r="AE881" t="str">
            <v>0</v>
          </cell>
          <cell r="AF881" t="str">
            <v>19</v>
          </cell>
          <cell r="AI881">
            <v>0</v>
          </cell>
          <cell r="AJ881">
            <v>0</v>
          </cell>
        </row>
        <row r="882">
          <cell r="A882" t="str">
            <v>19</v>
          </cell>
          <cell r="B882" t="str">
            <v>19</v>
          </cell>
          <cell r="C882" t="str">
            <v>321</v>
          </cell>
          <cell r="D882" t="str">
            <v>Тележка-ванна</v>
          </cell>
          <cell r="G882" t="str">
            <v>01</v>
          </cell>
          <cell r="H882">
            <v>12000</v>
          </cell>
          <cell r="I882">
            <v>1535.79</v>
          </cell>
          <cell r="J882">
            <v>0</v>
          </cell>
          <cell r="K882">
            <v>1</v>
          </cell>
          <cell r="L882" t="str">
            <v>88/4</v>
          </cell>
          <cell r="M882" t="str">
            <v>45102</v>
          </cell>
          <cell r="N882" t="str">
            <v>142925101</v>
          </cell>
          <cell r="P882">
            <v>15.4</v>
          </cell>
          <cell r="Q882">
            <v>0</v>
          </cell>
          <cell r="R882" t="str">
            <v>1</v>
          </cell>
          <cell r="S882" t="str">
            <v>45</v>
          </cell>
          <cell r="T882">
            <v>94</v>
          </cell>
          <cell r="U882">
            <v>6</v>
          </cell>
          <cell r="V882">
            <v>97</v>
          </cell>
          <cell r="W882">
            <v>6</v>
          </cell>
          <cell r="X882">
            <v>97</v>
          </cell>
          <cell r="Y882">
            <v>0</v>
          </cell>
          <cell r="Z882">
            <v>0</v>
          </cell>
          <cell r="AD882" t="str">
            <v>0</v>
          </cell>
          <cell r="AE882" t="str">
            <v>0</v>
          </cell>
          <cell r="AF882" t="str">
            <v>19</v>
          </cell>
          <cell r="AI882">
            <v>0</v>
          </cell>
          <cell r="AJ882">
            <v>0</v>
          </cell>
        </row>
        <row r="883">
          <cell r="A883" t="str">
            <v>19</v>
          </cell>
          <cell r="B883" t="str">
            <v>19</v>
          </cell>
          <cell r="C883" t="str">
            <v>322</v>
          </cell>
          <cell r="D883" t="str">
            <v>Тележка для колбасы</v>
          </cell>
          <cell r="G883" t="str">
            <v>01</v>
          </cell>
          <cell r="H883">
            <v>64800</v>
          </cell>
          <cell r="I883">
            <v>8294.2999999999993</v>
          </cell>
          <cell r="J883">
            <v>0</v>
          </cell>
          <cell r="K883">
            <v>1</v>
          </cell>
          <cell r="L883" t="str">
            <v>88/4</v>
          </cell>
          <cell r="M883" t="str">
            <v>45102</v>
          </cell>
          <cell r="N883" t="str">
            <v>142925101</v>
          </cell>
          <cell r="P883">
            <v>15.4</v>
          </cell>
          <cell r="Q883">
            <v>0</v>
          </cell>
          <cell r="R883" t="str">
            <v>1</v>
          </cell>
          <cell r="S883" t="str">
            <v>45</v>
          </cell>
          <cell r="T883">
            <v>94</v>
          </cell>
          <cell r="U883">
            <v>6</v>
          </cell>
          <cell r="V883">
            <v>97</v>
          </cell>
          <cell r="W883">
            <v>6</v>
          </cell>
          <cell r="X883">
            <v>97</v>
          </cell>
          <cell r="Y883">
            <v>0</v>
          </cell>
          <cell r="Z883">
            <v>0</v>
          </cell>
          <cell r="AD883" t="str">
            <v>0</v>
          </cell>
          <cell r="AE883" t="str">
            <v>0</v>
          </cell>
          <cell r="AF883" t="str">
            <v>19</v>
          </cell>
          <cell r="AI883">
            <v>0</v>
          </cell>
          <cell r="AJ883">
            <v>0</v>
          </cell>
        </row>
        <row r="884">
          <cell r="A884" t="str">
            <v>19</v>
          </cell>
          <cell r="B884" t="str">
            <v>19</v>
          </cell>
          <cell r="C884" t="str">
            <v>323</v>
          </cell>
          <cell r="D884" t="str">
            <v>Тележка для крюков</v>
          </cell>
          <cell r="G884" t="str">
            <v>01</v>
          </cell>
          <cell r="H884">
            <v>9760</v>
          </cell>
          <cell r="I884">
            <v>1248.94</v>
          </cell>
          <cell r="J884">
            <v>0</v>
          </cell>
          <cell r="K884">
            <v>1</v>
          </cell>
          <cell r="L884" t="str">
            <v>88/4</v>
          </cell>
          <cell r="M884" t="str">
            <v>45102</v>
          </cell>
          <cell r="N884" t="str">
            <v>142925101</v>
          </cell>
          <cell r="P884">
            <v>15.4</v>
          </cell>
          <cell r="Q884">
            <v>0</v>
          </cell>
          <cell r="R884" t="str">
            <v>1</v>
          </cell>
          <cell r="S884" t="str">
            <v>45</v>
          </cell>
          <cell r="T884">
            <v>94</v>
          </cell>
          <cell r="U884">
            <v>6</v>
          </cell>
          <cell r="V884">
            <v>97</v>
          </cell>
          <cell r="W884">
            <v>6</v>
          </cell>
          <cell r="X884">
            <v>97</v>
          </cell>
          <cell r="Y884">
            <v>0</v>
          </cell>
          <cell r="Z884">
            <v>0</v>
          </cell>
          <cell r="AD884" t="str">
            <v>0</v>
          </cell>
          <cell r="AE884" t="str">
            <v>0</v>
          </cell>
          <cell r="AF884" t="str">
            <v>19</v>
          </cell>
          <cell r="AI884">
            <v>0</v>
          </cell>
          <cell r="AJ884">
            <v>0</v>
          </cell>
        </row>
        <row r="885">
          <cell r="A885" t="str">
            <v>19</v>
          </cell>
          <cell r="B885" t="str">
            <v>19</v>
          </cell>
          <cell r="C885" t="str">
            <v>324</v>
          </cell>
          <cell r="D885" t="str">
            <v>Тележка для реек</v>
          </cell>
          <cell r="G885" t="str">
            <v>01</v>
          </cell>
          <cell r="H885">
            <v>5320</v>
          </cell>
          <cell r="I885">
            <v>681.3</v>
          </cell>
          <cell r="J885">
            <v>0</v>
          </cell>
          <cell r="K885">
            <v>1</v>
          </cell>
          <cell r="L885" t="str">
            <v>88/4</v>
          </cell>
          <cell r="M885" t="str">
            <v>45102</v>
          </cell>
          <cell r="N885" t="str">
            <v>142925101</v>
          </cell>
          <cell r="P885">
            <v>15.4</v>
          </cell>
          <cell r="Q885">
            <v>0</v>
          </cell>
          <cell r="R885" t="str">
            <v>1</v>
          </cell>
          <cell r="S885" t="str">
            <v>45</v>
          </cell>
          <cell r="T885">
            <v>94</v>
          </cell>
          <cell r="U885">
            <v>6</v>
          </cell>
          <cell r="V885">
            <v>97</v>
          </cell>
          <cell r="W885">
            <v>6</v>
          </cell>
          <cell r="X885">
            <v>97</v>
          </cell>
          <cell r="Y885">
            <v>0</v>
          </cell>
          <cell r="Z885">
            <v>0</v>
          </cell>
          <cell r="AD885" t="str">
            <v>0</v>
          </cell>
          <cell r="AE885" t="str">
            <v>0</v>
          </cell>
          <cell r="AF885" t="str">
            <v>19</v>
          </cell>
          <cell r="AI885">
            <v>0</v>
          </cell>
          <cell r="AJ885">
            <v>0</v>
          </cell>
        </row>
        <row r="886">
          <cell r="A886" t="str">
            <v>19</v>
          </cell>
          <cell r="B886" t="str">
            <v>19</v>
          </cell>
          <cell r="C886" t="str">
            <v>325</v>
          </cell>
          <cell r="D886" t="str">
            <v>Здание теплоцентрали</v>
          </cell>
          <cell r="G886" t="str">
            <v>01</v>
          </cell>
          <cell r="H886">
            <v>35976.449999999997</v>
          </cell>
          <cell r="I886">
            <v>5096.66</v>
          </cell>
          <cell r="J886">
            <v>0</v>
          </cell>
          <cell r="K886">
            <v>1</v>
          </cell>
          <cell r="L886" t="str">
            <v>88/4</v>
          </cell>
          <cell r="M886" t="str">
            <v>10005</v>
          </cell>
          <cell r="N886" t="str">
            <v>142914000</v>
          </cell>
          <cell r="P886">
            <v>5</v>
          </cell>
          <cell r="Q886">
            <v>0</v>
          </cell>
          <cell r="R886" t="str">
            <v>1</v>
          </cell>
          <cell r="S886" t="str">
            <v>45</v>
          </cell>
          <cell r="T886">
            <v>94</v>
          </cell>
          <cell r="U886">
            <v>6</v>
          </cell>
          <cell r="V886">
            <v>97</v>
          </cell>
          <cell r="W886">
            <v>6</v>
          </cell>
          <cell r="X886">
            <v>97</v>
          </cell>
          <cell r="Y886">
            <v>0</v>
          </cell>
          <cell r="Z886">
            <v>0</v>
          </cell>
          <cell r="AD886" t="str">
            <v>0</v>
          </cell>
          <cell r="AE886" t="str">
            <v>0</v>
          </cell>
          <cell r="AF886" t="str">
            <v>19</v>
          </cell>
          <cell r="AI886">
            <v>0</v>
          </cell>
          <cell r="AJ886">
            <v>0</v>
          </cell>
        </row>
        <row r="887">
          <cell r="A887" t="str">
            <v>19</v>
          </cell>
          <cell r="B887" t="str">
            <v>19</v>
          </cell>
          <cell r="C887" t="str">
            <v>326</v>
          </cell>
          <cell r="D887" t="str">
            <v>Устр-во для закрепле</v>
          </cell>
          <cell r="E887" t="str">
            <v>ния колбас</v>
          </cell>
          <cell r="G887" t="str">
            <v>01</v>
          </cell>
          <cell r="H887">
            <v>10700</v>
          </cell>
          <cell r="I887">
            <v>1369.01</v>
          </cell>
          <cell r="J887">
            <v>0</v>
          </cell>
          <cell r="K887">
            <v>1</v>
          </cell>
          <cell r="L887" t="str">
            <v>88/4</v>
          </cell>
          <cell r="M887" t="str">
            <v>45102</v>
          </cell>
          <cell r="N887" t="str">
            <v>142925101</v>
          </cell>
          <cell r="P887">
            <v>15.4</v>
          </cell>
          <cell r="Q887">
            <v>0</v>
          </cell>
          <cell r="R887" t="str">
            <v>1</v>
          </cell>
          <cell r="S887" t="str">
            <v>45</v>
          </cell>
          <cell r="T887">
            <v>94</v>
          </cell>
          <cell r="U887">
            <v>6</v>
          </cell>
          <cell r="V887">
            <v>97</v>
          </cell>
          <cell r="W887">
            <v>6</v>
          </cell>
          <cell r="X887">
            <v>97</v>
          </cell>
          <cell r="Y887">
            <v>0</v>
          </cell>
          <cell r="Z887">
            <v>0</v>
          </cell>
          <cell r="AD887" t="str">
            <v>0</v>
          </cell>
          <cell r="AE887" t="str">
            <v>0</v>
          </cell>
          <cell r="AF887" t="str">
            <v>19</v>
          </cell>
          <cell r="AI887">
            <v>0</v>
          </cell>
          <cell r="AJ887">
            <v>0</v>
          </cell>
        </row>
        <row r="888">
          <cell r="A888" t="str">
            <v>19</v>
          </cell>
          <cell r="B888" t="str">
            <v>19</v>
          </cell>
          <cell r="C888" t="str">
            <v>327</v>
          </cell>
          <cell r="D888" t="str">
            <v>Устройство подъемное</v>
          </cell>
          <cell r="G888" t="str">
            <v>01</v>
          </cell>
          <cell r="H888">
            <v>9800</v>
          </cell>
          <cell r="I888">
            <v>1254.0999999999999</v>
          </cell>
          <cell r="J888">
            <v>0</v>
          </cell>
          <cell r="K888">
            <v>1</v>
          </cell>
          <cell r="L888" t="str">
            <v>88/4</v>
          </cell>
          <cell r="M888" t="str">
            <v>45102</v>
          </cell>
          <cell r="N888" t="str">
            <v>142925101</v>
          </cell>
          <cell r="P888">
            <v>15.4</v>
          </cell>
          <cell r="Q888">
            <v>0</v>
          </cell>
          <cell r="R888" t="str">
            <v>1</v>
          </cell>
          <cell r="S888" t="str">
            <v>45</v>
          </cell>
          <cell r="T888">
            <v>94</v>
          </cell>
          <cell r="U888">
            <v>6</v>
          </cell>
          <cell r="V888">
            <v>97</v>
          </cell>
          <cell r="W888">
            <v>6</v>
          </cell>
          <cell r="X888">
            <v>97</v>
          </cell>
          <cell r="Y888">
            <v>0</v>
          </cell>
          <cell r="Z888">
            <v>0</v>
          </cell>
          <cell r="AD888" t="str">
            <v>0</v>
          </cell>
          <cell r="AE888" t="str">
            <v>0</v>
          </cell>
          <cell r="AF888" t="str">
            <v>19</v>
          </cell>
          <cell r="AI888">
            <v>0</v>
          </cell>
          <cell r="AJ888">
            <v>0</v>
          </cell>
        </row>
        <row r="889">
          <cell r="A889" t="str">
            <v>19</v>
          </cell>
          <cell r="B889" t="str">
            <v>19</v>
          </cell>
          <cell r="C889" t="str">
            <v>328</v>
          </cell>
          <cell r="D889" t="str">
            <v>Устройство подъемное</v>
          </cell>
          <cell r="E889" t="str">
            <v>/труба/</v>
          </cell>
          <cell r="G889" t="str">
            <v>01</v>
          </cell>
          <cell r="H889">
            <v>24224.84</v>
          </cell>
          <cell r="I889">
            <v>3100.66</v>
          </cell>
          <cell r="J889">
            <v>0</v>
          </cell>
          <cell r="K889">
            <v>1</v>
          </cell>
          <cell r="L889" t="str">
            <v>88/4</v>
          </cell>
          <cell r="M889" t="str">
            <v>45102</v>
          </cell>
          <cell r="N889" t="str">
            <v>142925101</v>
          </cell>
          <cell r="P889">
            <v>15.4</v>
          </cell>
          <cell r="Q889">
            <v>0</v>
          </cell>
          <cell r="R889" t="str">
            <v>1</v>
          </cell>
          <cell r="S889" t="str">
            <v>45</v>
          </cell>
          <cell r="T889">
            <v>94</v>
          </cell>
          <cell r="U889">
            <v>6</v>
          </cell>
          <cell r="V889">
            <v>97</v>
          </cell>
          <cell r="W889">
            <v>6</v>
          </cell>
          <cell r="X889">
            <v>97</v>
          </cell>
          <cell r="Y889">
            <v>0</v>
          </cell>
          <cell r="Z889">
            <v>0</v>
          </cell>
          <cell r="AD889" t="str">
            <v>0</v>
          </cell>
          <cell r="AE889" t="str">
            <v>0</v>
          </cell>
          <cell r="AF889" t="str">
            <v>19</v>
          </cell>
          <cell r="AI889">
            <v>0</v>
          </cell>
          <cell r="AJ889">
            <v>0</v>
          </cell>
        </row>
        <row r="890">
          <cell r="A890" t="str">
            <v>19</v>
          </cell>
          <cell r="B890" t="str">
            <v>19</v>
          </cell>
          <cell r="C890" t="str">
            <v>329</v>
          </cell>
          <cell r="D890" t="str">
            <v>Устр-во эл.подъемное</v>
          </cell>
          <cell r="E890" t="str">
            <v>0.5 т</v>
          </cell>
          <cell r="G890" t="str">
            <v>01</v>
          </cell>
          <cell r="H890">
            <v>22000</v>
          </cell>
          <cell r="I890">
            <v>2815.3</v>
          </cell>
          <cell r="J890">
            <v>0</v>
          </cell>
          <cell r="K890">
            <v>1</v>
          </cell>
          <cell r="L890" t="str">
            <v>88/4</v>
          </cell>
          <cell r="M890" t="str">
            <v>45102</v>
          </cell>
          <cell r="N890" t="str">
            <v>142925101</v>
          </cell>
          <cell r="P890">
            <v>15.4</v>
          </cell>
          <cell r="Q890">
            <v>0</v>
          </cell>
          <cell r="R890" t="str">
            <v>1</v>
          </cell>
          <cell r="S890" t="str">
            <v>45</v>
          </cell>
          <cell r="T890">
            <v>94</v>
          </cell>
          <cell r="U890">
            <v>6</v>
          </cell>
          <cell r="V890">
            <v>97</v>
          </cell>
          <cell r="W890">
            <v>6</v>
          </cell>
          <cell r="X890">
            <v>97</v>
          </cell>
          <cell r="Y890">
            <v>0</v>
          </cell>
          <cell r="Z890">
            <v>0</v>
          </cell>
          <cell r="AD890" t="str">
            <v>0</v>
          </cell>
          <cell r="AE890" t="str">
            <v>0</v>
          </cell>
          <cell r="AF890" t="str">
            <v>19</v>
          </cell>
          <cell r="AI890">
            <v>0</v>
          </cell>
          <cell r="AJ890">
            <v>0</v>
          </cell>
        </row>
        <row r="891">
          <cell r="A891" t="str">
            <v>19</v>
          </cell>
          <cell r="B891" t="str">
            <v>19</v>
          </cell>
          <cell r="C891" t="str">
            <v>330</v>
          </cell>
          <cell r="D891" t="str">
            <v>Устр-во эл.подъемное</v>
          </cell>
          <cell r="E891" t="str">
            <v>1 тн</v>
          </cell>
          <cell r="G891" t="str">
            <v>01</v>
          </cell>
          <cell r="H891">
            <v>17100</v>
          </cell>
          <cell r="I891">
            <v>2188.59</v>
          </cell>
          <cell r="J891">
            <v>0</v>
          </cell>
          <cell r="K891">
            <v>1</v>
          </cell>
          <cell r="L891" t="str">
            <v>88/4</v>
          </cell>
          <cell r="M891" t="str">
            <v>45102</v>
          </cell>
          <cell r="N891" t="str">
            <v>142925101</v>
          </cell>
          <cell r="P891">
            <v>15.4</v>
          </cell>
          <cell r="Q891">
            <v>0</v>
          </cell>
          <cell r="R891" t="str">
            <v>1</v>
          </cell>
          <cell r="S891" t="str">
            <v>45</v>
          </cell>
          <cell r="T891">
            <v>94</v>
          </cell>
          <cell r="U891">
            <v>6</v>
          </cell>
          <cell r="V891">
            <v>97</v>
          </cell>
          <cell r="W891">
            <v>6</v>
          </cell>
          <cell r="X891">
            <v>97</v>
          </cell>
          <cell r="Y891">
            <v>0</v>
          </cell>
          <cell r="Z891">
            <v>0</v>
          </cell>
          <cell r="AD891" t="str">
            <v>0</v>
          </cell>
          <cell r="AE891" t="str">
            <v>0</v>
          </cell>
          <cell r="AF891" t="str">
            <v>19</v>
          </cell>
          <cell r="AI891">
            <v>0</v>
          </cell>
          <cell r="AJ891">
            <v>0</v>
          </cell>
        </row>
        <row r="892">
          <cell r="A892" t="str">
            <v>19</v>
          </cell>
          <cell r="B892" t="str">
            <v>19</v>
          </cell>
          <cell r="C892" t="str">
            <v>331</v>
          </cell>
          <cell r="D892" t="str">
            <v>Устр-во эл.подъемное</v>
          </cell>
          <cell r="E892" t="str">
            <v>1 тн</v>
          </cell>
          <cell r="G892" t="str">
            <v>01</v>
          </cell>
          <cell r="H892">
            <v>17100</v>
          </cell>
          <cell r="I892">
            <v>2188.59</v>
          </cell>
          <cell r="J892">
            <v>0</v>
          </cell>
          <cell r="K892">
            <v>1</v>
          </cell>
          <cell r="L892" t="str">
            <v>88/4</v>
          </cell>
          <cell r="M892" t="str">
            <v>45102</v>
          </cell>
          <cell r="N892" t="str">
            <v>142925101</v>
          </cell>
          <cell r="P892">
            <v>15.4</v>
          </cell>
          <cell r="Q892">
            <v>0</v>
          </cell>
          <cell r="R892" t="str">
            <v>1</v>
          </cell>
          <cell r="S892" t="str">
            <v>45</v>
          </cell>
          <cell r="T892">
            <v>94</v>
          </cell>
          <cell r="U892">
            <v>6</v>
          </cell>
          <cell r="V892">
            <v>97</v>
          </cell>
          <cell r="W892">
            <v>6</v>
          </cell>
          <cell r="X892">
            <v>97</v>
          </cell>
          <cell r="Y892">
            <v>0</v>
          </cell>
          <cell r="Z892">
            <v>0</v>
          </cell>
          <cell r="AD892" t="str">
            <v>0</v>
          </cell>
          <cell r="AE892" t="str">
            <v>0</v>
          </cell>
          <cell r="AF892" t="str">
            <v>19</v>
          </cell>
          <cell r="AI892">
            <v>0</v>
          </cell>
          <cell r="AJ892">
            <v>0</v>
          </cell>
        </row>
        <row r="893">
          <cell r="A893" t="str">
            <v>19</v>
          </cell>
          <cell r="B893" t="str">
            <v>19</v>
          </cell>
          <cell r="C893" t="str">
            <v>332</v>
          </cell>
          <cell r="D893" t="str">
            <v>Хллодильное оборудов</v>
          </cell>
          <cell r="E893" t="str">
            <v>ание</v>
          </cell>
          <cell r="G893" t="str">
            <v>01</v>
          </cell>
          <cell r="H893">
            <v>258827.89</v>
          </cell>
          <cell r="I893">
            <v>33129.699999999997</v>
          </cell>
          <cell r="J893">
            <v>0</v>
          </cell>
          <cell r="K893">
            <v>1</v>
          </cell>
          <cell r="L893" t="str">
            <v>88/4</v>
          </cell>
          <cell r="M893" t="str">
            <v>45102</v>
          </cell>
          <cell r="N893" t="str">
            <v>162930011</v>
          </cell>
          <cell r="P893">
            <v>15.4</v>
          </cell>
          <cell r="Q893">
            <v>0</v>
          </cell>
          <cell r="R893" t="str">
            <v>1</v>
          </cell>
          <cell r="S893" t="str">
            <v>45</v>
          </cell>
          <cell r="T893">
            <v>94</v>
          </cell>
          <cell r="U893">
            <v>6</v>
          </cell>
          <cell r="V893">
            <v>97</v>
          </cell>
          <cell r="W893">
            <v>6</v>
          </cell>
          <cell r="X893">
            <v>97</v>
          </cell>
          <cell r="Y893">
            <v>0</v>
          </cell>
          <cell r="Z893">
            <v>0</v>
          </cell>
          <cell r="AD893" t="str">
            <v>0</v>
          </cell>
          <cell r="AE893" t="str">
            <v>0</v>
          </cell>
          <cell r="AF893" t="str">
            <v>19</v>
          </cell>
          <cell r="AI893">
            <v>0</v>
          </cell>
          <cell r="AJ893">
            <v>0</v>
          </cell>
        </row>
        <row r="894">
          <cell r="A894" t="str">
            <v>19</v>
          </cell>
          <cell r="B894" t="str">
            <v>19</v>
          </cell>
          <cell r="C894" t="str">
            <v>333</v>
          </cell>
          <cell r="D894" t="str">
            <v>Цепной крюк</v>
          </cell>
          <cell r="G894" t="str">
            <v>01</v>
          </cell>
          <cell r="H894">
            <v>2800</v>
          </cell>
          <cell r="I894">
            <v>358.99</v>
          </cell>
          <cell r="J894">
            <v>0</v>
          </cell>
          <cell r="K894">
            <v>1</v>
          </cell>
          <cell r="L894" t="str">
            <v>88/4</v>
          </cell>
          <cell r="M894" t="str">
            <v>45102</v>
          </cell>
          <cell r="N894" t="str">
            <v>142925101</v>
          </cell>
          <cell r="P894">
            <v>15.4</v>
          </cell>
          <cell r="Q894">
            <v>0</v>
          </cell>
          <cell r="R894" t="str">
            <v>1</v>
          </cell>
          <cell r="S894" t="str">
            <v>45</v>
          </cell>
          <cell r="T894">
            <v>94</v>
          </cell>
          <cell r="U894">
            <v>6</v>
          </cell>
          <cell r="V894">
            <v>97</v>
          </cell>
          <cell r="W894">
            <v>6</v>
          </cell>
          <cell r="X894">
            <v>97</v>
          </cell>
          <cell r="Y894">
            <v>0</v>
          </cell>
          <cell r="Z894">
            <v>0</v>
          </cell>
          <cell r="AD894" t="str">
            <v>0</v>
          </cell>
          <cell r="AE894" t="str">
            <v>0</v>
          </cell>
          <cell r="AF894" t="str">
            <v>19</v>
          </cell>
          <cell r="AI894">
            <v>0</v>
          </cell>
          <cell r="AJ894">
            <v>0</v>
          </cell>
        </row>
        <row r="895">
          <cell r="A895" t="str">
            <v>19</v>
          </cell>
          <cell r="B895" t="str">
            <v>19</v>
          </cell>
          <cell r="C895" t="str">
            <v>334</v>
          </cell>
          <cell r="D895" t="str">
            <v>Чан для кишок</v>
          </cell>
          <cell r="G895" t="str">
            <v>01</v>
          </cell>
          <cell r="H895">
            <v>12710</v>
          </cell>
          <cell r="I895">
            <v>1626.68</v>
          </cell>
          <cell r="J895">
            <v>0</v>
          </cell>
          <cell r="K895">
            <v>1</v>
          </cell>
          <cell r="L895" t="str">
            <v>88/4</v>
          </cell>
          <cell r="M895" t="str">
            <v>45102</v>
          </cell>
          <cell r="N895" t="str">
            <v>142925101</v>
          </cell>
          <cell r="P895">
            <v>15.4</v>
          </cell>
          <cell r="Q895">
            <v>0</v>
          </cell>
          <cell r="R895" t="str">
            <v>1</v>
          </cell>
          <cell r="S895" t="str">
            <v>45</v>
          </cell>
          <cell r="T895">
            <v>94</v>
          </cell>
          <cell r="U895">
            <v>6</v>
          </cell>
          <cell r="V895">
            <v>97</v>
          </cell>
          <cell r="W895">
            <v>6</v>
          </cell>
          <cell r="X895">
            <v>97</v>
          </cell>
          <cell r="Y895">
            <v>0</v>
          </cell>
          <cell r="Z895">
            <v>0</v>
          </cell>
          <cell r="AD895" t="str">
            <v>0</v>
          </cell>
          <cell r="AE895" t="str">
            <v>0</v>
          </cell>
          <cell r="AF895" t="str">
            <v>19</v>
          </cell>
          <cell r="AI895">
            <v>0</v>
          </cell>
          <cell r="AJ895">
            <v>0</v>
          </cell>
        </row>
        <row r="896">
          <cell r="A896" t="str">
            <v>19</v>
          </cell>
          <cell r="B896" t="str">
            <v>19</v>
          </cell>
          <cell r="C896" t="str">
            <v>335</v>
          </cell>
          <cell r="D896" t="str">
            <v>Шкаф распределительн</v>
          </cell>
          <cell r="E896" t="str">
            <v>ый</v>
          </cell>
          <cell r="G896" t="str">
            <v>01</v>
          </cell>
          <cell r="H896">
            <v>1018.49</v>
          </cell>
          <cell r="I896">
            <v>130.35</v>
          </cell>
          <cell r="J896">
            <v>0</v>
          </cell>
          <cell r="K896">
            <v>1</v>
          </cell>
          <cell r="L896" t="str">
            <v>88/4</v>
          </cell>
          <cell r="M896" t="str">
            <v>45102</v>
          </cell>
          <cell r="N896" t="str">
            <v>143120390</v>
          </cell>
          <cell r="P896">
            <v>15.4</v>
          </cell>
          <cell r="Q896">
            <v>0</v>
          </cell>
          <cell r="R896" t="str">
            <v>1</v>
          </cell>
          <cell r="S896" t="str">
            <v>45</v>
          </cell>
          <cell r="T896">
            <v>94</v>
          </cell>
          <cell r="U896">
            <v>6</v>
          </cell>
          <cell r="V896">
            <v>97</v>
          </cell>
          <cell r="W896">
            <v>6</v>
          </cell>
          <cell r="X896">
            <v>97</v>
          </cell>
          <cell r="Y896">
            <v>0</v>
          </cell>
          <cell r="Z896">
            <v>0</v>
          </cell>
          <cell r="AD896" t="str">
            <v>0</v>
          </cell>
          <cell r="AE896" t="str">
            <v>0</v>
          </cell>
          <cell r="AF896" t="str">
            <v>19</v>
          </cell>
          <cell r="AI896">
            <v>0</v>
          </cell>
          <cell r="AJ896">
            <v>0</v>
          </cell>
        </row>
        <row r="897">
          <cell r="A897" t="str">
            <v>19</v>
          </cell>
          <cell r="B897" t="str">
            <v>19</v>
          </cell>
          <cell r="C897" t="str">
            <v>336</v>
          </cell>
          <cell r="D897" t="str">
            <v>Шланг промывочный</v>
          </cell>
          <cell r="G897" t="str">
            <v>01</v>
          </cell>
          <cell r="H897">
            <v>930</v>
          </cell>
          <cell r="I897">
            <v>119.52</v>
          </cell>
          <cell r="J897">
            <v>0</v>
          </cell>
          <cell r="K897">
            <v>1</v>
          </cell>
          <cell r="L897" t="str">
            <v>88/4</v>
          </cell>
          <cell r="M897" t="str">
            <v>45102</v>
          </cell>
          <cell r="N897" t="str">
            <v>142925101</v>
          </cell>
          <cell r="P897">
            <v>15.4</v>
          </cell>
          <cell r="Q897">
            <v>0</v>
          </cell>
          <cell r="R897" t="str">
            <v>1</v>
          </cell>
          <cell r="S897" t="str">
            <v>45</v>
          </cell>
          <cell r="T897">
            <v>94</v>
          </cell>
          <cell r="U897">
            <v>6</v>
          </cell>
          <cell r="V897">
            <v>97</v>
          </cell>
          <cell r="W897">
            <v>6</v>
          </cell>
          <cell r="X897">
            <v>97</v>
          </cell>
          <cell r="Y897">
            <v>0</v>
          </cell>
          <cell r="Z897">
            <v>0</v>
          </cell>
          <cell r="AD897" t="str">
            <v>0</v>
          </cell>
          <cell r="AE897" t="str">
            <v>0</v>
          </cell>
          <cell r="AF897" t="str">
            <v>19</v>
          </cell>
          <cell r="AI897">
            <v>0</v>
          </cell>
          <cell r="AJ897">
            <v>0</v>
          </cell>
        </row>
        <row r="898">
          <cell r="A898" t="str">
            <v>19</v>
          </cell>
          <cell r="B898" t="str">
            <v>19</v>
          </cell>
          <cell r="C898" t="str">
            <v>337</v>
          </cell>
          <cell r="D898" t="str">
            <v>Шланг промывочный</v>
          </cell>
          <cell r="G898" t="str">
            <v>01</v>
          </cell>
          <cell r="H898">
            <v>930</v>
          </cell>
          <cell r="I898">
            <v>119.52</v>
          </cell>
          <cell r="J898">
            <v>0</v>
          </cell>
          <cell r="K898">
            <v>1</v>
          </cell>
          <cell r="L898" t="str">
            <v>88/4</v>
          </cell>
          <cell r="M898" t="str">
            <v>45102</v>
          </cell>
          <cell r="N898" t="str">
            <v>142925101</v>
          </cell>
          <cell r="P898">
            <v>15.4</v>
          </cell>
          <cell r="Q898">
            <v>0</v>
          </cell>
          <cell r="R898" t="str">
            <v>1</v>
          </cell>
          <cell r="S898" t="str">
            <v>45</v>
          </cell>
          <cell r="T898">
            <v>94</v>
          </cell>
          <cell r="U898">
            <v>6</v>
          </cell>
          <cell r="V898">
            <v>97</v>
          </cell>
          <cell r="W898">
            <v>6</v>
          </cell>
          <cell r="X898">
            <v>97</v>
          </cell>
          <cell r="Y898">
            <v>0</v>
          </cell>
          <cell r="Z898">
            <v>0</v>
          </cell>
          <cell r="AD898" t="str">
            <v>0</v>
          </cell>
          <cell r="AE898" t="str">
            <v>0</v>
          </cell>
          <cell r="AF898" t="str">
            <v>19</v>
          </cell>
          <cell r="AI898">
            <v>0</v>
          </cell>
          <cell r="AJ898">
            <v>0</v>
          </cell>
        </row>
        <row r="899">
          <cell r="A899" t="str">
            <v>19</v>
          </cell>
          <cell r="B899" t="str">
            <v>19</v>
          </cell>
          <cell r="C899" t="str">
            <v>338</v>
          </cell>
          <cell r="D899" t="str">
            <v>Шприц вакуумный</v>
          </cell>
          <cell r="G899" t="str">
            <v>01</v>
          </cell>
          <cell r="H899">
            <v>282963</v>
          </cell>
          <cell r="I899">
            <v>36219.25</v>
          </cell>
          <cell r="J899">
            <v>0</v>
          </cell>
          <cell r="K899">
            <v>1</v>
          </cell>
          <cell r="L899" t="str">
            <v>88/4</v>
          </cell>
          <cell r="M899" t="str">
            <v>45102</v>
          </cell>
          <cell r="N899" t="str">
            <v>142925101</v>
          </cell>
          <cell r="P899">
            <v>15.4</v>
          </cell>
          <cell r="Q899">
            <v>0</v>
          </cell>
          <cell r="R899" t="str">
            <v>1</v>
          </cell>
          <cell r="S899" t="str">
            <v>45</v>
          </cell>
          <cell r="T899">
            <v>94</v>
          </cell>
          <cell r="U899">
            <v>6</v>
          </cell>
          <cell r="V899">
            <v>97</v>
          </cell>
          <cell r="W899">
            <v>6</v>
          </cell>
          <cell r="X899">
            <v>97</v>
          </cell>
          <cell r="Y899">
            <v>0</v>
          </cell>
          <cell r="Z899">
            <v>0</v>
          </cell>
          <cell r="AD899" t="str">
            <v>0</v>
          </cell>
          <cell r="AE899" t="str">
            <v>0</v>
          </cell>
          <cell r="AF899" t="str">
            <v>19</v>
          </cell>
          <cell r="AI899">
            <v>0</v>
          </cell>
          <cell r="AJ899">
            <v>0</v>
          </cell>
        </row>
        <row r="900">
          <cell r="A900" t="str">
            <v>19</v>
          </cell>
          <cell r="B900" t="str">
            <v>19</v>
          </cell>
          <cell r="C900" t="str">
            <v>339</v>
          </cell>
          <cell r="D900" t="str">
            <v>Шприц ручной для пос</v>
          </cell>
          <cell r="E900" t="str">
            <v>ола</v>
          </cell>
          <cell r="G900" t="str">
            <v>01</v>
          </cell>
          <cell r="H900">
            <v>5800</v>
          </cell>
          <cell r="I900">
            <v>742.35</v>
          </cell>
          <cell r="J900">
            <v>0</v>
          </cell>
          <cell r="K900">
            <v>1</v>
          </cell>
          <cell r="L900" t="str">
            <v>88/4</v>
          </cell>
          <cell r="M900" t="str">
            <v>45102</v>
          </cell>
          <cell r="N900" t="str">
            <v>142925101</v>
          </cell>
          <cell r="P900">
            <v>15.4</v>
          </cell>
          <cell r="Q900">
            <v>0</v>
          </cell>
          <cell r="R900" t="str">
            <v>1</v>
          </cell>
          <cell r="S900" t="str">
            <v>45</v>
          </cell>
          <cell r="T900">
            <v>94</v>
          </cell>
          <cell r="U900">
            <v>6</v>
          </cell>
          <cell r="V900">
            <v>97</v>
          </cell>
          <cell r="W900">
            <v>6</v>
          </cell>
          <cell r="X900">
            <v>97</v>
          </cell>
          <cell r="Y900">
            <v>0</v>
          </cell>
          <cell r="Z900">
            <v>0</v>
          </cell>
          <cell r="AD900" t="str">
            <v>0</v>
          </cell>
          <cell r="AE900" t="str">
            <v>0</v>
          </cell>
          <cell r="AF900" t="str">
            <v>19</v>
          </cell>
          <cell r="AI900">
            <v>0</v>
          </cell>
          <cell r="AJ900">
            <v>0</v>
          </cell>
        </row>
        <row r="901">
          <cell r="A901" t="str">
            <v>19</v>
          </cell>
          <cell r="B901" t="str">
            <v>19</v>
          </cell>
          <cell r="C901" t="str">
            <v>340</v>
          </cell>
          <cell r="D901" t="str">
            <v>Штык трубчатый</v>
          </cell>
          <cell r="G901" t="str">
            <v>01</v>
          </cell>
          <cell r="H901">
            <v>1500</v>
          </cell>
          <cell r="I901">
            <v>191.55</v>
          </cell>
          <cell r="J901">
            <v>0</v>
          </cell>
          <cell r="K901">
            <v>1</v>
          </cell>
          <cell r="L901" t="str">
            <v>88/4</v>
          </cell>
          <cell r="M901" t="str">
            <v>45102</v>
          </cell>
          <cell r="N901" t="str">
            <v>142925101</v>
          </cell>
          <cell r="P901">
            <v>15.4</v>
          </cell>
          <cell r="Q901">
            <v>0</v>
          </cell>
          <cell r="R901" t="str">
            <v>1</v>
          </cell>
          <cell r="S901" t="str">
            <v>45</v>
          </cell>
          <cell r="T901">
            <v>94</v>
          </cell>
          <cell r="U901">
            <v>6</v>
          </cell>
          <cell r="V901">
            <v>97</v>
          </cell>
          <cell r="W901">
            <v>6</v>
          </cell>
          <cell r="X901">
            <v>97</v>
          </cell>
          <cell r="Y901">
            <v>0</v>
          </cell>
          <cell r="Z901">
            <v>0</v>
          </cell>
          <cell r="AD901" t="str">
            <v>0</v>
          </cell>
          <cell r="AE901" t="str">
            <v>0</v>
          </cell>
          <cell r="AF901" t="str">
            <v>19</v>
          </cell>
          <cell r="AI901">
            <v>0</v>
          </cell>
          <cell r="AJ901">
            <v>0</v>
          </cell>
        </row>
        <row r="902">
          <cell r="A902" t="str">
            <v>19</v>
          </cell>
          <cell r="B902" t="str">
            <v>19</v>
          </cell>
          <cell r="C902" t="str">
            <v>341</v>
          </cell>
          <cell r="D902" t="str">
            <v>Электропоилка лент.</v>
          </cell>
          <cell r="E902" t="str">
            <v>для разделки</v>
          </cell>
          <cell r="G902" t="str">
            <v>01</v>
          </cell>
          <cell r="H902">
            <v>53000</v>
          </cell>
          <cell r="I902">
            <v>675.59</v>
          </cell>
          <cell r="J902">
            <v>0</v>
          </cell>
          <cell r="K902">
            <v>1</v>
          </cell>
          <cell r="L902" t="str">
            <v>88/4</v>
          </cell>
          <cell r="M902" t="str">
            <v>45102</v>
          </cell>
          <cell r="N902" t="str">
            <v>142925101</v>
          </cell>
          <cell r="P902">
            <v>15.4</v>
          </cell>
          <cell r="Q902">
            <v>0</v>
          </cell>
          <cell r="R902" t="str">
            <v>1</v>
          </cell>
          <cell r="S902" t="str">
            <v>45</v>
          </cell>
          <cell r="T902">
            <v>94</v>
          </cell>
          <cell r="U902">
            <v>6</v>
          </cell>
          <cell r="V902">
            <v>97</v>
          </cell>
          <cell r="W902">
            <v>6</v>
          </cell>
          <cell r="X902">
            <v>97</v>
          </cell>
          <cell r="Y902">
            <v>0</v>
          </cell>
          <cell r="Z902">
            <v>0</v>
          </cell>
          <cell r="AD902" t="str">
            <v>0</v>
          </cell>
          <cell r="AE902" t="str">
            <v>0</v>
          </cell>
          <cell r="AF902" t="str">
            <v>19</v>
          </cell>
          <cell r="AI902">
            <v>0</v>
          </cell>
          <cell r="AJ902">
            <v>0</v>
          </cell>
        </row>
        <row r="903">
          <cell r="A903" t="str">
            <v>02</v>
          </cell>
          <cell r="B903" t="str">
            <v>02</v>
          </cell>
          <cell r="C903" t="str">
            <v>342</v>
          </cell>
          <cell r="D903" t="str">
            <v>К-т очист МПП-820М и</v>
          </cell>
          <cell r="E903" t="str">
            <v>изоляц МИ-820М машин</v>
          </cell>
          <cell r="F903" t="str">
            <v>д/труб 720-820 мм</v>
          </cell>
          <cell r="G903" t="str">
            <v>01</v>
          </cell>
          <cell r="H903">
            <v>261720</v>
          </cell>
          <cell r="I903">
            <v>0</v>
          </cell>
          <cell r="J903">
            <v>0</v>
          </cell>
          <cell r="K903">
            <v>1</v>
          </cell>
          <cell r="L903" t="str">
            <v>20</v>
          </cell>
          <cell r="M903" t="str">
            <v>43803</v>
          </cell>
          <cell r="N903" t="str">
            <v>14 2947195</v>
          </cell>
          <cell r="P903">
            <v>33.299999999999997</v>
          </cell>
          <cell r="Q903">
            <v>0</v>
          </cell>
          <cell r="R903" t="str">
            <v>1</v>
          </cell>
          <cell r="S903" t="str">
            <v>43</v>
          </cell>
          <cell r="T903">
            <v>96</v>
          </cell>
          <cell r="U903">
            <v>7</v>
          </cell>
          <cell r="V903">
            <v>97</v>
          </cell>
          <cell r="W903">
            <v>7</v>
          </cell>
          <cell r="X903">
            <v>97</v>
          </cell>
          <cell r="Y903">
            <v>0</v>
          </cell>
          <cell r="Z903">
            <v>0</v>
          </cell>
          <cell r="AD903" t="str">
            <v>0</v>
          </cell>
          <cell r="AE903" t="str">
            <v>0</v>
          </cell>
          <cell r="AF903" t="str">
            <v>00</v>
          </cell>
          <cell r="AI903">
            <v>0</v>
          </cell>
          <cell r="AJ903">
            <v>0</v>
          </cell>
        </row>
        <row r="904">
          <cell r="A904" t="str">
            <v>02</v>
          </cell>
          <cell r="B904" t="str">
            <v>02</v>
          </cell>
          <cell r="C904" t="str">
            <v>343</v>
          </cell>
          <cell r="D904" t="str">
            <v>Подкапывающая машина</v>
          </cell>
          <cell r="G904" t="str">
            <v>01</v>
          </cell>
          <cell r="H904">
            <v>65000</v>
          </cell>
          <cell r="I904">
            <v>0</v>
          </cell>
          <cell r="J904">
            <v>0</v>
          </cell>
          <cell r="K904">
            <v>1</v>
          </cell>
          <cell r="L904" t="str">
            <v>20</v>
          </cell>
          <cell r="M904" t="str">
            <v>43803</v>
          </cell>
          <cell r="N904" t="str">
            <v>14 2947195</v>
          </cell>
          <cell r="P904">
            <v>33.299999999999997</v>
          </cell>
          <cell r="Q904">
            <v>0</v>
          </cell>
          <cell r="R904" t="str">
            <v>1</v>
          </cell>
          <cell r="S904" t="str">
            <v>43</v>
          </cell>
          <cell r="T904">
            <v>96</v>
          </cell>
          <cell r="U904">
            <v>7</v>
          </cell>
          <cell r="V904">
            <v>97</v>
          </cell>
          <cell r="W904">
            <v>7</v>
          </cell>
          <cell r="X904">
            <v>97</v>
          </cell>
          <cell r="Y904">
            <v>0</v>
          </cell>
          <cell r="Z904">
            <v>0</v>
          </cell>
          <cell r="AD904" t="str">
            <v>0</v>
          </cell>
          <cell r="AE904" t="str">
            <v>0</v>
          </cell>
          <cell r="AF904" t="str">
            <v>00</v>
          </cell>
          <cell r="AI904">
            <v>0</v>
          </cell>
          <cell r="AJ904">
            <v>0</v>
          </cell>
        </row>
        <row r="905">
          <cell r="A905" t="str">
            <v>02</v>
          </cell>
          <cell r="B905" t="str">
            <v>80</v>
          </cell>
          <cell r="C905" t="str">
            <v>344</v>
          </cell>
          <cell r="D905" t="str">
            <v>Кондиционер напольны</v>
          </cell>
          <cell r="E905" t="str">
            <v>й  АС-909 2.6 квт</v>
          </cell>
          <cell r="G905" t="str">
            <v>01</v>
          </cell>
          <cell r="H905">
            <v>10400</v>
          </cell>
          <cell r="I905">
            <v>0</v>
          </cell>
          <cell r="J905">
            <v>0</v>
          </cell>
          <cell r="K905">
            <v>1</v>
          </cell>
          <cell r="L905" t="str">
            <v>26</v>
          </cell>
          <cell r="M905" t="str">
            <v>41606</v>
          </cell>
          <cell r="N905" t="str">
            <v>16 3697000</v>
          </cell>
          <cell r="P905">
            <v>11.1</v>
          </cell>
          <cell r="Q905">
            <v>0</v>
          </cell>
          <cell r="R905" t="str">
            <v>1</v>
          </cell>
          <cell r="S905" t="str">
            <v>41</v>
          </cell>
          <cell r="T905">
            <v>96</v>
          </cell>
          <cell r="U905">
            <v>7</v>
          </cell>
          <cell r="V905">
            <v>97</v>
          </cell>
          <cell r="W905">
            <v>7</v>
          </cell>
          <cell r="X905">
            <v>97</v>
          </cell>
          <cell r="Y905">
            <v>0</v>
          </cell>
          <cell r="Z905">
            <v>0</v>
          </cell>
          <cell r="AD905" t="str">
            <v>0</v>
          </cell>
          <cell r="AE905" t="str">
            <v>0</v>
          </cell>
          <cell r="AF905" t="str">
            <v>00</v>
          </cell>
          <cell r="AI905">
            <v>0</v>
          </cell>
          <cell r="AJ905">
            <v>0</v>
          </cell>
        </row>
        <row r="906">
          <cell r="A906" t="str">
            <v>02</v>
          </cell>
          <cell r="B906" t="str">
            <v>90</v>
          </cell>
          <cell r="C906" t="str">
            <v>345</v>
          </cell>
          <cell r="D906" t="str">
            <v>Бетономешалка СБУ100</v>
          </cell>
          <cell r="E906" t="str">
            <v>А зав N б/н гСызрань</v>
          </cell>
          <cell r="F906" t="str">
            <v>136 МЗО</v>
          </cell>
          <cell r="G906" t="str">
            <v>01</v>
          </cell>
          <cell r="H906">
            <v>3900</v>
          </cell>
          <cell r="I906">
            <v>0</v>
          </cell>
          <cell r="J906">
            <v>0</v>
          </cell>
          <cell r="K906">
            <v>1</v>
          </cell>
          <cell r="L906" t="str">
            <v>23</v>
          </cell>
          <cell r="M906" t="str">
            <v>42000</v>
          </cell>
          <cell r="N906" t="str">
            <v>14 2947153</v>
          </cell>
          <cell r="P906">
            <v>12.5</v>
          </cell>
          <cell r="Q906">
            <v>0</v>
          </cell>
          <cell r="R906" t="str">
            <v>1</v>
          </cell>
          <cell r="S906" t="str">
            <v>42</v>
          </cell>
          <cell r="T906">
            <v>97</v>
          </cell>
          <cell r="U906">
            <v>8</v>
          </cell>
          <cell r="V906">
            <v>97</v>
          </cell>
          <cell r="W906">
            <v>8</v>
          </cell>
          <cell r="X906">
            <v>97</v>
          </cell>
          <cell r="Y906">
            <v>0</v>
          </cell>
          <cell r="Z906">
            <v>0</v>
          </cell>
          <cell r="AB906" t="str">
            <v>14</v>
          </cell>
          <cell r="AC906">
            <v>9</v>
          </cell>
          <cell r="AD906" t="str">
            <v>0</v>
          </cell>
          <cell r="AE906" t="str">
            <v>0</v>
          </cell>
          <cell r="AF906" t="str">
            <v>00</v>
          </cell>
          <cell r="AI906">
            <v>0</v>
          </cell>
          <cell r="AJ906">
            <v>0</v>
          </cell>
        </row>
        <row r="907">
          <cell r="A907" t="str">
            <v>02</v>
          </cell>
          <cell r="B907" t="str">
            <v>99</v>
          </cell>
          <cell r="C907" t="str">
            <v>346</v>
          </cell>
          <cell r="D907" t="str">
            <v>Прицепной вагон 3х4</v>
          </cell>
          <cell r="E907" t="str">
            <v>дерево-мет.</v>
          </cell>
          <cell r="G907" t="str">
            <v>01</v>
          </cell>
          <cell r="H907">
            <v>15417</v>
          </cell>
          <cell r="I907">
            <v>0</v>
          </cell>
          <cell r="J907">
            <v>0</v>
          </cell>
          <cell r="K907">
            <v>1</v>
          </cell>
          <cell r="L907" t="str">
            <v>20</v>
          </cell>
          <cell r="M907" t="str">
            <v>10010</v>
          </cell>
          <cell r="N907" t="str">
            <v>13 2022261</v>
          </cell>
          <cell r="P907">
            <v>12.5</v>
          </cell>
          <cell r="Q907">
            <v>0</v>
          </cell>
          <cell r="R907" t="str">
            <v>1</v>
          </cell>
          <cell r="S907" t="str">
            <v>10</v>
          </cell>
          <cell r="T907">
            <v>83</v>
          </cell>
          <cell r="U907">
            <v>8</v>
          </cell>
          <cell r="V907">
            <v>97</v>
          </cell>
          <cell r="W907">
            <v>8</v>
          </cell>
          <cell r="X907">
            <v>97</v>
          </cell>
          <cell r="Y907">
            <v>0</v>
          </cell>
          <cell r="Z907">
            <v>0</v>
          </cell>
          <cell r="AD907" t="str">
            <v>0</v>
          </cell>
          <cell r="AE907" t="str">
            <v>0</v>
          </cell>
          <cell r="AF907" t="str">
            <v>00</v>
          </cell>
          <cell r="AI907">
            <v>0</v>
          </cell>
          <cell r="AJ907">
            <v>0</v>
          </cell>
        </row>
        <row r="908">
          <cell r="A908" t="str">
            <v>02</v>
          </cell>
          <cell r="B908" t="str">
            <v>99</v>
          </cell>
          <cell r="C908" t="str">
            <v>347</v>
          </cell>
          <cell r="D908" t="str">
            <v>Холодильник СТИНОЛ</v>
          </cell>
          <cell r="E908" t="str">
            <v>з-д АОЗТ гЛипецк</v>
          </cell>
          <cell r="F908" t="str">
            <v>зав.N96490789609</v>
          </cell>
          <cell r="G908" t="str">
            <v>01</v>
          </cell>
          <cell r="H908">
            <v>1433.33</v>
          </cell>
          <cell r="I908">
            <v>0</v>
          </cell>
          <cell r="J908">
            <v>0</v>
          </cell>
          <cell r="K908">
            <v>1</v>
          </cell>
          <cell r="L908" t="str">
            <v>20</v>
          </cell>
          <cell r="M908" t="str">
            <v>45800</v>
          </cell>
          <cell r="N908" t="str">
            <v>16 2930100</v>
          </cell>
          <cell r="P908">
            <v>10</v>
          </cell>
          <cell r="Q908">
            <v>0</v>
          </cell>
          <cell r="R908" t="str">
            <v>1</v>
          </cell>
          <cell r="S908" t="str">
            <v>45</v>
          </cell>
          <cell r="T908">
            <v>96</v>
          </cell>
          <cell r="U908">
            <v>8</v>
          </cell>
          <cell r="V908">
            <v>97</v>
          </cell>
          <cell r="W908">
            <v>8</v>
          </cell>
          <cell r="X908">
            <v>97</v>
          </cell>
          <cell r="Y908">
            <v>0</v>
          </cell>
          <cell r="Z908">
            <v>0</v>
          </cell>
          <cell r="AD908" t="str">
            <v>0</v>
          </cell>
          <cell r="AE908" t="str">
            <v>0</v>
          </cell>
          <cell r="AF908" t="str">
            <v>00</v>
          </cell>
          <cell r="AI908">
            <v>0</v>
          </cell>
          <cell r="AJ908">
            <v>0</v>
          </cell>
        </row>
        <row r="909">
          <cell r="A909" t="str">
            <v>02</v>
          </cell>
          <cell r="B909" t="str">
            <v>99</v>
          </cell>
          <cell r="C909" t="str">
            <v>348</v>
          </cell>
          <cell r="D909" t="str">
            <v>Газовая плита БРЕСТ</v>
          </cell>
          <cell r="E909" t="str">
            <v>з-д АО Брестгазоаппа</v>
          </cell>
          <cell r="F909" t="str">
            <v>рат зав.N48993</v>
          </cell>
          <cell r="G909" t="str">
            <v>01</v>
          </cell>
          <cell r="H909">
            <v>775</v>
          </cell>
          <cell r="I909">
            <v>0</v>
          </cell>
          <cell r="J909">
            <v>0</v>
          </cell>
          <cell r="K909">
            <v>1</v>
          </cell>
          <cell r="L909" t="str">
            <v>20</v>
          </cell>
          <cell r="M909" t="str">
            <v>49023</v>
          </cell>
          <cell r="N909" t="str">
            <v>14 2914250</v>
          </cell>
          <cell r="P909">
            <v>9.8000000000000007</v>
          </cell>
          <cell r="Q909">
            <v>0</v>
          </cell>
          <cell r="R909" t="str">
            <v>1</v>
          </cell>
          <cell r="S909" t="str">
            <v>49</v>
          </cell>
          <cell r="T909">
            <v>97</v>
          </cell>
          <cell r="U909">
            <v>8</v>
          </cell>
          <cell r="V909">
            <v>97</v>
          </cell>
          <cell r="W909">
            <v>8</v>
          </cell>
          <cell r="X909">
            <v>97</v>
          </cell>
          <cell r="Y909">
            <v>0</v>
          </cell>
          <cell r="Z909">
            <v>0</v>
          </cell>
          <cell r="AD909" t="str">
            <v>0</v>
          </cell>
          <cell r="AE909" t="str">
            <v>0</v>
          </cell>
          <cell r="AF909" t="str">
            <v>00</v>
          </cell>
          <cell r="AI909">
            <v>0</v>
          </cell>
          <cell r="AJ909">
            <v>0</v>
          </cell>
        </row>
        <row r="910">
          <cell r="A910" t="str">
            <v>19</v>
          </cell>
          <cell r="B910" t="str">
            <v>19</v>
          </cell>
          <cell r="C910" t="str">
            <v>349</v>
          </cell>
          <cell r="D910" t="str">
            <v>Здание проходной мяс</v>
          </cell>
          <cell r="E910" t="str">
            <v>окомбината</v>
          </cell>
          <cell r="G910" t="str">
            <v>01</v>
          </cell>
          <cell r="H910">
            <v>48794.26</v>
          </cell>
          <cell r="I910">
            <v>3049.64</v>
          </cell>
          <cell r="J910">
            <v>0</v>
          </cell>
          <cell r="K910">
            <v>1</v>
          </cell>
          <cell r="L910" t="str">
            <v>88/4</v>
          </cell>
          <cell r="M910" t="str">
            <v>10004</v>
          </cell>
          <cell r="N910" t="str">
            <v>11 4529020</v>
          </cell>
          <cell r="P910">
            <v>2.5</v>
          </cell>
          <cell r="Q910">
            <v>0</v>
          </cell>
          <cell r="R910" t="str">
            <v>1</v>
          </cell>
          <cell r="S910" t="str">
            <v>10</v>
          </cell>
          <cell r="T910">
            <v>94</v>
          </cell>
          <cell r="U910">
            <v>6</v>
          </cell>
          <cell r="V910">
            <v>97</v>
          </cell>
          <cell r="W910">
            <v>6</v>
          </cell>
          <cell r="X910">
            <v>97</v>
          </cell>
          <cell r="Y910">
            <v>0</v>
          </cell>
          <cell r="Z910">
            <v>0</v>
          </cell>
          <cell r="AD910" t="str">
            <v>0</v>
          </cell>
          <cell r="AE910" t="str">
            <v>0</v>
          </cell>
          <cell r="AF910" t="str">
            <v>19</v>
          </cell>
          <cell r="AI910">
            <v>0</v>
          </cell>
          <cell r="AJ910">
            <v>0</v>
          </cell>
        </row>
        <row r="911">
          <cell r="A911" t="str">
            <v>19</v>
          </cell>
          <cell r="B911" t="str">
            <v>19</v>
          </cell>
          <cell r="C911" t="str">
            <v>350</v>
          </cell>
          <cell r="D911" t="str">
            <v>Здание дизельной эл.</v>
          </cell>
          <cell r="E911" t="str">
            <v>станции мясокомбинат</v>
          </cell>
          <cell r="F911" t="str">
            <v>а</v>
          </cell>
          <cell r="G911" t="str">
            <v>01</v>
          </cell>
          <cell r="H911">
            <v>40037.67</v>
          </cell>
          <cell r="I911">
            <v>2502.36</v>
          </cell>
          <cell r="J911">
            <v>0</v>
          </cell>
          <cell r="K911">
            <v>1</v>
          </cell>
          <cell r="L911" t="str">
            <v>88/4</v>
          </cell>
          <cell r="M911" t="str">
            <v>10004</v>
          </cell>
          <cell r="N911" t="str">
            <v>11 4529020</v>
          </cell>
          <cell r="P911">
            <v>2.5</v>
          </cell>
          <cell r="Q911">
            <v>0</v>
          </cell>
          <cell r="R911" t="str">
            <v>1</v>
          </cell>
          <cell r="S911" t="str">
            <v>10</v>
          </cell>
          <cell r="T911">
            <v>94</v>
          </cell>
          <cell r="U911">
            <v>6</v>
          </cell>
          <cell r="V911">
            <v>97</v>
          </cell>
          <cell r="W911">
            <v>6</v>
          </cell>
          <cell r="X911">
            <v>97</v>
          </cell>
          <cell r="Y911">
            <v>0</v>
          </cell>
          <cell r="Z911">
            <v>0</v>
          </cell>
          <cell r="AD911" t="str">
            <v>0</v>
          </cell>
          <cell r="AE911" t="str">
            <v>0</v>
          </cell>
          <cell r="AF911" t="str">
            <v>19</v>
          </cell>
          <cell r="AI911">
            <v>0</v>
          </cell>
          <cell r="AJ911">
            <v>0</v>
          </cell>
        </row>
        <row r="912">
          <cell r="A912" t="str">
            <v>19</v>
          </cell>
          <cell r="B912" t="str">
            <v>19</v>
          </cell>
          <cell r="C912" t="str">
            <v>351</v>
          </cell>
          <cell r="D912" t="str">
            <v>Здание химводоочистк</v>
          </cell>
          <cell r="E912" t="str">
            <v>и мясокомбината</v>
          </cell>
          <cell r="G912" t="str">
            <v>01</v>
          </cell>
          <cell r="H912">
            <v>44384.37</v>
          </cell>
          <cell r="I912">
            <v>7713.17</v>
          </cell>
          <cell r="J912">
            <v>0</v>
          </cell>
          <cell r="K912">
            <v>1</v>
          </cell>
          <cell r="L912" t="str">
            <v>88/4</v>
          </cell>
          <cell r="M912" t="str">
            <v>10004</v>
          </cell>
          <cell r="N912" t="str">
            <v>11 4529020</v>
          </cell>
          <cell r="P912">
            <v>2.5</v>
          </cell>
          <cell r="Q912">
            <v>0</v>
          </cell>
          <cell r="R912" t="str">
            <v>1</v>
          </cell>
          <cell r="S912" t="str">
            <v>10</v>
          </cell>
          <cell r="T912">
            <v>94</v>
          </cell>
          <cell r="U912">
            <v>6</v>
          </cell>
          <cell r="V912">
            <v>97</v>
          </cell>
          <cell r="W912">
            <v>6</v>
          </cell>
          <cell r="X912">
            <v>97</v>
          </cell>
          <cell r="Y912">
            <v>0</v>
          </cell>
          <cell r="Z912">
            <v>0</v>
          </cell>
          <cell r="AD912" t="str">
            <v>0</v>
          </cell>
          <cell r="AE912" t="str">
            <v>0</v>
          </cell>
          <cell r="AF912" t="str">
            <v>19</v>
          </cell>
          <cell r="AI912">
            <v>0</v>
          </cell>
          <cell r="AJ912">
            <v>0</v>
          </cell>
        </row>
        <row r="913">
          <cell r="A913" t="str">
            <v>19</v>
          </cell>
          <cell r="B913" t="str">
            <v>19</v>
          </cell>
          <cell r="C913" t="str">
            <v>352</v>
          </cell>
          <cell r="D913" t="str">
            <v>Здание очистных соор</v>
          </cell>
          <cell r="E913" t="str">
            <v>ужений</v>
          </cell>
          <cell r="G913" t="str">
            <v>01</v>
          </cell>
          <cell r="H913">
            <v>36314.71</v>
          </cell>
          <cell r="I913">
            <v>4539.34</v>
          </cell>
          <cell r="J913">
            <v>0</v>
          </cell>
          <cell r="K913">
            <v>1</v>
          </cell>
          <cell r="L913" t="str">
            <v>88/4</v>
          </cell>
          <cell r="M913" t="str">
            <v>10008</v>
          </cell>
          <cell r="N913" t="str">
            <v>11 4524351</v>
          </cell>
          <cell r="P913">
            <v>5</v>
          </cell>
          <cell r="Q913">
            <v>0</v>
          </cell>
          <cell r="R913" t="str">
            <v>1</v>
          </cell>
          <cell r="S913" t="str">
            <v>10</v>
          </cell>
          <cell r="T913">
            <v>94</v>
          </cell>
          <cell r="U913">
            <v>6</v>
          </cell>
          <cell r="V913">
            <v>97</v>
          </cell>
          <cell r="W913">
            <v>6</v>
          </cell>
          <cell r="X913">
            <v>97</v>
          </cell>
          <cell r="Y913">
            <v>0</v>
          </cell>
          <cell r="Z913">
            <v>0</v>
          </cell>
          <cell r="AD913" t="str">
            <v>0</v>
          </cell>
          <cell r="AE913" t="str">
            <v>0</v>
          </cell>
          <cell r="AF913" t="str">
            <v>19</v>
          </cell>
          <cell r="AI913">
            <v>0</v>
          </cell>
          <cell r="AJ913">
            <v>0</v>
          </cell>
        </row>
        <row r="914">
          <cell r="A914" t="str">
            <v>19</v>
          </cell>
          <cell r="B914" t="str">
            <v>19</v>
          </cell>
          <cell r="C914" t="str">
            <v>353</v>
          </cell>
          <cell r="D914" t="str">
            <v>Дымовая труба здания</v>
          </cell>
          <cell r="E914" t="str">
            <v xml:space="preserve"> теплоцентрали</v>
          </cell>
          <cell r="G914" t="str">
            <v>01</v>
          </cell>
          <cell r="H914">
            <v>14610.64</v>
          </cell>
          <cell r="I914">
            <v>1655.87</v>
          </cell>
          <cell r="J914">
            <v>0</v>
          </cell>
          <cell r="K914">
            <v>1</v>
          </cell>
          <cell r="L914" t="str">
            <v>88/4</v>
          </cell>
          <cell r="M914" t="str">
            <v>20326</v>
          </cell>
          <cell r="N914" t="str">
            <v>12 2811284</v>
          </cell>
          <cell r="P914">
            <v>4</v>
          </cell>
          <cell r="Q914">
            <v>0</v>
          </cell>
          <cell r="R914" t="str">
            <v>1</v>
          </cell>
          <cell r="S914" t="str">
            <v>20</v>
          </cell>
          <cell r="T914">
            <v>94</v>
          </cell>
          <cell r="U914">
            <v>6</v>
          </cell>
          <cell r="V914">
            <v>97</v>
          </cell>
          <cell r="W914">
            <v>6</v>
          </cell>
          <cell r="X914">
            <v>97</v>
          </cell>
          <cell r="Y914">
            <v>0</v>
          </cell>
          <cell r="Z914">
            <v>0</v>
          </cell>
          <cell r="AD914" t="str">
            <v>0</v>
          </cell>
          <cell r="AE914" t="str">
            <v>0</v>
          </cell>
          <cell r="AF914" t="str">
            <v>19</v>
          </cell>
          <cell r="AI914">
            <v>0</v>
          </cell>
          <cell r="AJ914">
            <v>0</v>
          </cell>
        </row>
        <row r="915">
          <cell r="A915" t="str">
            <v>19</v>
          </cell>
          <cell r="B915" t="str">
            <v>19</v>
          </cell>
          <cell r="C915" t="str">
            <v>354</v>
          </cell>
          <cell r="D915" t="str">
            <v>Топливный бак теплоц</v>
          </cell>
          <cell r="E915" t="str">
            <v>ентрали</v>
          </cell>
          <cell r="G915" t="str">
            <v>01</v>
          </cell>
          <cell r="H915">
            <v>22514.21</v>
          </cell>
          <cell r="I915">
            <v>2881.78</v>
          </cell>
          <cell r="J915">
            <v>0</v>
          </cell>
          <cell r="K915">
            <v>1</v>
          </cell>
          <cell r="L915" t="str">
            <v>88/4</v>
          </cell>
          <cell r="M915" t="str">
            <v>20238</v>
          </cell>
          <cell r="N915" t="str">
            <v>12 2811000</v>
          </cell>
          <cell r="P915">
            <v>5</v>
          </cell>
          <cell r="Q915">
            <v>0</v>
          </cell>
          <cell r="R915" t="str">
            <v>1</v>
          </cell>
          <cell r="S915" t="str">
            <v>20</v>
          </cell>
          <cell r="T915">
            <v>94</v>
          </cell>
          <cell r="U915">
            <v>6</v>
          </cell>
          <cell r="V915">
            <v>97</v>
          </cell>
          <cell r="W915">
            <v>6</v>
          </cell>
          <cell r="X915">
            <v>97</v>
          </cell>
          <cell r="Y915">
            <v>0</v>
          </cell>
          <cell r="Z915">
            <v>0</v>
          </cell>
          <cell r="AD915" t="str">
            <v>0</v>
          </cell>
          <cell r="AE915" t="str">
            <v>0</v>
          </cell>
          <cell r="AF915" t="str">
            <v>19</v>
          </cell>
          <cell r="AI915">
            <v>0</v>
          </cell>
          <cell r="AJ915">
            <v>0</v>
          </cell>
        </row>
        <row r="916">
          <cell r="A916" t="str">
            <v>19</v>
          </cell>
          <cell r="B916" t="str">
            <v>19</v>
          </cell>
          <cell r="C916" t="str">
            <v>355</v>
          </cell>
          <cell r="D916" t="str">
            <v>Котел с принадлежнос</v>
          </cell>
          <cell r="E916" t="str">
            <v>тями /теплоцентраль/</v>
          </cell>
          <cell r="G916" t="str">
            <v>01</v>
          </cell>
          <cell r="H916">
            <v>379198.7</v>
          </cell>
          <cell r="I916">
            <v>48536.68</v>
          </cell>
          <cell r="J916">
            <v>0</v>
          </cell>
          <cell r="K916">
            <v>1</v>
          </cell>
          <cell r="L916" t="str">
            <v>88/4</v>
          </cell>
          <cell r="M916" t="str">
            <v>40002</v>
          </cell>
          <cell r="N916" t="str">
            <v>14 2813101</v>
          </cell>
          <cell r="P916">
            <v>5</v>
          </cell>
          <cell r="Q916">
            <v>0</v>
          </cell>
          <cell r="R916" t="str">
            <v>1</v>
          </cell>
          <cell r="S916" t="str">
            <v>40</v>
          </cell>
          <cell r="T916">
            <v>94</v>
          </cell>
          <cell r="U916">
            <v>6</v>
          </cell>
          <cell r="V916">
            <v>97</v>
          </cell>
          <cell r="W916">
            <v>6</v>
          </cell>
          <cell r="X916">
            <v>97</v>
          </cell>
          <cell r="Y916">
            <v>0</v>
          </cell>
          <cell r="Z916">
            <v>0</v>
          </cell>
          <cell r="AD916" t="str">
            <v>0</v>
          </cell>
          <cell r="AE916" t="str">
            <v>0</v>
          </cell>
          <cell r="AF916" t="str">
            <v>19</v>
          </cell>
          <cell r="AI916">
            <v>0</v>
          </cell>
          <cell r="AJ916">
            <v>0</v>
          </cell>
        </row>
        <row r="917">
          <cell r="A917" t="str">
            <v>02</v>
          </cell>
          <cell r="B917" t="str">
            <v>04</v>
          </cell>
          <cell r="C917" t="str">
            <v>356</v>
          </cell>
          <cell r="D917" t="str">
            <v>Трансформаторная под</v>
          </cell>
          <cell r="E917" t="str">
            <v>станция КТП-160-10</v>
          </cell>
          <cell r="G917" t="str">
            <v>01</v>
          </cell>
          <cell r="H917">
            <v>14261.05</v>
          </cell>
          <cell r="I917">
            <v>0</v>
          </cell>
          <cell r="J917">
            <v>0</v>
          </cell>
          <cell r="K917">
            <v>1</v>
          </cell>
          <cell r="L917" t="str">
            <v>23</v>
          </cell>
          <cell r="M917" t="str">
            <v>40702</v>
          </cell>
          <cell r="N917" t="str">
            <v>14 3115202</v>
          </cell>
          <cell r="P917">
            <v>9.1</v>
          </cell>
          <cell r="Q917">
            <v>0</v>
          </cell>
          <cell r="R917" t="str">
            <v>1</v>
          </cell>
          <cell r="S917" t="str">
            <v>40</v>
          </cell>
          <cell r="T917">
            <v>0</v>
          </cell>
          <cell r="U917">
            <v>8</v>
          </cell>
          <cell r="V917">
            <v>97</v>
          </cell>
          <cell r="W917">
            <v>8</v>
          </cell>
          <cell r="X917">
            <v>97</v>
          </cell>
          <cell r="Y917">
            <v>0</v>
          </cell>
          <cell r="Z917">
            <v>0</v>
          </cell>
          <cell r="AD917" t="str">
            <v>0</v>
          </cell>
          <cell r="AE917" t="str">
            <v>0</v>
          </cell>
          <cell r="AF917" t="str">
            <v>00</v>
          </cell>
          <cell r="AI917">
            <v>0</v>
          </cell>
          <cell r="AJ917">
            <v>0</v>
          </cell>
        </row>
        <row r="918">
          <cell r="A918" t="str">
            <v>02</v>
          </cell>
          <cell r="B918" t="str">
            <v>71</v>
          </cell>
          <cell r="C918" t="str">
            <v>357</v>
          </cell>
          <cell r="D918" t="str">
            <v>Станок токарно-шлифо</v>
          </cell>
          <cell r="E918" t="str">
            <v>вальный ЗС-2</v>
          </cell>
          <cell r="G918" t="str">
            <v>01</v>
          </cell>
          <cell r="H918">
            <v>2239</v>
          </cell>
          <cell r="I918">
            <v>0</v>
          </cell>
          <cell r="J918">
            <v>0</v>
          </cell>
          <cell r="K918">
            <v>1</v>
          </cell>
          <cell r="L918" t="str">
            <v>23</v>
          </cell>
          <cell r="M918" t="str">
            <v>41000</v>
          </cell>
          <cell r="N918" t="str">
            <v>14 2922111</v>
          </cell>
          <cell r="P918">
            <v>3.5</v>
          </cell>
          <cell r="Q918">
            <v>0</v>
          </cell>
          <cell r="R918" t="str">
            <v>1</v>
          </cell>
          <cell r="S918" t="str">
            <v>40</v>
          </cell>
          <cell r="T918">
            <v>0</v>
          </cell>
          <cell r="U918">
            <v>8</v>
          </cell>
          <cell r="V918">
            <v>97</v>
          </cell>
          <cell r="W918">
            <v>8</v>
          </cell>
          <cell r="X918">
            <v>97</v>
          </cell>
          <cell r="Y918">
            <v>0</v>
          </cell>
          <cell r="Z918">
            <v>0</v>
          </cell>
          <cell r="AD918" t="str">
            <v>0</v>
          </cell>
          <cell r="AE918" t="str">
            <v>0</v>
          </cell>
          <cell r="AF918" t="str">
            <v>00</v>
          </cell>
          <cell r="AI918">
            <v>0</v>
          </cell>
          <cell r="AJ918">
            <v>0</v>
          </cell>
        </row>
        <row r="919">
          <cell r="A919" t="str">
            <v>02</v>
          </cell>
          <cell r="B919" t="str">
            <v>05</v>
          </cell>
          <cell r="C919" t="str">
            <v>358</v>
          </cell>
          <cell r="D919" t="str">
            <v>Машина для резки тру</v>
          </cell>
          <cell r="E919" t="str">
            <v>б ФАЙН</v>
          </cell>
          <cell r="G919" t="str">
            <v>01</v>
          </cell>
          <cell r="H919">
            <v>262866.51</v>
          </cell>
          <cell r="I919">
            <v>0</v>
          </cell>
          <cell r="J919">
            <v>0</v>
          </cell>
          <cell r="K919">
            <v>1</v>
          </cell>
          <cell r="L919" t="str">
            <v>20</v>
          </cell>
          <cell r="M919" t="str">
            <v>43802</v>
          </cell>
          <cell r="N919" t="str">
            <v>14 2918423</v>
          </cell>
          <cell r="P919">
            <v>15.4</v>
          </cell>
          <cell r="Q919">
            <v>0</v>
          </cell>
          <cell r="R919" t="str">
            <v>1</v>
          </cell>
          <cell r="S919" t="str">
            <v>43</v>
          </cell>
          <cell r="T919">
            <v>0</v>
          </cell>
          <cell r="U919">
            <v>8</v>
          </cell>
          <cell r="V919">
            <v>97</v>
          </cell>
          <cell r="W919">
            <v>8</v>
          </cell>
          <cell r="X919">
            <v>97</v>
          </cell>
          <cell r="Y919">
            <v>0</v>
          </cell>
          <cell r="Z919">
            <v>0</v>
          </cell>
          <cell r="AD919" t="str">
            <v>0</v>
          </cell>
          <cell r="AE919" t="str">
            <v>0</v>
          </cell>
          <cell r="AF919" t="str">
            <v>00</v>
          </cell>
          <cell r="AI919">
            <v>0</v>
          </cell>
          <cell r="AJ919">
            <v>0</v>
          </cell>
        </row>
        <row r="920">
          <cell r="A920" t="str">
            <v>02</v>
          </cell>
          <cell r="B920" t="str">
            <v>05</v>
          </cell>
          <cell r="C920" t="str">
            <v>359</v>
          </cell>
          <cell r="D920" t="str">
            <v>Машина для резки тру</v>
          </cell>
          <cell r="E920" t="str">
            <v>б ФАЙН</v>
          </cell>
          <cell r="G920" t="str">
            <v>01</v>
          </cell>
          <cell r="H920">
            <v>262866.51</v>
          </cell>
          <cell r="I920">
            <v>0</v>
          </cell>
          <cell r="J920">
            <v>0</v>
          </cell>
          <cell r="K920">
            <v>1</v>
          </cell>
          <cell r="L920" t="str">
            <v>20</v>
          </cell>
          <cell r="M920" t="str">
            <v>43802</v>
          </cell>
          <cell r="N920" t="str">
            <v>14 2918423</v>
          </cell>
          <cell r="P920">
            <v>15.4</v>
          </cell>
          <cell r="Q920">
            <v>0</v>
          </cell>
          <cell r="R920" t="str">
            <v>1</v>
          </cell>
          <cell r="S920" t="str">
            <v>43</v>
          </cell>
          <cell r="T920">
            <v>0</v>
          </cell>
          <cell r="U920">
            <v>8</v>
          </cell>
          <cell r="V920">
            <v>97</v>
          </cell>
          <cell r="W920">
            <v>8</v>
          </cell>
          <cell r="X920">
            <v>97</v>
          </cell>
          <cell r="Y920">
            <v>0</v>
          </cell>
          <cell r="Z920">
            <v>0</v>
          </cell>
          <cell r="AD920" t="str">
            <v>0</v>
          </cell>
          <cell r="AE920" t="str">
            <v>0</v>
          </cell>
          <cell r="AF920" t="str">
            <v>00</v>
          </cell>
          <cell r="AI920">
            <v>0</v>
          </cell>
          <cell r="AJ920">
            <v>0</v>
          </cell>
        </row>
        <row r="921">
          <cell r="A921" t="str">
            <v>02</v>
          </cell>
          <cell r="B921" t="str">
            <v>05</v>
          </cell>
          <cell r="C921" t="str">
            <v>360</v>
          </cell>
          <cell r="D921" t="str">
            <v>Машина для резки тру</v>
          </cell>
          <cell r="E921" t="str">
            <v>б ФАЙН</v>
          </cell>
          <cell r="G921" t="str">
            <v>01</v>
          </cell>
          <cell r="H921">
            <v>262866.51</v>
          </cell>
          <cell r="I921">
            <v>0</v>
          </cell>
          <cell r="J921">
            <v>0</v>
          </cell>
          <cell r="K921">
            <v>1</v>
          </cell>
          <cell r="L921" t="str">
            <v>20</v>
          </cell>
          <cell r="M921" t="str">
            <v>43802</v>
          </cell>
          <cell r="N921" t="str">
            <v>14 2918423</v>
          </cell>
          <cell r="P921">
            <v>15.4</v>
          </cell>
          <cell r="Q921">
            <v>0</v>
          </cell>
          <cell r="R921" t="str">
            <v>1</v>
          </cell>
          <cell r="S921" t="str">
            <v>43</v>
          </cell>
          <cell r="T921">
            <v>0</v>
          </cell>
          <cell r="U921">
            <v>8</v>
          </cell>
          <cell r="V921">
            <v>97</v>
          </cell>
          <cell r="W921">
            <v>8</v>
          </cell>
          <cell r="X921">
            <v>97</v>
          </cell>
          <cell r="Y921">
            <v>0</v>
          </cell>
          <cell r="Z921">
            <v>0</v>
          </cell>
          <cell r="AD921" t="str">
            <v>0</v>
          </cell>
          <cell r="AE921" t="str">
            <v>0</v>
          </cell>
          <cell r="AF921" t="str">
            <v>00</v>
          </cell>
          <cell r="AI921">
            <v>0</v>
          </cell>
          <cell r="AJ921">
            <v>0</v>
          </cell>
        </row>
        <row r="922">
          <cell r="A922" t="str">
            <v>02</v>
          </cell>
          <cell r="B922" t="str">
            <v>71</v>
          </cell>
          <cell r="C922" t="str">
            <v>361</v>
          </cell>
          <cell r="D922" t="str">
            <v>Машина для резки тру</v>
          </cell>
          <cell r="E922" t="str">
            <v>б ФАЙН</v>
          </cell>
          <cell r="G922" t="str">
            <v>01</v>
          </cell>
          <cell r="H922">
            <v>262866.51</v>
          </cell>
          <cell r="I922">
            <v>0</v>
          </cell>
          <cell r="J922">
            <v>0</v>
          </cell>
          <cell r="K922">
            <v>1</v>
          </cell>
          <cell r="L922" t="str">
            <v>23</v>
          </cell>
          <cell r="M922" t="str">
            <v>43802</v>
          </cell>
          <cell r="N922" t="str">
            <v>14 2918423</v>
          </cell>
          <cell r="P922">
            <v>15.4</v>
          </cell>
          <cell r="Q922">
            <v>0</v>
          </cell>
          <cell r="R922" t="str">
            <v>1</v>
          </cell>
          <cell r="S922" t="str">
            <v>43</v>
          </cell>
          <cell r="T922">
            <v>0</v>
          </cell>
          <cell r="U922">
            <v>8</v>
          </cell>
          <cell r="V922">
            <v>97</v>
          </cell>
          <cell r="W922">
            <v>8</v>
          </cell>
          <cell r="X922">
            <v>97</v>
          </cell>
          <cell r="Y922">
            <v>0</v>
          </cell>
          <cell r="Z922">
            <v>0</v>
          </cell>
          <cell r="AB922" t="str">
            <v>14</v>
          </cell>
          <cell r="AC922">
            <v>10</v>
          </cell>
          <cell r="AD922" t="str">
            <v>0</v>
          </cell>
          <cell r="AE922" t="str">
            <v>0</v>
          </cell>
          <cell r="AF922" t="str">
            <v>00</v>
          </cell>
          <cell r="AI922">
            <v>0</v>
          </cell>
          <cell r="AJ922">
            <v>0</v>
          </cell>
        </row>
        <row r="923">
          <cell r="A923" t="str">
            <v>02</v>
          </cell>
          <cell r="B923" t="str">
            <v>71</v>
          </cell>
          <cell r="C923" t="str">
            <v>362</v>
          </cell>
          <cell r="D923" t="str">
            <v>Станок токарно-винто</v>
          </cell>
          <cell r="E923" t="str">
            <v>резный 166.16К</v>
          </cell>
          <cell r="G923" t="str">
            <v>01</v>
          </cell>
          <cell r="H923">
            <v>45700</v>
          </cell>
          <cell r="I923">
            <v>0</v>
          </cell>
          <cell r="J923">
            <v>0</v>
          </cell>
          <cell r="K923">
            <v>1</v>
          </cell>
          <cell r="L923" t="str">
            <v>23</v>
          </cell>
          <cell r="M923" t="str">
            <v>41000</v>
          </cell>
          <cell r="N923" t="str">
            <v>14 2922111</v>
          </cell>
          <cell r="P923">
            <v>3.5</v>
          </cell>
          <cell r="Q923">
            <v>0</v>
          </cell>
          <cell r="R923" t="str">
            <v>1</v>
          </cell>
          <cell r="S923" t="str">
            <v>41</v>
          </cell>
          <cell r="T923">
            <v>0</v>
          </cell>
          <cell r="U923">
            <v>8</v>
          </cell>
          <cell r="V923">
            <v>97</v>
          </cell>
          <cell r="W923">
            <v>8</v>
          </cell>
          <cell r="X923">
            <v>97</v>
          </cell>
          <cell r="Y923">
            <v>0</v>
          </cell>
          <cell r="Z923">
            <v>0</v>
          </cell>
          <cell r="AD923" t="str">
            <v>0</v>
          </cell>
          <cell r="AE923" t="str">
            <v>0</v>
          </cell>
          <cell r="AF923" t="str">
            <v>00</v>
          </cell>
          <cell r="AI923">
            <v>0</v>
          </cell>
          <cell r="AJ923">
            <v>0</v>
          </cell>
        </row>
        <row r="924">
          <cell r="A924" t="str">
            <v>02</v>
          </cell>
          <cell r="B924" t="str">
            <v>02</v>
          </cell>
          <cell r="C924" t="str">
            <v>363</v>
          </cell>
          <cell r="D924" t="str">
            <v>Полотенце ПМ-524</v>
          </cell>
          <cell r="G924" t="str">
            <v>01</v>
          </cell>
          <cell r="H924">
            <v>3456</v>
          </cell>
          <cell r="I924">
            <v>0</v>
          </cell>
          <cell r="J924">
            <v>0</v>
          </cell>
          <cell r="K924">
            <v>1</v>
          </cell>
          <cell r="L924" t="str">
            <v>20</v>
          </cell>
          <cell r="M924" t="str">
            <v>43815</v>
          </cell>
          <cell r="N924" t="str">
            <v>14 2915319</v>
          </cell>
          <cell r="P924">
            <v>50</v>
          </cell>
          <cell r="Q924">
            <v>0</v>
          </cell>
          <cell r="R924" t="str">
            <v>1</v>
          </cell>
          <cell r="S924" t="str">
            <v>43</v>
          </cell>
          <cell r="T924">
            <v>0</v>
          </cell>
          <cell r="U924">
            <v>8</v>
          </cell>
          <cell r="V924">
            <v>97</v>
          </cell>
          <cell r="W924">
            <v>8</v>
          </cell>
          <cell r="X924">
            <v>97</v>
          </cell>
          <cell r="Y924">
            <v>0</v>
          </cell>
          <cell r="Z924">
            <v>0</v>
          </cell>
          <cell r="AD924" t="str">
            <v>0</v>
          </cell>
          <cell r="AE924" t="str">
            <v>0</v>
          </cell>
          <cell r="AF924" t="str">
            <v>00</v>
          </cell>
          <cell r="AI924">
            <v>0</v>
          </cell>
          <cell r="AJ924">
            <v>0</v>
          </cell>
        </row>
        <row r="925">
          <cell r="A925" t="str">
            <v>02</v>
          </cell>
          <cell r="B925" t="str">
            <v>02</v>
          </cell>
          <cell r="C925" t="str">
            <v>364</v>
          </cell>
          <cell r="D925" t="str">
            <v>Полотенце ПМ-524</v>
          </cell>
          <cell r="G925" t="str">
            <v>01</v>
          </cell>
          <cell r="H925">
            <v>3456</v>
          </cell>
          <cell r="I925">
            <v>0</v>
          </cell>
          <cell r="J925">
            <v>0</v>
          </cell>
          <cell r="K925">
            <v>1</v>
          </cell>
          <cell r="L925" t="str">
            <v>20</v>
          </cell>
          <cell r="M925" t="str">
            <v>43815</v>
          </cell>
          <cell r="N925" t="str">
            <v>14 2915319</v>
          </cell>
          <cell r="P925">
            <v>50</v>
          </cell>
          <cell r="Q925">
            <v>0</v>
          </cell>
          <cell r="R925" t="str">
            <v>1</v>
          </cell>
          <cell r="S925" t="str">
            <v>43</v>
          </cell>
          <cell r="T925">
            <v>0</v>
          </cell>
          <cell r="U925">
            <v>8</v>
          </cell>
          <cell r="V925">
            <v>97</v>
          </cell>
          <cell r="W925">
            <v>8</v>
          </cell>
          <cell r="X925">
            <v>97</v>
          </cell>
          <cell r="Y925">
            <v>0</v>
          </cell>
          <cell r="Z925">
            <v>0</v>
          </cell>
          <cell r="AD925" t="str">
            <v>0</v>
          </cell>
          <cell r="AE925" t="str">
            <v>0</v>
          </cell>
          <cell r="AF925" t="str">
            <v>00</v>
          </cell>
          <cell r="AI925">
            <v>0</v>
          </cell>
          <cell r="AJ925">
            <v>0</v>
          </cell>
        </row>
        <row r="926">
          <cell r="A926" t="str">
            <v>02</v>
          </cell>
          <cell r="B926" t="str">
            <v>02</v>
          </cell>
          <cell r="C926" t="str">
            <v>365</v>
          </cell>
          <cell r="D926" t="str">
            <v>Полотенце ПМ-524</v>
          </cell>
          <cell r="G926" t="str">
            <v>01</v>
          </cell>
          <cell r="H926">
            <v>3456</v>
          </cell>
          <cell r="I926">
            <v>0</v>
          </cell>
          <cell r="J926">
            <v>0</v>
          </cell>
          <cell r="K926">
            <v>1</v>
          </cell>
          <cell r="L926" t="str">
            <v>20</v>
          </cell>
          <cell r="M926" t="str">
            <v>43815</v>
          </cell>
          <cell r="N926" t="str">
            <v>14 2915319</v>
          </cell>
          <cell r="P926">
            <v>50</v>
          </cell>
          <cell r="Q926">
            <v>0</v>
          </cell>
          <cell r="R926" t="str">
            <v>1</v>
          </cell>
          <cell r="S926" t="str">
            <v>43</v>
          </cell>
          <cell r="T926">
            <v>0</v>
          </cell>
          <cell r="U926">
            <v>8</v>
          </cell>
          <cell r="V926">
            <v>97</v>
          </cell>
          <cell r="W926">
            <v>8</v>
          </cell>
          <cell r="X926">
            <v>97</v>
          </cell>
          <cell r="Y926">
            <v>0</v>
          </cell>
          <cell r="Z926">
            <v>0</v>
          </cell>
          <cell r="AD926" t="str">
            <v>0</v>
          </cell>
          <cell r="AE926" t="str">
            <v>0</v>
          </cell>
          <cell r="AF926" t="str">
            <v>00</v>
          </cell>
          <cell r="AI926">
            <v>0</v>
          </cell>
          <cell r="AJ926">
            <v>0</v>
          </cell>
        </row>
        <row r="927">
          <cell r="A927" t="str">
            <v>02</v>
          </cell>
          <cell r="B927" t="str">
            <v>02</v>
          </cell>
          <cell r="C927" t="str">
            <v>366</v>
          </cell>
          <cell r="D927" t="str">
            <v>Полотенце ПМ-524</v>
          </cell>
          <cell r="G927" t="str">
            <v>01</v>
          </cell>
          <cell r="H927">
            <v>3456</v>
          </cell>
          <cell r="I927">
            <v>0</v>
          </cell>
          <cell r="J927">
            <v>0</v>
          </cell>
          <cell r="K927">
            <v>1</v>
          </cell>
          <cell r="L927" t="str">
            <v>20</v>
          </cell>
          <cell r="M927" t="str">
            <v>43815</v>
          </cell>
          <cell r="N927" t="str">
            <v>14 2915319</v>
          </cell>
          <cell r="P927">
            <v>50</v>
          </cell>
          <cell r="Q927">
            <v>0</v>
          </cell>
          <cell r="R927" t="str">
            <v>1</v>
          </cell>
          <cell r="S927" t="str">
            <v>43</v>
          </cell>
          <cell r="T927">
            <v>0</v>
          </cell>
          <cell r="U927">
            <v>8</v>
          </cell>
          <cell r="V927">
            <v>97</v>
          </cell>
          <cell r="W927">
            <v>8</v>
          </cell>
          <cell r="X927">
            <v>97</v>
          </cell>
          <cell r="Y927">
            <v>0</v>
          </cell>
          <cell r="Z927">
            <v>0</v>
          </cell>
          <cell r="AD927" t="str">
            <v>0</v>
          </cell>
          <cell r="AE927" t="str">
            <v>0</v>
          </cell>
          <cell r="AF927" t="str">
            <v>00</v>
          </cell>
          <cell r="AI927">
            <v>0</v>
          </cell>
          <cell r="AJ927">
            <v>0</v>
          </cell>
        </row>
        <row r="928">
          <cell r="A928" t="str">
            <v>02</v>
          </cell>
          <cell r="B928" t="str">
            <v>11</v>
          </cell>
          <cell r="C928" t="str">
            <v>367</v>
          </cell>
          <cell r="D928" t="str">
            <v>Вибропресс автомат В</v>
          </cell>
          <cell r="E928" t="str">
            <v>ЦП-6</v>
          </cell>
          <cell r="G928" t="str">
            <v>01</v>
          </cell>
          <cell r="H928">
            <v>6407</v>
          </cell>
          <cell r="I928">
            <v>0</v>
          </cell>
          <cell r="J928">
            <v>0</v>
          </cell>
          <cell r="K928">
            <v>1</v>
          </cell>
          <cell r="L928" t="str">
            <v>20</v>
          </cell>
          <cell r="M928" t="str">
            <v>44107</v>
          </cell>
          <cell r="N928" t="str">
            <v>14 2947131</v>
          </cell>
          <cell r="P928">
            <v>5.5</v>
          </cell>
          <cell r="Q928">
            <v>0</v>
          </cell>
          <cell r="R928" t="str">
            <v>1</v>
          </cell>
          <cell r="S928" t="str">
            <v>44</v>
          </cell>
          <cell r="T928">
            <v>0</v>
          </cell>
          <cell r="U928">
            <v>8</v>
          </cell>
          <cell r="V928">
            <v>97</v>
          </cell>
          <cell r="W928">
            <v>8</v>
          </cell>
          <cell r="X928">
            <v>97</v>
          </cell>
          <cell r="Y928">
            <v>0</v>
          </cell>
          <cell r="Z928">
            <v>0</v>
          </cell>
          <cell r="AD928" t="str">
            <v>2</v>
          </cell>
          <cell r="AE928" t="str">
            <v>0</v>
          </cell>
          <cell r="AF928" t="str">
            <v>00</v>
          </cell>
          <cell r="AI928">
            <v>0</v>
          </cell>
          <cell r="AJ928">
            <v>0</v>
          </cell>
        </row>
        <row r="929">
          <cell r="A929" t="str">
            <v>02</v>
          </cell>
          <cell r="B929" t="str">
            <v>10</v>
          </cell>
          <cell r="C929" t="str">
            <v>369</v>
          </cell>
          <cell r="D929" t="str">
            <v>Емкость 25м3</v>
          </cell>
          <cell r="G929" t="str">
            <v>01</v>
          </cell>
          <cell r="H929">
            <v>16500</v>
          </cell>
          <cell r="I929">
            <v>0</v>
          </cell>
          <cell r="J929">
            <v>0</v>
          </cell>
          <cell r="K929">
            <v>1</v>
          </cell>
          <cell r="L929" t="str">
            <v>20</v>
          </cell>
          <cell r="M929" t="str">
            <v>20236</v>
          </cell>
          <cell r="N929" t="str">
            <v>12 2812152</v>
          </cell>
          <cell r="P929">
            <v>2.8</v>
          </cell>
          <cell r="Q929">
            <v>0</v>
          </cell>
          <cell r="R929" t="str">
            <v>1</v>
          </cell>
          <cell r="S929" t="str">
            <v>20</v>
          </cell>
          <cell r="T929">
            <v>0</v>
          </cell>
          <cell r="U929">
            <v>8</v>
          </cell>
          <cell r="V929">
            <v>97</v>
          </cell>
          <cell r="W929">
            <v>8</v>
          </cell>
          <cell r="X929">
            <v>97</v>
          </cell>
          <cell r="Y929">
            <v>0</v>
          </cell>
          <cell r="Z929">
            <v>0</v>
          </cell>
          <cell r="AB929" t="str">
            <v>14</v>
          </cell>
          <cell r="AC929">
            <v>9</v>
          </cell>
          <cell r="AD929" t="str">
            <v>0</v>
          </cell>
          <cell r="AE929" t="str">
            <v>0</v>
          </cell>
          <cell r="AF929" t="str">
            <v>00</v>
          </cell>
          <cell r="AI929">
            <v>0</v>
          </cell>
          <cell r="AJ929">
            <v>0</v>
          </cell>
        </row>
        <row r="930">
          <cell r="A930" t="str">
            <v>02</v>
          </cell>
          <cell r="B930" t="str">
            <v>10</v>
          </cell>
          <cell r="C930" t="str">
            <v>370</v>
          </cell>
          <cell r="D930" t="str">
            <v>Емкость 25м3</v>
          </cell>
          <cell r="G930" t="str">
            <v>01</v>
          </cell>
          <cell r="H930">
            <v>16500</v>
          </cell>
          <cell r="I930">
            <v>0</v>
          </cell>
          <cell r="J930">
            <v>0</v>
          </cell>
          <cell r="K930">
            <v>1</v>
          </cell>
          <cell r="L930" t="str">
            <v>20</v>
          </cell>
          <cell r="M930" t="str">
            <v>20236</v>
          </cell>
          <cell r="N930" t="str">
            <v>12 2812152</v>
          </cell>
          <cell r="P930">
            <v>2.8</v>
          </cell>
          <cell r="Q930">
            <v>0</v>
          </cell>
          <cell r="R930" t="str">
            <v>1</v>
          </cell>
          <cell r="S930" t="str">
            <v>20</v>
          </cell>
          <cell r="T930">
            <v>0</v>
          </cell>
          <cell r="U930">
            <v>8</v>
          </cell>
          <cell r="V930">
            <v>97</v>
          </cell>
          <cell r="W930">
            <v>8</v>
          </cell>
          <cell r="X930">
            <v>97</v>
          </cell>
          <cell r="Y930">
            <v>0</v>
          </cell>
          <cell r="Z930">
            <v>0</v>
          </cell>
          <cell r="AB930" t="str">
            <v>14</v>
          </cell>
          <cell r="AC930">
            <v>9</v>
          </cell>
          <cell r="AD930" t="str">
            <v>0</v>
          </cell>
          <cell r="AE930" t="str">
            <v>0</v>
          </cell>
          <cell r="AF930" t="str">
            <v>00</v>
          </cell>
          <cell r="AI930">
            <v>0</v>
          </cell>
          <cell r="AJ930">
            <v>0</v>
          </cell>
        </row>
        <row r="931">
          <cell r="A931" t="str">
            <v>02</v>
          </cell>
          <cell r="B931" t="str">
            <v>71</v>
          </cell>
          <cell r="C931" t="str">
            <v>368</v>
          </cell>
          <cell r="D931" t="str">
            <v>Кран мостовой</v>
          </cell>
          <cell r="G931" t="str">
            <v>01</v>
          </cell>
          <cell r="H931">
            <v>53000</v>
          </cell>
          <cell r="I931">
            <v>0</v>
          </cell>
          <cell r="J931">
            <v>0</v>
          </cell>
          <cell r="K931">
            <v>1</v>
          </cell>
          <cell r="L931" t="str">
            <v>23</v>
          </cell>
          <cell r="M931" t="str">
            <v>41704</v>
          </cell>
          <cell r="N931" t="str">
            <v>14 2915180</v>
          </cell>
          <cell r="P931">
            <v>5</v>
          </cell>
          <cell r="Q931">
            <v>0</v>
          </cell>
          <cell r="R931" t="str">
            <v>1</v>
          </cell>
          <cell r="S931" t="str">
            <v>41</v>
          </cell>
          <cell r="T931">
            <v>0</v>
          </cell>
          <cell r="U931">
            <v>8</v>
          </cell>
          <cell r="V931">
            <v>97</v>
          </cell>
          <cell r="W931">
            <v>8</v>
          </cell>
          <cell r="X931">
            <v>97</v>
          </cell>
          <cell r="Y931">
            <v>0</v>
          </cell>
          <cell r="Z931">
            <v>0</v>
          </cell>
          <cell r="AD931" t="str">
            <v>0</v>
          </cell>
          <cell r="AE931" t="str">
            <v>0</v>
          </cell>
          <cell r="AF931" t="str">
            <v>00</v>
          </cell>
          <cell r="AI931">
            <v>0</v>
          </cell>
          <cell r="AJ931">
            <v>0</v>
          </cell>
        </row>
        <row r="932">
          <cell r="A932" t="str">
            <v>02</v>
          </cell>
          <cell r="B932" t="str">
            <v>11</v>
          </cell>
          <cell r="C932" t="str">
            <v>371</v>
          </cell>
          <cell r="D932" t="str">
            <v>Бетоноукладчик</v>
          </cell>
          <cell r="G932" t="str">
            <v>01</v>
          </cell>
          <cell r="H932">
            <v>114687.11</v>
          </cell>
          <cell r="I932">
            <v>0</v>
          </cell>
          <cell r="J932">
            <v>0</v>
          </cell>
          <cell r="K932">
            <v>1</v>
          </cell>
          <cell r="L932" t="str">
            <v>20</v>
          </cell>
          <cell r="M932" t="str">
            <v>42005</v>
          </cell>
          <cell r="N932" t="str">
            <v>14 2924626</v>
          </cell>
          <cell r="P932">
            <v>20</v>
          </cell>
          <cell r="Q932">
            <v>0</v>
          </cell>
          <cell r="R932" t="str">
            <v>1</v>
          </cell>
          <cell r="S932" t="str">
            <v>42</v>
          </cell>
          <cell r="T932">
            <v>0</v>
          </cell>
          <cell r="U932">
            <v>8</v>
          </cell>
          <cell r="V932">
            <v>97</v>
          </cell>
          <cell r="W932">
            <v>8</v>
          </cell>
          <cell r="X932">
            <v>97</v>
          </cell>
          <cell r="Y932">
            <v>0</v>
          </cell>
          <cell r="Z932">
            <v>0</v>
          </cell>
          <cell r="AD932" t="str">
            <v>2</v>
          </cell>
          <cell r="AE932" t="str">
            <v>0</v>
          </cell>
          <cell r="AF932" t="str">
            <v>00</v>
          </cell>
          <cell r="AI932">
            <v>0</v>
          </cell>
          <cell r="AJ932">
            <v>0</v>
          </cell>
        </row>
        <row r="933">
          <cell r="A933" t="str">
            <v>02</v>
          </cell>
          <cell r="B933" t="str">
            <v>15</v>
          </cell>
          <cell r="C933" t="str">
            <v>372</v>
          </cell>
          <cell r="D933" t="str">
            <v>Оборудование очистки</v>
          </cell>
          <cell r="G933" t="str">
            <v>01</v>
          </cell>
          <cell r="H933">
            <v>13602.4</v>
          </cell>
          <cell r="I933">
            <v>0</v>
          </cell>
          <cell r="J933">
            <v>0</v>
          </cell>
          <cell r="K933">
            <v>1</v>
          </cell>
          <cell r="L933" t="str">
            <v>88/2</v>
          </cell>
          <cell r="M933" t="str">
            <v>41600</v>
          </cell>
          <cell r="N933" t="str">
            <v>14 2920000</v>
          </cell>
          <cell r="P933">
            <v>10</v>
          </cell>
          <cell r="Q933">
            <v>0</v>
          </cell>
          <cell r="R933" t="str">
            <v>1</v>
          </cell>
          <cell r="S933" t="str">
            <v>41</v>
          </cell>
          <cell r="T933">
            <v>0</v>
          </cell>
          <cell r="U933">
            <v>8</v>
          </cell>
          <cell r="V933">
            <v>97</v>
          </cell>
          <cell r="W933">
            <v>8</v>
          </cell>
          <cell r="X933">
            <v>97</v>
          </cell>
          <cell r="Y933">
            <v>0</v>
          </cell>
          <cell r="Z933">
            <v>0</v>
          </cell>
          <cell r="AD933" t="str">
            <v>0</v>
          </cell>
          <cell r="AE933" t="str">
            <v>0</v>
          </cell>
          <cell r="AF933" t="str">
            <v>00</v>
          </cell>
          <cell r="AI933">
            <v>0</v>
          </cell>
          <cell r="AJ933">
            <v>0</v>
          </cell>
        </row>
        <row r="934">
          <cell r="A934" t="str">
            <v>02</v>
          </cell>
          <cell r="B934" t="str">
            <v>05</v>
          </cell>
          <cell r="C934" t="str">
            <v>373</v>
          </cell>
          <cell r="D934" t="str">
            <v>Станок заточный</v>
          </cell>
          <cell r="G934" t="str">
            <v>01</v>
          </cell>
          <cell r="H934">
            <v>1153</v>
          </cell>
          <cell r="I934">
            <v>0</v>
          </cell>
          <cell r="J934">
            <v>0</v>
          </cell>
          <cell r="K934">
            <v>1</v>
          </cell>
          <cell r="L934" t="str">
            <v>20</v>
          </cell>
          <cell r="M934" t="str">
            <v>41000</v>
          </cell>
          <cell r="N934" t="str">
            <v>14 2922139</v>
          </cell>
          <cell r="P934">
            <v>3.5</v>
          </cell>
          <cell r="Q934">
            <v>0</v>
          </cell>
          <cell r="R934" t="str">
            <v>1</v>
          </cell>
          <cell r="S934" t="str">
            <v>41</v>
          </cell>
          <cell r="T934">
            <v>0</v>
          </cell>
          <cell r="U934">
            <v>8</v>
          </cell>
          <cell r="V934">
            <v>97</v>
          </cell>
          <cell r="W934">
            <v>8</v>
          </cell>
          <cell r="X934">
            <v>97</v>
          </cell>
          <cell r="Y934">
            <v>0</v>
          </cell>
          <cell r="Z934">
            <v>0</v>
          </cell>
          <cell r="AD934" t="str">
            <v>0</v>
          </cell>
          <cell r="AE934" t="str">
            <v>0</v>
          </cell>
          <cell r="AF934" t="str">
            <v>00</v>
          </cell>
          <cell r="AI934">
            <v>0</v>
          </cell>
          <cell r="AJ934">
            <v>0</v>
          </cell>
        </row>
        <row r="935">
          <cell r="A935" t="str">
            <v>02</v>
          </cell>
          <cell r="B935" t="str">
            <v>04</v>
          </cell>
          <cell r="C935" t="str">
            <v>374</v>
          </cell>
          <cell r="D935" t="str">
            <v>Шкаф КРУН К-112</v>
          </cell>
          <cell r="G935" t="str">
            <v>01</v>
          </cell>
          <cell r="H935">
            <v>27513.93</v>
          </cell>
          <cell r="I935">
            <v>0</v>
          </cell>
          <cell r="J935">
            <v>0</v>
          </cell>
          <cell r="K935">
            <v>1</v>
          </cell>
          <cell r="L935" t="str">
            <v>23</v>
          </cell>
          <cell r="M935" t="str">
            <v>40702</v>
          </cell>
          <cell r="N935" t="str">
            <v>14 3120390</v>
          </cell>
          <cell r="P935">
            <v>9.1</v>
          </cell>
          <cell r="Q935">
            <v>0</v>
          </cell>
          <cell r="R935" t="str">
            <v>1</v>
          </cell>
          <cell r="S935" t="str">
            <v>40</v>
          </cell>
          <cell r="T935">
            <v>0</v>
          </cell>
          <cell r="U935">
            <v>8</v>
          </cell>
          <cell r="V935">
            <v>97</v>
          </cell>
          <cell r="W935">
            <v>8</v>
          </cell>
          <cell r="X935">
            <v>97</v>
          </cell>
          <cell r="Y935">
            <v>0</v>
          </cell>
          <cell r="Z935">
            <v>0</v>
          </cell>
          <cell r="AD935" t="str">
            <v>0</v>
          </cell>
          <cell r="AE935" t="str">
            <v>0</v>
          </cell>
          <cell r="AF935" t="str">
            <v>00</v>
          </cell>
          <cell r="AI935">
            <v>0</v>
          </cell>
          <cell r="AJ935">
            <v>0</v>
          </cell>
        </row>
        <row r="936">
          <cell r="A936" t="str">
            <v>02</v>
          </cell>
          <cell r="B936" t="str">
            <v>02</v>
          </cell>
          <cell r="C936" t="str">
            <v>378</v>
          </cell>
          <cell r="D936" t="str">
            <v>Переносная машина ОР</v>
          </cell>
          <cell r="E936" t="str">
            <v>БИТА-6М д/резки труб</v>
          </cell>
          <cell r="F936" t="str">
            <v>Кироваканский завод</v>
          </cell>
          <cell r="G936" t="str">
            <v>01</v>
          </cell>
          <cell r="H936">
            <v>9200</v>
          </cell>
          <cell r="I936">
            <v>0</v>
          </cell>
          <cell r="J936">
            <v>0</v>
          </cell>
          <cell r="K936">
            <v>1</v>
          </cell>
          <cell r="L936" t="str">
            <v>20</v>
          </cell>
          <cell r="M936" t="str">
            <v>43802</v>
          </cell>
          <cell r="N936" t="str">
            <v>14 2920000</v>
          </cell>
          <cell r="P936">
            <v>15.4</v>
          </cell>
          <cell r="Q936">
            <v>0</v>
          </cell>
          <cell r="R936" t="str">
            <v>1</v>
          </cell>
          <cell r="S936" t="str">
            <v>43</v>
          </cell>
          <cell r="T936">
            <v>96</v>
          </cell>
          <cell r="U936">
            <v>8</v>
          </cell>
          <cell r="V936">
            <v>97</v>
          </cell>
          <cell r="W936">
            <v>8</v>
          </cell>
          <cell r="X936">
            <v>97</v>
          </cell>
          <cell r="Y936">
            <v>0</v>
          </cell>
          <cell r="Z936">
            <v>0</v>
          </cell>
          <cell r="AD936" t="str">
            <v>0</v>
          </cell>
          <cell r="AE936" t="str">
            <v>1</v>
          </cell>
          <cell r="AF936" t="str">
            <v>00</v>
          </cell>
          <cell r="AI936">
            <v>0</v>
          </cell>
          <cell r="AJ936">
            <v>0</v>
          </cell>
        </row>
        <row r="937">
          <cell r="A937" t="str">
            <v>02</v>
          </cell>
          <cell r="B937" t="str">
            <v>41</v>
          </cell>
          <cell r="C937" t="str">
            <v>379</v>
          </cell>
          <cell r="D937" t="str">
            <v>Дефектоскоп КРОНА-1Р</v>
          </cell>
          <cell r="E937" t="str">
            <v>М зав.N530</v>
          </cell>
          <cell r="G937" t="str">
            <v>01</v>
          </cell>
          <cell r="H937">
            <v>12200</v>
          </cell>
          <cell r="I937">
            <v>0</v>
          </cell>
          <cell r="J937">
            <v>0</v>
          </cell>
          <cell r="K937">
            <v>1</v>
          </cell>
          <cell r="L937" t="str">
            <v>20</v>
          </cell>
          <cell r="M937" t="str">
            <v>47015</v>
          </cell>
          <cell r="N937" t="str">
            <v>14 3313322</v>
          </cell>
          <cell r="P937">
            <v>14.3</v>
          </cell>
          <cell r="Q937">
            <v>0</v>
          </cell>
          <cell r="R937" t="str">
            <v>1</v>
          </cell>
          <cell r="S937" t="str">
            <v>47</v>
          </cell>
          <cell r="T937">
            <v>97</v>
          </cell>
          <cell r="U937">
            <v>8</v>
          </cell>
          <cell r="V937">
            <v>97</v>
          </cell>
          <cell r="W937">
            <v>8</v>
          </cell>
          <cell r="X937">
            <v>97</v>
          </cell>
          <cell r="Y937">
            <v>0</v>
          </cell>
          <cell r="Z937">
            <v>0</v>
          </cell>
          <cell r="AD937" t="str">
            <v>0</v>
          </cell>
          <cell r="AE937" t="str">
            <v>1</v>
          </cell>
          <cell r="AF937" t="str">
            <v>00</v>
          </cell>
          <cell r="AI937">
            <v>0</v>
          </cell>
          <cell r="AJ937">
            <v>0</v>
          </cell>
        </row>
        <row r="938">
          <cell r="A938" t="str">
            <v>02</v>
          </cell>
          <cell r="B938" t="str">
            <v>41</v>
          </cell>
          <cell r="C938" t="str">
            <v>380</v>
          </cell>
          <cell r="D938" t="str">
            <v>Дефектоскоп КРОНА -1</v>
          </cell>
          <cell r="E938" t="str">
            <v>РМ зав.N493</v>
          </cell>
          <cell r="G938" t="str">
            <v>01</v>
          </cell>
          <cell r="H938">
            <v>12200</v>
          </cell>
          <cell r="I938">
            <v>0</v>
          </cell>
          <cell r="J938">
            <v>0</v>
          </cell>
          <cell r="K938">
            <v>1</v>
          </cell>
          <cell r="L938" t="str">
            <v>20</v>
          </cell>
          <cell r="M938" t="str">
            <v>47015</v>
          </cell>
          <cell r="N938" t="str">
            <v>14 3313322</v>
          </cell>
          <cell r="P938">
            <v>14.3</v>
          </cell>
          <cell r="Q938">
            <v>0</v>
          </cell>
          <cell r="R938" t="str">
            <v>1</v>
          </cell>
          <cell r="S938" t="str">
            <v>47</v>
          </cell>
          <cell r="T938">
            <v>97</v>
          </cell>
          <cell r="U938">
            <v>8</v>
          </cell>
          <cell r="V938">
            <v>97</v>
          </cell>
          <cell r="W938">
            <v>8</v>
          </cell>
          <cell r="X938">
            <v>97</v>
          </cell>
          <cell r="Y938">
            <v>0</v>
          </cell>
          <cell r="Z938">
            <v>0</v>
          </cell>
          <cell r="AD938" t="str">
            <v>0</v>
          </cell>
          <cell r="AE938" t="str">
            <v>0</v>
          </cell>
          <cell r="AF938" t="str">
            <v>00</v>
          </cell>
          <cell r="AI938">
            <v>0</v>
          </cell>
          <cell r="AJ938">
            <v>0</v>
          </cell>
        </row>
        <row r="939">
          <cell r="A939" t="str">
            <v>02</v>
          </cell>
          <cell r="B939" t="str">
            <v>41</v>
          </cell>
          <cell r="C939" t="str">
            <v>381</v>
          </cell>
          <cell r="D939" t="str">
            <v>прибор контроля каче</v>
          </cell>
          <cell r="E939" t="str">
            <v>ства АНПИ зав N10703</v>
          </cell>
          <cell r="F939" t="str">
            <v>8</v>
          </cell>
          <cell r="G939" t="str">
            <v>01</v>
          </cell>
          <cell r="H939">
            <v>12200</v>
          </cell>
          <cell r="I939">
            <v>0</v>
          </cell>
          <cell r="J939">
            <v>0</v>
          </cell>
          <cell r="K939">
            <v>1</v>
          </cell>
          <cell r="L939" t="str">
            <v>20</v>
          </cell>
          <cell r="M939" t="str">
            <v>47026</v>
          </cell>
          <cell r="N939" t="str">
            <v>14 3322446</v>
          </cell>
          <cell r="P939">
            <v>8.3000000000000007</v>
          </cell>
          <cell r="Q939">
            <v>0</v>
          </cell>
          <cell r="R939" t="str">
            <v>1</v>
          </cell>
          <cell r="S939" t="str">
            <v>47</v>
          </cell>
          <cell r="T939">
            <v>96</v>
          </cell>
          <cell r="U939">
            <v>8</v>
          </cell>
          <cell r="V939">
            <v>97</v>
          </cell>
          <cell r="W939">
            <v>8</v>
          </cell>
          <cell r="X939">
            <v>97</v>
          </cell>
          <cell r="Y939">
            <v>0</v>
          </cell>
          <cell r="Z939">
            <v>0</v>
          </cell>
          <cell r="AD939" t="str">
            <v>0</v>
          </cell>
          <cell r="AE939" t="str">
            <v>0</v>
          </cell>
          <cell r="AF939" t="str">
            <v>00</v>
          </cell>
          <cell r="AI939">
            <v>0</v>
          </cell>
          <cell r="AJ939">
            <v>0</v>
          </cell>
        </row>
        <row r="940">
          <cell r="A940" t="str">
            <v>02</v>
          </cell>
          <cell r="B940" t="str">
            <v>41</v>
          </cell>
          <cell r="C940" t="str">
            <v>382</v>
          </cell>
          <cell r="D940" t="str">
            <v>Рентгеновский аппара</v>
          </cell>
          <cell r="E940" t="str">
            <v>т ШМЕЛЬ зав.N094</v>
          </cell>
          <cell r="G940" t="str">
            <v>01</v>
          </cell>
          <cell r="H940">
            <v>34000</v>
          </cell>
          <cell r="I940">
            <v>0</v>
          </cell>
          <cell r="J940">
            <v>0</v>
          </cell>
          <cell r="K940">
            <v>1</v>
          </cell>
          <cell r="L940" t="str">
            <v>20</v>
          </cell>
          <cell r="M940" t="str">
            <v>47024</v>
          </cell>
          <cell r="N940" t="str">
            <v>14 3313341</v>
          </cell>
          <cell r="P940">
            <v>10.4</v>
          </cell>
          <cell r="Q940">
            <v>0</v>
          </cell>
          <cell r="R940" t="str">
            <v>1</v>
          </cell>
          <cell r="S940" t="str">
            <v>47</v>
          </cell>
          <cell r="T940">
            <v>97</v>
          </cell>
          <cell r="U940">
            <v>8</v>
          </cell>
          <cell r="V940">
            <v>97</v>
          </cell>
          <cell r="W940">
            <v>8</v>
          </cell>
          <cell r="X940">
            <v>97</v>
          </cell>
          <cell r="Y940">
            <v>0</v>
          </cell>
          <cell r="Z940">
            <v>0</v>
          </cell>
          <cell r="AD940" t="str">
            <v>0</v>
          </cell>
          <cell r="AE940" t="str">
            <v>0</v>
          </cell>
          <cell r="AF940" t="str">
            <v>00</v>
          </cell>
          <cell r="AI940">
            <v>0</v>
          </cell>
          <cell r="AJ940">
            <v>0</v>
          </cell>
        </row>
        <row r="941">
          <cell r="A941" t="str">
            <v>02</v>
          </cell>
          <cell r="B941" t="str">
            <v>04</v>
          </cell>
          <cell r="C941" t="str">
            <v>376</v>
          </cell>
          <cell r="D941" t="str">
            <v>Насос НД-2.5-630-10К</v>
          </cell>
          <cell r="E941" t="str">
            <v>-14А</v>
          </cell>
          <cell r="G941" t="str">
            <v>01</v>
          </cell>
          <cell r="H941">
            <v>12107.38</v>
          </cell>
          <cell r="I941">
            <v>0</v>
          </cell>
          <cell r="J941">
            <v>0</v>
          </cell>
          <cell r="K941">
            <v>1</v>
          </cell>
          <cell r="L941" t="str">
            <v>23</v>
          </cell>
          <cell r="M941" t="str">
            <v>41502</v>
          </cell>
          <cell r="N941" t="str">
            <v>14 2912101</v>
          </cell>
          <cell r="P941">
            <v>12.5</v>
          </cell>
          <cell r="Q941">
            <v>0</v>
          </cell>
          <cell r="R941" t="str">
            <v>1</v>
          </cell>
          <cell r="S941" t="str">
            <v>41</v>
          </cell>
          <cell r="T941">
            <v>0</v>
          </cell>
          <cell r="U941">
            <v>8</v>
          </cell>
          <cell r="V941">
            <v>97</v>
          </cell>
          <cell r="W941">
            <v>8</v>
          </cell>
          <cell r="X941">
            <v>97</v>
          </cell>
          <cell r="Y941">
            <v>0</v>
          </cell>
          <cell r="Z941">
            <v>0</v>
          </cell>
          <cell r="AD941" t="str">
            <v>0</v>
          </cell>
          <cell r="AE941" t="str">
            <v>0</v>
          </cell>
          <cell r="AF941" t="str">
            <v>00</v>
          </cell>
          <cell r="AI941">
            <v>0</v>
          </cell>
          <cell r="AJ941">
            <v>0</v>
          </cell>
        </row>
        <row r="942">
          <cell r="A942" t="str">
            <v>02</v>
          </cell>
          <cell r="B942" t="str">
            <v>10</v>
          </cell>
          <cell r="C942" t="str">
            <v>375</v>
          </cell>
          <cell r="D942" t="str">
            <v>Станок СМЖ-153А с но</v>
          </cell>
          <cell r="E942" t="str">
            <v>жами</v>
          </cell>
          <cell r="G942" t="str">
            <v>01</v>
          </cell>
          <cell r="H942">
            <v>9525</v>
          </cell>
          <cell r="I942">
            <v>0</v>
          </cell>
          <cell r="J942">
            <v>0</v>
          </cell>
          <cell r="K942">
            <v>1</v>
          </cell>
          <cell r="L942" t="str">
            <v>20</v>
          </cell>
          <cell r="M942" t="str">
            <v>41000</v>
          </cell>
          <cell r="N942" t="str">
            <v>14 2922103</v>
          </cell>
          <cell r="P942">
            <v>3.5</v>
          </cell>
          <cell r="Q942">
            <v>0</v>
          </cell>
          <cell r="R942" t="str">
            <v>1</v>
          </cell>
          <cell r="S942" t="str">
            <v>41</v>
          </cell>
          <cell r="T942">
            <v>0</v>
          </cell>
          <cell r="U942">
            <v>8</v>
          </cell>
          <cell r="V942">
            <v>97</v>
          </cell>
          <cell r="W942">
            <v>8</v>
          </cell>
          <cell r="X942">
            <v>97</v>
          </cell>
          <cell r="Y942">
            <v>0</v>
          </cell>
          <cell r="Z942">
            <v>0</v>
          </cell>
          <cell r="AD942" t="str">
            <v>0</v>
          </cell>
          <cell r="AE942" t="str">
            <v>0</v>
          </cell>
          <cell r="AF942" t="str">
            <v>00</v>
          </cell>
          <cell r="AI942">
            <v>0</v>
          </cell>
          <cell r="AJ942">
            <v>0</v>
          </cell>
        </row>
        <row r="943">
          <cell r="A943" t="str">
            <v>02</v>
          </cell>
          <cell r="B943" t="str">
            <v>10</v>
          </cell>
          <cell r="C943" t="str">
            <v>377</v>
          </cell>
          <cell r="D943" t="str">
            <v>Цисцерна</v>
          </cell>
          <cell r="G943" t="str">
            <v>01</v>
          </cell>
          <cell r="H943">
            <v>25725</v>
          </cell>
          <cell r="I943">
            <v>0</v>
          </cell>
          <cell r="J943">
            <v>0</v>
          </cell>
          <cell r="K943">
            <v>1</v>
          </cell>
          <cell r="L943" t="str">
            <v>20</v>
          </cell>
          <cell r="M943" t="str">
            <v>20236</v>
          </cell>
          <cell r="N943" t="str">
            <v>12 2812030</v>
          </cell>
          <cell r="P943">
            <v>2.8</v>
          </cell>
          <cell r="Q943">
            <v>0</v>
          </cell>
          <cell r="R943" t="str">
            <v>1</v>
          </cell>
          <cell r="S943" t="str">
            <v>20</v>
          </cell>
          <cell r="T943">
            <v>0</v>
          </cell>
          <cell r="U943">
            <v>8</v>
          </cell>
          <cell r="V943">
            <v>97</v>
          </cell>
          <cell r="W943">
            <v>8</v>
          </cell>
          <cell r="X943">
            <v>97</v>
          </cell>
          <cell r="Y943">
            <v>0</v>
          </cell>
          <cell r="Z943">
            <v>0</v>
          </cell>
          <cell r="AD943" t="str">
            <v>0</v>
          </cell>
          <cell r="AE943" t="str">
            <v>0</v>
          </cell>
          <cell r="AF943" t="str">
            <v>00</v>
          </cell>
          <cell r="AI943">
            <v>0</v>
          </cell>
          <cell r="AJ943">
            <v>0</v>
          </cell>
        </row>
        <row r="944">
          <cell r="A944" t="str">
            <v>02</v>
          </cell>
          <cell r="B944" t="str">
            <v>03</v>
          </cell>
          <cell r="C944" t="str">
            <v>383</v>
          </cell>
          <cell r="D944" t="str">
            <v>Агрегат герметич ВСЭ</v>
          </cell>
          <cell r="E944" t="str">
            <v>1250/холод аг-т/Ярос</v>
          </cell>
          <cell r="F944" t="str">
            <v>лавский АООТзN002692</v>
          </cell>
          <cell r="G944" t="str">
            <v>01</v>
          </cell>
          <cell r="H944">
            <v>3125</v>
          </cell>
          <cell r="I944">
            <v>0</v>
          </cell>
          <cell r="J944">
            <v>3750</v>
          </cell>
          <cell r="K944">
            <v>1</v>
          </cell>
          <cell r="L944" t="str">
            <v>26</v>
          </cell>
          <cell r="M944" t="str">
            <v>45800</v>
          </cell>
          <cell r="N944" t="str">
            <v>16 2930100</v>
          </cell>
          <cell r="P944">
            <v>10</v>
          </cell>
          <cell r="Q944">
            <v>0</v>
          </cell>
          <cell r="R944" t="str">
            <v>1</v>
          </cell>
          <cell r="S944" t="str">
            <v>45</v>
          </cell>
          <cell r="T944">
            <v>97</v>
          </cell>
          <cell r="U944">
            <v>9</v>
          </cell>
          <cell r="V944">
            <v>97</v>
          </cell>
          <cell r="W944">
            <v>9</v>
          </cell>
          <cell r="X944">
            <v>97</v>
          </cell>
          <cell r="Y944">
            <v>10</v>
          </cell>
          <cell r="Z944">
            <v>97</v>
          </cell>
          <cell r="AB944" t="str">
            <v>14</v>
          </cell>
          <cell r="AC944">
            <v>8</v>
          </cell>
          <cell r="AD944" t="str">
            <v>0</v>
          </cell>
          <cell r="AE944" t="str">
            <v>0</v>
          </cell>
          <cell r="AF944" t="str">
            <v>00</v>
          </cell>
          <cell r="AI944">
            <v>0</v>
          </cell>
          <cell r="AJ944">
            <v>0</v>
          </cell>
        </row>
        <row r="945">
          <cell r="A945" t="str">
            <v>02</v>
          </cell>
          <cell r="B945" t="str">
            <v>80</v>
          </cell>
          <cell r="C945" t="str">
            <v>384</v>
          </cell>
          <cell r="D945" t="str">
            <v>Радиотелефон дальнег</v>
          </cell>
          <cell r="E945" t="str">
            <v>о действ.SENAY-868</v>
          </cell>
          <cell r="G945" t="str">
            <v>01</v>
          </cell>
          <cell r="H945">
            <v>9666.67</v>
          </cell>
          <cell r="I945">
            <v>0</v>
          </cell>
          <cell r="J945">
            <v>0</v>
          </cell>
          <cell r="K945">
            <v>1</v>
          </cell>
          <cell r="L945" t="str">
            <v>26</v>
          </cell>
          <cell r="M945" t="str">
            <v>45620</v>
          </cell>
          <cell r="N945" t="str">
            <v>14 3220000</v>
          </cell>
          <cell r="P945">
            <v>12.5</v>
          </cell>
          <cell r="Q945">
            <v>0</v>
          </cell>
          <cell r="R945" t="str">
            <v>1</v>
          </cell>
          <cell r="S945" t="str">
            <v>45</v>
          </cell>
          <cell r="T945">
            <v>97</v>
          </cell>
          <cell r="U945">
            <v>9</v>
          </cell>
          <cell r="V945">
            <v>97</v>
          </cell>
          <cell r="W945">
            <v>9</v>
          </cell>
          <cell r="X945">
            <v>97</v>
          </cell>
          <cell r="Y945">
            <v>0</v>
          </cell>
          <cell r="Z945">
            <v>0</v>
          </cell>
          <cell r="AD945" t="str">
            <v>0</v>
          </cell>
          <cell r="AE945" t="str">
            <v>0</v>
          </cell>
          <cell r="AF945" t="str">
            <v>00</v>
          </cell>
          <cell r="AI945">
            <v>0</v>
          </cell>
          <cell r="AJ945">
            <v>0</v>
          </cell>
        </row>
        <row r="946">
          <cell r="A946" t="str">
            <v>02</v>
          </cell>
          <cell r="B946" t="str">
            <v>03</v>
          </cell>
          <cell r="C946" t="str">
            <v>385</v>
          </cell>
          <cell r="D946" t="str">
            <v>Машина подкапывающая</v>
          </cell>
          <cell r="G946" t="str">
            <v>01</v>
          </cell>
          <cell r="H946">
            <v>160991.85999999999</v>
          </cell>
          <cell r="I946">
            <v>0</v>
          </cell>
          <cell r="J946">
            <v>162894.06</v>
          </cell>
          <cell r="K946">
            <v>1</v>
          </cell>
          <cell r="L946" t="str">
            <v>26</v>
          </cell>
          <cell r="M946" t="str">
            <v>43803</v>
          </cell>
          <cell r="N946" t="str">
            <v>14 2920000</v>
          </cell>
          <cell r="P946">
            <v>33.299999999999997</v>
          </cell>
          <cell r="Q946">
            <v>0</v>
          </cell>
          <cell r="R946" t="str">
            <v>1</v>
          </cell>
          <cell r="S946" t="str">
            <v>43</v>
          </cell>
          <cell r="T946">
            <v>97</v>
          </cell>
          <cell r="U946">
            <v>9</v>
          </cell>
          <cell r="V946">
            <v>97</v>
          </cell>
          <cell r="W946">
            <v>9</v>
          </cell>
          <cell r="X946">
            <v>97</v>
          </cell>
          <cell r="Y946">
            <v>9</v>
          </cell>
          <cell r="Z946">
            <v>97</v>
          </cell>
          <cell r="AA946" t="str">
            <v>1</v>
          </cell>
          <cell r="AB946" t="str">
            <v>13</v>
          </cell>
          <cell r="AC946">
            <v>6</v>
          </cell>
          <cell r="AD946" t="str">
            <v>0</v>
          </cell>
          <cell r="AE946" t="str">
            <v>0</v>
          </cell>
          <cell r="AF946" t="str">
            <v>00</v>
          </cell>
          <cell r="AI946">
            <v>0</v>
          </cell>
          <cell r="AJ946">
            <v>0</v>
          </cell>
        </row>
        <row r="947">
          <cell r="A947" t="str">
            <v>02</v>
          </cell>
          <cell r="B947" t="str">
            <v>03</v>
          </cell>
          <cell r="C947" t="str">
            <v>386</v>
          </cell>
          <cell r="D947" t="str">
            <v>Машина подкапывающая</v>
          </cell>
          <cell r="G947" t="str">
            <v>01</v>
          </cell>
          <cell r="H947">
            <v>160991.85999999999</v>
          </cell>
          <cell r="I947">
            <v>0</v>
          </cell>
          <cell r="J947">
            <v>162894.06</v>
          </cell>
          <cell r="K947">
            <v>1</v>
          </cell>
          <cell r="L947" t="str">
            <v>26</v>
          </cell>
          <cell r="M947" t="str">
            <v>43803</v>
          </cell>
          <cell r="N947" t="str">
            <v>14 2920000</v>
          </cell>
          <cell r="P947">
            <v>33.299999999999997</v>
          </cell>
          <cell r="Q947">
            <v>0</v>
          </cell>
          <cell r="R947" t="str">
            <v>1</v>
          </cell>
          <cell r="S947" t="str">
            <v>43</v>
          </cell>
          <cell r="T947">
            <v>97</v>
          </cell>
          <cell r="U947">
            <v>9</v>
          </cell>
          <cell r="V947">
            <v>97</v>
          </cell>
          <cell r="W947">
            <v>9</v>
          </cell>
          <cell r="X947">
            <v>97</v>
          </cell>
          <cell r="Y947">
            <v>9</v>
          </cell>
          <cell r="Z947">
            <v>97</v>
          </cell>
          <cell r="AD947" t="str">
            <v>0</v>
          </cell>
          <cell r="AE947" t="str">
            <v>0</v>
          </cell>
          <cell r="AF947" t="str">
            <v>00</v>
          </cell>
          <cell r="AI947">
            <v>0</v>
          </cell>
          <cell r="AJ947">
            <v>0</v>
          </cell>
        </row>
        <row r="948">
          <cell r="A948" t="str">
            <v>02</v>
          </cell>
          <cell r="B948" t="str">
            <v>80</v>
          </cell>
          <cell r="C948" t="str">
            <v>403</v>
          </cell>
          <cell r="D948" t="str">
            <v>Компьютер Р-200.16 1</v>
          </cell>
          <cell r="E948" t="str">
            <v>666 SVGA/Корея/с при</v>
          </cell>
          <cell r="F948" t="str">
            <v>нтером EPSON LX-1050</v>
          </cell>
          <cell r="G948" t="str">
            <v>01</v>
          </cell>
          <cell r="H948">
            <v>12650</v>
          </cell>
          <cell r="I948">
            <v>0</v>
          </cell>
          <cell r="J948">
            <v>0</v>
          </cell>
          <cell r="K948">
            <v>1</v>
          </cell>
          <cell r="L948" t="str">
            <v>26</v>
          </cell>
          <cell r="M948" t="str">
            <v>48008</v>
          </cell>
          <cell r="N948" t="str">
            <v>14 3020203</v>
          </cell>
          <cell r="P948">
            <v>10</v>
          </cell>
          <cell r="Q948">
            <v>0</v>
          </cell>
          <cell r="R948" t="str">
            <v>1</v>
          </cell>
          <cell r="S948" t="str">
            <v>48</v>
          </cell>
          <cell r="T948">
            <v>97</v>
          </cell>
          <cell r="U948">
            <v>10</v>
          </cell>
          <cell r="V948">
            <v>97</v>
          </cell>
          <cell r="W948">
            <v>10</v>
          </cell>
          <cell r="X948">
            <v>97</v>
          </cell>
          <cell r="Y948">
            <v>10</v>
          </cell>
          <cell r="Z948">
            <v>98</v>
          </cell>
          <cell r="AD948" t="str">
            <v>0</v>
          </cell>
          <cell r="AE948" t="str">
            <v>0</v>
          </cell>
          <cell r="AF948" t="str">
            <v>00</v>
          </cell>
          <cell r="AI948">
            <v>0</v>
          </cell>
          <cell r="AJ948">
            <v>0</v>
          </cell>
        </row>
        <row r="949">
          <cell r="A949" t="str">
            <v>02</v>
          </cell>
          <cell r="B949" t="str">
            <v>80</v>
          </cell>
          <cell r="C949" t="str">
            <v>404</v>
          </cell>
          <cell r="D949" t="str">
            <v>Компьютер Р-200.16</v>
          </cell>
          <cell r="E949" t="str">
            <v>1.666SVGA</v>
          </cell>
          <cell r="F949" t="str">
            <v>Корея</v>
          </cell>
          <cell r="G949" t="str">
            <v>01</v>
          </cell>
          <cell r="H949">
            <v>7150</v>
          </cell>
          <cell r="I949">
            <v>0</v>
          </cell>
          <cell r="J949">
            <v>36270</v>
          </cell>
          <cell r="K949">
            <v>1</v>
          </cell>
          <cell r="L949" t="str">
            <v>26</v>
          </cell>
          <cell r="M949" t="str">
            <v>48008</v>
          </cell>
          <cell r="N949" t="str">
            <v>14 3020203</v>
          </cell>
          <cell r="P949">
            <v>10</v>
          </cell>
          <cell r="Q949">
            <v>0</v>
          </cell>
          <cell r="R949" t="str">
            <v>1</v>
          </cell>
          <cell r="S949" t="str">
            <v>48</v>
          </cell>
          <cell r="T949">
            <v>97</v>
          </cell>
          <cell r="U949">
            <v>10</v>
          </cell>
          <cell r="V949">
            <v>97</v>
          </cell>
          <cell r="W949">
            <v>10</v>
          </cell>
          <cell r="X949">
            <v>97</v>
          </cell>
          <cell r="Y949">
            <v>6</v>
          </cell>
          <cell r="Z949">
            <v>99</v>
          </cell>
          <cell r="AD949" t="str">
            <v>0</v>
          </cell>
          <cell r="AE949" t="str">
            <v>0</v>
          </cell>
          <cell r="AF949" t="str">
            <v>00</v>
          </cell>
          <cell r="AI949">
            <v>0</v>
          </cell>
          <cell r="AJ949">
            <v>0</v>
          </cell>
        </row>
        <row r="950">
          <cell r="A950" t="str">
            <v>02</v>
          </cell>
          <cell r="B950" t="str">
            <v>51</v>
          </cell>
          <cell r="C950" t="str">
            <v>405</v>
          </cell>
          <cell r="D950" t="str">
            <v>Вышка сторожевая /ме</v>
          </cell>
          <cell r="E950" t="str">
            <v>таллич/ изгот.ЦБПО</v>
          </cell>
          <cell r="F950" t="str">
            <v>высота 1.5м</v>
          </cell>
          <cell r="G950" t="str">
            <v>01</v>
          </cell>
          <cell r="H950">
            <v>22261.23</v>
          </cell>
          <cell r="I950">
            <v>0</v>
          </cell>
          <cell r="J950">
            <v>0</v>
          </cell>
          <cell r="K950">
            <v>1</v>
          </cell>
          <cell r="L950" t="str">
            <v>20</v>
          </cell>
          <cell r="M950" t="str">
            <v>20372</v>
          </cell>
          <cell r="N950" t="str">
            <v>12 2811000</v>
          </cell>
          <cell r="P950">
            <v>5</v>
          </cell>
          <cell r="Q950">
            <v>0</v>
          </cell>
          <cell r="R950" t="str">
            <v>1</v>
          </cell>
          <cell r="S950" t="str">
            <v>20</v>
          </cell>
          <cell r="T950">
            <v>97</v>
          </cell>
          <cell r="U950">
            <v>11</v>
          </cell>
          <cell r="V950">
            <v>97</v>
          </cell>
          <cell r="W950">
            <v>11</v>
          </cell>
          <cell r="X950">
            <v>97</v>
          </cell>
          <cell r="Y950">
            <v>0</v>
          </cell>
          <cell r="Z950">
            <v>0</v>
          </cell>
          <cell r="AD950" t="str">
            <v>0</v>
          </cell>
          <cell r="AE950" t="str">
            <v>0</v>
          </cell>
          <cell r="AF950" t="str">
            <v>00</v>
          </cell>
          <cell r="AI950">
            <v>0</v>
          </cell>
          <cell r="AJ950">
            <v>0</v>
          </cell>
        </row>
        <row r="951">
          <cell r="A951" t="str">
            <v>02</v>
          </cell>
          <cell r="B951" t="str">
            <v>23</v>
          </cell>
          <cell r="C951" t="str">
            <v>406</v>
          </cell>
          <cell r="D951" t="str">
            <v>Эл.станция 30 кв./Мо</v>
          </cell>
          <cell r="E951" t="str">
            <v>сковский моторный з-</v>
          </cell>
          <cell r="F951" t="str">
            <v>д/ зав.N21954</v>
          </cell>
          <cell r="G951" t="str">
            <v>01</v>
          </cell>
          <cell r="H951">
            <v>22500</v>
          </cell>
          <cell r="I951">
            <v>0</v>
          </cell>
          <cell r="J951">
            <v>0</v>
          </cell>
          <cell r="K951">
            <v>1</v>
          </cell>
          <cell r="L951" t="str">
            <v>23</v>
          </cell>
          <cell r="M951" t="str">
            <v>40307</v>
          </cell>
          <cell r="N951" t="str">
            <v>14 2911101</v>
          </cell>
          <cell r="P951">
            <v>14.3</v>
          </cell>
          <cell r="Q951">
            <v>0</v>
          </cell>
          <cell r="R951" t="str">
            <v>1</v>
          </cell>
          <cell r="S951" t="str">
            <v>40</v>
          </cell>
          <cell r="T951">
            <v>89</v>
          </cell>
          <cell r="U951">
            <v>11</v>
          </cell>
          <cell r="V951">
            <v>97</v>
          </cell>
          <cell r="W951">
            <v>11</v>
          </cell>
          <cell r="X951">
            <v>97</v>
          </cell>
          <cell r="Y951">
            <v>0</v>
          </cell>
          <cell r="Z951">
            <v>0</v>
          </cell>
          <cell r="AD951" t="str">
            <v>0</v>
          </cell>
          <cell r="AE951" t="str">
            <v>0</v>
          </cell>
          <cell r="AF951" t="str">
            <v>00</v>
          </cell>
          <cell r="AI951">
            <v>0</v>
          </cell>
          <cell r="AJ951">
            <v>0</v>
          </cell>
        </row>
        <row r="952">
          <cell r="A952" t="str">
            <v>02</v>
          </cell>
          <cell r="B952" t="str">
            <v>70</v>
          </cell>
          <cell r="C952" t="str">
            <v>407</v>
          </cell>
          <cell r="D952" t="str">
            <v>Выпрямитель сварочны</v>
          </cell>
          <cell r="E952" t="str">
            <v>й</v>
          </cell>
          <cell r="G952" t="str">
            <v>01</v>
          </cell>
          <cell r="H952">
            <v>4400</v>
          </cell>
          <cell r="I952">
            <v>0</v>
          </cell>
          <cell r="J952">
            <v>0</v>
          </cell>
          <cell r="K952">
            <v>1</v>
          </cell>
          <cell r="L952" t="str">
            <v>20</v>
          </cell>
          <cell r="M952" t="str">
            <v>42502</v>
          </cell>
          <cell r="N952" t="str">
            <v>14 2922804</v>
          </cell>
          <cell r="P952">
            <v>16.7</v>
          </cell>
          <cell r="Q952">
            <v>0</v>
          </cell>
          <cell r="R952" t="str">
            <v>1</v>
          </cell>
          <cell r="S952" t="str">
            <v>42</v>
          </cell>
          <cell r="T952">
            <v>97</v>
          </cell>
          <cell r="U952">
            <v>12</v>
          </cell>
          <cell r="V952">
            <v>97</v>
          </cell>
          <cell r="W952">
            <v>12</v>
          </cell>
          <cell r="X952">
            <v>97</v>
          </cell>
          <cell r="Y952">
            <v>0</v>
          </cell>
          <cell r="Z952">
            <v>0</v>
          </cell>
          <cell r="AB952" t="str">
            <v>14</v>
          </cell>
          <cell r="AC952">
            <v>2</v>
          </cell>
          <cell r="AD952" t="str">
            <v>0</v>
          </cell>
          <cell r="AE952" t="str">
            <v>0</v>
          </cell>
          <cell r="AF952" t="str">
            <v>00</v>
          </cell>
          <cell r="AI952">
            <v>0</v>
          </cell>
          <cell r="AJ952">
            <v>0</v>
          </cell>
        </row>
        <row r="953">
          <cell r="A953" t="str">
            <v>02</v>
          </cell>
          <cell r="B953" t="str">
            <v>70</v>
          </cell>
          <cell r="C953" t="str">
            <v>408</v>
          </cell>
          <cell r="D953" t="str">
            <v>Выпрямитель сварочны</v>
          </cell>
          <cell r="E953" t="str">
            <v>й</v>
          </cell>
          <cell r="G953" t="str">
            <v>01</v>
          </cell>
          <cell r="H953">
            <v>4400</v>
          </cell>
          <cell r="I953">
            <v>0</v>
          </cell>
          <cell r="J953">
            <v>0</v>
          </cell>
          <cell r="K953">
            <v>1</v>
          </cell>
          <cell r="L953" t="str">
            <v>20</v>
          </cell>
          <cell r="M953" t="str">
            <v>42502</v>
          </cell>
          <cell r="N953" t="str">
            <v>14 2922804</v>
          </cell>
          <cell r="P953">
            <v>16.7</v>
          </cell>
          <cell r="Q953">
            <v>0</v>
          </cell>
          <cell r="R953" t="str">
            <v>1</v>
          </cell>
          <cell r="S953" t="str">
            <v>42</v>
          </cell>
          <cell r="T953">
            <v>97</v>
          </cell>
          <cell r="U953">
            <v>12</v>
          </cell>
          <cell r="V953">
            <v>97</v>
          </cell>
          <cell r="W953">
            <v>12</v>
          </cell>
          <cell r="X953">
            <v>97</v>
          </cell>
          <cell r="Y953">
            <v>0</v>
          </cell>
          <cell r="Z953">
            <v>0</v>
          </cell>
          <cell r="AB953" t="str">
            <v>14</v>
          </cell>
          <cell r="AC953">
            <v>2</v>
          </cell>
          <cell r="AD953" t="str">
            <v>0</v>
          </cell>
          <cell r="AE953" t="str">
            <v>0</v>
          </cell>
          <cell r="AF953" t="str">
            <v>00</v>
          </cell>
          <cell r="AI953">
            <v>0</v>
          </cell>
          <cell r="AJ953">
            <v>0</v>
          </cell>
        </row>
        <row r="954">
          <cell r="A954" t="str">
            <v>16</v>
          </cell>
          <cell r="B954" t="str">
            <v>06</v>
          </cell>
          <cell r="C954" t="str">
            <v>409</v>
          </cell>
          <cell r="D954" t="str">
            <v>Трансфор.подстанция</v>
          </cell>
          <cell r="E954" t="str">
            <v>КТПК/ВВ/250/10/0.4</v>
          </cell>
          <cell r="F954" t="str">
            <v>/з-дЭлектрощит/Самар</v>
          </cell>
          <cell r="G954" t="str">
            <v>01</v>
          </cell>
          <cell r="H954">
            <v>4636.32</v>
          </cell>
          <cell r="I954">
            <v>0</v>
          </cell>
          <cell r="J954">
            <v>0</v>
          </cell>
          <cell r="K954">
            <v>1</v>
          </cell>
          <cell r="L954" t="str">
            <v>88/1</v>
          </cell>
          <cell r="M954" t="str">
            <v>40702</v>
          </cell>
          <cell r="N954" t="str">
            <v>14 3115202</v>
          </cell>
          <cell r="P954">
            <v>9.1</v>
          </cell>
          <cell r="Q954">
            <v>0</v>
          </cell>
          <cell r="R954" t="str">
            <v>1</v>
          </cell>
          <cell r="S954" t="str">
            <v>40</v>
          </cell>
          <cell r="T954">
            <v>95</v>
          </cell>
          <cell r="U954">
            <v>12</v>
          </cell>
          <cell r="V954">
            <v>97</v>
          </cell>
          <cell r="W954">
            <v>12</v>
          </cell>
          <cell r="X954">
            <v>97</v>
          </cell>
          <cell r="Y954">
            <v>0</v>
          </cell>
          <cell r="Z954">
            <v>0</v>
          </cell>
          <cell r="AB954" t="str">
            <v>14</v>
          </cell>
          <cell r="AC954">
            <v>2</v>
          </cell>
          <cell r="AD954" t="str">
            <v>0</v>
          </cell>
          <cell r="AE954" t="str">
            <v>0</v>
          </cell>
          <cell r="AF954" t="str">
            <v>16</v>
          </cell>
          <cell r="AI954">
            <v>0</v>
          </cell>
          <cell r="AJ954">
            <v>0</v>
          </cell>
        </row>
        <row r="955">
          <cell r="A955" t="str">
            <v>02</v>
          </cell>
          <cell r="B955" t="str">
            <v>99</v>
          </cell>
          <cell r="C955" t="str">
            <v>410</v>
          </cell>
          <cell r="D955" t="str">
            <v>Трубоукладчик-572-G</v>
          </cell>
          <cell r="E955" t="str">
            <v>Катерпиллар</v>
          </cell>
          <cell r="G955" t="str">
            <v>01</v>
          </cell>
          <cell r="H955">
            <v>1034043.53</v>
          </cell>
          <cell r="I955">
            <v>0</v>
          </cell>
          <cell r="J955">
            <v>0</v>
          </cell>
          <cell r="K955">
            <v>1</v>
          </cell>
          <cell r="L955" t="str">
            <v>20</v>
          </cell>
          <cell r="M955" t="str">
            <v>41723</v>
          </cell>
          <cell r="N955" t="str">
            <v>14 2915246</v>
          </cell>
          <cell r="P955">
            <v>10</v>
          </cell>
          <cell r="Q955">
            <v>0</v>
          </cell>
          <cell r="R955" t="str">
            <v>1</v>
          </cell>
          <cell r="S955" t="str">
            <v>41</v>
          </cell>
          <cell r="T955">
            <v>93</v>
          </cell>
          <cell r="U955">
            <v>12</v>
          </cell>
          <cell r="V955">
            <v>97</v>
          </cell>
          <cell r="W955">
            <v>12</v>
          </cell>
          <cell r="X955">
            <v>97</v>
          </cell>
          <cell r="Y955">
            <v>0</v>
          </cell>
          <cell r="Z955">
            <v>0</v>
          </cell>
          <cell r="AD955" t="str">
            <v>0</v>
          </cell>
          <cell r="AE955" t="str">
            <v>0</v>
          </cell>
          <cell r="AF955" t="str">
            <v>00</v>
          </cell>
          <cell r="AI955">
            <v>0</v>
          </cell>
          <cell r="AJ955">
            <v>0</v>
          </cell>
        </row>
        <row r="956">
          <cell r="A956" t="str">
            <v>02</v>
          </cell>
          <cell r="B956" t="str">
            <v>99</v>
          </cell>
          <cell r="C956" t="str">
            <v>411</v>
          </cell>
          <cell r="D956" t="str">
            <v>Трубоукладчик-572-G</v>
          </cell>
          <cell r="E956" t="str">
            <v>Катерпиллар</v>
          </cell>
          <cell r="G956" t="str">
            <v>01</v>
          </cell>
          <cell r="H956">
            <v>1034043.53</v>
          </cell>
          <cell r="I956">
            <v>0</v>
          </cell>
          <cell r="J956">
            <v>0</v>
          </cell>
          <cell r="K956">
            <v>1</v>
          </cell>
          <cell r="L956" t="str">
            <v>20</v>
          </cell>
          <cell r="M956" t="str">
            <v>41723</v>
          </cell>
          <cell r="N956" t="str">
            <v>14 2915246</v>
          </cell>
          <cell r="P956">
            <v>10</v>
          </cell>
          <cell r="Q956">
            <v>0</v>
          </cell>
          <cell r="R956" t="str">
            <v>1</v>
          </cell>
          <cell r="S956" t="str">
            <v>41</v>
          </cell>
          <cell r="T956">
            <v>93</v>
          </cell>
          <cell r="U956">
            <v>12</v>
          </cell>
          <cell r="V956">
            <v>97</v>
          </cell>
          <cell r="W956">
            <v>12</v>
          </cell>
          <cell r="X956">
            <v>97</v>
          </cell>
          <cell r="Y956">
            <v>0</v>
          </cell>
          <cell r="Z956">
            <v>0</v>
          </cell>
          <cell r="AD956" t="str">
            <v>0</v>
          </cell>
          <cell r="AE956" t="str">
            <v>0</v>
          </cell>
          <cell r="AF956" t="str">
            <v>00</v>
          </cell>
          <cell r="AI956">
            <v>0</v>
          </cell>
          <cell r="AJ956">
            <v>0</v>
          </cell>
        </row>
        <row r="957">
          <cell r="A957" t="str">
            <v>20</v>
          </cell>
          <cell r="B957" t="str">
            <v>17</v>
          </cell>
          <cell r="C957" t="str">
            <v>412</v>
          </cell>
          <cell r="D957" t="str">
            <v>Шкаф ШР-11-7.3</v>
          </cell>
          <cell r="G957" t="str">
            <v>01</v>
          </cell>
          <cell r="H957">
            <v>1130.44</v>
          </cell>
          <cell r="I957">
            <v>0</v>
          </cell>
          <cell r="J957">
            <v>0</v>
          </cell>
          <cell r="K957">
            <v>1</v>
          </cell>
          <cell r="L957" t="str">
            <v>88/4</v>
          </cell>
          <cell r="M957" t="str">
            <v>40702</v>
          </cell>
          <cell r="N957" t="str">
            <v>14 3120293</v>
          </cell>
          <cell r="P957">
            <v>9.1</v>
          </cell>
          <cell r="Q957">
            <v>0</v>
          </cell>
          <cell r="R957" t="str">
            <v>1</v>
          </cell>
          <cell r="S957" t="str">
            <v>40</v>
          </cell>
          <cell r="T957">
            <v>97</v>
          </cell>
          <cell r="U957">
            <v>12</v>
          </cell>
          <cell r="V957">
            <v>97</v>
          </cell>
          <cell r="W957">
            <v>12</v>
          </cell>
          <cell r="X957">
            <v>97</v>
          </cell>
          <cell r="Y957">
            <v>0</v>
          </cell>
          <cell r="Z957">
            <v>0</v>
          </cell>
          <cell r="AB957" t="str">
            <v>14</v>
          </cell>
          <cell r="AC957">
            <v>2</v>
          </cell>
          <cell r="AD957" t="str">
            <v>0</v>
          </cell>
          <cell r="AE957" t="str">
            <v>0</v>
          </cell>
          <cell r="AF957" t="str">
            <v>20</v>
          </cell>
          <cell r="AI957">
            <v>0</v>
          </cell>
          <cell r="AJ957">
            <v>0</v>
          </cell>
        </row>
        <row r="958">
          <cell r="A958" t="str">
            <v>20</v>
          </cell>
          <cell r="B958" t="str">
            <v>17</v>
          </cell>
          <cell r="C958" t="str">
            <v>413</v>
          </cell>
          <cell r="D958" t="str">
            <v>Шкаф ШР-11-7.3</v>
          </cell>
          <cell r="G958" t="str">
            <v>01</v>
          </cell>
          <cell r="H958">
            <v>1130.44</v>
          </cell>
          <cell r="I958">
            <v>0</v>
          </cell>
          <cell r="J958">
            <v>0</v>
          </cell>
          <cell r="K958">
            <v>1</v>
          </cell>
          <cell r="L958" t="str">
            <v>88/4</v>
          </cell>
          <cell r="M958" t="str">
            <v>40702</v>
          </cell>
          <cell r="N958" t="str">
            <v>14 3120293</v>
          </cell>
          <cell r="P958">
            <v>9.1</v>
          </cell>
          <cell r="Q958">
            <v>0</v>
          </cell>
          <cell r="R958" t="str">
            <v>1</v>
          </cell>
          <cell r="S958" t="str">
            <v>40</v>
          </cell>
          <cell r="T958">
            <v>97</v>
          </cell>
          <cell r="U958">
            <v>12</v>
          </cell>
          <cell r="V958">
            <v>97</v>
          </cell>
          <cell r="W958">
            <v>12</v>
          </cell>
          <cell r="X958">
            <v>97</v>
          </cell>
          <cell r="Y958">
            <v>0</v>
          </cell>
          <cell r="Z958">
            <v>0</v>
          </cell>
          <cell r="AB958" t="str">
            <v>14</v>
          </cell>
          <cell r="AC958">
            <v>2</v>
          </cell>
          <cell r="AD958" t="str">
            <v>0</v>
          </cell>
          <cell r="AE958" t="str">
            <v>0</v>
          </cell>
          <cell r="AF958" t="str">
            <v>20</v>
          </cell>
          <cell r="AI958">
            <v>0</v>
          </cell>
          <cell r="AJ958">
            <v>0</v>
          </cell>
        </row>
        <row r="959">
          <cell r="A959" t="str">
            <v>20</v>
          </cell>
          <cell r="B959" t="str">
            <v>17</v>
          </cell>
          <cell r="C959" t="str">
            <v>414</v>
          </cell>
          <cell r="D959" t="str">
            <v>Диз-ль генер.д/мол.</v>
          </cell>
          <cell r="E959" t="str">
            <v>комб.</v>
          </cell>
          <cell r="G959" t="str">
            <v>01</v>
          </cell>
          <cell r="H959">
            <v>83089.899999999994</v>
          </cell>
          <cell r="I959">
            <v>0</v>
          </cell>
          <cell r="J959">
            <v>0</v>
          </cell>
          <cell r="K959">
            <v>1</v>
          </cell>
          <cell r="L959" t="str">
            <v>88/4</v>
          </cell>
          <cell r="M959" t="str">
            <v>40202</v>
          </cell>
          <cell r="N959" t="str">
            <v>14 2914180</v>
          </cell>
          <cell r="P959">
            <v>4.2</v>
          </cell>
          <cell r="Q959">
            <v>0</v>
          </cell>
          <cell r="R959" t="str">
            <v>1</v>
          </cell>
          <cell r="S959" t="str">
            <v>40</v>
          </cell>
          <cell r="T959">
            <v>97</v>
          </cell>
          <cell r="U959">
            <v>12</v>
          </cell>
          <cell r="V959">
            <v>97</v>
          </cell>
          <cell r="W959">
            <v>12</v>
          </cell>
          <cell r="X959">
            <v>97</v>
          </cell>
          <cell r="Y959">
            <v>0</v>
          </cell>
          <cell r="Z959">
            <v>0</v>
          </cell>
          <cell r="AB959" t="str">
            <v>14</v>
          </cell>
          <cell r="AC959">
            <v>2</v>
          </cell>
          <cell r="AD959" t="str">
            <v>0</v>
          </cell>
          <cell r="AE959" t="str">
            <v>0</v>
          </cell>
          <cell r="AF959" t="str">
            <v>20</v>
          </cell>
          <cell r="AI959">
            <v>0</v>
          </cell>
          <cell r="AJ959">
            <v>0</v>
          </cell>
        </row>
        <row r="960">
          <cell r="A960" t="str">
            <v>20</v>
          </cell>
          <cell r="B960" t="str">
            <v>17</v>
          </cell>
          <cell r="C960" t="str">
            <v>415</v>
          </cell>
          <cell r="D960" t="str">
            <v>Емкость для хранения</v>
          </cell>
          <cell r="E960" t="str">
            <v xml:space="preserve"> творога</v>
          </cell>
          <cell r="G960" t="str">
            <v>01</v>
          </cell>
          <cell r="H960">
            <v>16788.05</v>
          </cell>
          <cell r="I960">
            <v>0</v>
          </cell>
          <cell r="J960">
            <v>0</v>
          </cell>
          <cell r="K960">
            <v>1</v>
          </cell>
          <cell r="L960" t="str">
            <v>88/4</v>
          </cell>
          <cell r="M960" t="str">
            <v>42907</v>
          </cell>
          <cell r="N960" t="str">
            <v>14 2925110</v>
          </cell>
          <cell r="P960">
            <v>5</v>
          </cell>
          <cell r="Q960">
            <v>0</v>
          </cell>
          <cell r="R960" t="str">
            <v>1</v>
          </cell>
          <cell r="S960" t="str">
            <v>42</v>
          </cell>
          <cell r="T960">
            <v>97</v>
          </cell>
          <cell r="U960">
            <v>12</v>
          </cell>
          <cell r="V960">
            <v>97</v>
          </cell>
          <cell r="W960">
            <v>12</v>
          </cell>
          <cell r="X960">
            <v>97</v>
          </cell>
          <cell r="Y960">
            <v>0</v>
          </cell>
          <cell r="Z960">
            <v>0</v>
          </cell>
          <cell r="AB960" t="str">
            <v>14</v>
          </cell>
          <cell r="AC960">
            <v>2</v>
          </cell>
          <cell r="AD960" t="str">
            <v>0</v>
          </cell>
          <cell r="AE960" t="str">
            <v>0</v>
          </cell>
          <cell r="AF960" t="str">
            <v>20</v>
          </cell>
          <cell r="AI960">
            <v>0</v>
          </cell>
          <cell r="AJ960">
            <v>0</v>
          </cell>
        </row>
        <row r="961">
          <cell r="A961" t="str">
            <v>20</v>
          </cell>
          <cell r="B961" t="str">
            <v>17</v>
          </cell>
          <cell r="C961" t="str">
            <v>416</v>
          </cell>
          <cell r="D961" t="str">
            <v>Бойлер из нерж.стали</v>
          </cell>
          <cell r="E961" t="str">
            <v xml:space="preserve"> в системе теплосети</v>
          </cell>
          <cell r="G961" t="str">
            <v>01</v>
          </cell>
          <cell r="H961">
            <v>11149.89</v>
          </cell>
          <cell r="I961">
            <v>0</v>
          </cell>
          <cell r="J961">
            <v>0</v>
          </cell>
          <cell r="K961">
            <v>1</v>
          </cell>
          <cell r="L961" t="str">
            <v>88/4</v>
          </cell>
          <cell r="M961" t="str">
            <v>40000</v>
          </cell>
          <cell r="N961" t="str">
            <v>12 2811000</v>
          </cell>
          <cell r="P961">
            <v>3.7</v>
          </cell>
          <cell r="Q961">
            <v>0</v>
          </cell>
          <cell r="R961" t="str">
            <v>1</v>
          </cell>
          <cell r="S961" t="str">
            <v>40</v>
          </cell>
          <cell r="T961">
            <v>97</v>
          </cell>
          <cell r="U961">
            <v>12</v>
          </cell>
          <cell r="V961">
            <v>97</v>
          </cell>
          <cell r="W961">
            <v>12</v>
          </cell>
          <cell r="X961">
            <v>97</v>
          </cell>
          <cell r="Y961">
            <v>0</v>
          </cell>
          <cell r="Z961">
            <v>0</v>
          </cell>
          <cell r="AB961" t="str">
            <v>14</v>
          </cell>
          <cell r="AC961">
            <v>2</v>
          </cell>
          <cell r="AD961" t="str">
            <v>0</v>
          </cell>
          <cell r="AE961" t="str">
            <v>0</v>
          </cell>
          <cell r="AF961" t="str">
            <v>20</v>
          </cell>
          <cell r="AI961">
            <v>0</v>
          </cell>
          <cell r="AJ961">
            <v>0</v>
          </cell>
        </row>
        <row r="962">
          <cell r="A962" t="str">
            <v>20</v>
          </cell>
          <cell r="B962" t="str">
            <v>17</v>
          </cell>
          <cell r="C962" t="str">
            <v>417</v>
          </cell>
          <cell r="D962" t="str">
            <v>Шкаф под высоковольт</v>
          </cell>
          <cell r="E962" t="str">
            <v>аппаратуру в системе</v>
          </cell>
          <cell r="F962" t="str">
            <v>наруж.эл.сетей</v>
          </cell>
          <cell r="G962" t="str">
            <v>01</v>
          </cell>
          <cell r="H962">
            <v>1412.43</v>
          </cell>
          <cell r="I962">
            <v>0</v>
          </cell>
          <cell r="J962">
            <v>0</v>
          </cell>
          <cell r="K962">
            <v>1</v>
          </cell>
          <cell r="L962" t="str">
            <v>88/4</v>
          </cell>
          <cell r="M962" t="str">
            <v>40701</v>
          </cell>
          <cell r="N962" t="str">
            <v>14 3120293</v>
          </cell>
          <cell r="P962">
            <v>4.4000000000000004</v>
          </cell>
          <cell r="Q962">
            <v>0</v>
          </cell>
          <cell r="R962" t="str">
            <v>1</v>
          </cell>
          <cell r="S962" t="str">
            <v>40</v>
          </cell>
          <cell r="T962">
            <v>97</v>
          </cell>
          <cell r="U962">
            <v>12</v>
          </cell>
          <cell r="V962">
            <v>97</v>
          </cell>
          <cell r="W962">
            <v>12</v>
          </cell>
          <cell r="X962">
            <v>97</v>
          </cell>
          <cell r="Y962">
            <v>0</v>
          </cell>
          <cell r="Z962">
            <v>0</v>
          </cell>
          <cell r="AB962" t="str">
            <v>14</v>
          </cell>
          <cell r="AC962">
            <v>2</v>
          </cell>
          <cell r="AD962" t="str">
            <v>0</v>
          </cell>
          <cell r="AE962" t="str">
            <v>0</v>
          </cell>
          <cell r="AF962" t="str">
            <v>20</v>
          </cell>
          <cell r="AI962">
            <v>0</v>
          </cell>
          <cell r="AJ962">
            <v>0</v>
          </cell>
        </row>
        <row r="963">
          <cell r="A963" t="str">
            <v>20</v>
          </cell>
          <cell r="B963" t="str">
            <v>17</v>
          </cell>
          <cell r="C963" t="str">
            <v>418</v>
          </cell>
          <cell r="D963" t="str">
            <v>Насос ВК 5/24 в сист</v>
          </cell>
          <cell r="E963" t="str">
            <v>еме наруж.канализаци</v>
          </cell>
          <cell r="F963" t="str">
            <v>и</v>
          </cell>
          <cell r="G963" t="str">
            <v>01</v>
          </cell>
          <cell r="H963">
            <v>3368.46</v>
          </cell>
          <cell r="I963">
            <v>0</v>
          </cell>
          <cell r="J963">
            <v>0</v>
          </cell>
          <cell r="K963">
            <v>1</v>
          </cell>
          <cell r="L963" t="str">
            <v>88/4</v>
          </cell>
          <cell r="M963" t="str">
            <v>41502</v>
          </cell>
          <cell r="N963" t="str">
            <v>14 2912172</v>
          </cell>
          <cell r="P963">
            <v>12.5</v>
          </cell>
          <cell r="Q963">
            <v>0</v>
          </cell>
          <cell r="R963" t="str">
            <v>1</v>
          </cell>
          <cell r="S963" t="str">
            <v>41</v>
          </cell>
          <cell r="T963">
            <v>97</v>
          </cell>
          <cell r="U963">
            <v>12</v>
          </cell>
          <cell r="V963">
            <v>97</v>
          </cell>
          <cell r="W963">
            <v>12</v>
          </cell>
          <cell r="X963">
            <v>97</v>
          </cell>
          <cell r="Y963">
            <v>0</v>
          </cell>
          <cell r="Z963">
            <v>0</v>
          </cell>
          <cell r="AB963" t="str">
            <v>14</v>
          </cell>
          <cell r="AC963">
            <v>2</v>
          </cell>
          <cell r="AD963" t="str">
            <v>0</v>
          </cell>
          <cell r="AE963" t="str">
            <v>0</v>
          </cell>
          <cell r="AF963" t="str">
            <v>20</v>
          </cell>
          <cell r="AI963">
            <v>0</v>
          </cell>
          <cell r="AJ963">
            <v>0</v>
          </cell>
        </row>
        <row r="964">
          <cell r="A964" t="str">
            <v>20</v>
          </cell>
          <cell r="B964" t="str">
            <v>17</v>
          </cell>
          <cell r="C964" t="str">
            <v>419</v>
          </cell>
          <cell r="D964" t="str">
            <v>Насос ВК 20/30 в сис</v>
          </cell>
          <cell r="E964" t="str">
            <v>теме наружной канали</v>
          </cell>
          <cell r="F964" t="str">
            <v>зации</v>
          </cell>
          <cell r="G964" t="str">
            <v>01</v>
          </cell>
          <cell r="H964">
            <v>4057.93</v>
          </cell>
          <cell r="I964">
            <v>0</v>
          </cell>
          <cell r="J964">
            <v>0</v>
          </cell>
          <cell r="K964">
            <v>1</v>
          </cell>
          <cell r="L964" t="str">
            <v>88/4</v>
          </cell>
          <cell r="M964" t="str">
            <v>41502</v>
          </cell>
          <cell r="N964" t="str">
            <v>14 2912172</v>
          </cell>
          <cell r="P964">
            <v>12.5</v>
          </cell>
          <cell r="Q964">
            <v>0</v>
          </cell>
          <cell r="R964" t="str">
            <v>1</v>
          </cell>
          <cell r="S964" t="str">
            <v>41</v>
          </cell>
          <cell r="T964">
            <v>97</v>
          </cell>
          <cell r="U964">
            <v>12</v>
          </cell>
          <cell r="V964">
            <v>97</v>
          </cell>
          <cell r="W964">
            <v>12</v>
          </cell>
          <cell r="X964">
            <v>97</v>
          </cell>
          <cell r="Y964">
            <v>0</v>
          </cell>
          <cell r="Z964">
            <v>0</v>
          </cell>
          <cell r="AB964" t="str">
            <v>14</v>
          </cell>
          <cell r="AC964">
            <v>2</v>
          </cell>
          <cell r="AD964" t="str">
            <v>0</v>
          </cell>
          <cell r="AE964" t="str">
            <v>0</v>
          </cell>
          <cell r="AF964" t="str">
            <v>20</v>
          </cell>
          <cell r="AI964">
            <v>0</v>
          </cell>
          <cell r="AJ964">
            <v>0</v>
          </cell>
        </row>
        <row r="965">
          <cell r="A965" t="str">
            <v>20</v>
          </cell>
          <cell r="B965" t="str">
            <v>17</v>
          </cell>
          <cell r="C965" t="str">
            <v>420</v>
          </cell>
          <cell r="D965" t="str">
            <v>Насос ВК 20/30 в сис</v>
          </cell>
          <cell r="E965" t="str">
            <v>теме наружной канали</v>
          </cell>
          <cell r="F965" t="str">
            <v>зации</v>
          </cell>
          <cell r="G965" t="str">
            <v>01</v>
          </cell>
          <cell r="H965">
            <v>4057.93</v>
          </cell>
          <cell r="I965">
            <v>0</v>
          </cell>
          <cell r="J965">
            <v>0</v>
          </cell>
          <cell r="K965">
            <v>1</v>
          </cell>
          <cell r="L965" t="str">
            <v>88/4</v>
          </cell>
          <cell r="M965" t="str">
            <v>41502</v>
          </cell>
          <cell r="N965" t="str">
            <v>14 2912172</v>
          </cell>
          <cell r="P965">
            <v>12.5</v>
          </cell>
          <cell r="Q965">
            <v>0</v>
          </cell>
          <cell r="R965" t="str">
            <v>1</v>
          </cell>
          <cell r="S965" t="str">
            <v>41</v>
          </cell>
          <cell r="T965">
            <v>97</v>
          </cell>
          <cell r="U965">
            <v>12</v>
          </cell>
          <cell r="V965">
            <v>97</v>
          </cell>
          <cell r="W965">
            <v>12</v>
          </cell>
          <cell r="X965">
            <v>97</v>
          </cell>
          <cell r="Y965">
            <v>0</v>
          </cell>
          <cell r="Z965">
            <v>0</v>
          </cell>
          <cell r="AB965" t="str">
            <v>14</v>
          </cell>
          <cell r="AC965">
            <v>2</v>
          </cell>
          <cell r="AD965" t="str">
            <v>0</v>
          </cell>
          <cell r="AE965" t="str">
            <v>0</v>
          </cell>
          <cell r="AF965" t="str">
            <v>20</v>
          </cell>
          <cell r="AI965">
            <v>0</v>
          </cell>
          <cell r="AJ965">
            <v>0</v>
          </cell>
        </row>
        <row r="966">
          <cell r="A966" t="str">
            <v>20</v>
          </cell>
          <cell r="B966" t="str">
            <v>17</v>
          </cell>
          <cell r="C966" t="str">
            <v>421</v>
          </cell>
          <cell r="D966" t="str">
            <v>Фильтр натрикотионов</v>
          </cell>
          <cell r="E966" t="str">
            <v>ый в системе наружно</v>
          </cell>
          <cell r="F966" t="str">
            <v>й канализации</v>
          </cell>
          <cell r="G966" t="str">
            <v>01</v>
          </cell>
          <cell r="H966">
            <v>8467.3700000000008</v>
          </cell>
          <cell r="I966">
            <v>0</v>
          </cell>
          <cell r="J966">
            <v>0</v>
          </cell>
          <cell r="K966">
            <v>1</v>
          </cell>
          <cell r="L966" t="str">
            <v>88/4</v>
          </cell>
          <cell r="M966" t="str">
            <v>49013</v>
          </cell>
          <cell r="N966" t="str">
            <v>14 2919360</v>
          </cell>
          <cell r="P966">
            <v>6.7</v>
          </cell>
          <cell r="Q966">
            <v>0</v>
          </cell>
          <cell r="R966" t="str">
            <v>1</v>
          </cell>
          <cell r="S966" t="str">
            <v>49</v>
          </cell>
          <cell r="T966">
            <v>97</v>
          </cell>
          <cell r="U966">
            <v>12</v>
          </cell>
          <cell r="V966">
            <v>97</v>
          </cell>
          <cell r="W966">
            <v>12</v>
          </cell>
          <cell r="X966">
            <v>97</v>
          </cell>
          <cell r="Y966">
            <v>0</v>
          </cell>
          <cell r="Z966">
            <v>0</v>
          </cell>
          <cell r="AB966" t="str">
            <v>14</v>
          </cell>
          <cell r="AC966">
            <v>2</v>
          </cell>
          <cell r="AD966" t="str">
            <v>0</v>
          </cell>
          <cell r="AE966" t="str">
            <v>0</v>
          </cell>
          <cell r="AF966" t="str">
            <v>20</v>
          </cell>
          <cell r="AI966">
            <v>0</v>
          </cell>
          <cell r="AJ966">
            <v>0</v>
          </cell>
        </row>
        <row r="967">
          <cell r="A967" t="str">
            <v>20</v>
          </cell>
          <cell r="B967" t="str">
            <v>17</v>
          </cell>
          <cell r="C967" t="str">
            <v>422</v>
          </cell>
          <cell r="D967" t="str">
            <v>Фильтр натрикотионов</v>
          </cell>
          <cell r="E967" t="str">
            <v>ый в системе наружно</v>
          </cell>
          <cell r="F967" t="str">
            <v>й канализации</v>
          </cell>
          <cell r="G967" t="str">
            <v>01</v>
          </cell>
          <cell r="H967">
            <v>8467.3700000000008</v>
          </cell>
          <cell r="I967">
            <v>0</v>
          </cell>
          <cell r="J967">
            <v>0</v>
          </cell>
          <cell r="K967">
            <v>1</v>
          </cell>
          <cell r="L967" t="str">
            <v>88/4</v>
          </cell>
          <cell r="M967" t="str">
            <v>49013</v>
          </cell>
          <cell r="N967" t="str">
            <v>14 2919360</v>
          </cell>
          <cell r="P967">
            <v>6.7</v>
          </cell>
          <cell r="Q967">
            <v>0</v>
          </cell>
          <cell r="R967" t="str">
            <v>1</v>
          </cell>
          <cell r="S967" t="str">
            <v>49</v>
          </cell>
          <cell r="T967">
            <v>97</v>
          </cell>
          <cell r="U967">
            <v>12</v>
          </cell>
          <cell r="V967">
            <v>97</v>
          </cell>
          <cell r="W967">
            <v>12</v>
          </cell>
          <cell r="X967">
            <v>97</v>
          </cell>
          <cell r="Y967">
            <v>0</v>
          </cell>
          <cell r="Z967">
            <v>0</v>
          </cell>
          <cell r="AB967" t="str">
            <v>14</v>
          </cell>
          <cell r="AC967">
            <v>2</v>
          </cell>
          <cell r="AD967" t="str">
            <v>0</v>
          </cell>
          <cell r="AE967" t="str">
            <v>0</v>
          </cell>
          <cell r="AF967" t="str">
            <v>20</v>
          </cell>
          <cell r="AI967">
            <v>0</v>
          </cell>
          <cell r="AJ967">
            <v>0</v>
          </cell>
        </row>
        <row r="968">
          <cell r="A968" t="str">
            <v>20</v>
          </cell>
          <cell r="B968" t="str">
            <v>17</v>
          </cell>
          <cell r="C968" t="str">
            <v>423</v>
          </cell>
          <cell r="D968" t="str">
            <v>Насос ВКС 5-28 в сис</v>
          </cell>
          <cell r="E968" t="str">
            <v>теме наружной канали</v>
          </cell>
          <cell r="F968" t="str">
            <v>зации</v>
          </cell>
          <cell r="G968" t="str">
            <v>01</v>
          </cell>
          <cell r="H968">
            <v>2270.85</v>
          </cell>
          <cell r="I968">
            <v>0</v>
          </cell>
          <cell r="J968">
            <v>0</v>
          </cell>
          <cell r="K968">
            <v>1</v>
          </cell>
          <cell r="L968" t="str">
            <v>88/4</v>
          </cell>
          <cell r="M968" t="str">
            <v>41502</v>
          </cell>
          <cell r="N968" t="str">
            <v>14 2912172</v>
          </cell>
          <cell r="P968">
            <v>12.5</v>
          </cell>
          <cell r="Q968">
            <v>0</v>
          </cell>
          <cell r="R968" t="str">
            <v>1</v>
          </cell>
          <cell r="S968" t="str">
            <v>41</v>
          </cell>
          <cell r="T968">
            <v>97</v>
          </cell>
          <cell r="U968">
            <v>12</v>
          </cell>
          <cell r="V968">
            <v>97</v>
          </cell>
          <cell r="W968">
            <v>12</v>
          </cell>
          <cell r="X968">
            <v>97</v>
          </cell>
          <cell r="Y968">
            <v>0</v>
          </cell>
          <cell r="Z968">
            <v>0</v>
          </cell>
          <cell r="AB968" t="str">
            <v>14</v>
          </cell>
          <cell r="AC968">
            <v>2</v>
          </cell>
          <cell r="AD968" t="str">
            <v>0</v>
          </cell>
          <cell r="AE968" t="str">
            <v>0</v>
          </cell>
          <cell r="AF968" t="str">
            <v>20</v>
          </cell>
          <cell r="AI968">
            <v>0</v>
          </cell>
          <cell r="AJ968">
            <v>0</v>
          </cell>
        </row>
        <row r="969">
          <cell r="A969" t="str">
            <v>20</v>
          </cell>
          <cell r="B969" t="str">
            <v>17</v>
          </cell>
          <cell r="C969" t="str">
            <v>424</v>
          </cell>
          <cell r="D969" t="str">
            <v>Емкость V-2.5м3 в це</v>
          </cell>
          <cell r="E969" t="str">
            <v>хе по переработке мо</v>
          </cell>
          <cell r="F969" t="str">
            <v>лока</v>
          </cell>
          <cell r="G969" t="str">
            <v>01</v>
          </cell>
          <cell r="H969">
            <v>3761.12</v>
          </cell>
          <cell r="I969">
            <v>0</v>
          </cell>
          <cell r="J969">
            <v>0</v>
          </cell>
          <cell r="K969">
            <v>1</v>
          </cell>
          <cell r="L969" t="str">
            <v>88/4</v>
          </cell>
          <cell r="M969" t="str">
            <v>45100</v>
          </cell>
          <cell r="N969" t="str">
            <v>14 2925110</v>
          </cell>
          <cell r="P969">
            <v>11.8</v>
          </cell>
          <cell r="Q969">
            <v>0</v>
          </cell>
          <cell r="R969" t="str">
            <v>1</v>
          </cell>
          <cell r="S969" t="str">
            <v>45</v>
          </cell>
          <cell r="T969">
            <v>97</v>
          </cell>
          <cell r="U969">
            <v>12</v>
          </cell>
          <cell r="V969">
            <v>97</v>
          </cell>
          <cell r="W969">
            <v>12</v>
          </cell>
          <cell r="X969">
            <v>97</v>
          </cell>
          <cell r="Y969">
            <v>0</v>
          </cell>
          <cell r="Z969">
            <v>0</v>
          </cell>
          <cell r="AB969" t="str">
            <v>14</v>
          </cell>
          <cell r="AC969">
            <v>2</v>
          </cell>
          <cell r="AD969" t="str">
            <v>0</v>
          </cell>
          <cell r="AE969" t="str">
            <v>0</v>
          </cell>
          <cell r="AF969" t="str">
            <v>20</v>
          </cell>
          <cell r="AI969">
            <v>0</v>
          </cell>
          <cell r="AJ969">
            <v>0</v>
          </cell>
        </row>
        <row r="970">
          <cell r="A970" t="str">
            <v>20</v>
          </cell>
          <cell r="B970" t="str">
            <v>17</v>
          </cell>
          <cell r="C970" t="str">
            <v>425</v>
          </cell>
          <cell r="D970" t="str">
            <v>Емкость V-5м3 в цехе</v>
          </cell>
          <cell r="E970" t="str">
            <v xml:space="preserve"> по переработке моло</v>
          </cell>
          <cell r="F970" t="str">
            <v>ка</v>
          </cell>
          <cell r="G970" t="str">
            <v>01</v>
          </cell>
          <cell r="H970">
            <v>7356.02</v>
          </cell>
          <cell r="I970">
            <v>0</v>
          </cell>
          <cell r="J970">
            <v>0</v>
          </cell>
          <cell r="K970">
            <v>1</v>
          </cell>
          <cell r="L970" t="str">
            <v>88/4</v>
          </cell>
          <cell r="M970" t="str">
            <v>45100</v>
          </cell>
          <cell r="N970" t="str">
            <v>14 2925110</v>
          </cell>
          <cell r="P970">
            <v>11.8</v>
          </cell>
          <cell r="Q970">
            <v>0</v>
          </cell>
          <cell r="R970" t="str">
            <v>1</v>
          </cell>
          <cell r="S970" t="str">
            <v>45</v>
          </cell>
          <cell r="T970">
            <v>97</v>
          </cell>
          <cell r="U970">
            <v>12</v>
          </cell>
          <cell r="V970">
            <v>97</v>
          </cell>
          <cell r="W970">
            <v>12</v>
          </cell>
          <cell r="X970">
            <v>97</v>
          </cell>
          <cell r="Y970">
            <v>0</v>
          </cell>
          <cell r="Z970">
            <v>0</v>
          </cell>
          <cell r="AB970" t="str">
            <v>14</v>
          </cell>
          <cell r="AC970">
            <v>2</v>
          </cell>
          <cell r="AD970" t="str">
            <v>0</v>
          </cell>
          <cell r="AE970" t="str">
            <v>0</v>
          </cell>
          <cell r="AF970" t="str">
            <v>20</v>
          </cell>
          <cell r="AI970">
            <v>0</v>
          </cell>
          <cell r="AJ970">
            <v>0</v>
          </cell>
        </row>
        <row r="971">
          <cell r="A971" t="str">
            <v>20</v>
          </cell>
          <cell r="B971" t="str">
            <v>17</v>
          </cell>
          <cell r="C971" t="str">
            <v>426</v>
          </cell>
          <cell r="D971" t="str">
            <v>Емкость V-6м3 в цехе</v>
          </cell>
          <cell r="E971" t="str">
            <v xml:space="preserve"> по переработке моло</v>
          </cell>
          <cell r="F971" t="str">
            <v>ка</v>
          </cell>
          <cell r="G971" t="str">
            <v>01</v>
          </cell>
          <cell r="H971">
            <v>8729.2900000000009</v>
          </cell>
          <cell r="I971">
            <v>0</v>
          </cell>
          <cell r="J971">
            <v>0</v>
          </cell>
          <cell r="K971">
            <v>1</v>
          </cell>
          <cell r="L971" t="str">
            <v>88/4</v>
          </cell>
          <cell r="M971" t="str">
            <v>45100</v>
          </cell>
          <cell r="N971" t="str">
            <v>14 2925110</v>
          </cell>
          <cell r="P971">
            <v>11.8</v>
          </cell>
          <cell r="Q971">
            <v>0</v>
          </cell>
          <cell r="R971" t="str">
            <v>1</v>
          </cell>
          <cell r="S971" t="str">
            <v>45</v>
          </cell>
          <cell r="T971">
            <v>97</v>
          </cell>
          <cell r="U971">
            <v>12</v>
          </cell>
          <cell r="V971">
            <v>97</v>
          </cell>
          <cell r="W971">
            <v>12</v>
          </cell>
          <cell r="X971">
            <v>97</v>
          </cell>
          <cell r="Y971">
            <v>0</v>
          </cell>
          <cell r="Z971">
            <v>0</v>
          </cell>
          <cell r="AB971" t="str">
            <v>14</v>
          </cell>
          <cell r="AC971">
            <v>2</v>
          </cell>
          <cell r="AD971" t="str">
            <v>0</v>
          </cell>
          <cell r="AE971" t="str">
            <v>0</v>
          </cell>
          <cell r="AF971" t="str">
            <v>20</v>
          </cell>
          <cell r="AI971">
            <v>0</v>
          </cell>
          <cell r="AJ971">
            <v>0</v>
          </cell>
        </row>
        <row r="972">
          <cell r="A972" t="str">
            <v>20</v>
          </cell>
          <cell r="B972" t="str">
            <v>17</v>
          </cell>
          <cell r="C972" t="str">
            <v>427</v>
          </cell>
          <cell r="D972" t="str">
            <v>Емкость V-12м3 в сис</v>
          </cell>
          <cell r="E972" t="str">
            <v>теме наружной канали</v>
          </cell>
          <cell r="F972" t="str">
            <v>зации</v>
          </cell>
          <cell r="G972" t="str">
            <v>01</v>
          </cell>
          <cell r="H972">
            <v>16974.38</v>
          </cell>
          <cell r="I972">
            <v>0</v>
          </cell>
          <cell r="J972">
            <v>0</v>
          </cell>
          <cell r="K972">
            <v>1</v>
          </cell>
          <cell r="L972" t="str">
            <v>88/4</v>
          </cell>
          <cell r="M972" t="str">
            <v>49016</v>
          </cell>
          <cell r="N972" t="str">
            <v>14 2919319</v>
          </cell>
          <cell r="P972">
            <v>11.1</v>
          </cell>
          <cell r="Q972">
            <v>0</v>
          </cell>
          <cell r="R972" t="str">
            <v>1</v>
          </cell>
          <cell r="S972" t="str">
            <v>49</v>
          </cell>
          <cell r="T972">
            <v>97</v>
          </cell>
          <cell r="U972">
            <v>12</v>
          </cell>
          <cell r="V972">
            <v>97</v>
          </cell>
          <cell r="W972">
            <v>12</v>
          </cell>
          <cell r="X972">
            <v>97</v>
          </cell>
          <cell r="Y972">
            <v>0</v>
          </cell>
          <cell r="Z972">
            <v>0</v>
          </cell>
          <cell r="AB972" t="str">
            <v>14</v>
          </cell>
          <cell r="AC972">
            <v>2</v>
          </cell>
          <cell r="AD972" t="str">
            <v>0</v>
          </cell>
          <cell r="AE972" t="str">
            <v>0</v>
          </cell>
          <cell r="AF972" t="str">
            <v>20</v>
          </cell>
          <cell r="AI972">
            <v>0</v>
          </cell>
          <cell r="AJ972">
            <v>0</v>
          </cell>
        </row>
        <row r="973">
          <cell r="A973" t="str">
            <v>20</v>
          </cell>
          <cell r="B973" t="str">
            <v>17</v>
          </cell>
          <cell r="C973" t="str">
            <v>428</v>
          </cell>
          <cell r="D973" t="str">
            <v>Горелка газомазутная</v>
          </cell>
          <cell r="E973" t="str">
            <v xml:space="preserve"> в системе теплосети</v>
          </cell>
          <cell r="G973" t="str">
            <v>01</v>
          </cell>
          <cell r="H973">
            <v>3966.62</v>
          </cell>
          <cell r="I973">
            <v>0</v>
          </cell>
          <cell r="J973">
            <v>0</v>
          </cell>
          <cell r="K973">
            <v>1</v>
          </cell>
          <cell r="L973" t="str">
            <v>88/4</v>
          </cell>
          <cell r="M973" t="str">
            <v>40000</v>
          </cell>
          <cell r="N973" t="str">
            <v>14 2914253</v>
          </cell>
          <cell r="P973">
            <v>3.7</v>
          </cell>
          <cell r="Q973">
            <v>0</v>
          </cell>
          <cell r="R973" t="str">
            <v>1</v>
          </cell>
          <cell r="S973" t="str">
            <v>40</v>
          </cell>
          <cell r="T973">
            <v>97</v>
          </cell>
          <cell r="U973">
            <v>12</v>
          </cell>
          <cell r="V973">
            <v>97</v>
          </cell>
          <cell r="W973">
            <v>12</v>
          </cell>
          <cell r="X973">
            <v>97</v>
          </cell>
          <cell r="Y973">
            <v>0</v>
          </cell>
          <cell r="Z973">
            <v>0</v>
          </cell>
          <cell r="AB973" t="str">
            <v>14</v>
          </cell>
          <cell r="AC973">
            <v>2</v>
          </cell>
          <cell r="AD973" t="str">
            <v>0</v>
          </cell>
          <cell r="AE973" t="str">
            <v>0</v>
          </cell>
          <cell r="AF973" t="str">
            <v>20</v>
          </cell>
          <cell r="AI973">
            <v>0</v>
          </cell>
          <cell r="AJ973">
            <v>0</v>
          </cell>
        </row>
        <row r="974">
          <cell r="A974" t="str">
            <v>20</v>
          </cell>
          <cell r="B974" t="str">
            <v>17</v>
          </cell>
          <cell r="C974" t="str">
            <v>429</v>
          </cell>
          <cell r="D974" t="str">
            <v>Эл.тельфер 0.5</v>
          </cell>
          <cell r="G974" t="str">
            <v>01</v>
          </cell>
          <cell r="H974">
            <v>4411.13</v>
          </cell>
          <cell r="I974">
            <v>0</v>
          </cell>
          <cell r="J974">
            <v>0</v>
          </cell>
          <cell r="K974">
            <v>1</v>
          </cell>
          <cell r="L974" t="str">
            <v>88/4</v>
          </cell>
          <cell r="M974" t="str">
            <v>41722</v>
          </cell>
          <cell r="N974" t="str">
            <v>14 2915289</v>
          </cell>
          <cell r="P974">
            <v>14.3</v>
          </cell>
          <cell r="Q974">
            <v>0</v>
          </cell>
          <cell r="R974" t="str">
            <v>1</v>
          </cell>
          <cell r="S974" t="str">
            <v>41</v>
          </cell>
          <cell r="T974">
            <v>97</v>
          </cell>
          <cell r="U974">
            <v>12</v>
          </cell>
          <cell r="V974">
            <v>97</v>
          </cell>
          <cell r="W974">
            <v>12</v>
          </cell>
          <cell r="X974">
            <v>97</v>
          </cell>
          <cell r="Y974">
            <v>0</v>
          </cell>
          <cell r="Z974">
            <v>0</v>
          </cell>
          <cell r="AB974" t="str">
            <v>14</v>
          </cell>
          <cell r="AC974">
            <v>2</v>
          </cell>
          <cell r="AD974" t="str">
            <v>0</v>
          </cell>
          <cell r="AE974" t="str">
            <v>0</v>
          </cell>
          <cell r="AF974" t="str">
            <v>20</v>
          </cell>
          <cell r="AI974">
            <v>0</v>
          </cell>
          <cell r="AJ974">
            <v>0</v>
          </cell>
        </row>
        <row r="975">
          <cell r="A975" t="str">
            <v>20</v>
          </cell>
          <cell r="B975" t="str">
            <v>17</v>
          </cell>
          <cell r="C975" t="str">
            <v>430</v>
          </cell>
          <cell r="D975" t="str">
            <v>Вентилятор ВР-12-26-</v>
          </cell>
          <cell r="E975" t="str">
            <v>3.15 в цехе по перер</v>
          </cell>
          <cell r="F975" t="str">
            <v>аботке молока</v>
          </cell>
          <cell r="G975" t="str">
            <v>01</v>
          </cell>
          <cell r="H975">
            <v>1460.22</v>
          </cell>
          <cell r="I975">
            <v>0</v>
          </cell>
          <cell r="J975">
            <v>0</v>
          </cell>
          <cell r="K975">
            <v>1</v>
          </cell>
          <cell r="L975" t="str">
            <v>88/4</v>
          </cell>
          <cell r="M975" t="str">
            <v>41606</v>
          </cell>
          <cell r="N975" t="str">
            <v>16 2930271</v>
          </cell>
          <cell r="P975">
            <v>11.1</v>
          </cell>
          <cell r="Q975">
            <v>0</v>
          </cell>
          <cell r="R975" t="str">
            <v>1</v>
          </cell>
          <cell r="S975" t="str">
            <v>41</v>
          </cell>
          <cell r="T975">
            <v>97</v>
          </cell>
          <cell r="U975">
            <v>12</v>
          </cell>
          <cell r="V975">
            <v>97</v>
          </cell>
          <cell r="W975">
            <v>12</v>
          </cell>
          <cell r="X975">
            <v>97</v>
          </cell>
          <cell r="Y975">
            <v>0</v>
          </cell>
          <cell r="Z975">
            <v>0</v>
          </cell>
          <cell r="AB975" t="str">
            <v>14</v>
          </cell>
          <cell r="AC975">
            <v>2</v>
          </cell>
          <cell r="AD975" t="str">
            <v>0</v>
          </cell>
          <cell r="AE975" t="str">
            <v>0</v>
          </cell>
          <cell r="AF975" t="str">
            <v>20</v>
          </cell>
          <cell r="AI975">
            <v>0</v>
          </cell>
          <cell r="AJ975">
            <v>0</v>
          </cell>
        </row>
        <row r="976">
          <cell r="A976" t="str">
            <v>20</v>
          </cell>
          <cell r="B976" t="str">
            <v>17</v>
          </cell>
          <cell r="C976" t="str">
            <v>431</v>
          </cell>
          <cell r="D976" t="str">
            <v>Вентилятор ВР-12-26-</v>
          </cell>
          <cell r="E976" t="str">
            <v>3.15 в цехе по перер</v>
          </cell>
          <cell r="F976" t="str">
            <v>аботке молока</v>
          </cell>
          <cell r="G976" t="str">
            <v>01</v>
          </cell>
          <cell r="H976">
            <v>1460.22</v>
          </cell>
          <cell r="I976">
            <v>0</v>
          </cell>
          <cell r="J976">
            <v>0</v>
          </cell>
          <cell r="K976">
            <v>1</v>
          </cell>
          <cell r="L976" t="str">
            <v>88/4</v>
          </cell>
          <cell r="M976" t="str">
            <v>41606</v>
          </cell>
          <cell r="N976" t="str">
            <v>16 2930271</v>
          </cell>
          <cell r="P976">
            <v>11.1</v>
          </cell>
          <cell r="Q976">
            <v>0</v>
          </cell>
          <cell r="R976" t="str">
            <v>1</v>
          </cell>
          <cell r="S976" t="str">
            <v>41</v>
          </cell>
          <cell r="T976">
            <v>97</v>
          </cell>
          <cell r="U976">
            <v>12</v>
          </cell>
          <cell r="V976">
            <v>97</v>
          </cell>
          <cell r="W976">
            <v>12</v>
          </cell>
          <cell r="X976">
            <v>97</v>
          </cell>
          <cell r="Y976">
            <v>0</v>
          </cell>
          <cell r="Z976">
            <v>0</v>
          </cell>
          <cell r="AB976" t="str">
            <v>14</v>
          </cell>
          <cell r="AC976">
            <v>2</v>
          </cell>
          <cell r="AD976" t="str">
            <v>0</v>
          </cell>
          <cell r="AE976" t="str">
            <v>0</v>
          </cell>
          <cell r="AF976" t="str">
            <v>20</v>
          </cell>
          <cell r="AI976">
            <v>0</v>
          </cell>
          <cell r="AJ976">
            <v>0</v>
          </cell>
        </row>
        <row r="977">
          <cell r="A977" t="str">
            <v>20</v>
          </cell>
          <cell r="B977" t="str">
            <v>17</v>
          </cell>
          <cell r="C977" t="str">
            <v>432</v>
          </cell>
          <cell r="D977" t="str">
            <v>Машина сбивальная ZP</v>
          </cell>
          <cell r="E977" t="str">
            <v>200</v>
          </cell>
          <cell r="G977" t="str">
            <v>01</v>
          </cell>
          <cell r="H977">
            <v>17333.54</v>
          </cell>
          <cell r="I977">
            <v>0</v>
          </cell>
          <cell r="J977">
            <v>0</v>
          </cell>
          <cell r="K977">
            <v>1</v>
          </cell>
          <cell r="L977" t="str">
            <v>88/4</v>
          </cell>
          <cell r="M977" t="str">
            <v>45102</v>
          </cell>
          <cell r="N977" t="str">
            <v>14 2925112</v>
          </cell>
          <cell r="P977">
            <v>15.4</v>
          </cell>
          <cell r="Q977">
            <v>0</v>
          </cell>
          <cell r="R977" t="str">
            <v>1</v>
          </cell>
          <cell r="S977" t="str">
            <v>45</v>
          </cell>
          <cell r="T977">
            <v>97</v>
          </cell>
          <cell r="U977">
            <v>12</v>
          </cell>
          <cell r="V977">
            <v>97</v>
          </cell>
          <cell r="W977">
            <v>12</v>
          </cell>
          <cell r="X977">
            <v>97</v>
          </cell>
          <cell r="Y977">
            <v>0</v>
          </cell>
          <cell r="Z977">
            <v>0</v>
          </cell>
          <cell r="AB977" t="str">
            <v>14</v>
          </cell>
          <cell r="AC977">
            <v>2</v>
          </cell>
          <cell r="AD977" t="str">
            <v>0</v>
          </cell>
          <cell r="AE977" t="str">
            <v>0</v>
          </cell>
          <cell r="AF977" t="str">
            <v>20</v>
          </cell>
          <cell r="AI977">
            <v>0</v>
          </cell>
          <cell r="AJ977">
            <v>0</v>
          </cell>
        </row>
        <row r="978">
          <cell r="A978" t="str">
            <v>20</v>
          </cell>
          <cell r="B978" t="str">
            <v>17</v>
          </cell>
          <cell r="C978" t="str">
            <v>433</v>
          </cell>
          <cell r="D978" t="str">
            <v>Машина брикетировочн</v>
          </cell>
          <cell r="E978" t="str">
            <v>ая</v>
          </cell>
          <cell r="G978" t="str">
            <v>01</v>
          </cell>
          <cell r="H978">
            <v>111161.93</v>
          </cell>
          <cell r="I978">
            <v>0</v>
          </cell>
          <cell r="J978">
            <v>0</v>
          </cell>
          <cell r="K978">
            <v>1</v>
          </cell>
          <cell r="L978" t="str">
            <v>88/4</v>
          </cell>
          <cell r="M978" t="str">
            <v>45100</v>
          </cell>
          <cell r="N978" t="str">
            <v>14 2925104</v>
          </cell>
          <cell r="P978">
            <v>11.8</v>
          </cell>
          <cell r="Q978">
            <v>0</v>
          </cell>
          <cell r="R978" t="str">
            <v>1</v>
          </cell>
          <cell r="S978" t="str">
            <v>45</v>
          </cell>
          <cell r="T978">
            <v>97</v>
          </cell>
          <cell r="U978">
            <v>12</v>
          </cell>
          <cell r="V978">
            <v>97</v>
          </cell>
          <cell r="W978">
            <v>12</v>
          </cell>
          <cell r="X978">
            <v>97</v>
          </cell>
          <cell r="Y978">
            <v>0</v>
          </cell>
          <cell r="Z978">
            <v>0</v>
          </cell>
          <cell r="AB978" t="str">
            <v>14</v>
          </cell>
          <cell r="AC978">
            <v>2</v>
          </cell>
          <cell r="AD978" t="str">
            <v>0</v>
          </cell>
          <cell r="AE978" t="str">
            <v>0</v>
          </cell>
          <cell r="AF978" t="str">
            <v>20</v>
          </cell>
          <cell r="AI978">
            <v>0</v>
          </cell>
          <cell r="AJ978">
            <v>0</v>
          </cell>
        </row>
        <row r="979">
          <cell r="A979" t="str">
            <v>20</v>
          </cell>
          <cell r="B979" t="str">
            <v>17</v>
          </cell>
          <cell r="C979" t="str">
            <v>434</v>
          </cell>
          <cell r="D979" t="str">
            <v>Электронасос самозал</v>
          </cell>
          <cell r="E979" t="str">
            <v>ивной SA 200 MR</v>
          </cell>
          <cell r="G979" t="str">
            <v>01</v>
          </cell>
          <cell r="H979">
            <v>14199.72</v>
          </cell>
          <cell r="I979">
            <v>0</v>
          </cell>
          <cell r="J979">
            <v>0</v>
          </cell>
          <cell r="K979">
            <v>1</v>
          </cell>
          <cell r="L979" t="str">
            <v>88/4</v>
          </cell>
          <cell r="M979" t="str">
            <v>41502</v>
          </cell>
          <cell r="N979" t="str">
            <v>14 2912177</v>
          </cell>
          <cell r="P979">
            <v>12.5</v>
          </cell>
          <cell r="Q979">
            <v>0</v>
          </cell>
          <cell r="R979" t="str">
            <v>1</v>
          </cell>
          <cell r="S979" t="str">
            <v>41</v>
          </cell>
          <cell r="T979">
            <v>97</v>
          </cell>
          <cell r="U979">
            <v>12</v>
          </cell>
          <cell r="V979">
            <v>97</v>
          </cell>
          <cell r="W979">
            <v>12</v>
          </cell>
          <cell r="X979">
            <v>97</v>
          </cell>
          <cell r="Y979">
            <v>0</v>
          </cell>
          <cell r="Z979">
            <v>0</v>
          </cell>
          <cell r="AB979" t="str">
            <v>14</v>
          </cell>
          <cell r="AC979">
            <v>2</v>
          </cell>
          <cell r="AD979" t="str">
            <v>0</v>
          </cell>
          <cell r="AE979" t="str">
            <v>0</v>
          </cell>
          <cell r="AF979" t="str">
            <v>20</v>
          </cell>
          <cell r="AI979">
            <v>0</v>
          </cell>
          <cell r="AJ979">
            <v>0</v>
          </cell>
        </row>
        <row r="980">
          <cell r="A980" t="str">
            <v>20</v>
          </cell>
          <cell r="B980" t="str">
            <v>17</v>
          </cell>
          <cell r="C980" t="str">
            <v>435</v>
          </cell>
          <cell r="D980" t="str">
            <v>Емкость для молока</v>
          </cell>
          <cell r="E980" t="str">
            <v>5000 л</v>
          </cell>
          <cell r="G980" t="str">
            <v>01</v>
          </cell>
          <cell r="H980">
            <v>17292.919999999998</v>
          </cell>
          <cell r="I980">
            <v>0</v>
          </cell>
          <cell r="J980">
            <v>0</v>
          </cell>
          <cell r="K980">
            <v>1</v>
          </cell>
          <cell r="L980" t="str">
            <v>88/4</v>
          </cell>
          <cell r="M980" t="str">
            <v>45100</v>
          </cell>
          <cell r="N980" t="str">
            <v>14 2925110</v>
          </cell>
          <cell r="P980">
            <v>11.8</v>
          </cell>
          <cell r="Q980">
            <v>0</v>
          </cell>
          <cell r="R980" t="str">
            <v>1</v>
          </cell>
          <cell r="S980" t="str">
            <v>45</v>
          </cell>
          <cell r="T980">
            <v>97</v>
          </cell>
          <cell r="U980">
            <v>12</v>
          </cell>
          <cell r="V980">
            <v>97</v>
          </cell>
          <cell r="W980">
            <v>12</v>
          </cell>
          <cell r="X980">
            <v>97</v>
          </cell>
          <cell r="Y980">
            <v>0</v>
          </cell>
          <cell r="Z980">
            <v>0</v>
          </cell>
          <cell r="AB980" t="str">
            <v>14</v>
          </cell>
          <cell r="AC980">
            <v>2</v>
          </cell>
          <cell r="AD980" t="str">
            <v>0</v>
          </cell>
          <cell r="AE980" t="str">
            <v>0</v>
          </cell>
          <cell r="AF980" t="str">
            <v>20</v>
          </cell>
          <cell r="AI980">
            <v>0</v>
          </cell>
          <cell r="AJ980">
            <v>0</v>
          </cell>
        </row>
        <row r="981">
          <cell r="A981" t="str">
            <v>20</v>
          </cell>
          <cell r="B981" t="str">
            <v>17</v>
          </cell>
          <cell r="C981" t="str">
            <v>436</v>
          </cell>
          <cell r="D981" t="str">
            <v>Емкость для молока</v>
          </cell>
          <cell r="E981" t="str">
            <v>5000 л</v>
          </cell>
          <cell r="G981" t="str">
            <v>01</v>
          </cell>
          <cell r="H981">
            <v>17292.919999999998</v>
          </cell>
          <cell r="I981">
            <v>0</v>
          </cell>
          <cell r="J981">
            <v>0</v>
          </cell>
          <cell r="K981">
            <v>1</v>
          </cell>
          <cell r="L981" t="str">
            <v>88/4</v>
          </cell>
          <cell r="M981" t="str">
            <v>45100</v>
          </cell>
          <cell r="N981" t="str">
            <v>14 2925110</v>
          </cell>
          <cell r="P981">
            <v>11.8</v>
          </cell>
          <cell r="Q981">
            <v>0</v>
          </cell>
          <cell r="R981" t="str">
            <v>1</v>
          </cell>
          <cell r="S981" t="str">
            <v>45</v>
          </cell>
          <cell r="T981">
            <v>97</v>
          </cell>
          <cell r="U981">
            <v>12</v>
          </cell>
          <cell r="V981">
            <v>97</v>
          </cell>
          <cell r="W981">
            <v>12</v>
          </cell>
          <cell r="X981">
            <v>97</v>
          </cell>
          <cell r="Y981">
            <v>0</v>
          </cell>
          <cell r="Z981">
            <v>0</v>
          </cell>
          <cell r="AB981" t="str">
            <v>14</v>
          </cell>
          <cell r="AC981">
            <v>2</v>
          </cell>
          <cell r="AD981" t="str">
            <v>0</v>
          </cell>
          <cell r="AE981" t="str">
            <v>0</v>
          </cell>
          <cell r="AF981" t="str">
            <v>20</v>
          </cell>
          <cell r="AI981">
            <v>0</v>
          </cell>
          <cell r="AJ981">
            <v>0</v>
          </cell>
        </row>
        <row r="982">
          <cell r="A982" t="str">
            <v>20</v>
          </cell>
          <cell r="B982" t="str">
            <v>17</v>
          </cell>
          <cell r="C982" t="str">
            <v>437</v>
          </cell>
          <cell r="D982" t="str">
            <v>Ванна постоянного ур</v>
          </cell>
          <cell r="E982" t="str">
            <v>овня и мойка</v>
          </cell>
          <cell r="G982" t="str">
            <v>01</v>
          </cell>
          <cell r="H982">
            <v>36917.01</v>
          </cell>
          <cell r="I982">
            <v>0</v>
          </cell>
          <cell r="J982">
            <v>0</v>
          </cell>
          <cell r="K982">
            <v>1</v>
          </cell>
          <cell r="L982" t="str">
            <v>88/4</v>
          </cell>
          <cell r="M982" t="str">
            <v>45100</v>
          </cell>
          <cell r="N982" t="str">
            <v>14 2925110</v>
          </cell>
          <cell r="P982">
            <v>11.8</v>
          </cell>
          <cell r="Q982">
            <v>0</v>
          </cell>
          <cell r="R982" t="str">
            <v>1</v>
          </cell>
          <cell r="S982" t="str">
            <v>45</v>
          </cell>
          <cell r="T982">
            <v>97</v>
          </cell>
          <cell r="U982">
            <v>12</v>
          </cell>
          <cell r="V982">
            <v>97</v>
          </cell>
          <cell r="W982">
            <v>12</v>
          </cell>
          <cell r="X982">
            <v>97</v>
          </cell>
          <cell r="Y982">
            <v>0</v>
          </cell>
          <cell r="Z982">
            <v>0</v>
          </cell>
          <cell r="AB982" t="str">
            <v>14</v>
          </cell>
          <cell r="AC982">
            <v>2</v>
          </cell>
          <cell r="AD982" t="str">
            <v>0</v>
          </cell>
          <cell r="AE982" t="str">
            <v>0</v>
          </cell>
          <cell r="AF982" t="str">
            <v>20</v>
          </cell>
          <cell r="AI982">
            <v>0</v>
          </cell>
          <cell r="AJ982">
            <v>0</v>
          </cell>
        </row>
        <row r="983">
          <cell r="A983" t="str">
            <v>20</v>
          </cell>
          <cell r="B983" t="str">
            <v>17</v>
          </cell>
          <cell r="C983" t="str">
            <v>438</v>
          </cell>
          <cell r="D983" t="str">
            <v>Ванна постоянного ур</v>
          </cell>
          <cell r="E983" t="str">
            <v>овня и мойка</v>
          </cell>
          <cell r="G983" t="str">
            <v>01</v>
          </cell>
          <cell r="H983">
            <v>36917.01</v>
          </cell>
          <cell r="I983">
            <v>0</v>
          </cell>
          <cell r="J983">
            <v>0</v>
          </cell>
          <cell r="K983">
            <v>1</v>
          </cell>
          <cell r="L983" t="str">
            <v>88/4</v>
          </cell>
          <cell r="M983" t="str">
            <v>45100</v>
          </cell>
          <cell r="N983" t="str">
            <v>14 2925110</v>
          </cell>
          <cell r="P983">
            <v>11.8</v>
          </cell>
          <cell r="Q983">
            <v>0</v>
          </cell>
          <cell r="R983" t="str">
            <v>1</v>
          </cell>
          <cell r="S983" t="str">
            <v>45</v>
          </cell>
          <cell r="T983">
            <v>97</v>
          </cell>
          <cell r="U983">
            <v>12</v>
          </cell>
          <cell r="V983">
            <v>97</v>
          </cell>
          <cell r="W983">
            <v>12</v>
          </cell>
          <cell r="X983">
            <v>97</v>
          </cell>
          <cell r="Y983">
            <v>0</v>
          </cell>
          <cell r="Z983">
            <v>0</v>
          </cell>
          <cell r="AB983" t="str">
            <v>14</v>
          </cell>
          <cell r="AC983">
            <v>2</v>
          </cell>
          <cell r="AD983" t="str">
            <v>0</v>
          </cell>
          <cell r="AE983" t="str">
            <v>0</v>
          </cell>
          <cell r="AF983" t="str">
            <v>20</v>
          </cell>
          <cell r="AI983">
            <v>0</v>
          </cell>
          <cell r="AJ983">
            <v>0</v>
          </cell>
        </row>
        <row r="984">
          <cell r="A984" t="str">
            <v>20</v>
          </cell>
          <cell r="B984" t="str">
            <v>17</v>
          </cell>
          <cell r="C984" t="str">
            <v>439</v>
          </cell>
          <cell r="D984" t="str">
            <v>Емкость с формами</v>
          </cell>
          <cell r="G984" t="str">
            <v>01</v>
          </cell>
          <cell r="H984">
            <v>28492.7</v>
          </cell>
          <cell r="I984">
            <v>0</v>
          </cell>
          <cell r="J984">
            <v>0</v>
          </cell>
          <cell r="K984">
            <v>1</v>
          </cell>
          <cell r="L984" t="str">
            <v>88/4</v>
          </cell>
          <cell r="M984" t="str">
            <v>45100</v>
          </cell>
          <cell r="N984" t="str">
            <v>14 2925110</v>
          </cell>
          <cell r="P984">
            <v>11.8</v>
          </cell>
          <cell r="Q984">
            <v>0</v>
          </cell>
          <cell r="R984" t="str">
            <v>1</v>
          </cell>
          <cell r="S984" t="str">
            <v>45</v>
          </cell>
          <cell r="T984">
            <v>97</v>
          </cell>
          <cell r="U984">
            <v>12</v>
          </cell>
          <cell r="V984">
            <v>97</v>
          </cell>
          <cell r="W984">
            <v>12</v>
          </cell>
          <cell r="X984">
            <v>97</v>
          </cell>
          <cell r="Y984">
            <v>0</v>
          </cell>
          <cell r="Z984">
            <v>0</v>
          </cell>
          <cell r="AB984" t="str">
            <v>14</v>
          </cell>
          <cell r="AC984">
            <v>2</v>
          </cell>
          <cell r="AD984" t="str">
            <v>0</v>
          </cell>
          <cell r="AE984" t="str">
            <v>0</v>
          </cell>
          <cell r="AF984" t="str">
            <v>20</v>
          </cell>
          <cell r="AI984">
            <v>0</v>
          </cell>
          <cell r="AJ984">
            <v>0</v>
          </cell>
        </row>
        <row r="985">
          <cell r="A985" t="str">
            <v>20</v>
          </cell>
          <cell r="B985" t="str">
            <v>17</v>
          </cell>
          <cell r="C985" t="str">
            <v>440</v>
          </cell>
          <cell r="D985" t="str">
            <v>Емкость с формами</v>
          </cell>
          <cell r="G985" t="str">
            <v>01</v>
          </cell>
          <cell r="H985">
            <v>28492.79</v>
          </cell>
          <cell r="I985">
            <v>0</v>
          </cell>
          <cell r="J985">
            <v>0</v>
          </cell>
          <cell r="K985">
            <v>1</v>
          </cell>
          <cell r="L985" t="str">
            <v>88/4</v>
          </cell>
          <cell r="M985" t="str">
            <v>45100</v>
          </cell>
          <cell r="N985" t="str">
            <v>14 2925110</v>
          </cell>
          <cell r="P985">
            <v>11.8</v>
          </cell>
          <cell r="Q985">
            <v>0</v>
          </cell>
          <cell r="R985" t="str">
            <v>1</v>
          </cell>
          <cell r="S985" t="str">
            <v>45</v>
          </cell>
          <cell r="T985">
            <v>97</v>
          </cell>
          <cell r="U985">
            <v>12</v>
          </cell>
          <cell r="V985">
            <v>97</v>
          </cell>
          <cell r="W985">
            <v>12</v>
          </cell>
          <cell r="X985">
            <v>97</v>
          </cell>
          <cell r="Y985">
            <v>0</v>
          </cell>
          <cell r="Z985">
            <v>0</v>
          </cell>
          <cell r="AB985" t="str">
            <v>14</v>
          </cell>
          <cell r="AC985">
            <v>2</v>
          </cell>
          <cell r="AD985" t="str">
            <v>0</v>
          </cell>
          <cell r="AE985" t="str">
            <v>0</v>
          </cell>
          <cell r="AF985" t="str">
            <v>20</v>
          </cell>
          <cell r="AI985">
            <v>0</v>
          </cell>
          <cell r="AJ985">
            <v>0</v>
          </cell>
        </row>
        <row r="986">
          <cell r="A986" t="str">
            <v>20</v>
          </cell>
          <cell r="B986" t="str">
            <v>17</v>
          </cell>
          <cell r="C986" t="str">
            <v>441</v>
          </cell>
          <cell r="D986" t="str">
            <v>Туннель прессования</v>
          </cell>
          <cell r="G986" t="str">
            <v>01</v>
          </cell>
          <cell r="H986">
            <v>37311.19</v>
          </cell>
          <cell r="I986">
            <v>0</v>
          </cell>
          <cell r="J986">
            <v>0</v>
          </cell>
          <cell r="K986">
            <v>1</v>
          </cell>
          <cell r="L986" t="str">
            <v>88/4</v>
          </cell>
          <cell r="M986" t="str">
            <v>45101</v>
          </cell>
          <cell r="N986" t="str">
            <v>14 2925113</v>
          </cell>
          <cell r="P986">
            <v>12.5</v>
          </cell>
          <cell r="Q986">
            <v>0</v>
          </cell>
          <cell r="R986" t="str">
            <v>1</v>
          </cell>
          <cell r="S986" t="str">
            <v>45</v>
          </cell>
          <cell r="T986">
            <v>97</v>
          </cell>
          <cell r="U986">
            <v>12</v>
          </cell>
          <cell r="V986">
            <v>97</v>
          </cell>
          <cell r="W986">
            <v>12</v>
          </cell>
          <cell r="X986">
            <v>97</v>
          </cell>
          <cell r="Y986">
            <v>0</v>
          </cell>
          <cell r="Z986">
            <v>0</v>
          </cell>
          <cell r="AB986" t="str">
            <v>14</v>
          </cell>
          <cell r="AC986">
            <v>2</v>
          </cell>
          <cell r="AD986" t="str">
            <v>0</v>
          </cell>
          <cell r="AE986" t="str">
            <v>0</v>
          </cell>
          <cell r="AF986" t="str">
            <v>20</v>
          </cell>
          <cell r="AI986">
            <v>0</v>
          </cell>
          <cell r="AJ986">
            <v>0</v>
          </cell>
        </row>
        <row r="987">
          <cell r="A987" t="str">
            <v>20</v>
          </cell>
          <cell r="B987" t="str">
            <v>17</v>
          </cell>
          <cell r="C987" t="str">
            <v>442</v>
          </cell>
          <cell r="D987" t="str">
            <v>Резервуав накопитель</v>
          </cell>
          <cell r="E987" t="str">
            <v>ный 2000 л</v>
          </cell>
          <cell r="G987" t="str">
            <v>01</v>
          </cell>
          <cell r="H987">
            <v>8748.58</v>
          </cell>
          <cell r="I987">
            <v>0</v>
          </cell>
          <cell r="J987">
            <v>0</v>
          </cell>
          <cell r="K987">
            <v>1</v>
          </cell>
          <cell r="L987" t="str">
            <v>88/4</v>
          </cell>
          <cell r="M987" t="str">
            <v>45100</v>
          </cell>
          <cell r="N987" t="str">
            <v>14 2925110</v>
          </cell>
          <cell r="P987">
            <v>11.8</v>
          </cell>
          <cell r="Q987">
            <v>0</v>
          </cell>
          <cell r="R987" t="str">
            <v>1</v>
          </cell>
          <cell r="S987" t="str">
            <v>45</v>
          </cell>
          <cell r="T987">
            <v>97</v>
          </cell>
          <cell r="U987">
            <v>12</v>
          </cell>
          <cell r="V987">
            <v>97</v>
          </cell>
          <cell r="W987">
            <v>12</v>
          </cell>
          <cell r="X987">
            <v>97</v>
          </cell>
          <cell r="Y987">
            <v>0</v>
          </cell>
          <cell r="Z987">
            <v>0</v>
          </cell>
          <cell r="AB987" t="str">
            <v>14</v>
          </cell>
          <cell r="AC987">
            <v>2</v>
          </cell>
          <cell r="AD987" t="str">
            <v>0</v>
          </cell>
          <cell r="AE987" t="str">
            <v>0</v>
          </cell>
          <cell r="AF987" t="str">
            <v>20</v>
          </cell>
          <cell r="AI987">
            <v>0</v>
          </cell>
          <cell r="AJ987">
            <v>0</v>
          </cell>
        </row>
        <row r="988">
          <cell r="A988" t="str">
            <v>20</v>
          </cell>
          <cell r="B988" t="str">
            <v>17</v>
          </cell>
          <cell r="C988" t="str">
            <v>443</v>
          </cell>
          <cell r="D988" t="str">
            <v>Установ ка для обезж</v>
          </cell>
          <cell r="E988" t="str">
            <v>иривания SE 07 X</v>
          </cell>
          <cell r="G988" t="str">
            <v>01</v>
          </cell>
          <cell r="H988">
            <v>70990.080000000002</v>
          </cell>
          <cell r="I988">
            <v>0</v>
          </cell>
          <cell r="J988">
            <v>0</v>
          </cell>
          <cell r="K988">
            <v>1</v>
          </cell>
          <cell r="L988" t="str">
            <v>88/4</v>
          </cell>
          <cell r="M988" t="str">
            <v>45100</v>
          </cell>
          <cell r="N988" t="str">
            <v>14 2925110</v>
          </cell>
          <cell r="P988">
            <v>11.8</v>
          </cell>
          <cell r="Q988">
            <v>0</v>
          </cell>
          <cell r="R988" t="str">
            <v>1</v>
          </cell>
          <cell r="S988" t="str">
            <v>45</v>
          </cell>
          <cell r="T988">
            <v>97</v>
          </cell>
          <cell r="U988">
            <v>12</v>
          </cell>
          <cell r="V988">
            <v>97</v>
          </cell>
          <cell r="W988">
            <v>12</v>
          </cell>
          <cell r="X988">
            <v>97</v>
          </cell>
          <cell r="Y988">
            <v>0</v>
          </cell>
          <cell r="Z988">
            <v>0</v>
          </cell>
          <cell r="AB988" t="str">
            <v>14</v>
          </cell>
          <cell r="AC988">
            <v>2</v>
          </cell>
          <cell r="AD988" t="str">
            <v>0</v>
          </cell>
          <cell r="AE988" t="str">
            <v>0</v>
          </cell>
          <cell r="AF988" t="str">
            <v>20</v>
          </cell>
          <cell r="AI988">
            <v>0</v>
          </cell>
          <cell r="AJ988">
            <v>0</v>
          </cell>
        </row>
        <row r="989">
          <cell r="A989" t="str">
            <v>20</v>
          </cell>
          <cell r="B989" t="str">
            <v>17</v>
          </cell>
          <cell r="C989" t="str">
            <v>444</v>
          </cell>
          <cell r="D989" t="str">
            <v>Установка 3х1000л</v>
          </cell>
          <cell r="G989" t="str">
            <v>01</v>
          </cell>
          <cell r="H989">
            <v>131594.65</v>
          </cell>
          <cell r="I989">
            <v>0</v>
          </cell>
          <cell r="J989">
            <v>0</v>
          </cell>
          <cell r="K989">
            <v>1</v>
          </cell>
          <cell r="L989" t="str">
            <v>88/4</v>
          </cell>
          <cell r="M989" t="str">
            <v>45100</v>
          </cell>
          <cell r="N989" t="str">
            <v>14 2925110</v>
          </cell>
          <cell r="P989">
            <v>11.8</v>
          </cell>
          <cell r="Q989">
            <v>0</v>
          </cell>
          <cell r="R989" t="str">
            <v>1</v>
          </cell>
          <cell r="S989" t="str">
            <v>45</v>
          </cell>
          <cell r="T989">
            <v>97</v>
          </cell>
          <cell r="U989">
            <v>12</v>
          </cell>
          <cell r="V989">
            <v>97</v>
          </cell>
          <cell r="W989">
            <v>12</v>
          </cell>
          <cell r="X989">
            <v>97</v>
          </cell>
          <cell r="Y989">
            <v>0</v>
          </cell>
          <cell r="Z989">
            <v>0</v>
          </cell>
          <cell r="AB989" t="str">
            <v>14</v>
          </cell>
          <cell r="AC989">
            <v>2</v>
          </cell>
          <cell r="AD989" t="str">
            <v>0</v>
          </cell>
          <cell r="AE989" t="str">
            <v>0</v>
          </cell>
          <cell r="AF989" t="str">
            <v>20</v>
          </cell>
          <cell r="AI989">
            <v>0</v>
          </cell>
          <cell r="AJ989">
            <v>0</v>
          </cell>
        </row>
        <row r="990">
          <cell r="A990" t="str">
            <v>20</v>
          </cell>
          <cell r="B990" t="str">
            <v>17</v>
          </cell>
          <cell r="C990" t="str">
            <v>445</v>
          </cell>
          <cell r="D990" t="str">
            <v>Электронасос СА 200</v>
          </cell>
          <cell r="E990" t="str">
            <v>MR</v>
          </cell>
          <cell r="G990" t="str">
            <v>01</v>
          </cell>
          <cell r="H990">
            <v>17530.16</v>
          </cell>
          <cell r="I990">
            <v>0</v>
          </cell>
          <cell r="J990">
            <v>0</v>
          </cell>
          <cell r="K990">
            <v>1</v>
          </cell>
          <cell r="L990" t="str">
            <v>88/4</v>
          </cell>
          <cell r="M990" t="str">
            <v>45100</v>
          </cell>
          <cell r="N990" t="str">
            <v>14 2925110</v>
          </cell>
          <cell r="P990">
            <v>11.8</v>
          </cell>
          <cell r="Q990">
            <v>0</v>
          </cell>
          <cell r="R990" t="str">
            <v>1</v>
          </cell>
          <cell r="S990" t="str">
            <v>41</v>
          </cell>
          <cell r="T990">
            <v>97</v>
          </cell>
          <cell r="U990">
            <v>12</v>
          </cell>
          <cell r="V990">
            <v>97</v>
          </cell>
          <cell r="W990">
            <v>12</v>
          </cell>
          <cell r="X990">
            <v>97</v>
          </cell>
          <cell r="Y990">
            <v>0</v>
          </cell>
          <cell r="Z990">
            <v>0</v>
          </cell>
          <cell r="AB990" t="str">
            <v>14</v>
          </cell>
          <cell r="AC990">
            <v>2</v>
          </cell>
          <cell r="AD990" t="str">
            <v>0</v>
          </cell>
          <cell r="AE990" t="str">
            <v>0</v>
          </cell>
          <cell r="AF990" t="str">
            <v>20</v>
          </cell>
          <cell r="AI990">
            <v>0</v>
          </cell>
          <cell r="AJ990">
            <v>0</v>
          </cell>
        </row>
        <row r="991">
          <cell r="A991" t="str">
            <v>20</v>
          </cell>
          <cell r="B991" t="str">
            <v>17</v>
          </cell>
          <cell r="C991" t="str">
            <v>446</v>
          </cell>
          <cell r="D991" t="str">
            <v>Емкость для сыворотк</v>
          </cell>
          <cell r="E991" t="str">
            <v>и 5000л</v>
          </cell>
          <cell r="G991" t="str">
            <v>01</v>
          </cell>
          <cell r="H991">
            <v>23838.59</v>
          </cell>
          <cell r="I991">
            <v>0</v>
          </cell>
          <cell r="J991">
            <v>0</v>
          </cell>
          <cell r="K991">
            <v>1</v>
          </cell>
          <cell r="L991" t="str">
            <v>88/4</v>
          </cell>
          <cell r="M991" t="str">
            <v>45100</v>
          </cell>
          <cell r="N991" t="str">
            <v>14 2925110</v>
          </cell>
          <cell r="P991">
            <v>11.8</v>
          </cell>
          <cell r="Q991">
            <v>0</v>
          </cell>
          <cell r="R991" t="str">
            <v>1</v>
          </cell>
          <cell r="S991" t="str">
            <v>45</v>
          </cell>
          <cell r="T991">
            <v>97</v>
          </cell>
          <cell r="U991">
            <v>12</v>
          </cell>
          <cell r="V991">
            <v>97</v>
          </cell>
          <cell r="W991">
            <v>12</v>
          </cell>
          <cell r="X991">
            <v>97</v>
          </cell>
          <cell r="Y991">
            <v>0</v>
          </cell>
          <cell r="Z991">
            <v>0</v>
          </cell>
          <cell r="AB991" t="str">
            <v>14</v>
          </cell>
          <cell r="AC991">
            <v>2</v>
          </cell>
          <cell r="AD991" t="str">
            <v>0</v>
          </cell>
          <cell r="AE991" t="str">
            <v>0</v>
          </cell>
          <cell r="AF991" t="str">
            <v>20</v>
          </cell>
          <cell r="AI991">
            <v>0</v>
          </cell>
          <cell r="AJ991">
            <v>0</v>
          </cell>
        </row>
        <row r="992">
          <cell r="A992" t="str">
            <v>20</v>
          </cell>
          <cell r="B992" t="str">
            <v>17</v>
          </cell>
          <cell r="C992" t="str">
            <v>447</v>
          </cell>
          <cell r="D992" t="str">
            <v>Электронасос загрузк</v>
          </cell>
          <cell r="E992" t="str">
            <v>и сыворотки  S20 CMR</v>
          </cell>
          <cell r="G992" t="str">
            <v>01</v>
          </cell>
          <cell r="H992">
            <v>17154.16</v>
          </cell>
          <cell r="I992">
            <v>0</v>
          </cell>
          <cell r="J992">
            <v>0</v>
          </cell>
          <cell r="K992">
            <v>1</v>
          </cell>
          <cell r="L992" t="str">
            <v>88/4</v>
          </cell>
          <cell r="M992" t="str">
            <v>45100</v>
          </cell>
          <cell r="N992" t="str">
            <v>14 2925110</v>
          </cell>
          <cell r="P992">
            <v>11.8</v>
          </cell>
          <cell r="Q992">
            <v>0</v>
          </cell>
          <cell r="R992" t="str">
            <v>1</v>
          </cell>
          <cell r="S992" t="str">
            <v>45</v>
          </cell>
          <cell r="T992">
            <v>97</v>
          </cell>
          <cell r="U992">
            <v>12</v>
          </cell>
          <cell r="V992">
            <v>97</v>
          </cell>
          <cell r="W992">
            <v>12</v>
          </cell>
          <cell r="X992">
            <v>97</v>
          </cell>
          <cell r="Y992">
            <v>0</v>
          </cell>
          <cell r="Z992">
            <v>0</v>
          </cell>
          <cell r="AB992" t="str">
            <v>14</v>
          </cell>
          <cell r="AC992">
            <v>2</v>
          </cell>
          <cell r="AD992" t="str">
            <v>0</v>
          </cell>
          <cell r="AE992" t="str">
            <v>0</v>
          </cell>
          <cell r="AF992" t="str">
            <v>20</v>
          </cell>
          <cell r="AI992">
            <v>0</v>
          </cell>
          <cell r="AJ992">
            <v>0</v>
          </cell>
        </row>
        <row r="993">
          <cell r="A993" t="str">
            <v>20</v>
          </cell>
          <cell r="B993" t="str">
            <v>17</v>
          </cell>
          <cell r="C993" t="str">
            <v>448</v>
          </cell>
          <cell r="D993" t="str">
            <v>Помещение для созрев</v>
          </cell>
          <cell r="E993" t="str">
            <v>ания сыров</v>
          </cell>
          <cell r="G993" t="str">
            <v>01</v>
          </cell>
          <cell r="H993">
            <v>19848.86</v>
          </cell>
          <cell r="I993">
            <v>0</v>
          </cell>
          <cell r="J993">
            <v>0</v>
          </cell>
          <cell r="K993">
            <v>1</v>
          </cell>
          <cell r="L993" t="str">
            <v>88/4</v>
          </cell>
          <cell r="M993" t="str">
            <v>45101</v>
          </cell>
          <cell r="N993" t="str">
            <v>14 2925113</v>
          </cell>
          <cell r="P993">
            <v>12.5</v>
          </cell>
          <cell r="Q993">
            <v>0</v>
          </cell>
          <cell r="R993" t="str">
            <v>1</v>
          </cell>
          <cell r="S993" t="str">
            <v>45</v>
          </cell>
          <cell r="T993">
            <v>97</v>
          </cell>
          <cell r="U993">
            <v>12</v>
          </cell>
          <cell r="V993">
            <v>97</v>
          </cell>
          <cell r="W993">
            <v>12</v>
          </cell>
          <cell r="X993">
            <v>97</v>
          </cell>
          <cell r="Y993">
            <v>0</v>
          </cell>
          <cell r="Z993">
            <v>0</v>
          </cell>
          <cell r="AB993" t="str">
            <v>14</v>
          </cell>
          <cell r="AC993">
            <v>2</v>
          </cell>
          <cell r="AD993" t="str">
            <v>0</v>
          </cell>
          <cell r="AE993" t="str">
            <v>0</v>
          </cell>
          <cell r="AF993" t="str">
            <v>20</v>
          </cell>
          <cell r="AI993">
            <v>0</v>
          </cell>
          <cell r="AJ993">
            <v>0</v>
          </cell>
        </row>
        <row r="994">
          <cell r="A994" t="str">
            <v>20</v>
          </cell>
          <cell r="B994" t="str">
            <v>17</v>
          </cell>
          <cell r="C994" t="str">
            <v>449</v>
          </cell>
          <cell r="D994" t="str">
            <v>Помещение для посола</v>
          </cell>
          <cell r="E994" t="str">
            <v>3.5х7</v>
          </cell>
          <cell r="G994" t="str">
            <v>01</v>
          </cell>
          <cell r="H994">
            <v>15176.1</v>
          </cell>
          <cell r="I994">
            <v>0</v>
          </cell>
          <cell r="J994">
            <v>0</v>
          </cell>
          <cell r="K994">
            <v>1</v>
          </cell>
          <cell r="L994" t="str">
            <v>88/4</v>
          </cell>
          <cell r="M994" t="str">
            <v>45101</v>
          </cell>
          <cell r="N994" t="str">
            <v>14 2925113</v>
          </cell>
          <cell r="P994">
            <v>12.5</v>
          </cell>
          <cell r="Q994">
            <v>0</v>
          </cell>
          <cell r="R994" t="str">
            <v>1</v>
          </cell>
          <cell r="S994" t="str">
            <v>45</v>
          </cell>
          <cell r="T994">
            <v>97</v>
          </cell>
          <cell r="U994">
            <v>12</v>
          </cell>
          <cell r="V994">
            <v>97</v>
          </cell>
          <cell r="W994">
            <v>12</v>
          </cell>
          <cell r="X994">
            <v>97</v>
          </cell>
          <cell r="Y994">
            <v>0</v>
          </cell>
          <cell r="Z994">
            <v>0</v>
          </cell>
          <cell r="AB994" t="str">
            <v>14</v>
          </cell>
          <cell r="AC994">
            <v>2</v>
          </cell>
          <cell r="AD994" t="str">
            <v>0</v>
          </cell>
          <cell r="AE994" t="str">
            <v>0</v>
          </cell>
          <cell r="AF994" t="str">
            <v>20</v>
          </cell>
          <cell r="AI994">
            <v>0</v>
          </cell>
          <cell r="AJ994">
            <v>0</v>
          </cell>
        </row>
        <row r="995">
          <cell r="A995" t="str">
            <v>20</v>
          </cell>
          <cell r="B995" t="str">
            <v>17</v>
          </cell>
          <cell r="C995" t="str">
            <v>450</v>
          </cell>
          <cell r="D995" t="str">
            <v>Камера для пастерили</v>
          </cell>
          <cell r="E995" t="str">
            <v>зации молока</v>
          </cell>
          <cell r="G995" t="str">
            <v>01</v>
          </cell>
          <cell r="H995">
            <v>38889.86</v>
          </cell>
          <cell r="I995">
            <v>0</v>
          </cell>
          <cell r="J995">
            <v>0</v>
          </cell>
          <cell r="K995">
            <v>1</v>
          </cell>
          <cell r="L995" t="str">
            <v>88/4</v>
          </cell>
          <cell r="M995" t="str">
            <v>45101</v>
          </cell>
          <cell r="N995" t="str">
            <v>14 2925110</v>
          </cell>
          <cell r="P995">
            <v>12.5</v>
          </cell>
          <cell r="Q995">
            <v>0</v>
          </cell>
          <cell r="R995" t="str">
            <v>1</v>
          </cell>
          <cell r="S995" t="str">
            <v>45</v>
          </cell>
          <cell r="T995">
            <v>97</v>
          </cell>
          <cell r="U995">
            <v>12</v>
          </cell>
          <cell r="V995">
            <v>97</v>
          </cell>
          <cell r="W995">
            <v>12</v>
          </cell>
          <cell r="X995">
            <v>97</v>
          </cell>
          <cell r="Y995">
            <v>0</v>
          </cell>
          <cell r="Z995">
            <v>0</v>
          </cell>
          <cell r="AB995" t="str">
            <v>14</v>
          </cell>
          <cell r="AC995">
            <v>2</v>
          </cell>
          <cell r="AD995" t="str">
            <v>0</v>
          </cell>
          <cell r="AE995" t="str">
            <v>0</v>
          </cell>
          <cell r="AF995" t="str">
            <v>20</v>
          </cell>
          <cell r="AI995">
            <v>0</v>
          </cell>
          <cell r="AJ995">
            <v>0</v>
          </cell>
        </row>
        <row r="996">
          <cell r="A996" t="str">
            <v>20</v>
          </cell>
          <cell r="B996" t="str">
            <v>17</v>
          </cell>
          <cell r="C996" t="str">
            <v>451</v>
          </cell>
          <cell r="D996" t="str">
            <v>Камера для кефира</v>
          </cell>
          <cell r="E996" t="str">
            <v>2.3х4.5</v>
          </cell>
          <cell r="G996" t="str">
            <v>01</v>
          </cell>
          <cell r="H996">
            <v>38889.86</v>
          </cell>
          <cell r="I996">
            <v>0</v>
          </cell>
          <cell r="J996">
            <v>0</v>
          </cell>
          <cell r="K996">
            <v>1</v>
          </cell>
          <cell r="L996" t="str">
            <v>88/4</v>
          </cell>
          <cell r="M996" t="str">
            <v>45101</v>
          </cell>
          <cell r="N996" t="str">
            <v>14 2925110</v>
          </cell>
          <cell r="P996">
            <v>12.5</v>
          </cell>
          <cell r="Q996">
            <v>0</v>
          </cell>
          <cell r="R996" t="str">
            <v>1</v>
          </cell>
          <cell r="S996" t="str">
            <v>45</v>
          </cell>
          <cell r="T996">
            <v>97</v>
          </cell>
          <cell r="U996">
            <v>12</v>
          </cell>
          <cell r="V996">
            <v>97</v>
          </cell>
          <cell r="W996">
            <v>12</v>
          </cell>
          <cell r="X996">
            <v>97</v>
          </cell>
          <cell r="Y996">
            <v>0</v>
          </cell>
          <cell r="Z996">
            <v>0</v>
          </cell>
          <cell r="AB996" t="str">
            <v>14</v>
          </cell>
          <cell r="AC996">
            <v>2</v>
          </cell>
          <cell r="AD996" t="str">
            <v>0</v>
          </cell>
          <cell r="AE996" t="str">
            <v>0</v>
          </cell>
          <cell r="AF996" t="str">
            <v>20</v>
          </cell>
          <cell r="AI996">
            <v>0</v>
          </cell>
          <cell r="AJ996">
            <v>0</v>
          </cell>
        </row>
        <row r="997">
          <cell r="A997" t="str">
            <v>20</v>
          </cell>
          <cell r="B997" t="str">
            <v>17</v>
          </cell>
          <cell r="C997" t="str">
            <v>452</v>
          </cell>
          <cell r="D997" t="str">
            <v>Камера для свежих пр</v>
          </cell>
          <cell r="E997" t="str">
            <v>одуктов</v>
          </cell>
          <cell r="G997" t="str">
            <v>01</v>
          </cell>
          <cell r="H997">
            <v>19733.310000000001</v>
          </cell>
          <cell r="I997">
            <v>0</v>
          </cell>
          <cell r="J997">
            <v>0</v>
          </cell>
          <cell r="K997">
            <v>1</v>
          </cell>
          <cell r="L997" t="str">
            <v>88/4</v>
          </cell>
          <cell r="M997" t="str">
            <v>45101</v>
          </cell>
          <cell r="N997" t="str">
            <v>14 2925110</v>
          </cell>
          <cell r="P997">
            <v>12.5</v>
          </cell>
          <cell r="Q997">
            <v>0</v>
          </cell>
          <cell r="R997" t="str">
            <v>1</v>
          </cell>
          <cell r="S997" t="str">
            <v>45</v>
          </cell>
          <cell r="T997">
            <v>97</v>
          </cell>
          <cell r="U997">
            <v>12</v>
          </cell>
          <cell r="V997">
            <v>97</v>
          </cell>
          <cell r="W997">
            <v>12</v>
          </cell>
          <cell r="X997">
            <v>97</v>
          </cell>
          <cell r="Y997">
            <v>0</v>
          </cell>
          <cell r="Z997">
            <v>0</v>
          </cell>
          <cell r="AB997" t="str">
            <v>14</v>
          </cell>
          <cell r="AC997">
            <v>2</v>
          </cell>
          <cell r="AD997" t="str">
            <v>0</v>
          </cell>
          <cell r="AE997" t="str">
            <v>0</v>
          </cell>
          <cell r="AF997" t="str">
            <v>20</v>
          </cell>
          <cell r="AI997">
            <v>0</v>
          </cell>
          <cell r="AJ997">
            <v>0</v>
          </cell>
        </row>
        <row r="998">
          <cell r="A998" t="str">
            <v>20</v>
          </cell>
          <cell r="B998" t="str">
            <v>17</v>
          </cell>
          <cell r="C998" t="str">
            <v>453</v>
          </cell>
          <cell r="D998" t="str">
            <v>Агрега холодильный У</v>
          </cell>
          <cell r="E998" t="str">
            <v>нисистем IBN 120 EUV</v>
          </cell>
          <cell r="F998" t="str">
            <v>R 22</v>
          </cell>
          <cell r="G998" t="str">
            <v>01</v>
          </cell>
          <cell r="H998">
            <v>68479.72</v>
          </cell>
          <cell r="I998">
            <v>0</v>
          </cell>
          <cell r="J998">
            <v>0</v>
          </cell>
          <cell r="K998">
            <v>1</v>
          </cell>
          <cell r="L998" t="str">
            <v>88/4</v>
          </cell>
          <cell r="M998" t="str">
            <v>45104</v>
          </cell>
          <cell r="N998" t="str">
            <v>14 2919595</v>
          </cell>
          <cell r="P998">
            <v>10</v>
          </cell>
          <cell r="Q998">
            <v>0</v>
          </cell>
          <cell r="R998" t="str">
            <v>1</v>
          </cell>
          <cell r="S998" t="str">
            <v>45</v>
          </cell>
          <cell r="T998">
            <v>97</v>
          </cell>
          <cell r="U998">
            <v>12</v>
          </cell>
          <cell r="V998">
            <v>97</v>
          </cell>
          <cell r="W998">
            <v>12</v>
          </cell>
          <cell r="X998">
            <v>97</v>
          </cell>
          <cell r="Y998">
            <v>0</v>
          </cell>
          <cell r="Z998">
            <v>0</v>
          </cell>
          <cell r="AB998" t="str">
            <v>14</v>
          </cell>
          <cell r="AC998">
            <v>2</v>
          </cell>
          <cell r="AD998" t="str">
            <v>0</v>
          </cell>
          <cell r="AE998" t="str">
            <v>0</v>
          </cell>
          <cell r="AF998" t="str">
            <v>20</v>
          </cell>
          <cell r="AI998">
            <v>0</v>
          </cell>
          <cell r="AJ998">
            <v>0</v>
          </cell>
        </row>
        <row r="999">
          <cell r="A999" t="str">
            <v>20</v>
          </cell>
          <cell r="B999" t="str">
            <v>17</v>
          </cell>
          <cell r="C999" t="str">
            <v>454</v>
          </cell>
          <cell r="D999" t="str">
            <v>Агрегат холодильный</v>
          </cell>
          <cell r="E999" t="str">
            <v>Унисистем IBN 120 EU</v>
          </cell>
          <cell r="F999" t="str">
            <v>VR 22</v>
          </cell>
          <cell r="G999" t="str">
            <v>01</v>
          </cell>
          <cell r="H999">
            <v>68479.72</v>
          </cell>
          <cell r="I999">
            <v>0</v>
          </cell>
          <cell r="J999">
            <v>0</v>
          </cell>
          <cell r="K999">
            <v>1</v>
          </cell>
          <cell r="L999" t="str">
            <v>88/4</v>
          </cell>
          <cell r="M999" t="str">
            <v>45104</v>
          </cell>
          <cell r="N999" t="str">
            <v>14 2919595</v>
          </cell>
          <cell r="P999">
            <v>10</v>
          </cell>
          <cell r="Q999">
            <v>0</v>
          </cell>
          <cell r="R999" t="str">
            <v>1</v>
          </cell>
          <cell r="S999" t="str">
            <v>45</v>
          </cell>
          <cell r="T999">
            <v>97</v>
          </cell>
          <cell r="U999">
            <v>12</v>
          </cell>
          <cell r="V999">
            <v>97</v>
          </cell>
          <cell r="W999">
            <v>12</v>
          </cell>
          <cell r="X999">
            <v>97</v>
          </cell>
          <cell r="Y999">
            <v>0</v>
          </cell>
          <cell r="Z999">
            <v>0</v>
          </cell>
          <cell r="AB999" t="str">
            <v>14</v>
          </cell>
          <cell r="AC999">
            <v>2</v>
          </cell>
          <cell r="AD999" t="str">
            <v>0</v>
          </cell>
          <cell r="AE999" t="str">
            <v>0</v>
          </cell>
          <cell r="AF999" t="str">
            <v>20</v>
          </cell>
          <cell r="AI999">
            <v>0</v>
          </cell>
          <cell r="AJ999">
            <v>0</v>
          </cell>
        </row>
        <row r="1000">
          <cell r="A1000" t="str">
            <v>20</v>
          </cell>
          <cell r="B1000" t="str">
            <v>17</v>
          </cell>
          <cell r="C1000" t="str">
            <v>455</v>
          </cell>
          <cell r="D1000" t="str">
            <v>Агрегат холодильный</v>
          </cell>
          <cell r="E1000" t="str">
            <v>Унисистем INB 120 EU</v>
          </cell>
          <cell r="F1000" t="str">
            <v>VR 22</v>
          </cell>
          <cell r="G1000" t="str">
            <v>01</v>
          </cell>
          <cell r="H1000">
            <v>68479.72</v>
          </cell>
          <cell r="I1000">
            <v>0</v>
          </cell>
          <cell r="J1000">
            <v>0</v>
          </cell>
          <cell r="K1000">
            <v>1</v>
          </cell>
          <cell r="L1000" t="str">
            <v>88/4</v>
          </cell>
          <cell r="M1000" t="str">
            <v>45104</v>
          </cell>
          <cell r="N1000" t="str">
            <v>14 2919595</v>
          </cell>
          <cell r="P1000">
            <v>10</v>
          </cell>
          <cell r="Q1000">
            <v>0</v>
          </cell>
          <cell r="R1000" t="str">
            <v>1</v>
          </cell>
          <cell r="S1000" t="str">
            <v>45</v>
          </cell>
          <cell r="T1000">
            <v>97</v>
          </cell>
          <cell r="U1000">
            <v>12</v>
          </cell>
          <cell r="V1000">
            <v>97</v>
          </cell>
          <cell r="W1000">
            <v>12</v>
          </cell>
          <cell r="X1000">
            <v>97</v>
          </cell>
          <cell r="Y1000">
            <v>0</v>
          </cell>
          <cell r="Z1000">
            <v>0</v>
          </cell>
          <cell r="AB1000" t="str">
            <v>14</v>
          </cell>
          <cell r="AC1000">
            <v>2</v>
          </cell>
          <cell r="AD1000" t="str">
            <v>0</v>
          </cell>
          <cell r="AE1000" t="str">
            <v>0</v>
          </cell>
          <cell r="AF1000" t="str">
            <v>20</v>
          </cell>
          <cell r="AI1000">
            <v>0</v>
          </cell>
          <cell r="AJ1000">
            <v>0</v>
          </cell>
        </row>
        <row r="1001">
          <cell r="A1001" t="str">
            <v>20</v>
          </cell>
          <cell r="B1001" t="str">
            <v>17</v>
          </cell>
          <cell r="C1001" t="str">
            <v>456</v>
          </cell>
          <cell r="D1001" t="str">
            <v>Агрегат холодильный</v>
          </cell>
          <cell r="E1001" t="str">
            <v>Унисистем INB 120 EU</v>
          </cell>
          <cell r="F1001" t="str">
            <v>VR 22</v>
          </cell>
          <cell r="G1001" t="str">
            <v>01</v>
          </cell>
          <cell r="H1001">
            <v>68479.72</v>
          </cell>
          <cell r="I1001">
            <v>0</v>
          </cell>
          <cell r="J1001">
            <v>0</v>
          </cell>
          <cell r="K1001">
            <v>1</v>
          </cell>
          <cell r="L1001" t="str">
            <v>88/4</v>
          </cell>
          <cell r="M1001" t="str">
            <v>45104</v>
          </cell>
          <cell r="N1001" t="str">
            <v>14 2919595</v>
          </cell>
          <cell r="P1001">
            <v>10</v>
          </cell>
          <cell r="Q1001">
            <v>0</v>
          </cell>
          <cell r="R1001" t="str">
            <v>1</v>
          </cell>
          <cell r="S1001" t="str">
            <v>45</v>
          </cell>
          <cell r="T1001">
            <v>97</v>
          </cell>
          <cell r="U1001">
            <v>12</v>
          </cell>
          <cell r="V1001">
            <v>97</v>
          </cell>
          <cell r="W1001">
            <v>12</v>
          </cell>
          <cell r="X1001">
            <v>97</v>
          </cell>
          <cell r="Y1001">
            <v>0</v>
          </cell>
          <cell r="Z1001">
            <v>0</v>
          </cell>
          <cell r="AB1001" t="str">
            <v>14</v>
          </cell>
          <cell r="AC1001">
            <v>2</v>
          </cell>
          <cell r="AD1001" t="str">
            <v>0</v>
          </cell>
          <cell r="AE1001" t="str">
            <v>0</v>
          </cell>
          <cell r="AF1001" t="str">
            <v>20</v>
          </cell>
          <cell r="AI1001">
            <v>0</v>
          </cell>
          <cell r="AJ1001">
            <v>0</v>
          </cell>
        </row>
        <row r="1002">
          <cell r="A1002" t="str">
            <v>20</v>
          </cell>
          <cell r="B1002" t="str">
            <v>17</v>
          </cell>
          <cell r="C1002" t="str">
            <v>457</v>
          </cell>
          <cell r="D1002" t="str">
            <v>Агрегат холодильный</v>
          </cell>
          <cell r="E1002" t="str">
            <v>Унисистем INB 120 EU</v>
          </cell>
          <cell r="F1002" t="str">
            <v>VR 22</v>
          </cell>
          <cell r="G1002" t="str">
            <v>01</v>
          </cell>
          <cell r="H1002">
            <v>68479.72</v>
          </cell>
          <cell r="I1002">
            <v>0</v>
          </cell>
          <cell r="J1002">
            <v>0</v>
          </cell>
          <cell r="K1002">
            <v>1</v>
          </cell>
          <cell r="L1002" t="str">
            <v>88/4</v>
          </cell>
          <cell r="M1002" t="str">
            <v>45104</v>
          </cell>
          <cell r="N1002" t="str">
            <v>14 2919595</v>
          </cell>
          <cell r="P1002">
            <v>10</v>
          </cell>
          <cell r="Q1002">
            <v>0</v>
          </cell>
          <cell r="R1002" t="str">
            <v>1</v>
          </cell>
          <cell r="S1002" t="str">
            <v>45</v>
          </cell>
          <cell r="T1002">
            <v>97</v>
          </cell>
          <cell r="U1002">
            <v>12</v>
          </cell>
          <cell r="V1002">
            <v>97</v>
          </cell>
          <cell r="W1002">
            <v>12</v>
          </cell>
          <cell r="X1002">
            <v>97</v>
          </cell>
          <cell r="Y1002">
            <v>0</v>
          </cell>
          <cell r="Z1002">
            <v>0</v>
          </cell>
          <cell r="AB1002" t="str">
            <v>14</v>
          </cell>
          <cell r="AC1002">
            <v>2</v>
          </cell>
          <cell r="AD1002" t="str">
            <v>0</v>
          </cell>
          <cell r="AE1002" t="str">
            <v>0</v>
          </cell>
          <cell r="AF1002" t="str">
            <v>20</v>
          </cell>
          <cell r="AI1002">
            <v>0</v>
          </cell>
          <cell r="AJ1002">
            <v>0</v>
          </cell>
        </row>
        <row r="1003">
          <cell r="A1003" t="str">
            <v>20</v>
          </cell>
          <cell r="B1003" t="str">
            <v>17</v>
          </cell>
          <cell r="C1003" t="str">
            <v>458</v>
          </cell>
          <cell r="D1003" t="str">
            <v>Агрегат холодильный</v>
          </cell>
          <cell r="E1003" t="str">
            <v>Унисистем INB 120 EU</v>
          </cell>
          <cell r="F1003" t="str">
            <v>VR 22</v>
          </cell>
          <cell r="G1003" t="str">
            <v>01</v>
          </cell>
          <cell r="H1003">
            <v>68479.73</v>
          </cell>
          <cell r="I1003">
            <v>0</v>
          </cell>
          <cell r="J1003">
            <v>0</v>
          </cell>
          <cell r="K1003">
            <v>1</v>
          </cell>
          <cell r="L1003" t="str">
            <v>88/4</v>
          </cell>
          <cell r="M1003" t="str">
            <v>45104</v>
          </cell>
          <cell r="N1003" t="str">
            <v>14 2919595</v>
          </cell>
          <cell r="P1003">
            <v>10</v>
          </cell>
          <cell r="Q1003">
            <v>0</v>
          </cell>
          <cell r="R1003" t="str">
            <v>1</v>
          </cell>
          <cell r="S1003" t="str">
            <v>45</v>
          </cell>
          <cell r="T1003">
            <v>97</v>
          </cell>
          <cell r="U1003">
            <v>12</v>
          </cell>
          <cell r="V1003">
            <v>97</v>
          </cell>
          <cell r="W1003">
            <v>12</v>
          </cell>
          <cell r="X1003">
            <v>97</v>
          </cell>
          <cell r="Y1003">
            <v>0</v>
          </cell>
          <cell r="Z1003">
            <v>0</v>
          </cell>
          <cell r="AB1003" t="str">
            <v>14</v>
          </cell>
          <cell r="AC1003">
            <v>2</v>
          </cell>
          <cell r="AD1003" t="str">
            <v>0</v>
          </cell>
          <cell r="AE1003" t="str">
            <v>0</v>
          </cell>
          <cell r="AF1003" t="str">
            <v>20</v>
          </cell>
          <cell r="AI1003">
            <v>0</v>
          </cell>
          <cell r="AJ1003">
            <v>0</v>
          </cell>
        </row>
        <row r="1004">
          <cell r="A1004" t="str">
            <v>20</v>
          </cell>
          <cell r="B1004" t="str">
            <v>17</v>
          </cell>
          <cell r="C1004" t="str">
            <v>459</v>
          </cell>
          <cell r="D1004" t="str">
            <v>Пластинчатый теплооб</v>
          </cell>
          <cell r="E1004" t="str">
            <v>менник</v>
          </cell>
          <cell r="G1004" t="str">
            <v>01</v>
          </cell>
          <cell r="H1004">
            <v>42386.93</v>
          </cell>
          <cell r="I1004">
            <v>0</v>
          </cell>
          <cell r="J1004">
            <v>0</v>
          </cell>
          <cell r="K1004">
            <v>1</v>
          </cell>
          <cell r="L1004" t="str">
            <v>88/4</v>
          </cell>
          <cell r="M1004" t="str">
            <v>45104</v>
          </cell>
          <cell r="N1004" t="str">
            <v>14 2919609</v>
          </cell>
          <cell r="P1004">
            <v>10</v>
          </cell>
          <cell r="Q1004">
            <v>0</v>
          </cell>
          <cell r="R1004" t="str">
            <v>1</v>
          </cell>
          <cell r="S1004" t="str">
            <v>45</v>
          </cell>
          <cell r="T1004">
            <v>97</v>
          </cell>
          <cell r="U1004">
            <v>12</v>
          </cell>
          <cell r="V1004">
            <v>97</v>
          </cell>
          <cell r="W1004">
            <v>12</v>
          </cell>
          <cell r="X1004">
            <v>97</v>
          </cell>
          <cell r="Y1004">
            <v>0</v>
          </cell>
          <cell r="Z1004">
            <v>0</v>
          </cell>
          <cell r="AB1004" t="str">
            <v>14</v>
          </cell>
          <cell r="AC1004">
            <v>2</v>
          </cell>
          <cell r="AD1004" t="str">
            <v>0</v>
          </cell>
          <cell r="AE1004" t="str">
            <v>0</v>
          </cell>
          <cell r="AF1004" t="str">
            <v>20</v>
          </cell>
          <cell r="AI1004">
            <v>0</v>
          </cell>
          <cell r="AJ1004">
            <v>0</v>
          </cell>
        </row>
        <row r="1005">
          <cell r="A1005" t="str">
            <v>20</v>
          </cell>
          <cell r="B1005" t="str">
            <v>17</v>
          </cell>
          <cell r="C1005" t="str">
            <v>460</v>
          </cell>
          <cell r="D1005" t="str">
            <v>Многофункц.ванна с а</v>
          </cell>
          <cell r="E1005" t="str">
            <v>втомат.мойкой POL-ME</v>
          </cell>
          <cell r="F1005" t="str">
            <v>C 16</v>
          </cell>
          <cell r="G1005" t="str">
            <v>01</v>
          </cell>
          <cell r="H1005">
            <v>26725.11</v>
          </cell>
          <cell r="I1005">
            <v>0</v>
          </cell>
          <cell r="J1005">
            <v>0</v>
          </cell>
          <cell r="K1005">
            <v>1</v>
          </cell>
          <cell r="L1005" t="str">
            <v>88/4</v>
          </cell>
          <cell r="M1005" t="str">
            <v>45100</v>
          </cell>
          <cell r="N1005" t="str">
            <v>14 2925110</v>
          </cell>
          <cell r="P1005">
            <v>11.8</v>
          </cell>
          <cell r="Q1005">
            <v>0</v>
          </cell>
          <cell r="R1005" t="str">
            <v>1</v>
          </cell>
          <cell r="S1005" t="str">
            <v>45</v>
          </cell>
          <cell r="T1005">
            <v>97</v>
          </cell>
          <cell r="U1005">
            <v>12</v>
          </cell>
          <cell r="V1005">
            <v>97</v>
          </cell>
          <cell r="W1005">
            <v>12</v>
          </cell>
          <cell r="X1005">
            <v>97</v>
          </cell>
          <cell r="Y1005">
            <v>0</v>
          </cell>
          <cell r="Z1005">
            <v>0</v>
          </cell>
          <cell r="AB1005" t="str">
            <v>14</v>
          </cell>
          <cell r="AC1005">
            <v>2</v>
          </cell>
          <cell r="AD1005" t="str">
            <v>0</v>
          </cell>
          <cell r="AE1005" t="str">
            <v>0</v>
          </cell>
          <cell r="AF1005" t="str">
            <v>20</v>
          </cell>
          <cell r="AI1005">
            <v>0</v>
          </cell>
          <cell r="AJ1005">
            <v>0</v>
          </cell>
        </row>
        <row r="1006">
          <cell r="A1006" t="str">
            <v>20</v>
          </cell>
          <cell r="B1006" t="str">
            <v>17</v>
          </cell>
          <cell r="C1006" t="str">
            <v>461</v>
          </cell>
          <cell r="D1006" t="str">
            <v>Электронасос для сыв</v>
          </cell>
          <cell r="E1006" t="str">
            <v>оротки А-80 MR</v>
          </cell>
          <cell r="G1006" t="str">
            <v>01</v>
          </cell>
          <cell r="H1006">
            <v>13699.72</v>
          </cell>
          <cell r="I1006">
            <v>0</v>
          </cell>
          <cell r="J1006">
            <v>0</v>
          </cell>
          <cell r="K1006">
            <v>1</v>
          </cell>
          <cell r="L1006" t="str">
            <v>88/4</v>
          </cell>
          <cell r="M1006" t="str">
            <v>45100</v>
          </cell>
          <cell r="N1006" t="str">
            <v>14 2925110</v>
          </cell>
          <cell r="P1006">
            <v>11.8</v>
          </cell>
          <cell r="Q1006">
            <v>0</v>
          </cell>
          <cell r="R1006" t="str">
            <v>1</v>
          </cell>
          <cell r="S1006" t="str">
            <v>45</v>
          </cell>
          <cell r="T1006">
            <v>97</v>
          </cell>
          <cell r="U1006">
            <v>12</v>
          </cell>
          <cell r="V1006">
            <v>97</v>
          </cell>
          <cell r="W1006">
            <v>12</v>
          </cell>
          <cell r="X1006">
            <v>97</v>
          </cell>
          <cell r="Y1006">
            <v>0</v>
          </cell>
          <cell r="Z1006">
            <v>0</v>
          </cell>
          <cell r="AB1006" t="str">
            <v>14</v>
          </cell>
          <cell r="AC1006">
            <v>2</v>
          </cell>
          <cell r="AD1006" t="str">
            <v>0</v>
          </cell>
          <cell r="AE1006" t="str">
            <v>0</v>
          </cell>
          <cell r="AF1006" t="str">
            <v>20</v>
          </cell>
          <cell r="AI1006">
            <v>0</v>
          </cell>
          <cell r="AJ1006">
            <v>0</v>
          </cell>
        </row>
        <row r="1007">
          <cell r="A1007" t="str">
            <v>20</v>
          </cell>
          <cell r="B1007" t="str">
            <v>17</v>
          </cell>
          <cell r="C1007" t="str">
            <v>462</v>
          </cell>
          <cell r="D1007" t="str">
            <v>Устан.подготовки фер</v>
          </cell>
          <cell r="E1007" t="str">
            <v>ментов термолакт 1х</v>
          </cell>
          <cell r="F1007" t="str">
            <v>50</v>
          </cell>
          <cell r="G1007" t="str">
            <v>01</v>
          </cell>
          <cell r="H1007">
            <v>27631.64</v>
          </cell>
          <cell r="I1007">
            <v>0</v>
          </cell>
          <cell r="J1007">
            <v>0</v>
          </cell>
          <cell r="K1007">
            <v>1</v>
          </cell>
          <cell r="L1007" t="str">
            <v>88/4</v>
          </cell>
          <cell r="M1007" t="str">
            <v>45100</v>
          </cell>
          <cell r="N1007" t="str">
            <v>14 2925110</v>
          </cell>
          <cell r="P1007">
            <v>11.8</v>
          </cell>
          <cell r="Q1007">
            <v>0</v>
          </cell>
          <cell r="R1007" t="str">
            <v>1</v>
          </cell>
          <cell r="S1007" t="str">
            <v>45</v>
          </cell>
          <cell r="T1007">
            <v>97</v>
          </cell>
          <cell r="U1007">
            <v>12</v>
          </cell>
          <cell r="V1007">
            <v>97</v>
          </cell>
          <cell r="W1007">
            <v>12</v>
          </cell>
          <cell r="X1007">
            <v>97</v>
          </cell>
          <cell r="Y1007">
            <v>0</v>
          </cell>
          <cell r="Z1007">
            <v>0</v>
          </cell>
          <cell r="AB1007" t="str">
            <v>14</v>
          </cell>
          <cell r="AC1007">
            <v>2</v>
          </cell>
          <cell r="AD1007" t="str">
            <v>0</v>
          </cell>
          <cell r="AE1007" t="str">
            <v>0</v>
          </cell>
          <cell r="AF1007" t="str">
            <v>20</v>
          </cell>
          <cell r="AI1007">
            <v>0</v>
          </cell>
          <cell r="AJ1007">
            <v>0</v>
          </cell>
        </row>
        <row r="1008">
          <cell r="A1008" t="str">
            <v>20</v>
          </cell>
          <cell r="B1008" t="str">
            <v>17</v>
          </cell>
          <cell r="C1008" t="str">
            <v>463</v>
          </cell>
          <cell r="D1008" t="str">
            <v>Холодильник для холо</v>
          </cell>
          <cell r="E1008" t="str">
            <v>д.воды Е18-2-1-029</v>
          </cell>
          <cell r="G1008" t="str">
            <v>01</v>
          </cell>
          <cell r="H1008">
            <v>19059.88</v>
          </cell>
          <cell r="I1008">
            <v>0</v>
          </cell>
          <cell r="J1008">
            <v>0</v>
          </cell>
          <cell r="K1008">
            <v>1</v>
          </cell>
          <cell r="L1008" t="str">
            <v>88/4</v>
          </cell>
          <cell r="M1008" t="str">
            <v>45104</v>
          </cell>
          <cell r="N1008" t="str">
            <v>14 2919595</v>
          </cell>
          <cell r="P1008">
            <v>10</v>
          </cell>
          <cell r="Q1008">
            <v>0</v>
          </cell>
          <cell r="R1008" t="str">
            <v>1</v>
          </cell>
          <cell r="S1008" t="str">
            <v>45</v>
          </cell>
          <cell r="T1008">
            <v>97</v>
          </cell>
          <cell r="U1008">
            <v>12</v>
          </cell>
          <cell r="V1008">
            <v>97</v>
          </cell>
          <cell r="W1008">
            <v>12</v>
          </cell>
          <cell r="X1008">
            <v>97</v>
          </cell>
          <cell r="Y1008">
            <v>0</v>
          </cell>
          <cell r="Z1008">
            <v>0</v>
          </cell>
          <cell r="AB1008" t="str">
            <v>14</v>
          </cell>
          <cell r="AC1008">
            <v>2</v>
          </cell>
          <cell r="AD1008" t="str">
            <v>0</v>
          </cell>
          <cell r="AE1008" t="str">
            <v>0</v>
          </cell>
          <cell r="AF1008" t="str">
            <v>20</v>
          </cell>
          <cell r="AI1008">
            <v>0</v>
          </cell>
          <cell r="AJ1008">
            <v>0</v>
          </cell>
        </row>
        <row r="1009">
          <cell r="A1009" t="str">
            <v>20</v>
          </cell>
          <cell r="B1009" t="str">
            <v>17</v>
          </cell>
          <cell r="C1009" t="str">
            <v>464</v>
          </cell>
          <cell r="D1009" t="str">
            <v>Электри. щит 10.09.1</v>
          </cell>
          <cell r="G1009" t="str">
            <v>01</v>
          </cell>
          <cell r="H1009">
            <v>3578.98</v>
          </cell>
          <cell r="I1009">
            <v>0</v>
          </cell>
          <cell r="J1009">
            <v>0</v>
          </cell>
          <cell r="K1009">
            <v>1</v>
          </cell>
          <cell r="L1009" t="str">
            <v>88/4</v>
          </cell>
          <cell r="M1009" t="str">
            <v>40702</v>
          </cell>
          <cell r="N1009" t="str">
            <v>14 3120293</v>
          </cell>
          <cell r="P1009">
            <v>9.1</v>
          </cell>
          <cell r="Q1009">
            <v>0</v>
          </cell>
          <cell r="R1009" t="str">
            <v>1</v>
          </cell>
          <cell r="S1009" t="str">
            <v>40</v>
          </cell>
          <cell r="T1009">
            <v>97</v>
          </cell>
          <cell r="U1009">
            <v>12</v>
          </cell>
          <cell r="V1009">
            <v>97</v>
          </cell>
          <cell r="W1009">
            <v>12</v>
          </cell>
          <cell r="X1009">
            <v>97</v>
          </cell>
          <cell r="Y1009">
            <v>0</v>
          </cell>
          <cell r="Z1009">
            <v>0</v>
          </cell>
          <cell r="AB1009" t="str">
            <v>14</v>
          </cell>
          <cell r="AC1009">
            <v>2</v>
          </cell>
          <cell r="AD1009" t="str">
            <v>0</v>
          </cell>
          <cell r="AE1009" t="str">
            <v>0</v>
          </cell>
          <cell r="AF1009" t="str">
            <v>20</v>
          </cell>
          <cell r="AI1009">
            <v>0</v>
          </cell>
          <cell r="AJ1009">
            <v>0</v>
          </cell>
        </row>
        <row r="1010">
          <cell r="A1010" t="str">
            <v>20</v>
          </cell>
          <cell r="B1010" t="str">
            <v>17</v>
          </cell>
          <cell r="C1010" t="str">
            <v>465</v>
          </cell>
          <cell r="D1010" t="str">
            <v>Компрессор передвижн</v>
          </cell>
          <cell r="E1010" t="str">
            <v>ой Е-79Е в системе</v>
          </cell>
          <cell r="F1010" t="str">
            <v>наружной канализации</v>
          </cell>
          <cell r="G1010" t="str">
            <v>01</v>
          </cell>
          <cell r="H1010">
            <v>62655.93</v>
          </cell>
          <cell r="I1010">
            <v>0</v>
          </cell>
          <cell r="J1010">
            <v>0</v>
          </cell>
          <cell r="K1010">
            <v>1</v>
          </cell>
          <cell r="L1010" t="str">
            <v>88/4</v>
          </cell>
          <cell r="M1010" t="str">
            <v>49016</v>
          </cell>
          <cell r="N1010" t="str">
            <v>14 2912132</v>
          </cell>
          <cell r="P1010">
            <v>11.1</v>
          </cell>
          <cell r="Q1010">
            <v>0</v>
          </cell>
          <cell r="R1010" t="str">
            <v>1</v>
          </cell>
          <cell r="S1010" t="str">
            <v>49</v>
          </cell>
          <cell r="T1010">
            <v>97</v>
          </cell>
          <cell r="U1010">
            <v>12</v>
          </cell>
          <cell r="V1010">
            <v>97</v>
          </cell>
          <cell r="W1010">
            <v>12</v>
          </cell>
          <cell r="X1010">
            <v>97</v>
          </cell>
          <cell r="Y1010">
            <v>0</v>
          </cell>
          <cell r="Z1010">
            <v>0</v>
          </cell>
          <cell r="AB1010" t="str">
            <v>14</v>
          </cell>
          <cell r="AC1010">
            <v>2</v>
          </cell>
          <cell r="AD1010" t="str">
            <v>0</v>
          </cell>
          <cell r="AE1010" t="str">
            <v>0</v>
          </cell>
          <cell r="AF1010" t="str">
            <v>20</v>
          </cell>
          <cell r="AI1010">
            <v>0</v>
          </cell>
          <cell r="AJ1010">
            <v>0</v>
          </cell>
        </row>
        <row r="1011">
          <cell r="A1011" t="str">
            <v>20</v>
          </cell>
          <cell r="B1011" t="str">
            <v>17</v>
          </cell>
          <cell r="C1011" t="str">
            <v>466</v>
          </cell>
          <cell r="D1011" t="str">
            <v>Основа. со всеми раз</v>
          </cell>
          <cell r="E1011" t="str">
            <v>водками</v>
          </cell>
          <cell r="G1011" t="str">
            <v>01</v>
          </cell>
          <cell r="H1011">
            <v>34670.78</v>
          </cell>
          <cell r="I1011">
            <v>0</v>
          </cell>
          <cell r="J1011">
            <v>0</v>
          </cell>
          <cell r="K1011">
            <v>1</v>
          </cell>
          <cell r="L1011" t="str">
            <v>88/4</v>
          </cell>
          <cell r="M1011" t="str">
            <v>45100</v>
          </cell>
          <cell r="N1011" t="str">
            <v>14 2925110</v>
          </cell>
          <cell r="P1011">
            <v>11.8</v>
          </cell>
          <cell r="Q1011">
            <v>0</v>
          </cell>
          <cell r="R1011" t="str">
            <v>1</v>
          </cell>
          <cell r="S1011" t="str">
            <v>45</v>
          </cell>
          <cell r="T1011">
            <v>97</v>
          </cell>
          <cell r="U1011">
            <v>12</v>
          </cell>
          <cell r="V1011">
            <v>97</v>
          </cell>
          <cell r="W1011">
            <v>12</v>
          </cell>
          <cell r="X1011">
            <v>97</v>
          </cell>
          <cell r="Y1011">
            <v>0</v>
          </cell>
          <cell r="Z1011">
            <v>0</v>
          </cell>
          <cell r="AB1011" t="str">
            <v>14</v>
          </cell>
          <cell r="AC1011">
            <v>2</v>
          </cell>
          <cell r="AD1011" t="str">
            <v>0</v>
          </cell>
          <cell r="AE1011" t="str">
            <v>0</v>
          </cell>
          <cell r="AF1011" t="str">
            <v>20</v>
          </cell>
          <cell r="AI1011">
            <v>0</v>
          </cell>
          <cell r="AJ1011">
            <v>0</v>
          </cell>
        </row>
        <row r="1012">
          <cell r="A1012" t="str">
            <v>20</v>
          </cell>
          <cell r="B1012" t="str">
            <v>17</v>
          </cell>
          <cell r="C1012" t="str">
            <v>467</v>
          </cell>
          <cell r="D1012" t="str">
            <v>Электронасос самозал</v>
          </cell>
          <cell r="E1012" t="str">
            <v>ивной S26 EMR</v>
          </cell>
          <cell r="G1012" t="str">
            <v>01</v>
          </cell>
          <cell r="H1012">
            <v>15299.72</v>
          </cell>
          <cell r="I1012">
            <v>0</v>
          </cell>
          <cell r="J1012">
            <v>0</v>
          </cell>
          <cell r="K1012">
            <v>1</v>
          </cell>
          <cell r="L1012" t="str">
            <v>88/4</v>
          </cell>
          <cell r="M1012" t="str">
            <v>45100</v>
          </cell>
          <cell r="N1012" t="str">
            <v>14 2912177</v>
          </cell>
          <cell r="P1012">
            <v>11.8</v>
          </cell>
          <cell r="Q1012">
            <v>0</v>
          </cell>
          <cell r="R1012" t="str">
            <v>1</v>
          </cell>
          <cell r="S1012" t="str">
            <v>45</v>
          </cell>
          <cell r="T1012">
            <v>97</v>
          </cell>
          <cell r="U1012">
            <v>12</v>
          </cell>
          <cell r="V1012">
            <v>97</v>
          </cell>
          <cell r="W1012">
            <v>12</v>
          </cell>
          <cell r="X1012">
            <v>97</v>
          </cell>
          <cell r="Y1012">
            <v>0</v>
          </cell>
          <cell r="Z1012">
            <v>0</v>
          </cell>
          <cell r="AB1012" t="str">
            <v>14</v>
          </cell>
          <cell r="AC1012">
            <v>2</v>
          </cell>
          <cell r="AD1012" t="str">
            <v>0</v>
          </cell>
          <cell r="AE1012" t="str">
            <v>0</v>
          </cell>
          <cell r="AF1012" t="str">
            <v>20</v>
          </cell>
          <cell r="AI1012">
            <v>0</v>
          </cell>
          <cell r="AJ1012">
            <v>0</v>
          </cell>
        </row>
        <row r="1013">
          <cell r="A1013" t="str">
            <v>20</v>
          </cell>
          <cell r="B1013" t="str">
            <v>17</v>
          </cell>
          <cell r="C1013" t="str">
            <v>468</v>
          </cell>
          <cell r="D1013" t="str">
            <v>Электронасос центроб</v>
          </cell>
          <cell r="E1013" t="str">
            <v>ежный S26 EMR</v>
          </cell>
          <cell r="G1013" t="str">
            <v>01</v>
          </cell>
          <cell r="H1013">
            <v>16691.400000000001</v>
          </cell>
          <cell r="I1013">
            <v>0</v>
          </cell>
          <cell r="J1013">
            <v>0</v>
          </cell>
          <cell r="K1013">
            <v>1</v>
          </cell>
          <cell r="L1013" t="str">
            <v>88/4</v>
          </cell>
          <cell r="M1013" t="str">
            <v>45100</v>
          </cell>
          <cell r="N1013" t="str">
            <v>14 2912177</v>
          </cell>
          <cell r="P1013">
            <v>11.8</v>
          </cell>
          <cell r="Q1013">
            <v>0</v>
          </cell>
          <cell r="R1013" t="str">
            <v>1</v>
          </cell>
          <cell r="S1013" t="str">
            <v>45</v>
          </cell>
          <cell r="T1013">
            <v>97</v>
          </cell>
          <cell r="U1013">
            <v>12</v>
          </cell>
          <cell r="V1013">
            <v>97</v>
          </cell>
          <cell r="W1013">
            <v>12</v>
          </cell>
          <cell r="X1013">
            <v>97</v>
          </cell>
          <cell r="Y1013">
            <v>0</v>
          </cell>
          <cell r="Z1013">
            <v>0</v>
          </cell>
          <cell r="AB1013" t="str">
            <v>14</v>
          </cell>
          <cell r="AC1013">
            <v>2</v>
          </cell>
          <cell r="AD1013" t="str">
            <v>0</v>
          </cell>
          <cell r="AE1013" t="str">
            <v>0</v>
          </cell>
          <cell r="AF1013" t="str">
            <v>20</v>
          </cell>
          <cell r="AI1013">
            <v>0</v>
          </cell>
          <cell r="AJ1013">
            <v>0</v>
          </cell>
        </row>
        <row r="1014">
          <cell r="A1014" t="str">
            <v>20</v>
          </cell>
          <cell r="B1014" t="str">
            <v>17</v>
          </cell>
          <cell r="C1014" t="str">
            <v>469</v>
          </cell>
          <cell r="D1014" t="str">
            <v>Емкость для холод.во</v>
          </cell>
          <cell r="E1014" t="str">
            <v>ды 100 л</v>
          </cell>
          <cell r="G1014" t="str">
            <v>01</v>
          </cell>
          <cell r="H1014">
            <v>4048.66</v>
          </cell>
          <cell r="I1014">
            <v>0</v>
          </cell>
          <cell r="J1014">
            <v>0</v>
          </cell>
          <cell r="K1014">
            <v>1</v>
          </cell>
          <cell r="L1014" t="str">
            <v>88/4</v>
          </cell>
          <cell r="M1014" t="str">
            <v>45100</v>
          </cell>
          <cell r="N1014" t="str">
            <v>14 2925110</v>
          </cell>
          <cell r="P1014">
            <v>11.8</v>
          </cell>
          <cell r="Q1014">
            <v>0</v>
          </cell>
          <cell r="R1014" t="str">
            <v>1</v>
          </cell>
          <cell r="S1014" t="str">
            <v>45</v>
          </cell>
          <cell r="T1014">
            <v>97</v>
          </cell>
          <cell r="U1014">
            <v>12</v>
          </cell>
          <cell r="V1014">
            <v>97</v>
          </cell>
          <cell r="W1014">
            <v>12</v>
          </cell>
          <cell r="X1014">
            <v>97</v>
          </cell>
          <cell r="Y1014">
            <v>0</v>
          </cell>
          <cell r="Z1014">
            <v>0</v>
          </cell>
          <cell r="AB1014" t="str">
            <v>14</v>
          </cell>
          <cell r="AC1014">
            <v>2</v>
          </cell>
          <cell r="AD1014" t="str">
            <v>0</v>
          </cell>
          <cell r="AE1014" t="str">
            <v>0</v>
          </cell>
          <cell r="AF1014" t="str">
            <v>20</v>
          </cell>
          <cell r="AI1014">
            <v>0</v>
          </cell>
          <cell r="AJ1014">
            <v>0</v>
          </cell>
        </row>
        <row r="1015">
          <cell r="A1015" t="str">
            <v>20</v>
          </cell>
          <cell r="B1015" t="str">
            <v>17</v>
          </cell>
          <cell r="C1015" t="str">
            <v>470</v>
          </cell>
          <cell r="D1015" t="str">
            <v>Электронасос лоя лед</v>
          </cell>
          <cell r="E1015" t="str">
            <v>ян.воды 3М32-160/2.2</v>
          </cell>
          <cell r="G1015" t="str">
            <v>01</v>
          </cell>
          <cell r="H1015">
            <v>4222.7</v>
          </cell>
          <cell r="I1015">
            <v>0</v>
          </cell>
          <cell r="J1015">
            <v>0</v>
          </cell>
          <cell r="K1015">
            <v>1</v>
          </cell>
          <cell r="L1015" t="str">
            <v>88/4</v>
          </cell>
          <cell r="M1015" t="str">
            <v>45100</v>
          </cell>
          <cell r="N1015" t="str">
            <v>14 2922177</v>
          </cell>
          <cell r="P1015">
            <v>11.8</v>
          </cell>
          <cell r="Q1015">
            <v>0</v>
          </cell>
          <cell r="R1015" t="str">
            <v>1</v>
          </cell>
          <cell r="S1015" t="str">
            <v>45</v>
          </cell>
          <cell r="T1015">
            <v>97</v>
          </cell>
          <cell r="U1015">
            <v>12</v>
          </cell>
          <cell r="V1015">
            <v>97</v>
          </cell>
          <cell r="W1015">
            <v>12</v>
          </cell>
          <cell r="X1015">
            <v>97</v>
          </cell>
          <cell r="Y1015">
            <v>0</v>
          </cell>
          <cell r="Z1015">
            <v>0</v>
          </cell>
          <cell r="AB1015" t="str">
            <v>14</v>
          </cell>
          <cell r="AC1015">
            <v>2</v>
          </cell>
          <cell r="AD1015" t="str">
            <v>0</v>
          </cell>
          <cell r="AE1015" t="str">
            <v>0</v>
          </cell>
          <cell r="AF1015" t="str">
            <v>20</v>
          </cell>
          <cell r="AI1015">
            <v>0</v>
          </cell>
          <cell r="AJ1015">
            <v>0</v>
          </cell>
        </row>
        <row r="1016">
          <cell r="A1016" t="str">
            <v>20</v>
          </cell>
          <cell r="B1016" t="str">
            <v>17</v>
          </cell>
          <cell r="C1016" t="str">
            <v>471</v>
          </cell>
          <cell r="D1016" t="str">
            <v>Электронасос для лед</v>
          </cell>
          <cell r="E1016" t="str">
            <v>ян.воды 3М32-160/2.2</v>
          </cell>
          <cell r="G1016" t="str">
            <v>01</v>
          </cell>
          <cell r="H1016">
            <v>4222.7</v>
          </cell>
          <cell r="I1016">
            <v>0</v>
          </cell>
          <cell r="J1016">
            <v>0</v>
          </cell>
          <cell r="K1016">
            <v>1</v>
          </cell>
          <cell r="L1016" t="str">
            <v>88/4</v>
          </cell>
          <cell r="M1016" t="str">
            <v>45100</v>
          </cell>
          <cell r="N1016" t="str">
            <v>14 2912177</v>
          </cell>
          <cell r="P1016">
            <v>11.8</v>
          </cell>
          <cell r="Q1016">
            <v>0</v>
          </cell>
          <cell r="R1016" t="str">
            <v>1</v>
          </cell>
          <cell r="S1016" t="str">
            <v>45</v>
          </cell>
          <cell r="T1016">
            <v>97</v>
          </cell>
          <cell r="U1016">
            <v>12</v>
          </cell>
          <cell r="V1016">
            <v>97</v>
          </cell>
          <cell r="W1016">
            <v>12</v>
          </cell>
          <cell r="X1016">
            <v>97</v>
          </cell>
          <cell r="Y1016">
            <v>0</v>
          </cell>
          <cell r="Z1016">
            <v>0</v>
          </cell>
          <cell r="AB1016" t="str">
            <v>14</v>
          </cell>
          <cell r="AC1016">
            <v>2</v>
          </cell>
          <cell r="AD1016" t="str">
            <v>0</v>
          </cell>
          <cell r="AE1016" t="str">
            <v>0</v>
          </cell>
          <cell r="AF1016" t="str">
            <v>20</v>
          </cell>
          <cell r="AI1016">
            <v>0</v>
          </cell>
          <cell r="AJ1016">
            <v>0</v>
          </cell>
        </row>
        <row r="1017">
          <cell r="A1017" t="str">
            <v>20</v>
          </cell>
          <cell r="B1017" t="str">
            <v>17</v>
          </cell>
          <cell r="C1017" t="str">
            <v>472</v>
          </cell>
          <cell r="D1017" t="str">
            <v>Электронасос для мой</v>
          </cell>
          <cell r="E1017" t="str">
            <v>ки NM32/168E</v>
          </cell>
          <cell r="G1017" t="str">
            <v>01</v>
          </cell>
          <cell r="H1017">
            <v>4053.08</v>
          </cell>
          <cell r="I1017">
            <v>0</v>
          </cell>
          <cell r="J1017">
            <v>0</v>
          </cell>
          <cell r="K1017">
            <v>1</v>
          </cell>
          <cell r="L1017" t="str">
            <v>88/4</v>
          </cell>
          <cell r="M1017" t="str">
            <v>45100</v>
          </cell>
          <cell r="N1017" t="str">
            <v>14 2912177</v>
          </cell>
          <cell r="P1017">
            <v>11.8</v>
          </cell>
          <cell r="Q1017">
            <v>0</v>
          </cell>
          <cell r="R1017" t="str">
            <v>1</v>
          </cell>
          <cell r="S1017" t="str">
            <v>45</v>
          </cell>
          <cell r="T1017">
            <v>97</v>
          </cell>
          <cell r="U1017">
            <v>12</v>
          </cell>
          <cell r="V1017">
            <v>97</v>
          </cell>
          <cell r="W1017">
            <v>12</v>
          </cell>
          <cell r="X1017">
            <v>97</v>
          </cell>
          <cell r="Y1017">
            <v>0</v>
          </cell>
          <cell r="Z1017">
            <v>0</v>
          </cell>
          <cell r="AB1017" t="str">
            <v>14</v>
          </cell>
          <cell r="AC1017">
            <v>2</v>
          </cell>
          <cell r="AD1017" t="str">
            <v>0</v>
          </cell>
          <cell r="AE1017" t="str">
            <v>0</v>
          </cell>
          <cell r="AF1017" t="str">
            <v>20</v>
          </cell>
          <cell r="AI1017">
            <v>0</v>
          </cell>
          <cell r="AJ1017">
            <v>0</v>
          </cell>
        </row>
        <row r="1018">
          <cell r="A1018" t="str">
            <v>20</v>
          </cell>
          <cell r="B1018" t="str">
            <v>17</v>
          </cell>
          <cell r="C1018" t="str">
            <v>473</v>
          </cell>
          <cell r="D1018" t="str">
            <v>Газовый парогенерато</v>
          </cell>
          <cell r="E1018" t="str">
            <v>р ИФ ЛЦ-5172-001-073</v>
          </cell>
          <cell r="G1018" t="str">
            <v>01</v>
          </cell>
          <cell r="H1018">
            <v>74036.95</v>
          </cell>
          <cell r="I1018">
            <v>0</v>
          </cell>
          <cell r="J1018">
            <v>0</v>
          </cell>
          <cell r="K1018">
            <v>1</v>
          </cell>
          <cell r="L1018" t="str">
            <v>88/4</v>
          </cell>
          <cell r="M1018" t="str">
            <v>49020</v>
          </cell>
          <cell r="N1018" t="str">
            <v>14 2911134</v>
          </cell>
          <cell r="P1018">
            <v>5</v>
          </cell>
          <cell r="Q1018">
            <v>0</v>
          </cell>
          <cell r="R1018" t="str">
            <v>1</v>
          </cell>
          <cell r="S1018" t="str">
            <v>49</v>
          </cell>
          <cell r="T1018">
            <v>97</v>
          </cell>
          <cell r="U1018">
            <v>12</v>
          </cell>
          <cell r="V1018">
            <v>97</v>
          </cell>
          <cell r="W1018">
            <v>12</v>
          </cell>
          <cell r="X1018">
            <v>97</v>
          </cell>
          <cell r="Y1018">
            <v>0</v>
          </cell>
          <cell r="Z1018">
            <v>0</v>
          </cell>
          <cell r="AB1018" t="str">
            <v>14</v>
          </cell>
          <cell r="AC1018">
            <v>2</v>
          </cell>
          <cell r="AD1018" t="str">
            <v>0</v>
          </cell>
          <cell r="AE1018" t="str">
            <v>0</v>
          </cell>
          <cell r="AF1018" t="str">
            <v>20</v>
          </cell>
          <cell r="AI1018">
            <v>0</v>
          </cell>
          <cell r="AJ1018">
            <v>0</v>
          </cell>
        </row>
        <row r="1019">
          <cell r="A1019" t="str">
            <v>20</v>
          </cell>
          <cell r="B1019" t="str">
            <v>17</v>
          </cell>
          <cell r="C1019" t="str">
            <v>474</v>
          </cell>
          <cell r="D1019" t="str">
            <v>Фильтр на активном у</v>
          </cell>
          <cell r="E1019" t="str">
            <v>зле для воды</v>
          </cell>
          <cell r="G1019" t="str">
            <v>01</v>
          </cell>
          <cell r="H1019">
            <v>52155.21</v>
          </cell>
          <cell r="I1019">
            <v>0</v>
          </cell>
          <cell r="J1019">
            <v>0</v>
          </cell>
          <cell r="K1019">
            <v>1</v>
          </cell>
          <cell r="L1019" t="str">
            <v>88/4</v>
          </cell>
          <cell r="M1019" t="str">
            <v>49013</v>
          </cell>
          <cell r="N1019" t="str">
            <v>14 2813151</v>
          </cell>
          <cell r="P1019">
            <v>6.7</v>
          </cell>
          <cell r="Q1019">
            <v>0</v>
          </cell>
          <cell r="R1019" t="str">
            <v>1</v>
          </cell>
          <cell r="S1019" t="str">
            <v>49</v>
          </cell>
          <cell r="T1019">
            <v>97</v>
          </cell>
          <cell r="U1019">
            <v>12</v>
          </cell>
          <cell r="V1019">
            <v>97</v>
          </cell>
          <cell r="W1019">
            <v>12</v>
          </cell>
          <cell r="X1019">
            <v>97</v>
          </cell>
          <cell r="Y1019">
            <v>0</v>
          </cell>
          <cell r="Z1019">
            <v>0</v>
          </cell>
          <cell r="AB1019" t="str">
            <v>14</v>
          </cell>
          <cell r="AC1019">
            <v>2</v>
          </cell>
          <cell r="AD1019" t="str">
            <v>0</v>
          </cell>
          <cell r="AE1019" t="str">
            <v>0</v>
          </cell>
          <cell r="AF1019" t="str">
            <v>20</v>
          </cell>
          <cell r="AI1019">
            <v>0</v>
          </cell>
          <cell r="AJ1019">
            <v>0</v>
          </cell>
        </row>
        <row r="1020">
          <cell r="A1020" t="str">
            <v>20</v>
          </cell>
          <cell r="B1020" t="str">
            <v>17</v>
          </cell>
          <cell r="C1020" t="str">
            <v>475</v>
          </cell>
          <cell r="D1020" t="str">
            <v>Машина для вакуумной</v>
          </cell>
          <cell r="E1020" t="str">
            <v xml:space="preserve"> упаковки SACC-VC-40</v>
          </cell>
          <cell r="F1020" t="str">
            <v>0</v>
          </cell>
          <cell r="G1020" t="str">
            <v>01</v>
          </cell>
          <cell r="H1020">
            <v>36063.089999999997</v>
          </cell>
          <cell r="I1020">
            <v>0</v>
          </cell>
          <cell r="J1020">
            <v>0</v>
          </cell>
          <cell r="K1020">
            <v>1</v>
          </cell>
          <cell r="L1020" t="str">
            <v>88/4</v>
          </cell>
          <cell r="M1020" t="str">
            <v>45100</v>
          </cell>
          <cell r="N1020" t="str">
            <v>14 2925104</v>
          </cell>
          <cell r="P1020">
            <v>11.8</v>
          </cell>
          <cell r="Q1020">
            <v>0</v>
          </cell>
          <cell r="R1020" t="str">
            <v>1</v>
          </cell>
          <cell r="S1020" t="str">
            <v>45</v>
          </cell>
          <cell r="T1020">
            <v>97</v>
          </cell>
          <cell r="U1020">
            <v>12</v>
          </cell>
          <cell r="V1020">
            <v>97</v>
          </cell>
          <cell r="W1020">
            <v>12</v>
          </cell>
          <cell r="X1020">
            <v>97</v>
          </cell>
          <cell r="Y1020">
            <v>0</v>
          </cell>
          <cell r="Z1020">
            <v>0</v>
          </cell>
          <cell r="AB1020" t="str">
            <v>14</v>
          </cell>
          <cell r="AC1020">
            <v>2</v>
          </cell>
          <cell r="AD1020" t="str">
            <v>0</v>
          </cell>
          <cell r="AE1020" t="str">
            <v>0</v>
          </cell>
          <cell r="AF1020" t="str">
            <v>20</v>
          </cell>
          <cell r="AI1020">
            <v>0</v>
          </cell>
          <cell r="AJ1020">
            <v>0</v>
          </cell>
        </row>
        <row r="1021">
          <cell r="A1021" t="str">
            <v>20</v>
          </cell>
          <cell r="B1021" t="str">
            <v>17</v>
          </cell>
          <cell r="C1021" t="str">
            <v>476</v>
          </cell>
          <cell r="D1021" t="str">
            <v>Весы 200 кг DMS -11-</v>
          </cell>
          <cell r="E1021" t="str">
            <v>1982</v>
          </cell>
          <cell r="G1021" t="str">
            <v>01</v>
          </cell>
          <cell r="H1021">
            <v>4666.09</v>
          </cell>
          <cell r="I1021">
            <v>0</v>
          </cell>
          <cell r="J1021">
            <v>0</v>
          </cell>
          <cell r="K1021">
            <v>1</v>
          </cell>
          <cell r="L1021" t="str">
            <v>88/4</v>
          </cell>
          <cell r="M1021" t="str">
            <v>47039</v>
          </cell>
          <cell r="N1021" t="str">
            <v>14 3312122</v>
          </cell>
          <cell r="P1021">
            <v>6.7</v>
          </cell>
          <cell r="Q1021">
            <v>0</v>
          </cell>
          <cell r="R1021" t="str">
            <v>1</v>
          </cell>
          <cell r="S1021" t="str">
            <v>47</v>
          </cell>
          <cell r="T1021">
            <v>97</v>
          </cell>
          <cell r="U1021">
            <v>12</v>
          </cell>
          <cell r="V1021">
            <v>97</v>
          </cell>
          <cell r="W1021">
            <v>12</v>
          </cell>
          <cell r="X1021">
            <v>97</v>
          </cell>
          <cell r="Y1021">
            <v>0</v>
          </cell>
          <cell r="Z1021">
            <v>0</v>
          </cell>
          <cell r="AB1021" t="str">
            <v>14</v>
          </cell>
          <cell r="AC1021">
            <v>2</v>
          </cell>
          <cell r="AD1021" t="str">
            <v>0</v>
          </cell>
          <cell r="AE1021" t="str">
            <v>0</v>
          </cell>
          <cell r="AF1021" t="str">
            <v>20</v>
          </cell>
          <cell r="AI1021">
            <v>0</v>
          </cell>
          <cell r="AJ1021">
            <v>0</v>
          </cell>
        </row>
        <row r="1022">
          <cell r="A1022" t="str">
            <v>20</v>
          </cell>
          <cell r="B1022" t="str">
            <v>17</v>
          </cell>
          <cell r="C1022" t="str">
            <v>477</v>
          </cell>
          <cell r="D1022" t="str">
            <v>Стол рабочий стац.из</v>
          </cell>
          <cell r="E1022" t="str">
            <v>нерж. стали</v>
          </cell>
          <cell r="G1022" t="str">
            <v>01</v>
          </cell>
          <cell r="H1022">
            <v>8215.23</v>
          </cell>
          <cell r="I1022">
            <v>0</v>
          </cell>
          <cell r="J1022">
            <v>0</v>
          </cell>
          <cell r="K1022">
            <v>1</v>
          </cell>
          <cell r="L1022" t="str">
            <v>88/4</v>
          </cell>
          <cell r="M1022" t="str">
            <v>45100</v>
          </cell>
          <cell r="N1022" t="str">
            <v>14 2925110</v>
          </cell>
          <cell r="P1022">
            <v>11.8</v>
          </cell>
          <cell r="Q1022">
            <v>0</v>
          </cell>
          <cell r="R1022" t="str">
            <v>1</v>
          </cell>
          <cell r="S1022" t="str">
            <v>45</v>
          </cell>
          <cell r="T1022">
            <v>97</v>
          </cell>
          <cell r="U1022">
            <v>12</v>
          </cell>
          <cell r="V1022">
            <v>97</v>
          </cell>
          <cell r="W1022">
            <v>12</v>
          </cell>
          <cell r="X1022">
            <v>97</v>
          </cell>
          <cell r="Y1022">
            <v>0</v>
          </cell>
          <cell r="Z1022">
            <v>0</v>
          </cell>
          <cell r="AB1022" t="str">
            <v>14</v>
          </cell>
          <cell r="AC1022">
            <v>2</v>
          </cell>
          <cell r="AD1022" t="str">
            <v>0</v>
          </cell>
          <cell r="AE1022" t="str">
            <v>0</v>
          </cell>
          <cell r="AF1022" t="str">
            <v>20</v>
          </cell>
          <cell r="AI1022">
            <v>0</v>
          </cell>
          <cell r="AJ1022">
            <v>0</v>
          </cell>
        </row>
        <row r="1023">
          <cell r="A1023" t="str">
            <v>20</v>
          </cell>
          <cell r="B1023" t="str">
            <v>17</v>
          </cell>
          <cell r="C1023" t="str">
            <v>478</v>
          </cell>
          <cell r="D1023" t="str">
            <v>Стол рабочий стац.из</v>
          </cell>
          <cell r="E1023" t="str">
            <v>нерж.стали</v>
          </cell>
          <cell r="G1023" t="str">
            <v>01</v>
          </cell>
          <cell r="H1023">
            <v>8215.23</v>
          </cell>
          <cell r="I1023">
            <v>0</v>
          </cell>
          <cell r="J1023">
            <v>0</v>
          </cell>
          <cell r="K1023">
            <v>1</v>
          </cell>
          <cell r="L1023" t="str">
            <v>88/4</v>
          </cell>
          <cell r="M1023" t="str">
            <v>45100</v>
          </cell>
          <cell r="N1023" t="str">
            <v>14 2925110</v>
          </cell>
          <cell r="P1023">
            <v>11.8</v>
          </cell>
          <cell r="Q1023">
            <v>0</v>
          </cell>
          <cell r="R1023" t="str">
            <v>1</v>
          </cell>
          <cell r="S1023" t="str">
            <v>45</v>
          </cell>
          <cell r="T1023">
            <v>97</v>
          </cell>
          <cell r="U1023">
            <v>12</v>
          </cell>
          <cell r="V1023">
            <v>97</v>
          </cell>
          <cell r="W1023">
            <v>12</v>
          </cell>
          <cell r="X1023">
            <v>97</v>
          </cell>
          <cell r="Y1023">
            <v>0</v>
          </cell>
          <cell r="Z1023">
            <v>0</v>
          </cell>
          <cell r="AB1023" t="str">
            <v>14</v>
          </cell>
          <cell r="AC1023">
            <v>2</v>
          </cell>
          <cell r="AD1023" t="str">
            <v>0</v>
          </cell>
          <cell r="AE1023" t="str">
            <v>0</v>
          </cell>
          <cell r="AF1023" t="str">
            <v>20</v>
          </cell>
          <cell r="AI1023">
            <v>0</v>
          </cell>
          <cell r="AJ1023">
            <v>0</v>
          </cell>
        </row>
        <row r="1024">
          <cell r="A1024" t="str">
            <v>20</v>
          </cell>
          <cell r="B1024" t="str">
            <v>17</v>
          </cell>
          <cell r="C1024" t="str">
            <v>479</v>
          </cell>
          <cell r="D1024" t="str">
            <v>Тележка для перевозк</v>
          </cell>
          <cell r="E1024" t="str">
            <v>и сыров</v>
          </cell>
          <cell r="G1024" t="str">
            <v>01</v>
          </cell>
          <cell r="H1024">
            <v>3738.24</v>
          </cell>
          <cell r="I1024">
            <v>0</v>
          </cell>
          <cell r="J1024">
            <v>0</v>
          </cell>
          <cell r="K1024">
            <v>1</v>
          </cell>
          <cell r="L1024" t="str">
            <v>88/4</v>
          </cell>
          <cell r="M1024" t="str">
            <v>45100</v>
          </cell>
          <cell r="N1024" t="str">
            <v>14 2925110</v>
          </cell>
          <cell r="P1024">
            <v>11.8</v>
          </cell>
          <cell r="Q1024">
            <v>0</v>
          </cell>
          <cell r="R1024" t="str">
            <v>1</v>
          </cell>
          <cell r="S1024" t="str">
            <v>45</v>
          </cell>
          <cell r="T1024">
            <v>97</v>
          </cell>
          <cell r="U1024">
            <v>12</v>
          </cell>
          <cell r="V1024">
            <v>97</v>
          </cell>
          <cell r="W1024">
            <v>12</v>
          </cell>
          <cell r="X1024">
            <v>97</v>
          </cell>
          <cell r="Y1024">
            <v>0</v>
          </cell>
          <cell r="Z1024">
            <v>0</v>
          </cell>
          <cell r="AB1024" t="str">
            <v>14</v>
          </cell>
          <cell r="AC1024">
            <v>2</v>
          </cell>
          <cell r="AD1024" t="str">
            <v>0</v>
          </cell>
          <cell r="AE1024" t="str">
            <v>0</v>
          </cell>
          <cell r="AF1024" t="str">
            <v>20</v>
          </cell>
          <cell r="AI1024">
            <v>0</v>
          </cell>
          <cell r="AJ1024">
            <v>0</v>
          </cell>
        </row>
        <row r="1025">
          <cell r="A1025" t="str">
            <v>20</v>
          </cell>
          <cell r="B1025" t="str">
            <v>17</v>
          </cell>
          <cell r="C1025" t="str">
            <v>480</v>
          </cell>
          <cell r="D1025" t="str">
            <v>Ванна стац. из нерж.</v>
          </cell>
          <cell r="E1025" t="str">
            <v>стали</v>
          </cell>
          <cell r="G1025" t="str">
            <v>01</v>
          </cell>
          <cell r="H1025">
            <v>10946.73</v>
          </cell>
          <cell r="I1025">
            <v>0</v>
          </cell>
          <cell r="J1025">
            <v>0</v>
          </cell>
          <cell r="K1025">
            <v>1</v>
          </cell>
          <cell r="L1025" t="str">
            <v>88/4</v>
          </cell>
          <cell r="M1025" t="str">
            <v>45100</v>
          </cell>
          <cell r="N1025" t="str">
            <v>14 2925110</v>
          </cell>
          <cell r="P1025">
            <v>11.8</v>
          </cell>
          <cell r="Q1025">
            <v>0</v>
          </cell>
          <cell r="R1025" t="str">
            <v>1</v>
          </cell>
          <cell r="S1025" t="str">
            <v>45</v>
          </cell>
          <cell r="T1025">
            <v>97</v>
          </cell>
          <cell r="U1025">
            <v>12</v>
          </cell>
          <cell r="V1025">
            <v>97</v>
          </cell>
          <cell r="W1025">
            <v>12</v>
          </cell>
          <cell r="X1025">
            <v>97</v>
          </cell>
          <cell r="Y1025">
            <v>0</v>
          </cell>
          <cell r="Z1025">
            <v>0</v>
          </cell>
          <cell r="AB1025" t="str">
            <v>14</v>
          </cell>
          <cell r="AC1025">
            <v>2</v>
          </cell>
          <cell r="AD1025" t="str">
            <v>0</v>
          </cell>
          <cell r="AE1025" t="str">
            <v>0</v>
          </cell>
          <cell r="AF1025" t="str">
            <v>20</v>
          </cell>
          <cell r="AI1025">
            <v>0</v>
          </cell>
          <cell r="AJ1025">
            <v>0</v>
          </cell>
        </row>
        <row r="1026">
          <cell r="A1026" t="str">
            <v>20</v>
          </cell>
          <cell r="B1026" t="str">
            <v>17</v>
          </cell>
          <cell r="C1026" t="str">
            <v>481</v>
          </cell>
          <cell r="D1026" t="str">
            <v>Ванна стац. из нерж.</v>
          </cell>
          <cell r="E1026" t="str">
            <v>стали</v>
          </cell>
          <cell r="G1026" t="str">
            <v>01</v>
          </cell>
          <cell r="H1026">
            <v>10946.73</v>
          </cell>
          <cell r="I1026">
            <v>0</v>
          </cell>
          <cell r="J1026">
            <v>0</v>
          </cell>
          <cell r="K1026">
            <v>1</v>
          </cell>
          <cell r="L1026" t="str">
            <v>88/4</v>
          </cell>
          <cell r="M1026" t="str">
            <v>45100</v>
          </cell>
          <cell r="N1026" t="str">
            <v>14 2925110</v>
          </cell>
          <cell r="P1026">
            <v>11.8</v>
          </cell>
          <cell r="Q1026">
            <v>0</v>
          </cell>
          <cell r="R1026" t="str">
            <v>1</v>
          </cell>
          <cell r="S1026" t="str">
            <v>45</v>
          </cell>
          <cell r="T1026">
            <v>97</v>
          </cell>
          <cell r="U1026">
            <v>12</v>
          </cell>
          <cell r="V1026">
            <v>97</v>
          </cell>
          <cell r="W1026">
            <v>12</v>
          </cell>
          <cell r="X1026">
            <v>97</v>
          </cell>
          <cell r="Y1026">
            <v>0</v>
          </cell>
          <cell r="Z1026">
            <v>0</v>
          </cell>
          <cell r="AB1026" t="str">
            <v>14</v>
          </cell>
          <cell r="AC1026">
            <v>2</v>
          </cell>
          <cell r="AD1026" t="str">
            <v>0</v>
          </cell>
          <cell r="AE1026" t="str">
            <v>0</v>
          </cell>
          <cell r="AF1026" t="str">
            <v>20</v>
          </cell>
          <cell r="AI1026">
            <v>0</v>
          </cell>
          <cell r="AJ1026">
            <v>0</v>
          </cell>
        </row>
        <row r="1027">
          <cell r="A1027" t="str">
            <v>20</v>
          </cell>
          <cell r="B1027" t="str">
            <v>17</v>
          </cell>
          <cell r="C1027" t="str">
            <v>482</v>
          </cell>
          <cell r="D1027" t="str">
            <v>Ванна стац.  из нерж</v>
          </cell>
          <cell r="E1027" t="str">
            <v>стали</v>
          </cell>
          <cell r="G1027" t="str">
            <v>01</v>
          </cell>
          <cell r="H1027">
            <v>10946.73</v>
          </cell>
          <cell r="I1027">
            <v>0</v>
          </cell>
          <cell r="J1027">
            <v>0</v>
          </cell>
          <cell r="K1027">
            <v>1</v>
          </cell>
          <cell r="L1027" t="str">
            <v>88/4</v>
          </cell>
          <cell r="M1027" t="str">
            <v>45100</v>
          </cell>
          <cell r="N1027" t="str">
            <v>14 2925110</v>
          </cell>
          <cell r="P1027">
            <v>11.8</v>
          </cell>
          <cell r="Q1027">
            <v>0</v>
          </cell>
          <cell r="R1027" t="str">
            <v>1</v>
          </cell>
          <cell r="S1027" t="str">
            <v>45</v>
          </cell>
          <cell r="T1027">
            <v>97</v>
          </cell>
          <cell r="U1027">
            <v>12</v>
          </cell>
          <cell r="V1027">
            <v>97</v>
          </cell>
          <cell r="W1027">
            <v>12</v>
          </cell>
          <cell r="X1027">
            <v>97</v>
          </cell>
          <cell r="Y1027">
            <v>0</v>
          </cell>
          <cell r="Z1027">
            <v>0</v>
          </cell>
          <cell r="AB1027" t="str">
            <v>14</v>
          </cell>
          <cell r="AC1027">
            <v>2</v>
          </cell>
          <cell r="AD1027" t="str">
            <v>0</v>
          </cell>
          <cell r="AE1027" t="str">
            <v>0</v>
          </cell>
          <cell r="AF1027" t="str">
            <v>20</v>
          </cell>
          <cell r="AI1027">
            <v>0</v>
          </cell>
          <cell r="AJ1027">
            <v>0</v>
          </cell>
        </row>
        <row r="1028">
          <cell r="A1028" t="str">
            <v>20</v>
          </cell>
          <cell r="B1028" t="str">
            <v>17</v>
          </cell>
          <cell r="C1028" t="str">
            <v>483</v>
          </cell>
          <cell r="D1028" t="str">
            <v>Электронасос передви</v>
          </cell>
          <cell r="E1028" t="str">
            <v>жной 3л.с.А-80 MR</v>
          </cell>
          <cell r="G1028" t="str">
            <v>01</v>
          </cell>
          <cell r="H1028">
            <v>4222.7</v>
          </cell>
          <cell r="I1028">
            <v>0</v>
          </cell>
          <cell r="J1028">
            <v>0</v>
          </cell>
          <cell r="K1028">
            <v>1</v>
          </cell>
          <cell r="L1028" t="str">
            <v>88/4</v>
          </cell>
          <cell r="M1028" t="str">
            <v>45100</v>
          </cell>
          <cell r="N1028" t="str">
            <v>14 2925110</v>
          </cell>
          <cell r="P1028">
            <v>11.8</v>
          </cell>
          <cell r="Q1028">
            <v>0</v>
          </cell>
          <cell r="R1028" t="str">
            <v>1</v>
          </cell>
          <cell r="S1028" t="str">
            <v>45</v>
          </cell>
          <cell r="T1028">
            <v>97</v>
          </cell>
          <cell r="U1028">
            <v>12</v>
          </cell>
          <cell r="V1028">
            <v>97</v>
          </cell>
          <cell r="W1028">
            <v>12</v>
          </cell>
          <cell r="X1028">
            <v>97</v>
          </cell>
          <cell r="Y1028">
            <v>0</v>
          </cell>
          <cell r="Z1028">
            <v>0</v>
          </cell>
          <cell r="AB1028" t="str">
            <v>14</v>
          </cell>
          <cell r="AC1028">
            <v>2</v>
          </cell>
          <cell r="AD1028" t="str">
            <v>0</v>
          </cell>
          <cell r="AE1028" t="str">
            <v>0</v>
          </cell>
          <cell r="AF1028" t="str">
            <v>20</v>
          </cell>
          <cell r="AI1028">
            <v>0</v>
          </cell>
          <cell r="AJ1028">
            <v>0</v>
          </cell>
        </row>
        <row r="1029">
          <cell r="A1029" t="str">
            <v>20</v>
          </cell>
          <cell r="B1029" t="str">
            <v>17</v>
          </cell>
          <cell r="C1029" t="str">
            <v>484</v>
          </cell>
          <cell r="D1029" t="str">
            <v>Корзина на колесах</v>
          </cell>
          <cell r="G1029" t="str">
            <v>01</v>
          </cell>
          <cell r="H1029">
            <v>4185.03</v>
          </cell>
          <cell r="I1029">
            <v>0</v>
          </cell>
          <cell r="J1029">
            <v>0</v>
          </cell>
          <cell r="K1029">
            <v>1</v>
          </cell>
          <cell r="L1029" t="str">
            <v>88/4</v>
          </cell>
          <cell r="M1029" t="str">
            <v>45100</v>
          </cell>
          <cell r="N1029" t="str">
            <v>14 2925110</v>
          </cell>
          <cell r="P1029">
            <v>11.8</v>
          </cell>
          <cell r="Q1029">
            <v>0</v>
          </cell>
          <cell r="R1029" t="str">
            <v>1</v>
          </cell>
          <cell r="S1029" t="str">
            <v>45</v>
          </cell>
          <cell r="T1029">
            <v>97</v>
          </cell>
          <cell r="U1029">
            <v>12</v>
          </cell>
          <cell r="V1029">
            <v>97</v>
          </cell>
          <cell r="W1029">
            <v>12</v>
          </cell>
          <cell r="X1029">
            <v>97</v>
          </cell>
          <cell r="Y1029">
            <v>0</v>
          </cell>
          <cell r="Z1029">
            <v>0</v>
          </cell>
          <cell r="AB1029" t="str">
            <v>14</v>
          </cell>
          <cell r="AC1029">
            <v>2</v>
          </cell>
          <cell r="AD1029" t="str">
            <v>0</v>
          </cell>
          <cell r="AE1029" t="str">
            <v>0</v>
          </cell>
          <cell r="AF1029" t="str">
            <v>20</v>
          </cell>
          <cell r="AI1029">
            <v>0</v>
          </cell>
          <cell r="AJ1029">
            <v>0</v>
          </cell>
        </row>
        <row r="1030">
          <cell r="A1030" t="str">
            <v>20</v>
          </cell>
          <cell r="B1030" t="str">
            <v>17</v>
          </cell>
          <cell r="C1030" t="str">
            <v>485</v>
          </cell>
          <cell r="D1030" t="str">
            <v>Стеллаж для сыров</v>
          </cell>
          <cell r="G1030" t="str">
            <v>01</v>
          </cell>
          <cell r="H1030">
            <v>5758.19</v>
          </cell>
          <cell r="I1030">
            <v>0</v>
          </cell>
          <cell r="J1030">
            <v>0</v>
          </cell>
          <cell r="K1030">
            <v>1</v>
          </cell>
          <cell r="L1030" t="str">
            <v>88/4</v>
          </cell>
          <cell r="M1030" t="str">
            <v>45101</v>
          </cell>
          <cell r="N1030" t="str">
            <v>14 2925113</v>
          </cell>
          <cell r="P1030">
            <v>12.5</v>
          </cell>
          <cell r="Q1030">
            <v>0</v>
          </cell>
          <cell r="R1030" t="str">
            <v>1</v>
          </cell>
          <cell r="S1030" t="str">
            <v>45</v>
          </cell>
          <cell r="T1030">
            <v>97</v>
          </cell>
          <cell r="U1030">
            <v>12</v>
          </cell>
          <cell r="V1030">
            <v>97</v>
          </cell>
          <cell r="W1030">
            <v>12</v>
          </cell>
          <cell r="X1030">
            <v>97</v>
          </cell>
          <cell r="Y1030">
            <v>0</v>
          </cell>
          <cell r="Z1030">
            <v>0</v>
          </cell>
          <cell r="AB1030" t="str">
            <v>14</v>
          </cell>
          <cell r="AC1030">
            <v>2</v>
          </cell>
          <cell r="AD1030" t="str">
            <v>0</v>
          </cell>
          <cell r="AE1030" t="str">
            <v>0</v>
          </cell>
          <cell r="AF1030" t="str">
            <v>20</v>
          </cell>
          <cell r="AI1030">
            <v>0</v>
          </cell>
          <cell r="AJ1030">
            <v>0</v>
          </cell>
        </row>
        <row r="1031">
          <cell r="A1031" t="str">
            <v>20</v>
          </cell>
          <cell r="B1031" t="str">
            <v>17</v>
          </cell>
          <cell r="C1031" t="str">
            <v>486</v>
          </cell>
          <cell r="D1031" t="str">
            <v>Стеллаж для сыров</v>
          </cell>
          <cell r="G1031" t="str">
            <v>01</v>
          </cell>
          <cell r="H1031">
            <v>5758.19</v>
          </cell>
          <cell r="I1031">
            <v>0</v>
          </cell>
          <cell r="J1031">
            <v>0</v>
          </cell>
          <cell r="K1031">
            <v>1</v>
          </cell>
          <cell r="L1031" t="str">
            <v>88/4</v>
          </cell>
          <cell r="M1031" t="str">
            <v>45101</v>
          </cell>
          <cell r="N1031" t="str">
            <v>14 2925113</v>
          </cell>
          <cell r="P1031">
            <v>12.5</v>
          </cell>
          <cell r="Q1031">
            <v>0</v>
          </cell>
          <cell r="R1031" t="str">
            <v>1</v>
          </cell>
          <cell r="S1031" t="str">
            <v>45</v>
          </cell>
          <cell r="T1031">
            <v>97</v>
          </cell>
          <cell r="U1031">
            <v>12</v>
          </cell>
          <cell r="V1031">
            <v>97</v>
          </cell>
          <cell r="W1031">
            <v>12</v>
          </cell>
          <cell r="X1031">
            <v>97</v>
          </cell>
          <cell r="Y1031">
            <v>0</v>
          </cell>
          <cell r="Z1031">
            <v>0</v>
          </cell>
          <cell r="AB1031" t="str">
            <v>14</v>
          </cell>
          <cell r="AC1031">
            <v>2</v>
          </cell>
          <cell r="AD1031" t="str">
            <v>0</v>
          </cell>
          <cell r="AE1031" t="str">
            <v>0</v>
          </cell>
          <cell r="AF1031" t="str">
            <v>20</v>
          </cell>
          <cell r="AI1031">
            <v>0</v>
          </cell>
          <cell r="AJ1031">
            <v>0</v>
          </cell>
        </row>
        <row r="1032">
          <cell r="A1032" t="str">
            <v>20</v>
          </cell>
          <cell r="B1032" t="str">
            <v>17</v>
          </cell>
          <cell r="C1032" t="str">
            <v>487</v>
          </cell>
          <cell r="D1032" t="str">
            <v>Стеллаж для сыров</v>
          </cell>
          <cell r="G1032" t="str">
            <v>01</v>
          </cell>
          <cell r="H1032">
            <v>5758.19</v>
          </cell>
          <cell r="I1032">
            <v>0</v>
          </cell>
          <cell r="J1032">
            <v>0</v>
          </cell>
          <cell r="K1032">
            <v>1</v>
          </cell>
          <cell r="L1032" t="str">
            <v>88/4</v>
          </cell>
          <cell r="M1032" t="str">
            <v>45101</v>
          </cell>
          <cell r="N1032" t="str">
            <v>14 2925113</v>
          </cell>
          <cell r="P1032">
            <v>12.5</v>
          </cell>
          <cell r="Q1032">
            <v>0</v>
          </cell>
          <cell r="R1032" t="str">
            <v>1</v>
          </cell>
          <cell r="S1032" t="str">
            <v>45</v>
          </cell>
          <cell r="T1032">
            <v>97</v>
          </cell>
          <cell r="U1032">
            <v>12</v>
          </cell>
          <cell r="V1032">
            <v>97</v>
          </cell>
          <cell r="W1032">
            <v>12</v>
          </cell>
          <cell r="X1032">
            <v>97</v>
          </cell>
          <cell r="Y1032">
            <v>0</v>
          </cell>
          <cell r="Z1032">
            <v>0</v>
          </cell>
          <cell r="AB1032" t="str">
            <v>14</v>
          </cell>
          <cell r="AC1032">
            <v>2</v>
          </cell>
          <cell r="AD1032" t="str">
            <v>0</v>
          </cell>
          <cell r="AE1032" t="str">
            <v>0</v>
          </cell>
          <cell r="AF1032" t="str">
            <v>20</v>
          </cell>
          <cell r="AI1032">
            <v>0</v>
          </cell>
          <cell r="AJ1032">
            <v>0</v>
          </cell>
        </row>
        <row r="1033">
          <cell r="A1033" t="str">
            <v>20</v>
          </cell>
          <cell r="B1033" t="str">
            <v>17</v>
          </cell>
          <cell r="C1033" t="str">
            <v>488</v>
          </cell>
          <cell r="D1033" t="str">
            <v>Стеллаж для сыров</v>
          </cell>
          <cell r="G1033" t="str">
            <v>01</v>
          </cell>
          <cell r="H1033">
            <v>5758.19</v>
          </cell>
          <cell r="I1033">
            <v>0</v>
          </cell>
          <cell r="J1033">
            <v>0</v>
          </cell>
          <cell r="K1033">
            <v>1</v>
          </cell>
          <cell r="L1033" t="str">
            <v>88/4</v>
          </cell>
          <cell r="M1033" t="str">
            <v>45101</v>
          </cell>
          <cell r="N1033" t="str">
            <v>14 2925113</v>
          </cell>
          <cell r="P1033">
            <v>12.5</v>
          </cell>
          <cell r="Q1033">
            <v>0</v>
          </cell>
          <cell r="R1033" t="str">
            <v>1</v>
          </cell>
          <cell r="S1033" t="str">
            <v>45</v>
          </cell>
          <cell r="T1033">
            <v>97</v>
          </cell>
          <cell r="U1033">
            <v>12</v>
          </cell>
          <cell r="V1033">
            <v>97</v>
          </cell>
          <cell r="W1033">
            <v>12</v>
          </cell>
          <cell r="X1033">
            <v>97</v>
          </cell>
          <cell r="Y1033">
            <v>0</v>
          </cell>
          <cell r="Z1033">
            <v>0</v>
          </cell>
          <cell r="AB1033" t="str">
            <v>14</v>
          </cell>
          <cell r="AC1033">
            <v>2</v>
          </cell>
          <cell r="AD1033" t="str">
            <v>0</v>
          </cell>
          <cell r="AE1033" t="str">
            <v>0</v>
          </cell>
          <cell r="AF1033" t="str">
            <v>20</v>
          </cell>
          <cell r="AI1033">
            <v>0</v>
          </cell>
          <cell r="AJ1033">
            <v>0</v>
          </cell>
        </row>
        <row r="1034">
          <cell r="A1034" t="str">
            <v>20</v>
          </cell>
          <cell r="B1034" t="str">
            <v>17</v>
          </cell>
          <cell r="C1034" t="str">
            <v>489</v>
          </cell>
          <cell r="D1034" t="str">
            <v>Стеллаж для сыров</v>
          </cell>
          <cell r="G1034" t="str">
            <v>01</v>
          </cell>
          <cell r="H1034">
            <v>5758.19</v>
          </cell>
          <cell r="I1034">
            <v>0</v>
          </cell>
          <cell r="J1034">
            <v>0</v>
          </cell>
          <cell r="K1034">
            <v>1</v>
          </cell>
          <cell r="L1034" t="str">
            <v>88/4</v>
          </cell>
          <cell r="M1034" t="str">
            <v>45101</v>
          </cell>
          <cell r="N1034" t="str">
            <v>14 2925113</v>
          </cell>
          <cell r="P1034">
            <v>12.5</v>
          </cell>
          <cell r="Q1034">
            <v>0</v>
          </cell>
          <cell r="R1034" t="str">
            <v>1</v>
          </cell>
          <cell r="S1034" t="str">
            <v>45</v>
          </cell>
          <cell r="T1034">
            <v>97</v>
          </cell>
          <cell r="U1034">
            <v>12</v>
          </cell>
          <cell r="V1034">
            <v>97</v>
          </cell>
          <cell r="W1034">
            <v>12</v>
          </cell>
          <cell r="X1034">
            <v>97</v>
          </cell>
          <cell r="Y1034">
            <v>0</v>
          </cell>
          <cell r="Z1034">
            <v>0</v>
          </cell>
          <cell r="AB1034" t="str">
            <v>14</v>
          </cell>
          <cell r="AC1034">
            <v>2</v>
          </cell>
          <cell r="AD1034" t="str">
            <v>0</v>
          </cell>
          <cell r="AE1034" t="str">
            <v>1</v>
          </cell>
          <cell r="AF1034" t="str">
            <v>20</v>
          </cell>
          <cell r="AI1034">
            <v>0</v>
          </cell>
          <cell r="AJ1034">
            <v>0</v>
          </cell>
        </row>
        <row r="1035">
          <cell r="A1035" t="str">
            <v>20</v>
          </cell>
          <cell r="B1035" t="str">
            <v>17</v>
          </cell>
          <cell r="C1035" t="str">
            <v>490</v>
          </cell>
          <cell r="D1035" t="str">
            <v>Цех ремонтный</v>
          </cell>
          <cell r="G1035" t="str">
            <v>01</v>
          </cell>
          <cell r="H1035">
            <v>47746.81</v>
          </cell>
          <cell r="I1035">
            <v>0</v>
          </cell>
          <cell r="J1035">
            <v>0</v>
          </cell>
          <cell r="K1035">
            <v>1</v>
          </cell>
          <cell r="L1035" t="str">
            <v>88/4</v>
          </cell>
          <cell r="M1035" t="str">
            <v>10102</v>
          </cell>
          <cell r="N1035" t="str">
            <v>11 4524362</v>
          </cell>
          <cell r="P1035">
            <v>1</v>
          </cell>
          <cell r="Q1035">
            <v>0</v>
          </cell>
          <cell r="R1035" t="str">
            <v>1</v>
          </cell>
          <cell r="S1035" t="str">
            <v>10</v>
          </cell>
          <cell r="T1035">
            <v>97</v>
          </cell>
          <cell r="U1035">
            <v>12</v>
          </cell>
          <cell r="V1035">
            <v>97</v>
          </cell>
          <cell r="W1035">
            <v>12</v>
          </cell>
          <cell r="X1035">
            <v>97</v>
          </cell>
          <cell r="Y1035">
            <v>0</v>
          </cell>
          <cell r="Z1035">
            <v>0</v>
          </cell>
          <cell r="AB1035" t="str">
            <v>14</v>
          </cell>
          <cell r="AC1035">
            <v>2</v>
          </cell>
          <cell r="AD1035" t="str">
            <v>0</v>
          </cell>
          <cell r="AE1035" t="str">
            <v>0</v>
          </cell>
          <cell r="AF1035" t="str">
            <v>20</v>
          </cell>
          <cell r="AI1035">
            <v>0</v>
          </cell>
          <cell r="AJ1035">
            <v>0</v>
          </cell>
        </row>
        <row r="1036">
          <cell r="A1036" t="str">
            <v>20</v>
          </cell>
          <cell r="B1036" t="str">
            <v>17</v>
          </cell>
          <cell r="C1036" t="str">
            <v>491</v>
          </cell>
          <cell r="D1036" t="str">
            <v>Упаков.машина для мо</v>
          </cell>
          <cell r="E1036" t="str">
            <v>лока кефира PV-200</v>
          </cell>
          <cell r="G1036" t="str">
            <v>01</v>
          </cell>
          <cell r="H1036">
            <v>27720.85</v>
          </cell>
          <cell r="I1036">
            <v>0</v>
          </cell>
          <cell r="J1036">
            <v>0</v>
          </cell>
          <cell r="K1036">
            <v>1</v>
          </cell>
          <cell r="L1036" t="str">
            <v>88/4</v>
          </cell>
          <cell r="M1036" t="str">
            <v>45100</v>
          </cell>
          <cell r="N1036" t="str">
            <v>14 2925104</v>
          </cell>
          <cell r="P1036">
            <v>11.8</v>
          </cell>
          <cell r="Q1036">
            <v>0</v>
          </cell>
          <cell r="R1036" t="str">
            <v>1</v>
          </cell>
          <cell r="S1036" t="str">
            <v>45</v>
          </cell>
          <cell r="T1036">
            <v>97</v>
          </cell>
          <cell r="U1036">
            <v>12</v>
          </cell>
          <cell r="V1036">
            <v>97</v>
          </cell>
          <cell r="W1036">
            <v>12</v>
          </cell>
          <cell r="X1036">
            <v>97</v>
          </cell>
          <cell r="Y1036">
            <v>0</v>
          </cell>
          <cell r="Z1036">
            <v>0</v>
          </cell>
          <cell r="AB1036" t="str">
            <v>14</v>
          </cell>
          <cell r="AC1036">
            <v>2</v>
          </cell>
          <cell r="AD1036" t="str">
            <v>0</v>
          </cell>
          <cell r="AE1036" t="str">
            <v>1</v>
          </cell>
          <cell r="AF1036" t="str">
            <v>20</v>
          </cell>
          <cell r="AI1036">
            <v>0</v>
          </cell>
          <cell r="AJ1036">
            <v>0</v>
          </cell>
        </row>
        <row r="1037">
          <cell r="A1037" t="str">
            <v>20</v>
          </cell>
          <cell r="B1037" t="str">
            <v>17</v>
          </cell>
          <cell r="C1037" t="str">
            <v>492</v>
          </cell>
          <cell r="D1037" t="str">
            <v>Тележка с бортом</v>
          </cell>
          <cell r="G1037" t="str">
            <v>01</v>
          </cell>
          <cell r="H1037">
            <v>4083.17</v>
          </cell>
          <cell r="I1037">
            <v>0</v>
          </cell>
          <cell r="J1037">
            <v>0</v>
          </cell>
          <cell r="K1037">
            <v>1</v>
          </cell>
          <cell r="L1037" t="str">
            <v>88/4</v>
          </cell>
          <cell r="M1037" t="str">
            <v>45100</v>
          </cell>
          <cell r="N1037" t="str">
            <v>14 2925110</v>
          </cell>
          <cell r="P1037">
            <v>11.8</v>
          </cell>
          <cell r="Q1037">
            <v>0</v>
          </cell>
          <cell r="R1037" t="str">
            <v>1</v>
          </cell>
          <cell r="S1037" t="str">
            <v>45</v>
          </cell>
          <cell r="T1037">
            <v>97</v>
          </cell>
          <cell r="U1037">
            <v>12</v>
          </cell>
          <cell r="V1037">
            <v>97</v>
          </cell>
          <cell r="W1037">
            <v>12</v>
          </cell>
          <cell r="X1037">
            <v>97</v>
          </cell>
          <cell r="Y1037">
            <v>0</v>
          </cell>
          <cell r="Z1037">
            <v>0</v>
          </cell>
          <cell r="AB1037" t="str">
            <v>14</v>
          </cell>
          <cell r="AC1037">
            <v>2</v>
          </cell>
          <cell r="AD1037" t="str">
            <v>0</v>
          </cell>
          <cell r="AE1037" t="str">
            <v>0</v>
          </cell>
          <cell r="AF1037" t="str">
            <v>20</v>
          </cell>
          <cell r="AI1037">
            <v>0</v>
          </cell>
          <cell r="AJ1037">
            <v>0</v>
          </cell>
        </row>
        <row r="1038">
          <cell r="A1038" t="str">
            <v>20</v>
          </cell>
          <cell r="B1038" t="str">
            <v>17</v>
          </cell>
          <cell r="C1038" t="str">
            <v>493</v>
          </cell>
          <cell r="D1038" t="str">
            <v>Тележка с бортом</v>
          </cell>
          <cell r="G1038" t="str">
            <v>01</v>
          </cell>
          <cell r="H1038">
            <v>4083.17</v>
          </cell>
          <cell r="I1038">
            <v>0</v>
          </cell>
          <cell r="J1038">
            <v>0</v>
          </cell>
          <cell r="K1038">
            <v>1</v>
          </cell>
          <cell r="L1038" t="str">
            <v>88/4</v>
          </cell>
          <cell r="M1038" t="str">
            <v>45100</v>
          </cell>
          <cell r="N1038" t="str">
            <v>14 2925110</v>
          </cell>
          <cell r="P1038">
            <v>11.8</v>
          </cell>
          <cell r="Q1038">
            <v>0</v>
          </cell>
          <cell r="R1038" t="str">
            <v>1</v>
          </cell>
          <cell r="S1038" t="str">
            <v>45</v>
          </cell>
          <cell r="T1038">
            <v>97</v>
          </cell>
          <cell r="U1038">
            <v>12</v>
          </cell>
          <cell r="V1038">
            <v>97</v>
          </cell>
          <cell r="W1038">
            <v>12</v>
          </cell>
          <cell r="X1038">
            <v>97</v>
          </cell>
          <cell r="Y1038">
            <v>0</v>
          </cell>
          <cell r="Z1038">
            <v>0</v>
          </cell>
          <cell r="AB1038" t="str">
            <v>14</v>
          </cell>
          <cell r="AC1038">
            <v>2</v>
          </cell>
          <cell r="AD1038" t="str">
            <v>0</v>
          </cell>
          <cell r="AE1038" t="str">
            <v>0</v>
          </cell>
          <cell r="AF1038" t="str">
            <v>20</v>
          </cell>
          <cell r="AI1038">
            <v>0</v>
          </cell>
          <cell r="AJ1038">
            <v>0</v>
          </cell>
        </row>
        <row r="1039">
          <cell r="A1039" t="str">
            <v>20</v>
          </cell>
          <cell r="B1039" t="str">
            <v>17</v>
          </cell>
          <cell r="C1039" t="str">
            <v>494</v>
          </cell>
          <cell r="D1039" t="str">
            <v>Машина упаков. для м</v>
          </cell>
          <cell r="E1039" t="str">
            <v>асла SACC-VC</v>
          </cell>
          <cell r="G1039" t="str">
            <v>01</v>
          </cell>
          <cell r="H1039">
            <v>40030.839999999997</v>
          </cell>
          <cell r="I1039">
            <v>0</v>
          </cell>
          <cell r="J1039">
            <v>0</v>
          </cell>
          <cell r="K1039">
            <v>1</v>
          </cell>
          <cell r="L1039" t="str">
            <v>88/4</v>
          </cell>
          <cell r="M1039" t="str">
            <v>45100</v>
          </cell>
          <cell r="N1039" t="str">
            <v>14 2925104</v>
          </cell>
          <cell r="P1039">
            <v>11.8</v>
          </cell>
          <cell r="Q1039">
            <v>0</v>
          </cell>
          <cell r="R1039" t="str">
            <v>1</v>
          </cell>
          <cell r="S1039" t="str">
            <v>45</v>
          </cell>
          <cell r="T1039">
            <v>97</v>
          </cell>
          <cell r="U1039">
            <v>12</v>
          </cell>
          <cell r="V1039">
            <v>97</v>
          </cell>
          <cell r="W1039">
            <v>12</v>
          </cell>
          <cell r="X1039">
            <v>97</v>
          </cell>
          <cell r="Y1039">
            <v>0</v>
          </cell>
          <cell r="Z1039">
            <v>0</v>
          </cell>
          <cell r="AB1039" t="str">
            <v>14</v>
          </cell>
          <cell r="AC1039">
            <v>2</v>
          </cell>
          <cell r="AD1039" t="str">
            <v>0</v>
          </cell>
          <cell r="AE1039" t="str">
            <v>0</v>
          </cell>
          <cell r="AF1039" t="str">
            <v>20</v>
          </cell>
          <cell r="AI1039">
            <v>0</v>
          </cell>
          <cell r="AJ1039">
            <v>0</v>
          </cell>
        </row>
        <row r="1040">
          <cell r="A1040" t="str">
            <v>20</v>
          </cell>
          <cell r="B1040" t="str">
            <v>17</v>
          </cell>
          <cell r="C1040" t="str">
            <v>495</v>
          </cell>
          <cell r="D1040" t="str">
            <v>Стеллаж металлически</v>
          </cell>
          <cell r="E1040" t="str">
            <v>й</v>
          </cell>
          <cell r="G1040" t="str">
            <v>01</v>
          </cell>
          <cell r="H1040">
            <v>7533.79</v>
          </cell>
          <cell r="I1040">
            <v>0</v>
          </cell>
          <cell r="J1040">
            <v>0</v>
          </cell>
          <cell r="K1040">
            <v>1</v>
          </cell>
          <cell r="L1040" t="str">
            <v>88/4</v>
          </cell>
          <cell r="M1040" t="str">
            <v>45100</v>
          </cell>
          <cell r="N1040" t="str">
            <v>14 2925110</v>
          </cell>
          <cell r="P1040">
            <v>11.8</v>
          </cell>
          <cell r="Q1040">
            <v>0</v>
          </cell>
          <cell r="R1040" t="str">
            <v>1</v>
          </cell>
          <cell r="S1040" t="str">
            <v>45</v>
          </cell>
          <cell r="T1040">
            <v>97</v>
          </cell>
          <cell r="U1040">
            <v>12</v>
          </cell>
          <cell r="V1040">
            <v>97</v>
          </cell>
          <cell r="W1040">
            <v>12</v>
          </cell>
          <cell r="X1040">
            <v>97</v>
          </cell>
          <cell r="Y1040">
            <v>0</v>
          </cell>
          <cell r="Z1040">
            <v>0</v>
          </cell>
          <cell r="AB1040" t="str">
            <v>14</v>
          </cell>
          <cell r="AC1040">
            <v>2</v>
          </cell>
          <cell r="AD1040" t="str">
            <v>0</v>
          </cell>
          <cell r="AE1040" t="str">
            <v>0</v>
          </cell>
          <cell r="AF1040" t="str">
            <v>20</v>
          </cell>
          <cell r="AI1040">
            <v>0</v>
          </cell>
          <cell r="AJ1040">
            <v>0</v>
          </cell>
        </row>
        <row r="1041">
          <cell r="A1041" t="str">
            <v>20</v>
          </cell>
          <cell r="B1041" t="str">
            <v>17</v>
          </cell>
          <cell r="C1041" t="str">
            <v>496</v>
          </cell>
          <cell r="D1041" t="str">
            <v>Стеллаж металлически</v>
          </cell>
          <cell r="E1041" t="str">
            <v>й</v>
          </cell>
          <cell r="G1041" t="str">
            <v>01</v>
          </cell>
          <cell r="H1041">
            <v>7533.79</v>
          </cell>
          <cell r="I1041">
            <v>0</v>
          </cell>
          <cell r="J1041">
            <v>0</v>
          </cell>
          <cell r="K1041">
            <v>1</v>
          </cell>
          <cell r="L1041" t="str">
            <v>88/4</v>
          </cell>
          <cell r="M1041" t="str">
            <v>45100</v>
          </cell>
          <cell r="N1041" t="str">
            <v>14 2924110</v>
          </cell>
          <cell r="P1041">
            <v>11.8</v>
          </cell>
          <cell r="Q1041">
            <v>0</v>
          </cell>
          <cell r="R1041" t="str">
            <v>1</v>
          </cell>
          <cell r="S1041" t="str">
            <v>45</v>
          </cell>
          <cell r="T1041">
            <v>97</v>
          </cell>
          <cell r="U1041">
            <v>12</v>
          </cell>
          <cell r="V1041">
            <v>97</v>
          </cell>
          <cell r="W1041">
            <v>12</v>
          </cell>
          <cell r="X1041">
            <v>97</v>
          </cell>
          <cell r="Y1041">
            <v>0</v>
          </cell>
          <cell r="Z1041">
            <v>0</v>
          </cell>
          <cell r="AB1041" t="str">
            <v>14</v>
          </cell>
          <cell r="AC1041">
            <v>2</v>
          </cell>
          <cell r="AD1041" t="str">
            <v>0</v>
          </cell>
          <cell r="AE1041" t="str">
            <v>0</v>
          </cell>
          <cell r="AF1041" t="str">
            <v>20</v>
          </cell>
          <cell r="AI1041">
            <v>0</v>
          </cell>
          <cell r="AJ1041">
            <v>0</v>
          </cell>
        </row>
        <row r="1042">
          <cell r="A1042" t="str">
            <v>20</v>
          </cell>
          <cell r="B1042" t="str">
            <v>17</v>
          </cell>
          <cell r="C1042" t="str">
            <v>497</v>
          </cell>
          <cell r="D1042" t="str">
            <v>Стеллаж металлически</v>
          </cell>
          <cell r="E1042" t="str">
            <v>й</v>
          </cell>
          <cell r="G1042" t="str">
            <v>01</v>
          </cell>
          <cell r="H1042">
            <v>7533.79</v>
          </cell>
          <cell r="I1042">
            <v>0</v>
          </cell>
          <cell r="J1042">
            <v>0</v>
          </cell>
          <cell r="K1042">
            <v>1</v>
          </cell>
          <cell r="L1042" t="str">
            <v>88/4</v>
          </cell>
          <cell r="M1042" t="str">
            <v>45100</v>
          </cell>
          <cell r="N1042" t="str">
            <v>14 2924110</v>
          </cell>
          <cell r="P1042">
            <v>11.8</v>
          </cell>
          <cell r="Q1042">
            <v>0</v>
          </cell>
          <cell r="R1042" t="str">
            <v>1</v>
          </cell>
          <cell r="S1042" t="str">
            <v>45</v>
          </cell>
          <cell r="T1042">
            <v>97</v>
          </cell>
          <cell r="U1042">
            <v>12</v>
          </cell>
          <cell r="V1042">
            <v>97</v>
          </cell>
          <cell r="W1042">
            <v>12</v>
          </cell>
          <cell r="X1042">
            <v>97</v>
          </cell>
          <cell r="Y1042">
            <v>0</v>
          </cell>
          <cell r="Z1042">
            <v>0</v>
          </cell>
          <cell r="AB1042" t="str">
            <v>14</v>
          </cell>
          <cell r="AC1042">
            <v>2</v>
          </cell>
          <cell r="AD1042" t="str">
            <v>0</v>
          </cell>
          <cell r="AE1042" t="str">
            <v>0</v>
          </cell>
          <cell r="AF1042" t="str">
            <v>20</v>
          </cell>
          <cell r="AI1042">
            <v>0</v>
          </cell>
          <cell r="AJ1042">
            <v>0</v>
          </cell>
        </row>
        <row r="1043">
          <cell r="A1043" t="str">
            <v>20</v>
          </cell>
          <cell r="B1043" t="str">
            <v>17</v>
          </cell>
          <cell r="C1043" t="str">
            <v>498</v>
          </cell>
          <cell r="D1043" t="str">
            <v>Стеллаж металлически</v>
          </cell>
          <cell r="E1043" t="str">
            <v>й</v>
          </cell>
          <cell r="G1043" t="str">
            <v>01</v>
          </cell>
          <cell r="H1043">
            <v>7533.79</v>
          </cell>
          <cell r="I1043">
            <v>0</v>
          </cell>
          <cell r="J1043">
            <v>0</v>
          </cell>
          <cell r="K1043">
            <v>1</v>
          </cell>
          <cell r="L1043" t="str">
            <v>88/4</v>
          </cell>
          <cell r="M1043" t="str">
            <v>45100</v>
          </cell>
          <cell r="N1043" t="str">
            <v>14 2925110</v>
          </cell>
          <cell r="P1043">
            <v>11.8</v>
          </cell>
          <cell r="Q1043">
            <v>0</v>
          </cell>
          <cell r="R1043" t="str">
            <v>1</v>
          </cell>
          <cell r="S1043" t="str">
            <v>45</v>
          </cell>
          <cell r="T1043">
            <v>97</v>
          </cell>
          <cell r="U1043">
            <v>12</v>
          </cell>
          <cell r="V1043">
            <v>97</v>
          </cell>
          <cell r="W1043">
            <v>12</v>
          </cell>
          <cell r="X1043">
            <v>97</v>
          </cell>
          <cell r="Y1043">
            <v>0</v>
          </cell>
          <cell r="Z1043">
            <v>0</v>
          </cell>
          <cell r="AB1043" t="str">
            <v>14</v>
          </cell>
          <cell r="AC1043">
            <v>2</v>
          </cell>
          <cell r="AD1043" t="str">
            <v>0</v>
          </cell>
          <cell r="AE1043" t="str">
            <v>0</v>
          </cell>
          <cell r="AF1043" t="str">
            <v>20</v>
          </cell>
          <cell r="AI1043">
            <v>0</v>
          </cell>
          <cell r="AJ1043">
            <v>0</v>
          </cell>
        </row>
        <row r="1044">
          <cell r="A1044" t="str">
            <v>20</v>
          </cell>
          <cell r="B1044" t="str">
            <v>17</v>
          </cell>
          <cell r="C1044" t="str">
            <v>499</v>
          </cell>
          <cell r="D1044" t="str">
            <v>Шкаф металлический</v>
          </cell>
          <cell r="G1044" t="str">
            <v>01</v>
          </cell>
          <cell r="H1044">
            <v>2048.17</v>
          </cell>
          <cell r="I1044">
            <v>0</v>
          </cell>
          <cell r="J1044">
            <v>0</v>
          </cell>
          <cell r="K1044">
            <v>1</v>
          </cell>
          <cell r="L1044" t="str">
            <v>88/4</v>
          </cell>
          <cell r="M1044" t="str">
            <v>45100</v>
          </cell>
          <cell r="N1044" t="str">
            <v>14 2925110</v>
          </cell>
          <cell r="P1044">
            <v>11.8</v>
          </cell>
          <cell r="Q1044">
            <v>0</v>
          </cell>
          <cell r="R1044" t="str">
            <v>1</v>
          </cell>
          <cell r="S1044" t="str">
            <v>45</v>
          </cell>
          <cell r="T1044">
            <v>97</v>
          </cell>
          <cell r="U1044">
            <v>12</v>
          </cell>
          <cell r="V1044">
            <v>97</v>
          </cell>
          <cell r="W1044">
            <v>12</v>
          </cell>
          <cell r="X1044">
            <v>97</v>
          </cell>
          <cell r="Y1044">
            <v>0</v>
          </cell>
          <cell r="Z1044">
            <v>0</v>
          </cell>
          <cell r="AB1044" t="str">
            <v>14</v>
          </cell>
          <cell r="AC1044">
            <v>2</v>
          </cell>
          <cell r="AD1044" t="str">
            <v>0</v>
          </cell>
          <cell r="AE1044" t="str">
            <v>0</v>
          </cell>
          <cell r="AF1044" t="str">
            <v>20</v>
          </cell>
          <cell r="AI1044">
            <v>0</v>
          </cell>
          <cell r="AJ1044">
            <v>0</v>
          </cell>
        </row>
        <row r="1045">
          <cell r="A1045" t="str">
            <v>20</v>
          </cell>
          <cell r="B1045" t="str">
            <v>17</v>
          </cell>
          <cell r="C1045" t="str">
            <v>500</v>
          </cell>
          <cell r="D1045" t="str">
            <v>Шкаф металлический</v>
          </cell>
          <cell r="G1045" t="str">
            <v>01</v>
          </cell>
          <cell r="H1045">
            <v>2048.17</v>
          </cell>
          <cell r="I1045">
            <v>0</v>
          </cell>
          <cell r="J1045">
            <v>0</v>
          </cell>
          <cell r="K1045">
            <v>1</v>
          </cell>
          <cell r="L1045" t="str">
            <v>88/4</v>
          </cell>
          <cell r="M1045" t="str">
            <v>45100</v>
          </cell>
          <cell r="N1045" t="str">
            <v>14 2925110</v>
          </cell>
          <cell r="P1045">
            <v>11.8</v>
          </cell>
          <cell r="Q1045">
            <v>0</v>
          </cell>
          <cell r="R1045" t="str">
            <v>1</v>
          </cell>
          <cell r="S1045" t="str">
            <v>45</v>
          </cell>
          <cell r="T1045">
            <v>97</v>
          </cell>
          <cell r="U1045">
            <v>12</v>
          </cell>
          <cell r="V1045">
            <v>97</v>
          </cell>
          <cell r="W1045">
            <v>12</v>
          </cell>
          <cell r="X1045">
            <v>97</v>
          </cell>
          <cell r="Y1045">
            <v>0</v>
          </cell>
          <cell r="Z1045">
            <v>0</v>
          </cell>
          <cell r="AB1045" t="str">
            <v>14</v>
          </cell>
          <cell r="AC1045">
            <v>2</v>
          </cell>
          <cell r="AD1045" t="str">
            <v>0</v>
          </cell>
          <cell r="AE1045" t="str">
            <v>0</v>
          </cell>
          <cell r="AF1045" t="str">
            <v>20</v>
          </cell>
          <cell r="AI1045">
            <v>0</v>
          </cell>
          <cell r="AJ1045">
            <v>0</v>
          </cell>
        </row>
        <row r="1046">
          <cell r="A1046" t="str">
            <v>20</v>
          </cell>
          <cell r="B1046" t="str">
            <v>17</v>
          </cell>
          <cell r="C1046" t="str">
            <v>501</v>
          </cell>
          <cell r="D1046" t="str">
            <v>Лестница на колесика</v>
          </cell>
          <cell r="E1046" t="str">
            <v>х</v>
          </cell>
          <cell r="G1046" t="str">
            <v>01</v>
          </cell>
          <cell r="H1046">
            <v>3041.56</v>
          </cell>
          <cell r="I1046">
            <v>0</v>
          </cell>
          <cell r="J1046">
            <v>0</v>
          </cell>
          <cell r="K1046">
            <v>1</v>
          </cell>
          <cell r="L1046" t="str">
            <v>88/4</v>
          </cell>
          <cell r="M1046" t="str">
            <v>45100</v>
          </cell>
          <cell r="N1046" t="str">
            <v>14 2925110</v>
          </cell>
          <cell r="P1046">
            <v>11.8</v>
          </cell>
          <cell r="Q1046">
            <v>0</v>
          </cell>
          <cell r="R1046" t="str">
            <v>1</v>
          </cell>
          <cell r="S1046" t="str">
            <v>45</v>
          </cell>
          <cell r="T1046">
            <v>97</v>
          </cell>
          <cell r="U1046">
            <v>12</v>
          </cell>
          <cell r="V1046">
            <v>97</v>
          </cell>
          <cell r="W1046">
            <v>12</v>
          </cell>
          <cell r="X1046">
            <v>97</v>
          </cell>
          <cell r="Y1046">
            <v>0</v>
          </cell>
          <cell r="Z1046">
            <v>0</v>
          </cell>
          <cell r="AB1046" t="str">
            <v>14</v>
          </cell>
          <cell r="AC1046">
            <v>2</v>
          </cell>
          <cell r="AD1046" t="str">
            <v>0</v>
          </cell>
          <cell r="AE1046" t="str">
            <v>0</v>
          </cell>
          <cell r="AF1046" t="str">
            <v>20</v>
          </cell>
          <cell r="AI1046">
            <v>0</v>
          </cell>
          <cell r="AJ1046">
            <v>0</v>
          </cell>
        </row>
        <row r="1047">
          <cell r="A1047" t="str">
            <v>20</v>
          </cell>
          <cell r="B1047" t="str">
            <v>17</v>
          </cell>
          <cell r="C1047" t="str">
            <v>502</v>
          </cell>
          <cell r="D1047" t="str">
            <v>Лестница раздвижная</v>
          </cell>
          <cell r="G1047" t="str">
            <v>01</v>
          </cell>
          <cell r="H1047">
            <v>3622.91</v>
          </cell>
          <cell r="I1047">
            <v>0</v>
          </cell>
          <cell r="J1047">
            <v>0</v>
          </cell>
          <cell r="K1047">
            <v>1</v>
          </cell>
          <cell r="L1047" t="str">
            <v>88/4</v>
          </cell>
          <cell r="M1047" t="str">
            <v>45100</v>
          </cell>
          <cell r="N1047" t="str">
            <v>14 2925110</v>
          </cell>
          <cell r="P1047">
            <v>11.8</v>
          </cell>
          <cell r="Q1047">
            <v>0</v>
          </cell>
          <cell r="R1047" t="str">
            <v>1</v>
          </cell>
          <cell r="S1047" t="str">
            <v>45</v>
          </cell>
          <cell r="T1047">
            <v>97</v>
          </cell>
          <cell r="U1047">
            <v>12</v>
          </cell>
          <cell r="V1047">
            <v>97</v>
          </cell>
          <cell r="W1047">
            <v>12</v>
          </cell>
          <cell r="X1047">
            <v>97</v>
          </cell>
          <cell r="Y1047">
            <v>0</v>
          </cell>
          <cell r="Z1047">
            <v>0</v>
          </cell>
          <cell r="AB1047" t="str">
            <v>14</v>
          </cell>
          <cell r="AC1047">
            <v>2</v>
          </cell>
          <cell r="AD1047" t="str">
            <v>0</v>
          </cell>
          <cell r="AE1047" t="str">
            <v>0</v>
          </cell>
          <cell r="AF1047" t="str">
            <v>20</v>
          </cell>
          <cell r="AI1047">
            <v>0</v>
          </cell>
          <cell r="AJ1047">
            <v>0</v>
          </cell>
        </row>
        <row r="1048">
          <cell r="A1048" t="str">
            <v>20</v>
          </cell>
          <cell r="B1048" t="str">
            <v>17</v>
          </cell>
          <cell r="C1048" t="str">
            <v>503</v>
          </cell>
          <cell r="D1048" t="str">
            <v>Лестница раздвижная</v>
          </cell>
          <cell r="G1048" t="str">
            <v>01</v>
          </cell>
          <cell r="H1048">
            <v>3622.91</v>
          </cell>
          <cell r="I1048">
            <v>0</v>
          </cell>
          <cell r="J1048">
            <v>0</v>
          </cell>
          <cell r="K1048">
            <v>1</v>
          </cell>
          <cell r="L1048" t="str">
            <v>88/4</v>
          </cell>
          <cell r="M1048" t="str">
            <v>45100</v>
          </cell>
          <cell r="N1048" t="str">
            <v>14 2925110</v>
          </cell>
          <cell r="P1048">
            <v>11.8</v>
          </cell>
          <cell r="Q1048">
            <v>0</v>
          </cell>
          <cell r="R1048" t="str">
            <v>1</v>
          </cell>
          <cell r="S1048" t="str">
            <v>45</v>
          </cell>
          <cell r="T1048">
            <v>97</v>
          </cell>
          <cell r="U1048">
            <v>12</v>
          </cell>
          <cell r="V1048">
            <v>97</v>
          </cell>
          <cell r="W1048">
            <v>12</v>
          </cell>
          <cell r="X1048">
            <v>97</v>
          </cell>
          <cell r="Y1048">
            <v>0</v>
          </cell>
          <cell r="Z1048">
            <v>0</v>
          </cell>
          <cell r="AB1048" t="str">
            <v>14</v>
          </cell>
          <cell r="AC1048">
            <v>2</v>
          </cell>
          <cell r="AD1048" t="str">
            <v>0</v>
          </cell>
          <cell r="AE1048" t="str">
            <v>0</v>
          </cell>
          <cell r="AF1048" t="str">
            <v>20</v>
          </cell>
          <cell r="AI1048">
            <v>0</v>
          </cell>
          <cell r="AJ1048">
            <v>0</v>
          </cell>
        </row>
        <row r="1049">
          <cell r="A1049" t="str">
            <v>20</v>
          </cell>
          <cell r="B1049" t="str">
            <v>17</v>
          </cell>
          <cell r="C1049" t="str">
            <v>504</v>
          </cell>
          <cell r="D1049" t="str">
            <v>Холодильник FILIPS</v>
          </cell>
          <cell r="G1049" t="str">
            <v>01</v>
          </cell>
          <cell r="H1049">
            <v>5088.3599999999997</v>
          </cell>
          <cell r="I1049">
            <v>0</v>
          </cell>
          <cell r="J1049">
            <v>0</v>
          </cell>
          <cell r="K1049">
            <v>1</v>
          </cell>
          <cell r="L1049" t="str">
            <v>88/4</v>
          </cell>
          <cell r="M1049" t="str">
            <v>45104</v>
          </cell>
          <cell r="N1049" t="str">
            <v>14 2919595</v>
          </cell>
          <cell r="P1049">
            <v>10</v>
          </cell>
          <cell r="Q1049">
            <v>0</v>
          </cell>
          <cell r="R1049" t="str">
            <v>1</v>
          </cell>
          <cell r="S1049" t="str">
            <v>45</v>
          </cell>
          <cell r="T1049">
            <v>97</v>
          </cell>
          <cell r="U1049">
            <v>12</v>
          </cell>
          <cell r="V1049">
            <v>97</v>
          </cell>
          <cell r="W1049">
            <v>12</v>
          </cell>
          <cell r="X1049">
            <v>97</v>
          </cell>
          <cell r="Y1049">
            <v>0</v>
          </cell>
          <cell r="Z1049">
            <v>0</v>
          </cell>
          <cell r="AB1049" t="str">
            <v>14</v>
          </cell>
          <cell r="AC1049">
            <v>2</v>
          </cell>
          <cell r="AD1049" t="str">
            <v>0</v>
          </cell>
          <cell r="AE1049" t="str">
            <v>0</v>
          </cell>
          <cell r="AF1049" t="str">
            <v>20</v>
          </cell>
          <cell r="AI1049">
            <v>0</v>
          </cell>
          <cell r="AJ1049">
            <v>0</v>
          </cell>
        </row>
        <row r="1050">
          <cell r="A1050" t="str">
            <v>20</v>
          </cell>
          <cell r="B1050" t="str">
            <v>17</v>
          </cell>
          <cell r="C1050" t="str">
            <v>505</v>
          </cell>
          <cell r="D1050" t="str">
            <v>Мойка</v>
          </cell>
          <cell r="G1050" t="str">
            <v>01</v>
          </cell>
          <cell r="H1050">
            <v>89531.18</v>
          </cell>
          <cell r="I1050">
            <v>0</v>
          </cell>
          <cell r="J1050">
            <v>0</v>
          </cell>
          <cell r="K1050">
            <v>1</v>
          </cell>
          <cell r="L1050" t="str">
            <v>88/4</v>
          </cell>
          <cell r="M1050" t="str">
            <v>45100</v>
          </cell>
          <cell r="N1050" t="str">
            <v>14 2925110</v>
          </cell>
          <cell r="P1050">
            <v>11.8</v>
          </cell>
          <cell r="Q1050">
            <v>0</v>
          </cell>
          <cell r="R1050" t="str">
            <v>1</v>
          </cell>
          <cell r="S1050" t="str">
            <v>45</v>
          </cell>
          <cell r="T1050">
            <v>97</v>
          </cell>
          <cell r="U1050">
            <v>12</v>
          </cell>
          <cell r="V1050">
            <v>97</v>
          </cell>
          <cell r="W1050">
            <v>12</v>
          </cell>
          <cell r="X1050">
            <v>97</v>
          </cell>
          <cell r="Y1050">
            <v>0</v>
          </cell>
          <cell r="Z1050">
            <v>0</v>
          </cell>
          <cell r="AB1050" t="str">
            <v>14</v>
          </cell>
          <cell r="AC1050">
            <v>2</v>
          </cell>
          <cell r="AD1050" t="str">
            <v>0</v>
          </cell>
          <cell r="AE1050" t="str">
            <v>0</v>
          </cell>
          <cell r="AF1050" t="str">
            <v>20</v>
          </cell>
          <cell r="AI1050">
            <v>0</v>
          </cell>
          <cell r="AJ1050">
            <v>0</v>
          </cell>
        </row>
        <row r="1051">
          <cell r="A1051" t="str">
            <v>20</v>
          </cell>
          <cell r="B1051" t="str">
            <v>17</v>
          </cell>
          <cell r="C1051" t="str">
            <v>506</v>
          </cell>
          <cell r="D1051" t="str">
            <v>Водонагреватель в си</v>
          </cell>
          <cell r="E1051" t="str">
            <v>стеме теплосети</v>
          </cell>
          <cell r="G1051" t="str">
            <v>01</v>
          </cell>
          <cell r="H1051">
            <v>906.19</v>
          </cell>
          <cell r="I1051">
            <v>0</v>
          </cell>
          <cell r="J1051">
            <v>0</v>
          </cell>
          <cell r="K1051">
            <v>1</v>
          </cell>
          <cell r="L1051" t="str">
            <v>88/4</v>
          </cell>
          <cell r="M1051" t="str">
            <v>40000</v>
          </cell>
          <cell r="N1051" t="str">
            <v>14 2914135</v>
          </cell>
          <cell r="P1051">
            <v>3.7</v>
          </cell>
          <cell r="Q1051">
            <v>0</v>
          </cell>
          <cell r="R1051" t="str">
            <v>1</v>
          </cell>
          <cell r="S1051" t="str">
            <v>40</v>
          </cell>
          <cell r="T1051">
            <v>97</v>
          </cell>
          <cell r="U1051">
            <v>12</v>
          </cell>
          <cell r="V1051">
            <v>97</v>
          </cell>
          <cell r="W1051">
            <v>12</v>
          </cell>
          <cell r="X1051">
            <v>97</v>
          </cell>
          <cell r="Y1051">
            <v>0</v>
          </cell>
          <cell r="Z1051">
            <v>0</v>
          </cell>
          <cell r="AB1051" t="str">
            <v>14</v>
          </cell>
          <cell r="AC1051">
            <v>2</v>
          </cell>
          <cell r="AD1051" t="str">
            <v>0</v>
          </cell>
          <cell r="AE1051" t="str">
            <v>0</v>
          </cell>
          <cell r="AF1051" t="str">
            <v>20</v>
          </cell>
          <cell r="AI1051">
            <v>0</v>
          </cell>
          <cell r="AJ1051">
            <v>0</v>
          </cell>
        </row>
        <row r="1052">
          <cell r="A1052" t="str">
            <v>20</v>
          </cell>
          <cell r="B1052" t="str">
            <v>17</v>
          </cell>
          <cell r="C1052" t="str">
            <v>507</v>
          </cell>
          <cell r="D1052" t="str">
            <v>Водонагреватель в си</v>
          </cell>
          <cell r="E1052" t="str">
            <v>стеме теплосети</v>
          </cell>
          <cell r="G1052" t="str">
            <v>01</v>
          </cell>
          <cell r="H1052">
            <v>906.19</v>
          </cell>
          <cell r="I1052">
            <v>0</v>
          </cell>
          <cell r="J1052">
            <v>0</v>
          </cell>
          <cell r="K1052">
            <v>1</v>
          </cell>
          <cell r="L1052" t="str">
            <v>88/4</v>
          </cell>
          <cell r="M1052" t="str">
            <v>40000</v>
          </cell>
          <cell r="N1052" t="str">
            <v>14 2914135</v>
          </cell>
          <cell r="P1052">
            <v>3.7</v>
          </cell>
          <cell r="Q1052">
            <v>0</v>
          </cell>
          <cell r="R1052" t="str">
            <v>1</v>
          </cell>
          <cell r="S1052" t="str">
            <v>40</v>
          </cell>
          <cell r="T1052">
            <v>97</v>
          </cell>
          <cell r="U1052">
            <v>12</v>
          </cell>
          <cell r="V1052">
            <v>97</v>
          </cell>
          <cell r="W1052">
            <v>12</v>
          </cell>
          <cell r="X1052">
            <v>97</v>
          </cell>
          <cell r="Y1052">
            <v>0</v>
          </cell>
          <cell r="Z1052">
            <v>0</v>
          </cell>
          <cell r="AB1052" t="str">
            <v>14</v>
          </cell>
          <cell r="AC1052">
            <v>2</v>
          </cell>
          <cell r="AD1052" t="str">
            <v>0</v>
          </cell>
          <cell r="AE1052" t="str">
            <v>0</v>
          </cell>
          <cell r="AF1052" t="str">
            <v>20</v>
          </cell>
          <cell r="AI1052">
            <v>0</v>
          </cell>
          <cell r="AJ1052">
            <v>0</v>
          </cell>
        </row>
        <row r="1053">
          <cell r="A1053" t="str">
            <v>20</v>
          </cell>
          <cell r="B1053" t="str">
            <v>17</v>
          </cell>
          <cell r="C1053" t="str">
            <v>508</v>
          </cell>
          <cell r="D1053" t="str">
            <v>Водонагреватель в си</v>
          </cell>
          <cell r="E1053" t="str">
            <v>стеме теплосети</v>
          </cell>
          <cell r="G1053" t="str">
            <v>01</v>
          </cell>
          <cell r="H1053">
            <v>906.19</v>
          </cell>
          <cell r="I1053">
            <v>0</v>
          </cell>
          <cell r="J1053">
            <v>0</v>
          </cell>
          <cell r="K1053">
            <v>1</v>
          </cell>
          <cell r="L1053" t="str">
            <v>88/4</v>
          </cell>
          <cell r="M1053" t="str">
            <v>40000</v>
          </cell>
          <cell r="N1053" t="str">
            <v>14 2914135</v>
          </cell>
          <cell r="P1053">
            <v>3.7</v>
          </cell>
          <cell r="Q1053">
            <v>0</v>
          </cell>
          <cell r="R1053" t="str">
            <v>1</v>
          </cell>
          <cell r="S1053" t="str">
            <v>40</v>
          </cell>
          <cell r="T1053">
            <v>97</v>
          </cell>
          <cell r="U1053">
            <v>12</v>
          </cell>
          <cell r="V1053">
            <v>97</v>
          </cell>
          <cell r="W1053">
            <v>12</v>
          </cell>
          <cell r="X1053">
            <v>97</v>
          </cell>
          <cell r="Y1053">
            <v>0</v>
          </cell>
          <cell r="Z1053">
            <v>0</v>
          </cell>
          <cell r="AB1053" t="str">
            <v>14</v>
          </cell>
          <cell r="AC1053">
            <v>2</v>
          </cell>
          <cell r="AD1053" t="str">
            <v>0</v>
          </cell>
          <cell r="AE1053" t="str">
            <v>0</v>
          </cell>
          <cell r="AF1053" t="str">
            <v>20</v>
          </cell>
          <cell r="AI1053">
            <v>0</v>
          </cell>
          <cell r="AJ1053">
            <v>0</v>
          </cell>
        </row>
        <row r="1054">
          <cell r="A1054" t="str">
            <v>20</v>
          </cell>
          <cell r="B1054" t="str">
            <v>17</v>
          </cell>
          <cell r="C1054" t="str">
            <v>509</v>
          </cell>
          <cell r="D1054" t="str">
            <v>Шкаф ВРУ 50-01 в сис</v>
          </cell>
          <cell r="E1054" t="str">
            <v>теме наруж.эл.сетей</v>
          </cell>
          <cell r="G1054" t="str">
            <v>01</v>
          </cell>
          <cell r="H1054">
            <v>5634.61</v>
          </cell>
          <cell r="I1054">
            <v>0</v>
          </cell>
          <cell r="J1054">
            <v>0</v>
          </cell>
          <cell r="K1054">
            <v>1</v>
          </cell>
          <cell r="L1054" t="str">
            <v>88/4</v>
          </cell>
          <cell r="M1054" t="str">
            <v>40701</v>
          </cell>
          <cell r="N1054" t="str">
            <v>14 3120293</v>
          </cell>
          <cell r="P1054">
            <v>4.4000000000000004</v>
          </cell>
          <cell r="Q1054">
            <v>0</v>
          </cell>
          <cell r="R1054" t="str">
            <v>1</v>
          </cell>
          <cell r="S1054" t="str">
            <v>40</v>
          </cell>
          <cell r="T1054">
            <v>97</v>
          </cell>
          <cell r="U1054">
            <v>12</v>
          </cell>
          <cell r="V1054">
            <v>97</v>
          </cell>
          <cell r="W1054">
            <v>12</v>
          </cell>
          <cell r="X1054">
            <v>97</v>
          </cell>
          <cell r="Y1054">
            <v>0</v>
          </cell>
          <cell r="Z1054">
            <v>0</v>
          </cell>
          <cell r="AB1054" t="str">
            <v>14</v>
          </cell>
          <cell r="AC1054">
            <v>2</v>
          </cell>
          <cell r="AD1054" t="str">
            <v>0</v>
          </cell>
          <cell r="AE1054" t="str">
            <v>0</v>
          </cell>
          <cell r="AF1054" t="str">
            <v>20</v>
          </cell>
          <cell r="AI1054">
            <v>0</v>
          </cell>
          <cell r="AJ1054">
            <v>0</v>
          </cell>
        </row>
        <row r="1055">
          <cell r="A1055" t="str">
            <v>20</v>
          </cell>
          <cell r="B1055" t="str">
            <v>17</v>
          </cell>
          <cell r="C1055" t="str">
            <v>510</v>
          </cell>
          <cell r="D1055" t="str">
            <v>Насос 40с125/25 с эл</v>
          </cell>
          <cell r="E1055" t="str">
            <v>двигателем ДМР100Л2</v>
          </cell>
          <cell r="F1055" t="str">
            <v>в системе нар.канали</v>
          </cell>
          <cell r="G1055" t="str">
            <v>01</v>
          </cell>
          <cell r="H1055">
            <v>16807.79</v>
          </cell>
          <cell r="I1055">
            <v>0</v>
          </cell>
          <cell r="J1055">
            <v>0</v>
          </cell>
          <cell r="K1055">
            <v>1</v>
          </cell>
          <cell r="L1055" t="str">
            <v>88/4</v>
          </cell>
          <cell r="M1055" t="str">
            <v>41502</v>
          </cell>
          <cell r="N1055" t="str">
            <v>14 2912177</v>
          </cell>
          <cell r="P1055">
            <v>12.5</v>
          </cell>
          <cell r="Q1055">
            <v>0</v>
          </cell>
          <cell r="R1055" t="str">
            <v>1</v>
          </cell>
          <cell r="S1055" t="str">
            <v>41</v>
          </cell>
          <cell r="T1055">
            <v>97</v>
          </cell>
          <cell r="U1055">
            <v>12</v>
          </cell>
          <cell r="V1055">
            <v>97</v>
          </cell>
          <cell r="W1055">
            <v>12</v>
          </cell>
          <cell r="X1055">
            <v>97</v>
          </cell>
          <cell r="Y1055">
            <v>0</v>
          </cell>
          <cell r="Z1055">
            <v>0</v>
          </cell>
          <cell r="AB1055" t="str">
            <v>14</v>
          </cell>
          <cell r="AC1055">
            <v>2</v>
          </cell>
          <cell r="AD1055" t="str">
            <v>0</v>
          </cell>
          <cell r="AE1055" t="str">
            <v>0</v>
          </cell>
          <cell r="AF1055" t="str">
            <v>20</v>
          </cell>
          <cell r="AI1055">
            <v>0</v>
          </cell>
          <cell r="AJ1055">
            <v>0</v>
          </cell>
        </row>
        <row r="1056">
          <cell r="A1056" t="str">
            <v>20</v>
          </cell>
          <cell r="B1056" t="str">
            <v>17</v>
          </cell>
          <cell r="C1056" t="str">
            <v>511</v>
          </cell>
          <cell r="D1056" t="str">
            <v>Насос 40с125/25 с эл</v>
          </cell>
          <cell r="E1056" t="str">
            <v>двигат.ДМР100Л2 в си</v>
          </cell>
          <cell r="F1056" t="str">
            <v>стеме наруж.канализ.</v>
          </cell>
          <cell r="G1056" t="str">
            <v>01</v>
          </cell>
          <cell r="H1056">
            <v>16807.79</v>
          </cell>
          <cell r="I1056">
            <v>0</v>
          </cell>
          <cell r="J1056">
            <v>0</v>
          </cell>
          <cell r="K1056">
            <v>1</v>
          </cell>
          <cell r="L1056" t="str">
            <v>88/4</v>
          </cell>
          <cell r="M1056" t="str">
            <v>41502</v>
          </cell>
          <cell r="N1056" t="str">
            <v>14 2912177</v>
          </cell>
          <cell r="P1056">
            <v>12.5</v>
          </cell>
          <cell r="Q1056">
            <v>0</v>
          </cell>
          <cell r="R1056" t="str">
            <v>1</v>
          </cell>
          <cell r="S1056" t="str">
            <v>41</v>
          </cell>
          <cell r="T1056">
            <v>97</v>
          </cell>
          <cell r="U1056">
            <v>12</v>
          </cell>
          <cell r="V1056">
            <v>97</v>
          </cell>
          <cell r="W1056">
            <v>12</v>
          </cell>
          <cell r="X1056">
            <v>97</v>
          </cell>
          <cell r="Y1056">
            <v>0</v>
          </cell>
          <cell r="Z1056">
            <v>0</v>
          </cell>
          <cell r="AB1056" t="str">
            <v>14</v>
          </cell>
          <cell r="AC1056">
            <v>2</v>
          </cell>
          <cell r="AD1056" t="str">
            <v>0</v>
          </cell>
          <cell r="AE1056" t="str">
            <v>0</v>
          </cell>
          <cell r="AF1056" t="str">
            <v>20</v>
          </cell>
          <cell r="AI1056">
            <v>0</v>
          </cell>
          <cell r="AJ1056">
            <v>0</v>
          </cell>
        </row>
        <row r="1057">
          <cell r="A1057" t="str">
            <v>20</v>
          </cell>
          <cell r="B1057" t="str">
            <v>17</v>
          </cell>
          <cell r="C1057" t="str">
            <v>512</v>
          </cell>
          <cell r="D1057" t="str">
            <v>Установка УДВ-616-А6</v>
          </cell>
          <cell r="E1057" t="str">
            <v>1 в системе очистных</v>
          </cell>
          <cell r="F1057" t="str">
            <v xml:space="preserve"> сооружений</v>
          </cell>
          <cell r="G1057" t="str">
            <v>01</v>
          </cell>
          <cell r="H1057">
            <v>20809.650000000001</v>
          </cell>
          <cell r="I1057">
            <v>0</v>
          </cell>
          <cell r="J1057">
            <v>0</v>
          </cell>
          <cell r="K1057">
            <v>1</v>
          </cell>
          <cell r="L1057" t="str">
            <v>88/4</v>
          </cell>
          <cell r="M1057" t="str">
            <v>45100</v>
          </cell>
          <cell r="N1057" t="str">
            <v>14 2912190</v>
          </cell>
          <cell r="P1057">
            <v>11.8</v>
          </cell>
          <cell r="Q1057">
            <v>0</v>
          </cell>
          <cell r="R1057" t="str">
            <v>1</v>
          </cell>
          <cell r="S1057" t="str">
            <v>45</v>
          </cell>
          <cell r="T1057">
            <v>97</v>
          </cell>
          <cell r="U1057">
            <v>12</v>
          </cell>
          <cell r="V1057">
            <v>97</v>
          </cell>
          <cell r="W1057">
            <v>12</v>
          </cell>
          <cell r="X1057">
            <v>97</v>
          </cell>
          <cell r="Y1057">
            <v>0</v>
          </cell>
          <cell r="Z1057">
            <v>0</v>
          </cell>
          <cell r="AB1057" t="str">
            <v>14</v>
          </cell>
          <cell r="AC1057">
            <v>2</v>
          </cell>
          <cell r="AD1057" t="str">
            <v>0</v>
          </cell>
          <cell r="AE1057" t="str">
            <v>0</v>
          </cell>
          <cell r="AF1057" t="str">
            <v>20</v>
          </cell>
          <cell r="AI1057">
            <v>0</v>
          </cell>
          <cell r="AJ1057">
            <v>0</v>
          </cell>
        </row>
        <row r="1058">
          <cell r="A1058" t="str">
            <v>20</v>
          </cell>
          <cell r="B1058" t="str">
            <v>17</v>
          </cell>
          <cell r="C1058" t="str">
            <v>513</v>
          </cell>
          <cell r="D1058" t="str">
            <v>Горел.устр=во 33у-6</v>
          </cell>
          <cell r="E1058" t="str">
            <v>в системе газопровод</v>
          </cell>
          <cell r="F1058" t="str">
            <v>а</v>
          </cell>
          <cell r="G1058" t="str">
            <v>01</v>
          </cell>
          <cell r="H1058">
            <v>2743.15</v>
          </cell>
          <cell r="I1058">
            <v>0</v>
          </cell>
          <cell r="J1058">
            <v>0</v>
          </cell>
          <cell r="K1058">
            <v>1</v>
          </cell>
          <cell r="L1058" t="str">
            <v>88/4</v>
          </cell>
          <cell r="M1058" t="str">
            <v>49020</v>
          </cell>
          <cell r="N1058" t="str">
            <v>14 2914251</v>
          </cell>
          <cell r="P1058">
            <v>5</v>
          </cell>
          <cell r="Q1058">
            <v>0</v>
          </cell>
          <cell r="R1058" t="str">
            <v>1</v>
          </cell>
          <cell r="S1058" t="str">
            <v>49</v>
          </cell>
          <cell r="T1058">
            <v>97</v>
          </cell>
          <cell r="U1058">
            <v>12</v>
          </cell>
          <cell r="V1058">
            <v>97</v>
          </cell>
          <cell r="W1058">
            <v>12</v>
          </cell>
          <cell r="X1058">
            <v>97</v>
          </cell>
          <cell r="Y1058">
            <v>0</v>
          </cell>
          <cell r="Z1058">
            <v>0</v>
          </cell>
          <cell r="AB1058" t="str">
            <v>14</v>
          </cell>
          <cell r="AC1058">
            <v>2</v>
          </cell>
          <cell r="AD1058" t="str">
            <v>0</v>
          </cell>
          <cell r="AE1058" t="str">
            <v>0</v>
          </cell>
          <cell r="AF1058" t="str">
            <v>20</v>
          </cell>
          <cell r="AI1058">
            <v>0</v>
          </cell>
          <cell r="AJ1058">
            <v>0</v>
          </cell>
        </row>
        <row r="1059">
          <cell r="A1059" t="str">
            <v>20</v>
          </cell>
          <cell r="B1059" t="str">
            <v>17</v>
          </cell>
          <cell r="C1059" t="str">
            <v>514</v>
          </cell>
          <cell r="D1059" t="str">
            <v>Кран-балка в системе</v>
          </cell>
          <cell r="E1059" t="str">
            <v xml:space="preserve"> очистных сооружений</v>
          </cell>
          <cell r="G1059" t="str">
            <v>01</v>
          </cell>
          <cell r="H1059">
            <v>31086.240000000002</v>
          </cell>
          <cell r="I1059">
            <v>0</v>
          </cell>
          <cell r="J1059">
            <v>0</v>
          </cell>
          <cell r="K1059">
            <v>1</v>
          </cell>
          <cell r="L1059" t="str">
            <v>88/4</v>
          </cell>
          <cell r="M1059" t="str">
            <v>41722</v>
          </cell>
          <cell r="N1059" t="str">
            <v>14 2915249</v>
          </cell>
          <cell r="P1059">
            <v>14.3</v>
          </cell>
          <cell r="Q1059">
            <v>0</v>
          </cell>
          <cell r="R1059" t="str">
            <v>1</v>
          </cell>
          <cell r="S1059" t="str">
            <v>41</v>
          </cell>
          <cell r="T1059">
            <v>97</v>
          </cell>
          <cell r="U1059">
            <v>12</v>
          </cell>
          <cell r="V1059">
            <v>97</v>
          </cell>
          <cell r="W1059">
            <v>12</v>
          </cell>
          <cell r="X1059">
            <v>97</v>
          </cell>
          <cell r="Y1059">
            <v>0</v>
          </cell>
          <cell r="Z1059">
            <v>0</v>
          </cell>
          <cell r="AB1059" t="str">
            <v>14</v>
          </cell>
          <cell r="AC1059">
            <v>2</v>
          </cell>
          <cell r="AD1059" t="str">
            <v>0</v>
          </cell>
          <cell r="AE1059" t="str">
            <v>0</v>
          </cell>
          <cell r="AF1059" t="str">
            <v>20</v>
          </cell>
          <cell r="AI1059">
            <v>0</v>
          </cell>
          <cell r="AJ1059">
            <v>0</v>
          </cell>
        </row>
        <row r="1060">
          <cell r="A1060" t="str">
            <v>20</v>
          </cell>
          <cell r="B1060" t="str">
            <v>17</v>
          </cell>
          <cell r="C1060" t="str">
            <v>515</v>
          </cell>
          <cell r="D1060" t="str">
            <v>Емкость ЕП-8м3 в сис</v>
          </cell>
          <cell r="E1060" t="str">
            <v>теме очистных сооруж</v>
          </cell>
          <cell r="F1060" t="str">
            <v>ений</v>
          </cell>
          <cell r="G1060" t="str">
            <v>01</v>
          </cell>
          <cell r="H1060">
            <v>11588.21</v>
          </cell>
          <cell r="I1060">
            <v>0</v>
          </cell>
          <cell r="J1060">
            <v>0</v>
          </cell>
          <cell r="K1060">
            <v>1</v>
          </cell>
          <cell r="L1060" t="str">
            <v>88/4</v>
          </cell>
          <cell r="M1060" t="str">
            <v>20323</v>
          </cell>
          <cell r="N1060" t="str">
            <v>12 2811000</v>
          </cell>
          <cell r="P1060">
            <v>4</v>
          </cell>
          <cell r="Q1060">
            <v>0</v>
          </cell>
          <cell r="R1060" t="str">
            <v>1</v>
          </cell>
          <cell r="S1060" t="str">
            <v>20</v>
          </cell>
          <cell r="T1060">
            <v>97</v>
          </cell>
          <cell r="U1060">
            <v>12</v>
          </cell>
          <cell r="V1060">
            <v>97</v>
          </cell>
          <cell r="W1060">
            <v>12</v>
          </cell>
          <cell r="X1060">
            <v>97</v>
          </cell>
          <cell r="Y1060">
            <v>0</v>
          </cell>
          <cell r="Z1060">
            <v>0</v>
          </cell>
          <cell r="AB1060" t="str">
            <v>14</v>
          </cell>
          <cell r="AC1060">
            <v>2</v>
          </cell>
          <cell r="AD1060" t="str">
            <v>0</v>
          </cell>
          <cell r="AE1060" t="str">
            <v>0</v>
          </cell>
          <cell r="AF1060" t="str">
            <v>20</v>
          </cell>
          <cell r="AI1060">
            <v>0</v>
          </cell>
          <cell r="AJ1060">
            <v>0</v>
          </cell>
        </row>
        <row r="1061">
          <cell r="A1061" t="str">
            <v>20</v>
          </cell>
          <cell r="B1061" t="str">
            <v>17</v>
          </cell>
          <cell r="C1061" t="str">
            <v>517</v>
          </cell>
          <cell r="D1061" t="str">
            <v>Насос НС 50/56 в сис</v>
          </cell>
          <cell r="E1061" t="str">
            <v>теме очистных сооруж</v>
          </cell>
          <cell r="F1061" t="str">
            <v>ений</v>
          </cell>
          <cell r="G1061" t="str">
            <v>01</v>
          </cell>
          <cell r="H1061">
            <v>5914.79</v>
          </cell>
          <cell r="I1061">
            <v>0</v>
          </cell>
          <cell r="J1061">
            <v>0</v>
          </cell>
          <cell r="K1061">
            <v>1</v>
          </cell>
          <cell r="L1061" t="str">
            <v>88/4</v>
          </cell>
          <cell r="M1061" t="str">
            <v>41502</v>
          </cell>
          <cell r="N1061" t="str">
            <v>14 2912179</v>
          </cell>
          <cell r="P1061">
            <v>12.5</v>
          </cell>
          <cell r="Q1061">
            <v>0</v>
          </cell>
          <cell r="R1061" t="str">
            <v>1</v>
          </cell>
          <cell r="S1061" t="str">
            <v>41</v>
          </cell>
          <cell r="T1061">
            <v>97</v>
          </cell>
          <cell r="U1061">
            <v>12</v>
          </cell>
          <cell r="V1061">
            <v>97</v>
          </cell>
          <cell r="W1061">
            <v>12</v>
          </cell>
          <cell r="X1061">
            <v>97</v>
          </cell>
          <cell r="Y1061">
            <v>0</v>
          </cell>
          <cell r="Z1061">
            <v>0</v>
          </cell>
          <cell r="AB1061" t="str">
            <v>14</v>
          </cell>
          <cell r="AC1061">
            <v>2</v>
          </cell>
          <cell r="AD1061" t="str">
            <v>0</v>
          </cell>
          <cell r="AE1061" t="str">
            <v>0</v>
          </cell>
          <cell r="AF1061" t="str">
            <v>20</v>
          </cell>
          <cell r="AI1061">
            <v>0</v>
          </cell>
          <cell r="AJ1061">
            <v>0</v>
          </cell>
        </row>
        <row r="1062">
          <cell r="A1062" t="str">
            <v>20</v>
          </cell>
          <cell r="B1062" t="str">
            <v>17</v>
          </cell>
          <cell r="C1062" t="str">
            <v>518</v>
          </cell>
          <cell r="D1062" t="str">
            <v>Насос НС 50/56 в сис</v>
          </cell>
          <cell r="E1062" t="str">
            <v>теме очистных сооруж</v>
          </cell>
          <cell r="F1062" t="str">
            <v>ений</v>
          </cell>
          <cell r="G1062" t="str">
            <v>01</v>
          </cell>
          <cell r="H1062">
            <v>5914.79</v>
          </cell>
          <cell r="I1062">
            <v>0</v>
          </cell>
          <cell r="J1062">
            <v>0</v>
          </cell>
          <cell r="K1062">
            <v>1</v>
          </cell>
          <cell r="L1062" t="str">
            <v>88/4</v>
          </cell>
          <cell r="M1062" t="str">
            <v>41502</v>
          </cell>
          <cell r="N1062" t="str">
            <v>14 2912179</v>
          </cell>
          <cell r="P1062">
            <v>12.5</v>
          </cell>
          <cell r="Q1062">
            <v>0</v>
          </cell>
          <cell r="R1062" t="str">
            <v>1</v>
          </cell>
          <cell r="S1062" t="str">
            <v>41</v>
          </cell>
          <cell r="T1062">
            <v>97</v>
          </cell>
          <cell r="U1062">
            <v>12</v>
          </cell>
          <cell r="V1062">
            <v>97</v>
          </cell>
          <cell r="W1062">
            <v>12</v>
          </cell>
          <cell r="X1062">
            <v>97</v>
          </cell>
          <cell r="Y1062">
            <v>0</v>
          </cell>
          <cell r="Z1062">
            <v>0</v>
          </cell>
          <cell r="AB1062" t="str">
            <v>14</v>
          </cell>
          <cell r="AC1062">
            <v>2</v>
          </cell>
          <cell r="AD1062" t="str">
            <v>0</v>
          </cell>
          <cell r="AE1062" t="str">
            <v>0</v>
          </cell>
          <cell r="AF1062" t="str">
            <v>20</v>
          </cell>
          <cell r="AI1062">
            <v>0</v>
          </cell>
          <cell r="AJ1062">
            <v>0</v>
          </cell>
        </row>
        <row r="1063">
          <cell r="A1063" t="str">
            <v>20</v>
          </cell>
          <cell r="B1063" t="str">
            <v>17</v>
          </cell>
          <cell r="C1063" t="str">
            <v>519</v>
          </cell>
          <cell r="D1063" t="str">
            <v>Подстанция КТП-250</v>
          </cell>
          <cell r="E1063" t="str">
            <v>в системе наруж.эл.с</v>
          </cell>
          <cell r="F1063" t="str">
            <v>етей</v>
          </cell>
          <cell r="G1063" t="str">
            <v>01</v>
          </cell>
          <cell r="H1063">
            <v>23588.97</v>
          </cell>
          <cell r="I1063">
            <v>0</v>
          </cell>
          <cell r="J1063">
            <v>0</v>
          </cell>
          <cell r="K1063">
            <v>1</v>
          </cell>
          <cell r="L1063" t="str">
            <v>88/4</v>
          </cell>
          <cell r="M1063" t="str">
            <v>40702</v>
          </cell>
          <cell r="N1063" t="str">
            <v>14 3115202</v>
          </cell>
          <cell r="P1063">
            <v>9.1</v>
          </cell>
          <cell r="Q1063">
            <v>0</v>
          </cell>
          <cell r="R1063" t="str">
            <v>1</v>
          </cell>
          <cell r="S1063" t="str">
            <v>40</v>
          </cell>
          <cell r="T1063">
            <v>97</v>
          </cell>
          <cell r="U1063">
            <v>12</v>
          </cell>
          <cell r="V1063">
            <v>97</v>
          </cell>
          <cell r="W1063">
            <v>12</v>
          </cell>
          <cell r="X1063">
            <v>97</v>
          </cell>
          <cell r="Y1063">
            <v>0</v>
          </cell>
          <cell r="Z1063">
            <v>0</v>
          </cell>
          <cell r="AB1063" t="str">
            <v>14</v>
          </cell>
          <cell r="AC1063">
            <v>2</v>
          </cell>
          <cell r="AD1063" t="str">
            <v>0</v>
          </cell>
          <cell r="AE1063" t="str">
            <v>0</v>
          </cell>
          <cell r="AF1063" t="str">
            <v>20</v>
          </cell>
          <cell r="AI1063">
            <v>0</v>
          </cell>
          <cell r="AJ1063">
            <v>0</v>
          </cell>
        </row>
        <row r="1064">
          <cell r="A1064" t="str">
            <v>20</v>
          </cell>
          <cell r="B1064" t="str">
            <v>17</v>
          </cell>
          <cell r="C1064" t="str">
            <v>520</v>
          </cell>
          <cell r="D1064" t="str">
            <v>Трансформатор ТМ-250</v>
          </cell>
          <cell r="E1064" t="str">
            <v>/0.04 в системе нару</v>
          </cell>
          <cell r="F1064" t="str">
            <v>ж.эл.сетей</v>
          </cell>
          <cell r="G1064" t="str">
            <v>01</v>
          </cell>
          <cell r="H1064">
            <v>19017.46</v>
          </cell>
          <cell r="I1064">
            <v>0</v>
          </cell>
          <cell r="J1064">
            <v>0</v>
          </cell>
          <cell r="K1064">
            <v>1</v>
          </cell>
          <cell r="L1064" t="str">
            <v>88/4</v>
          </cell>
          <cell r="M1064" t="str">
            <v>40702</v>
          </cell>
          <cell r="N1064" t="str">
            <v>14 3115120</v>
          </cell>
          <cell r="P1064">
            <v>9.1</v>
          </cell>
          <cell r="Q1064">
            <v>0</v>
          </cell>
          <cell r="R1064" t="str">
            <v>1</v>
          </cell>
          <cell r="S1064" t="str">
            <v>40</v>
          </cell>
          <cell r="T1064">
            <v>97</v>
          </cell>
          <cell r="U1064">
            <v>12</v>
          </cell>
          <cell r="V1064">
            <v>97</v>
          </cell>
          <cell r="W1064">
            <v>12</v>
          </cell>
          <cell r="X1064">
            <v>97</v>
          </cell>
          <cell r="Y1064">
            <v>0</v>
          </cell>
          <cell r="Z1064">
            <v>0</v>
          </cell>
          <cell r="AB1064" t="str">
            <v>14</v>
          </cell>
          <cell r="AC1064">
            <v>2</v>
          </cell>
          <cell r="AD1064" t="str">
            <v>0</v>
          </cell>
          <cell r="AE1064" t="str">
            <v>0</v>
          </cell>
          <cell r="AF1064" t="str">
            <v>20</v>
          </cell>
          <cell r="AI1064">
            <v>0</v>
          </cell>
          <cell r="AJ1064">
            <v>0</v>
          </cell>
        </row>
        <row r="1065">
          <cell r="A1065" t="str">
            <v>20</v>
          </cell>
          <cell r="B1065" t="str">
            <v>17</v>
          </cell>
          <cell r="C1065" t="str">
            <v>521</v>
          </cell>
          <cell r="D1065" t="str">
            <v>Мешалка МГК 1м3 N669</v>
          </cell>
          <cell r="E1065" t="str">
            <v>в системе очистных с</v>
          </cell>
          <cell r="F1065" t="str">
            <v>ооружений</v>
          </cell>
          <cell r="G1065" t="str">
            <v>01</v>
          </cell>
          <cell r="H1065">
            <v>10042.379999999999</v>
          </cell>
          <cell r="I1065">
            <v>0</v>
          </cell>
          <cell r="J1065">
            <v>0</v>
          </cell>
          <cell r="K1065">
            <v>1</v>
          </cell>
          <cell r="L1065" t="str">
            <v>88/4</v>
          </cell>
          <cell r="M1065" t="str">
            <v>45100</v>
          </cell>
          <cell r="N1065" t="str">
            <v>14 2912190</v>
          </cell>
          <cell r="P1065">
            <v>11.8</v>
          </cell>
          <cell r="Q1065">
            <v>0</v>
          </cell>
          <cell r="R1065" t="str">
            <v>1</v>
          </cell>
          <cell r="S1065" t="str">
            <v>45</v>
          </cell>
          <cell r="T1065">
            <v>97</v>
          </cell>
          <cell r="U1065">
            <v>12</v>
          </cell>
          <cell r="V1065">
            <v>97</v>
          </cell>
          <cell r="W1065">
            <v>12</v>
          </cell>
          <cell r="X1065">
            <v>97</v>
          </cell>
          <cell r="Y1065">
            <v>0</v>
          </cell>
          <cell r="Z1065">
            <v>0</v>
          </cell>
          <cell r="AB1065" t="str">
            <v>14</v>
          </cell>
          <cell r="AC1065">
            <v>2</v>
          </cell>
          <cell r="AD1065" t="str">
            <v>0</v>
          </cell>
          <cell r="AE1065" t="str">
            <v>0</v>
          </cell>
          <cell r="AF1065" t="str">
            <v>20</v>
          </cell>
          <cell r="AI1065">
            <v>0</v>
          </cell>
          <cell r="AJ1065">
            <v>0</v>
          </cell>
        </row>
        <row r="1066">
          <cell r="A1066" t="str">
            <v>20</v>
          </cell>
          <cell r="B1066" t="str">
            <v>17</v>
          </cell>
          <cell r="C1066" t="str">
            <v>522</v>
          </cell>
          <cell r="D1066" t="str">
            <v>Компрессор С-415М в</v>
          </cell>
          <cell r="E1066" t="str">
            <v>системе очистных соо</v>
          </cell>
          <cell r="F1066" t="str">
            <v>ружений</v>
          </cell>
          <cell r="G1066" t="str">
            <v>01</v>
          </cell>
          <cell r="H1066">
            <v>4388.6499999999996</v>
          </cell>
          <cell r="I1066">
            <v>0</v>
          </cell>
          <cell r="J1066">
            <v>0</v>
          </cell>
          <cell r="K1066">
            <v>1</v>
          </cell>
          <cell r="L1066" t="str">
            <v>88/4</v>
          </cell>
          <cell r="M1066" t="str">
            <v>41404</v>
          </cell>
          <cell r="N1066" t="str">
            <v>14 2912133</v>
          </cell>
          <cell r="P1066">
            <v>14.3</v>
          </cell>
          <cell r="Q1066">
            <v>0</v>
          </cell>
          <cell r="R1066" t="str">
            <v>1</v>
          </cell>
          <cell r="S1066" t="str">
            <v>41</v>
          </cell>
          <cell r="T1066">
            <v>97</v>
          </cell>
          <cell r="U1066">
            <v>12</v>
          </cell>
          <cell r="V1066">
            <v>97</v>
          </cell>
          <cell r="W1066">
            <v>12</v>
          </cell>
          <cell r="X1066">
            <v>97</v>
          </cell>
          <cell r="Y1066">
            <v>0</v>
          </cell>
          <cell r="Z1066">
            <v>0</v>
          </cell>
          <cell r="AB1066" t="str">
            <v>14</v>
          </cell>
          <cell r="AC1066">
            <v>2</v>
          </cell>
          <cell r="AD1066" t="str">
            <v>0</v>
          </cell>
          <cell r="AE1066" t="str">
            <v>0</v>
          </cell>
          <cell r="AF1066" t="str">
            <v>20</v>
          </cell>
          <cell r="AI1066">
            <v>0</v>
          </cell>
          <cell r="AJ1066">
            <v>0</v>
          </cell>
        </row>
        <row r="1067">
          <cell r="A1067" t="str">
            <v>20</v>
          </cell>
          <cell r="B1067" t="str">
            <v>17</v>
          </cell>
          <cell r="C1067" t="str">
            <v>523</v>
          </cell>
          <cell r="D1067" t="str">
            <v>Пункт разъединит.ПР3</v>
          </cell>
          <cell r="E1067" t="str">
            <v>078 в системе наруж.</v>
          </cell>
          <cell r="F1067" t="str">
            <v>эл.сетей</v>
          </cell>
          <cell r="G1067" t="str">
            <v>01</v>
          </cell>
          <cell r="H1067">
            <v>2419.2399999999998</v>
          </cell>
          <cell r="I1067">
            <v>0</v>
          </cell>
          <cell r="J1067">
            <v>0</v>
          </cell>
          <cell r="K1067">
            <v>1</v>
          </cell>
          <cell r="L1067" t="str">
            <v>88/4</v>
          </cell>
          <cell r="M1067" t="str">
            <v>40702</v>
          </cell>
          <cell r="N1067" t="str">
            <v>14 3120292</v>
          </cell>
          <cell r="P1067">
            <v>9.1</v>
          </cell>
          <cell r="Q1067">
            <v>0</v>
          </cell>
          <cell r="R1067" t="str">
            <v>1</v>
          </cell>
          <cell r="S1067" t="str">
            <v>40</v>
          </cell>
          <cell r="T1067">
            <v>97</v>
          </cell>
          <cell r="U1067">
            <v>12</v>
          </cell>
          <cell r="V1067">
            <v>97</v>
          </cell>
          <cell r="W1067">
            <v>12</v>
          </cell>
          <cell r="X1067">
            <v>97</v>
          </cell>
          <cell r="Y1067">
            <v>0</v>
          </cell>
          <cell r="Z1067">
            <v>0</v>
          </cell>
          <cell r="AB1067" t="str">
            <v>14</v>
          </cell>
          <cell r="AC1067">
            <v>2</v>
          </cell>
          <cell r="AD1067" t="str">
            <v>0</v>
          </cell>
          <cell r="AE1067" t="str">
            <v>0</v>
          </cell>
          <cell r="AF1067" t="str">
            <v>20</v>
          </cell>
          <cell r="AI1067">
            <v>0</v>
          </cell>
          <cell r="AJ1067">
            <v>0</v>
          </cell>
        </row>
        <row r="1068">
          <cell r="A1068" t="str">
            <v>20</v>
          </cell>
          <cell r="B1068" t="str">
            <v>17</v>
          </cell>
          <cell r="C1068" t="str">
            <v>524</v>
          </cell>
          <cell r="D1068" t="str">
            <v>Емкость V-62м3 в сис</v>
          </cell>
          <cell r="E1068" t="str">
            <v>теме очистных сооруж</v>
          </cell>
          <cell r="F1068" t="str">
            <v>ений</v>
          </cell>
          <cell r="G1068" t="str">
            <v>01</v>
          </cell>
          <cell r="H1068">
            <v>27429.03</v>
          </cell>
          <cell r="I1068">
            <v>0</v>
          </cell>
          <cell r="J1068">
            <v>0</v>
          </cell>
          <cell r="K1068">
            <v>1</v>
          </cell>
          <cell r="L1068" t="str">
            <v>88/4</v>
          </cell>
          <cell r="M1068" t="str">
            <v>20323</v>
          </cell>
          <cell r="N1068" t="str">
            <v>12 2811000</v>
          </cell>
          <cell r="P1068">
            <v>4</v>
          </cell>
          <cell r="Q1068">
            <v>0</v>
          </cell>
          <cell r="R1068" t="str">
            <v>1</v>
          </cell>
          <cell r="S1068" t="str">
            <v>20</v>
          </cell>
          <cell r="T1068">
            <v>97</v>
          </cell>
          <cell r="U1068">
            <v>12</v>
          </cell>
          <cell r="V1068">
            <v>97</v>
          </cell>
          <cell r="W1068">
            <v>12</v>
          </cell>
          <cell r="X1068">
            <v>97</v>
          </cell>
          <cell r="Y1068">
            <v>0</v>
          </cell>
          <cell r="Z1068">
            <v>0</v>
          </cell>
          <cell r="AB1068" t="str">
            <v>14</v>
          </cell>
          <cell r="AC1068">
            <v>2</v>
          </cell>
          <cell r="AD1068" t="str">
            <v>0</v>
          </cell>
          <cell r="AE1068" t="str">
            <v>0</v>
          </cell>
          <cell r="AF1068" t="str">
            <v>20</v>
          </cell>
          <cell r="AI1068">
            <v>0</v>
          </cell>
          <cell r="AJ1068">
            <v>0</v>
          </cell>
        </row>
        <row r="1069">
          <cell r="A1069" t="str">
            <v>20</v>
          </cell>
          <cell r="B1069" t="str">
            <v>17</v>
          </cell>
          <cell r="C1069" t="str">
            <v>525</v>
          </cell>
          <cell r="D1069" t="str">
            <v>Насос Н1В1.6/5-0.16К</v>
          </cell>
          <cell r="E1069" t="str">
            <v>с эл.двиг.АИР 80В6 в</v>
          </cell>
          <cell r="F1069" t="str">
            <v>системе очист.сооруж</v>
          </cell>
          <cell r="G1069" t="str">
            <v>01</v>
          </cell>
          <cell r="H1069">
            <v>10054.450000000001</v>
          </cell>
          <cell r="I1069">
            <v>0</v>
          </cell>
          <cell r="J1069">
            <v>0</v>
          </cell>
          <cell r="K1069">
            <v>1</v>
          </cell>
          <cell r="L1069" t="str">
            <v>88/4</v>
          </cell>
          <cell r="M1069" t="str">
            <v>41502</v>
          </cell>
          <cell r="N1069" t="str">
            <v>14 2912177</v>
          </cell>
          <cell r="P1069">
            <v>12.5</v>
          </cell>
          <cell r="Q1069">
            <v>0</v>
          </cell>
          <cell r="R1069" t="str">
            <v>1</v>
          </cell>
          <cell r="S1069" t="str">
            <v>41</v>
          </cell>
          <cell r="T1069">
            <v>97</v>
          </cell>
          <cell r="U1069">
            <v>12</v>
          </cell>
          <cell r="V1069">
            <v>97</v>
          </cell>
          <cell r="W1069">
            <v>12</v>
          </cell>
          <cell r="X1069">
            <v>97</v>
          </cell>
          <cell r="Y1069">
            <v>0</v>
          </cell>
          <cell r="Z1069">
            <v>0</v>
          </cell>
          <cell r="AB1069" t="str">
            <v>14</v>
          </cell>
          <cell r="AC1069">
            <v>2</v>
          </cell>
          <cell r="AD1069" t="str">
            <v>0</v>
          </cell>
          <cell r="AE1069" t="str">
            <v>0</v>
          </cell>
          <cell r="AF1069" t="str">
            <v>20</v>
          </cell>
          <cell r="AI1069">
            <v>0</v>
          </cell>
          <cell r="AJ1069">
            <v>0</v>
          </cell>
        </row>
        <row r="1070">
          <cell r="A1070" t="str">
            <v>20</v>
          </cell>
          <cell r="B1070" t="str">
            <v>17</v>
          </cell>
          <cell r="C1070" t="str">
            <v>526</v>
          </cell>
          <cell r="D1070" t="str">
            <v>Оборудование для очи</v>
          </cell>
          <cell r="E1070" t="str">
            <v>стных сооруж Установ</v>
          </cell>
          <cell r="F1070" t="str">
            <v>ка СПО-1</v>
          </cell>
          <cell r="G1070" t="str">
            <v>01</v>
          </cell>
          <cell r="H1070">
            <v>649681.16</v>
          </cell>
          <cell r="I1070">
            <v>0</v>
          </cell>
          <cell r="J1070">
            <v>0</v>
          </cell>
          <cell r="K1070">
            <v>1</v>
          </cell>
          <cell r="L1070" t="str">
            <v>88/4</v>
          </cell>
          <cell r="M1070" t="str">
            <v>45100</v>
          </cell>
          <cell r="N1070" t="str">
            <v>14 2912190</v>
          </cell>
          <cell r="P1070">
            <v>11.8</v>
          </cell>
          <cell r="Q1070">
            <v>0</v>
          </cell>
          <cell r="R1070" t="str">
            <v>1</v>
          </cell>
          <cell r="S1070" t="str">
            <v>45</v>
          </cell>
          <cell r="T1070">
            <v>97</v>
          </cell>
          <cell r="U1070">
            <v>12</v>
          </cell>
          <cell r="V1070">
            <v>97</v>
          </cell>
          <cell r="W1070">
            <v>12</v>
          </cell>
          <cell r="X1070">
            <v>97</v>
          </cell>
          <cell r="Y1070">
            <v>0</v>
          </cell>
          <cell r="Z1070">
            <v>0</v>
          </cell>
          <cell r="AB1070" t="str">
            <v>14</v>
          </cell>
          <cell r="AC1070">
            <v>2</v>
          </cell>
          <cell r="AD1070" t="str">
            <v>0</v>
          </cell>
          <cell r="AE1070" t="str">
            <v>0</v>
          </cell>
          <cell r="AF1070" t="str">
            <v>20</v>
          </cell>
          <cell r="AI1070">
            <v>0</v>
          </cell>
          <cell r="AJ1070">
            <v>0</v>
          </cell>
        </row>
        <row r="1071">
          <cell r="A1071" t="str">
            <v>20</v>
          </cell>
          <cell r="B1071" t="str">
            <v>17</v>
          </cell>
          <cell r="C1071" t="str">
            <v>527</v>
          </cell>
          <cell r="D1071" t="str">
            <v>Газорегулятор 2Ц400</v>
          </cell>
          <cell r="E1071" t="str">
            <v>в системе газопровод</v>
          </cell>
          <cell r="F1071" t="str">
            <v>а</v>
          </cell>
          <cell r="G1071" t="str">
            <v>01</v>
          </cell>
          <cell r="H1071">
            <v>8877.49</v>
          </cell>
          <cell r="I1071">
            <v>0</v>
          </cell>
          <cell r="J1071">
            <v>0</v>
          </cell>
          <cell r="K1071">
            <v>1</v>
          </cell>
          <cell r="L1071" t="str">
            <v>88/4</v>
          </cell>
          <cell r="M1071" t="str">
            <v>49020</v>
          </cell>
          <cell r="N1071" t="str">
            <v>14 2919134</v>
          </cell>
          <cell r="P1071">
            <v>5</v>
          </cell>
          <cell r="Q1071">
            <v>0</v>
          </cell>
          <cell r="R1071" t="str">
            <v>1</v>
          </cell>
          <cell r="S1071" t="str">
            <v>49</v>
          </cell>
          <cell r="T1071">
            <v>97</v>
          </cell>
          <cell r="U1071">
            <v>12</v>
          </cell>
          <cell r="V1071">
            <v>97</v>
          </cell>
          <cell r="W1071">
            <v>12</v>
          </cell>
          <cell r="X1071">
            <v>97</v>
          </cell>
          <cell r="Y1071">
            <v>0</v>
          </cell>
          <cell r="Z1071">
            <v>0</v>
          </cell>
          <cell r="AB1071" t="str">
            <v>14</v>
          </cell>
          <cell r="AC1071">
            <v>2</v>
          </cell>
          <cell r="AD1071" t="str">
            <v>0</v>
          </cell>
          <cell r="AE1071" t="str">
            <v>0</v>
          </cell>
          <cell r="AF1071" t="str">
            <v>20</v>
          </cell>
          <cell r="AI1071">
            <v>0</v>
          </cell>
          <cell r="AJ1071">
            <v>0</v>
          </cell>
        </row>
        <row r="1072">
          <cell r="A1072" t="str">
            <v>20</v>
          </cell>
          <cell r="B1072" t="str">
            <v>17</v>
          </cell>
          <cell r="C1072" t="str">
            <v>529</v>
          </cell>
          <cell r="D1072" t="str">
            <v>Теплосети к цеху по</v>
          </cell>
          <cell r="E1072" t="str">
            <v>переработке молока</v>
          </cell>
          <cell r="G1072" t="str">
            <v>01</v>
          </cell>
          <cell r="H1072">
            <v>103367.51</v>
          </cell>
          <cell r="I1072">
            <v>0</v>
          </cell>
          <cell r="J1072">
            <v>0</v>
          </cell>
          <cell r="K1072">
            <v>1</v>
          </cell>
          <cell r="L1072" t="str">
            <v>88/4</v>
          </cell>
          <cell r="M1072" t="str">
            <v>30121</v>
          </cell>
          <cell r="N1072" t="str">
            <v>12 4527392</v>
          </cell>
          <cell r="P1072">
            <v>4</v>
          </cell>
          <cell r="Q1072">
            <v>0</v>
          </cell>
          <cell r="R1072" t="str">
            <v>1</v>
          </cell>
          <cell r="S1072" t="str">
            <v>30</v>
          </cell>
          <cell r="T1072">
            <v>97</v>
          </cell>
          <cell r="U1072">
            <v>12</v>
          </cell>
          <cell r="V1072">
            <v>97</v>
          </cell>
          <cell r="W1072">
            <v>12</v>
          </cell>
          <cell r="X1072">
            <v>97</v>
          </cell>
          <cell r="Y1072">
            <v>0</v>
          </cell>
          <cell r="Z1072">
            <v>0</v>
          </cell>
          <cell r="AB1072" t="str">
            <v>14</v>
          </cell>
          <cell r="AC1072">
            <v>2</v>
          </cell>
          <cell r="AD1072" t="str">
            <v>0</v>
          </cell>
          <cell r="AE1072" t="str">
            <v>0</v>
          </cell>
          <cell r="AF1072" t="str">
            <v>20</v>
          </cell>
          <cell r="AI1072">
            <v>0</v>
          </cell>
          <cell r="AJ1072">
            <v>0</v>
          </cell>
        </row>
        <row r="1073">
          <cell r="A1073" t="str">
            <v>20</v>
          </cell>
          <cell r="B1073" t="str">
            <v>17</v>
          </cell>
          <cell r="C1073" t="str">
            <v>530</v>
          </cell>
          <cell r="D1073" t="str">
            <v>Наружние эл.сети к ц</v>
          </cell>
          <cell r="E1073" t="str">
            <v>еху по переработке</v>
          </cell>
          <cell r="F1073" t="str">
            <v>молока</v>
          </cell>
          <cell r="G1073" t="str">
            <v>01</v>
          </cell>
          <cell r="H1073">
            <v>38944.089999999997</v>
          </cell>
          <cell r="I1073">
            <v>0</v>
          </cell>
          <cell r="J1073">
            <v>0</v>
          </cell>
          <cell r="K1073">
            <v>1</v>
          </cell>
          <cell r="L1073" t="str">
            <v>88/4</v>
          </cell>
          <cell r="M1073" t="str">
            <v>30012</v>
          </cell>
          <cell r="N1073" t="str">
            <v>12 4527342</v>
          </cell>
          <cell r="P1073">
            <v>4</v>
          </cell>
          <cell r="Q1073">
            <v>0</v>
          </cell>
          <cell r="R1073" t="str">
            <v>1</v>
          </cell>
          <cell r="S1073" t="str">
            <v>30</v>
          </cell>
          <cell r="T1073">
            <v>97</v>
          </cell>
          <cell r="U1073">
            <v>12</v>
          </cell>
          <cell r="V1073">
            <v>97</v>
          </cell>
          <cell r="W1073">
            <v>12</v>
          </cell>
          <cell r="X1073">
            <v>97</v>
          </cell>
          <cell r="Y1073">
            <v>0</v>
          </cell>
          <cell r="Z1073">
            <v>0</v>
          </cell>
          <cell r="AB1073" t="str">
            <v>14</v>
          </cell>
          <cell r="AC1073">
            <v>2</v>
          </cell>
          <cell r="AD1073" t="str">
            <v>0</v>
          </cell>
          <cell r="AE1073" t="str">
            <v>0</v>
          </cell>
          <cell r="AF1073" t="str">
            <v>20</v>
          </cell>
          <cell r="AI1073">
            <v>0</v>
          </cell>
          <cell r="AJ1073">
            <v>0</v>
          </cell>
        </row>
        <row r="1074">
          <cell r="A1074" t="str">
            <v>20</v>
          </cell>
          <cell r="B1074" t="str">
            <v>17</v>
          </cell>
          <cell r="C1074" t="str">
            <v>531</v>
          </cell>
          <cell r="D1074" t="str">
            <v>Канализационные сети</v>
          </cell>
          <cell r="E1074" t="str">
            <v xml:space="preserve"> к цеху по переработ</v>
          </cell>
          <cell r="F1074" t="str">
            <v>ке молока</v>
          </cell>
          <cell r="G1074" t="str">
            <v>01</v>
          </cell>
          <cell r="H1074">
            <v>635621.64</v>
          </cell>
          <cell r="I1074">
            <v>0</v>
          </cell>
          <cell r="J1074">
            <v>0</v>
          </cell>
          <cell r="K1074">
            <v>1</v>
          </cell>
          <cell r="L1074" t="str">
            <v>88/4</v>
          </cell>
          <cell r="M1074" t="str">
            <v>30108</v>
          </cell>
          <cell r="N1074" t="str">
            <v>12 4527372</v>
          </cell>
          <cell r="P1074">
            <v>4</v>
          </cell>
          <cell r="Q1074">
            <v>0</v>
          </cell>
          <cell r="R1074" t="str">
            <v>1</v>
          </cell>
          <cell r="S1074" t="str">
            <v>30</v>
          </cell>
          <cell r="T1074">
            <v>97</v>
          </cell>
          <cell r="U1074">
            <v>12</v>
          </cell>
          <cell r="V1074">
            <v>97</v>
          </cell>
          <cell r="W1074">
            <v>12</v>
          </cell>
          <cell r="X1074">
            <v>97</v>
          </cell>
          <cell r="Y1074">
            <v>0</v>
          </cell>
          <cell r="Z1074">
            <v>0</v>
          </cell>
          <cell r="AB1074" t="str">
            <v>14</v>
          </cell>
          <cell r="AC1074">
            <v>2</v>
          </cell>
          <cell r="AD1074" t="str">
            <v>0</v>
          </cell>
          <cell r="AE1074" t="str">
            <v>0</v>
          </cell>
          <cell r="AF1074" t="str">
            <v>20</v>
          </cell>
          <cell r="AI1074">
            <v>0</v>
          </cell>
          <cell r="AJ1074">
            <v>0</v>
          </cell>
        </row>
        <row r="1075">
          <cell r="A1075" t="str">
            <v>20</v>
          </cell>
          <cell r="B1075" t="str">
            <v>17</v>
          </cell>
          <cell r="C1075" t="str">
            <v>532</v>
          </cell>
          <cell r="D1075" t="str">
            <v>Здание очист.сооруже</v>
          </cell>
          <cell r="E1075" t="str">
            <v>ний к цеху по перера</v>
          </cell>
          <cell r="F1075" t="str">
            <v>ботке молока</v>
          </cell>
          <cell r="G1075" t="str">
            <v>01</v>
          </cell>
          <cell r="H1075">
            <v>1629689.16</v>
          </cell>
          <cell r="I1075">
            <v>0</v>
          </cell>
          <cell r="J1075">
            <v>0</v>
          </cell>
          <cell r="K1075">
            <v>1</v>
          </cell>
          <cell r="L1075" t="str">
            <v>88/4</v>
          </cell>
          <cell r="M1075" t="str">
            <v>10008</v>
          </cell>
          <cell r="N1075" t="str">
            <v>11 4524362</v>
          </cell>
          <cell r="P1075">
            <v>5</v>
          </cell>
          <cell r="Q1075">
            <v>0</v>
          </cell>
          <cell r="R1075" t="str">
            <v>1</v>
          </cell>
          <cell r="S1075" t="str">
            <v>10</v>
          </cell>
          <cell r="T1075">
            <v>97</v>
          </cell>
          <cell r="U1075">
            <v>12</v>
          </cell>
          <cell r="V1075">
            <v>97</v>
          </cell>
          <cell r="W1075">
            <v>12</v>
          </cell>
          <cell r="X1075">
            <v>97</v>
          </cell>
          <cell r="Y1075">
            <v>0</v>
          </cell>
          <cell r="Z1075">
            <v>0</v>
          </cell>
          <cell r="AB1075" t="str">
            <v>14</v>
          </cell>
          <cell r="AC1075">
            <v>2</v>
          </cell>
          <cell r="AD1075" t="str">
            <v>0</v>
          </cell>
          <cell r="AE1075" t="str">
            <v>0</v>
          </cell>
          <cell r="AF1075" t="str">
            <v>20</v>
          </cell>
          <cell r="AI1075">
            <v>0</v>
          </cell>
          <cell r="AJ1075">
            <v>0</v>
          </cell>
        </row>
        <row r="1076">
          <cell r="A1076" t="str">
            <v>20</v>
          </cell>
          <cell r="B1076" t="str">
            <v>17</v>
          </cell>
          <cell r="C1076" t="str">
            <v>533</v>
          </cell>
          <cell r="D1076" t="str">
            <v>Газопровод к цеху по</v>
          </cell>
          <cell r="E1076" t="str">
            <v xml:space="preserve"> переработке молока</v>
          </cell>
          <cell r="G1076" t="str">
            <v>01</v>
          </cell>
          <cell r="H1076">
            <v>25709.43</v>
          </cell>
          <cell r="I1076">
            <v>0</v>
          </cell>
          <cell r="J1076">
            <v>0</v>
          </cell>
          <cell r="K1076">
            <v>1</v>
          </cell>
          <cell r="L1076" t="str">
            <v>88/4</v>
          </cell>
          <cell r="M1076" t="str">
            <v>30101</v>
          </cell>
          <cell r="N1076" t="str">
            <v>14 4527384</v>
          </cell>
          <cell r="P1076">
            <v>2.5</v>
          </cell>
          <cell r="Q1076">
            <v>0</v>
          </cell>
          <cell r="R1076" t="str">
            <v>1</v>
          </cell>
          <cell r="S1076" t="str">
            <v>30</v>
          </cell>
          <cell r="T1076">
            <v>97</v>
          </cell>
          <cell r="U1076">
            <v>12</v>
          </cell>
          <cell r="V1076">
            <v>97</v>
          </cell>
          <cell r="W1076">
            <v>12</v>
          </cell>
          <cell r="X1076">
            <v>97</v>
          </cell>
          <cell r="Y1076">
            <v>0</v>
          </cell>
          <cell r="Z1076">
            <v>0</v>
          </cell>
          <cell r="AB1076" t="str">
            <v>14</v>
          </cell>
          <cell r="AC1076">
            <v>2</v>
          </cell>
          <cell r="AD1076" t="str">
            <v>0</v>
          </cell>
          <cell r="AE1076" t="str">
            <v>0</v>
          </cell>
          <cell r="AF1076" t="str">
            <v>20</v>
          </cell>
          <cell r="AI1076">
            <v>0</v>
          </cell>
          <cell r="AJ1076">
            <v>0</v>
          </cell>
        </row>
        <row r="1077">
          <cell r="A1077" t="str">
            <v>20</v>
          </cell>
          <cell r="B1077" t="str">
            <v>17</v>
          </cell>
          <cell r="C1077" t="str">
            <v>534</v>
          </cell>
          <cell r="D1077" t="str">
            <v>Здание цеха по перер</v>
          </cell>
          <cell r="E1077" t="str">
            <v>аботке молока 30х12</v>
          </cell>
          <cell r="G1077" t="str">
            <v>01</v>
          </cell>
          <cell r="H1077">
            <v>463357.65</v>
          </cell>
          <cell r="I1077">
            <v>0</v>
          </cell>
          <cell r="J1077">
            <v>0</v>
          </cell>
          <cell r="K1077">
            <v>1</v>
          </cell>
          <cell r="L1077" t="str">
            <v>88/4</v>
          </cell>
          <cell r="M1077" t="str">
            <v>10008</v>
          </cell>
          <cell r="N1077" t="str">
            <v>11 4524362</v>
          </cell>
          <cell r="P1077">
            <v>5</v>
          </cell>
          <cell r="Q1077">
            <v>0</v>
          </cell>
          <cell r="R1077" t="str">
            <v>1</v>
          </cell>
          <cell r="S1077" t="str">
            <v>10</v>
          </cell>
          <cell r="T1077">
            <v>97</v>
          </cell>
          <cell r="U1077">
            <v>12</v>
          </cell>
          <cell r="V1077">
            <v>97</v>
          </cell>
          <cell r="W1077">
            <v>12</v>
          </cell>
          <cell r="X1077">
            <v>97</v>
          </cell>
          <cell r="Y1077">
            <v>0</v>
          </cell>
          <cell r="Z1077">
            <v>0</v>
          </cell>
          <cell r="AB1077" t="str">
            <v>14</v>
          </cell>
          <cell r="AC1077">
            <v>2</v>
          </cell>
          <cell r="AD1077" t="str">
            <v>0</v>
          </cell>
          <cell r="AE1077" t="str">
            <v>0</v>
          </cell>
          <cell r="AF1077" t="str">
            <v>20</v>
          </cell>
          <cell r="AI1077">
            <v>0</v>
          </cell>
          <cell r="AJ1077">
            <v>0</v>
          </cell>
        </row>
        <row r="1078">
          <cell r="A1078" t="str">
            <v>20</v>
          </cell>
          <cell r="B1078" t="str">
            <v>17</v>
          </cell>
          <cell r="C1078" t="str">
            <v>535</v>
          </cell>
          <cell r="D1078" t="str">
            <v>Наружние водопроводн</v>
          </cell>
          <cell r="E1078" t="str">
            <v>ые сети /стальные/ к</v>
          </cell>
          <cell r="F1078" t="str">
            <v>цеху по перераб.мол.</v>
          </cell>
          <cell r="G1078" t="str">
            <v>01</v>
          </cell>
          <cell r="H1078">
            <v>152920.29999999999</v>
          </cell>
          <cell r="I1078">
            <v>0</v>
          </cell>
          <cell r="J1078">
            <v>0</v>
          </cell>
          <cell r="K1078">
            <v>1</v>
          </cell>
          <cell r="L1078" t="str">
            <v>88/4</v>
          </cell>
          <cell r="M1078" t="str">
            <v>30109</v>
          </cell>
          <cell r="N1078" t="str">
            <v>12 4527351</v>
          </cell>
          <cell r="P1078">
            <v>5</v>
          </cell>
          <cell r="Q1078">
            <v>0</v>
          </cell>
          <cell r="R1078" t="str">
            <v>1</v>
          </cell>
          <cell r="S1078" t="str">
            <v>30</v>
          </cell>
          <cell r="T1078">
            <v>97</v>
          </cell>
          <cell r="U1078">
            <v>12</v>
          </cell>
          <cell r="V1078">
            <v>97</v>
          </cell>
          <cell r="W1078">
            <v>12</v>
          </cell>
          <cell r="X1078">
            <v>97</v>
          </cell>
          <cell r="Y1078">
            <v>0</v>
          </cell>
          <cell r="Z1078">
            <v>0</v>
          </cell>
          <cell r="AB1078" t="str">
            <v>14</v>
          </cell>
          <cell r="AC1078">
            <v>2</v>
          </cell>
          <cell r="AD1078" t="str">
            <v>0</v>
          </cell>
          <cell r="AE1078" t="str">
            <v>0</v>
          </cell>
          <cell r="AF1078" t="str">
            <v>20</v>
          </cell>
          <cell r="AI1078">
            <v>0</v>
          </cell>
          <cell r="AJ1078">
            <v>0</v>
          </cell>
        </row>
        <row r="1079">
          <cell r="A1079" t="str">
            <v>20</v>
          </cell>
          <cell r="B1079" t="str">
            <v>17</v>
          </cell>
          <cell r="C1079" t="str">
            <v>536</v>
          </cell>
          <cell r="D1079" t="str">
            <v>Благоустройство терр</v>
          </cell>
          <cell r="E1079" t="str">
            <v>итории цеха по перер</v>
          </cell>
          <cell r="F1079" t="str">
            <v>аботке молока</v>
          </cell>
          <cell r="G1079" t="str">
            <v>01</v>
          </cell>
          <cell r="H1079">
            <v>715947.11</v>
          </cell>
          <cell r="I1079">
            <v>0</v>
          </cell>
          <cell r="J1079">
            <v>0</v>
          </cell>
          <cell r="K1079">
            <v>1</v>
          </cell>
          <cell r="L1079" t="str">
            <v>88/4</v>
          </cell>
          <cell r="M1079" t="str">
            <v>20223</v>
          </cell>
          <cell r="N1079" t="str">
            <v>12 4526372</v>
          </cell>
          <cell r="P1079">
            <v>3.2</v>
          </cell>
          <cell r="Q1079">
            <v>0</v>
          </cell>
          <cell r="R1079" t="str">
            <v>1</v>
          </cell>
          <cell r="S1079" t="str">
            <v>20</v>
          </cell>
          <cell r="T1079">
            <v>97</v>
          </cell>
          <cell r="U1079">
            <v>12</v>
          </cell>
          <cell r="V1079">
            <v>97</v>
          </cell>
          <cell r="W1079">
            <v>12</v>
          </cell>
          <cell r="X1079">
            <v>97</v>
          </cell>
          <cell r="Y1079">
            <v>0</v>
          </cell>
          <cell r="Z1079">
            <v>0</v>
          </cell>
          <cell r="AB1079" t="str">
            <v>14</v>
          </cell>
          <cell r="AC1079">
            <v>2</v>
          </cell>
          <cell r="AD1079" t="str">
            <v>0</v>
          </cell>
          <cell r="AE1079" t="str">
            <v>0</v>
          </cell>
          <cell r="AF1079" t="str">
            <v>20</v>
          </cell>
          <cell r="AI1079">
            <v>0</v>
          </cell>
          <cell r="AJ1079">
            <v>0</v>
          </cell>
        </row>
        <row r="1080">
          <cell r="A1080" t="str">
            <v>02</v>
          </cell>
          <cell r="B1080" t="str">
            <v>80</v>
          </cell>
          <cell r="C1080" t="str">
            <v>538</v>
          </cell>
          <cell r="D1080" t="str">
            <v>Компьютер Р-166.1.76</v>
          </cell>
          <cell r="E1080" t="str">
            <v>в SVGA с принтером</v>
          </cell>
          <cell r="F1080" t="str">
            <v>EPSON-1050</v>
          </cell>
          <cell r="G1080" t="str">
            <v>01</v>
          </cell>
          <cell r="H1080">
            <v>7750</v>
          </cell>
          <cell r="I1080">
            <v>0</v>
          </cell>
          <cell r="J1080">
            <v>0</v>
          </cell>
          <cell r="L1080" t="str">
            <v>26</v>
          </cell>
          <cell r="M1080" t="str">
            <v>48008</v>
          </cell>
          <cell r="N1080" t="str">
            <v>14 3020203</v>
          </cell>
          <cell r="P1080">
            <v>10</v>
          </cell>
          <cell r="Q1080">
            <v>0</v>
          </cell>
          <cell r="R1080" t="str">
            <v>1</v>
          </cell>
          <cell r="S1080" t="str">
            <v>48</v>
          </cell>
          <cell r="T1080">
            <v>97</v>
          </cell>
          <cell r="U1080">
            <v>2</v>
          </cell>
          <cell r="V1080">
            <v>98</v>
          </cell>
          <cell r="W1080">
            <v>2</v>
          </cell>
          <cell r="X1080">
            <v>98</v>
          </cell>
          <cell r="Y1080">
            <v>0</v>
          </cell>
          <cell r="Z1080">
            <v>0</v>
          </cell>
          <cell r="AD1080" t="str">
            <v>0</v>
          </cell>
          <cell r="AE1080" t="str">
            <v>0</v>
          </cell>
          <cell r="AF1080" t="str">
            <v>00</v>
          </cell>
        </row>
        <row r="1081">
          <cell r="A1081" t="str">
            <v>02</v>
          </cell>
          <cell r="B1081" t="str">
            <v>80</v>
          </cell>
          <cell r="C1081" t="str">
            <v>537</v>
          </cell>
          <cell r="D1081" t="str">
            <v>Компьютер Р-166.16.1</v>
          </cell>
          <cell r="E1081" t="str">
            <v>76вSVGA с принтером</v>
          </cell>
          <cell r="F1081" t="str">
            <v>EPSON LX-1050</v>
          </cell>
          <cell r="G1081" t="str">
            <v>01</v>
          </cell>
          <cell r="H1081">
            <v>7750</v>
          </cell>
          <cell r="I1081">
            <v>0</v>
          </cell>
          <cell r="J1081">
            <v>0</v>
          </cell>
          <cell r="L1081" t="str">
            <v>26</v>
          </cell>
          <cell r="M1081" t="str">
            <v>48008</v>
          </cell>
          <cell r="N1081" t="str">
            <v>14 3020203</v>
          </cell>
          <cell r="P1081">
            <v>10</v>
          </cell>
          <cell r="Q1081">
            <v>0</v>
          </cell>
          <cell r="R1081" t="str">
            <v>1</v>
          </cell>
          <cell r="S1081" t="str">
            <v>48</v>
          </cell>
          <cell r="T1081">
            <v>97</v>
          </cell>
          <cell r="U1081">
            <v>2</v>
          </cell>
          <cell r="V1081">
            <v>98</v>
          </cell>
          <cell r="W1081">
            <v>2</v>
          </cell>
          <cell r="X1081">
            <v>98</v>
          </cell>
          <cell r="Y1081">
            <v>0</v>
          </cell>
          <cell r="Z1081">
            <v>0</v>
          </cell>
          <cell r="AD1081" t="str">
            <v>0</v>
          </cell>
          <cell r="AE1081" t="str">
            <v>0</v>
          </cell>
          <cell r="AF1081" t="str">
            <v>00</v>
          </cell>
        </row>
        <row r="1082">
          <cell r="A1082" t="str">
            <v>02</v>
          </cell>
          <cell r="B1082" t="str">
            <v>80</v>
          </cell>
          <cell r="C1082" t="str">
            <v>541</v>
          </cell>
          <cell r="D1082" t="str">
            <v>Компьютер П-166.16.1</v>
          </cell>
          <cell r="E1082" t="str">
            <v>76в SVGA с принтером</v>
          </cell>
          <cell r="F1082" t="str">
            <v>EPSON-1050</v>
          </cell>
          <cell r="G1082" t="str">
            <v>01</v>
          </cell>
          <cell r="H1082">
            <v>7750</v>
          </cell>
          <cell r="I1082">
            <v>0</v>
          </cell>
          <cell r="J1082">
            <v>0</v>
          </cell>
          <cell r="L1082" t="str">
            <v>26</v>
          </cell>
          <cell r="M1082" t="str">
            <v>48008</v>
          </cell>
          <cell r="N1082" t="str">
            <v>14 3020203</v>
          </cell>
          <cell r="P1082">
            <v>10</v>
          </cell>
          <cell r="Q1082">
            <v>0</v>
          </cell>
          <cell r="R1082" t="str">
            <v>1</v>
          </cell>
          <cell r="S1082" t="str">
            <v>48</v>
          </cell>
          <cell r="T1082">
            <v>97</v>
          </cell>
          <cell r="U1082">
            <v>2</v>
          </cell>
          <cell r="V1082">
            <v>98</v>
          </cell>
          <cell r="W1082">
            <v>2</v>
          </cell>
          <cell r="X1082">
            <v>98</v>
          </cell>
          <cell r="Y1082">
            <v>0</v>
          </cell>
          <cell r="Z1082">
            <v>0</v>
          </cell>
          <cell r="AD1082" t="str">
            <v>0</v>
          </cell>
          <cell r="AE1082" t="str">
            <v>0</v>
          </cell>
          <cell r="AF1082" t="str">
            <v>00</v>
          </cell>
        </row>
        <row r="1083">
          <cell r="A1083" t="str">
            <v>02</v>
          </cell>
          <cell r="B1083" t="str">
            <v>05</v>
          </cell>
          <cell r="C1083" t="str">
            <v>545</v>
          </cell>
          <cell r="D1083" t="str">
            <v>Центратор</v>
          </cell>
          <cell r="E1083" t="str">
            <v>изготов.ЦБПО</v>
          </cell>
          <cell r="G1083" t="str">
            <v>01</v>
          </cell>
          <cell r="H1083">
            <v>11912.2</v>
          </cell>
          <cell r="I1083">
            <v>0</v>
          </cell>
          <cell r="J1083">
            <v>0</v>
          </cell>
          <cell r="L1083" t="str">
            <v>23</v>
          </cell>
          <cell r="M1083" t="str">
            <v>43807</v>
          </cell>
          <cell r="N1083" t="str">
            <v>14 2928286</v>
          </cell>
          <cell r="P1083">
            <v>25</v>
          </cell>
          <cell r="Q1083">
            <v>0</v>
          </cell>
          <cell r="R1083" t="str">
            <v>1</v>
          </cell>
          <cell r="S1083" t="str">
            <v>43</v>
          </cell>
          <cell r="T1083">
            <v>98</v>
          </cell>
          <cell r="U1083">
            <v>4</v>
          </cell>
          <cell r="V1083">
            <v>98</v>
          </cell>
          <cell r="W1083">
            <v>4</v>
          </cell>
          <cell r="X1083">
            <v>98</v>
          </cell>
          <cell r="Y1083">
            <v>0</v>
          </cell>
          <cell r="Z1083">
            <v>0</v>
          </cell>
          <cell r="AD1083" t="str">
            <v>0</v>
          </cell>
          <cell r="AE1083" t="str">
            <v>0</v>
          </cell>
          <cell r="AF1083" t="str">
            <v>00</v>
          </cell>
        </row>
        <row r="1084">
          <cell r="A1084" t="str">
            <v>02</v>
          </cell>
          <cell r="B1084" t="str">
            <v>05</v>
          </cell>
          <cell r="C1084" t="str">
            <v>546</v>
          </cell>
          <cell r="D1084" t="str">
            <v>Распред.шкаф ПР-1</v>
          </cell>
          <cell r="E1084" t="str">
            <v>г.Радомир з-д Электр</v>
          </cell>
          <cell r="F1084" t="str">
            <v>ик  380/220 в</v>
          </cell>
          <cell r="G1084" t="str">
            <v>01</v>
          </cell>
          <cell r="H1084">
            <v>3230</v>
          </cell>
          <cell r="I1084">
            <v>0</v>
          </cell>
          <cell r="J1084">
            <v>0</v>
          </cell>
          <cell r="L1084" t="str">
            <v>23</v>
          </cell>
          <cell r="M1084" t="str">
            <v>40702</v>
          </cell>
          <cell r="N1084" t="str">
            <v>14 3120390</v>
          </cell>
          <cell r="P1084">
            <v>9.1</v>
          </cell>
          <cell r="Q1084">
            <v>0</v>
          </cell>
          <cell r="R1084" t="str">
            <v>1</v>
          </cell>
          <cell r="S1084" t="str">
            <v>40</v>
          </cell>
          <cell r="T1084">
            <v>87</v>
          </cell>
          <cell r="U1084">
            <v>4</v>
          </cell>
          <cell r="V1084">
            <v>98</v>
          </cell>
          <cell r="W1084">
            <v>4</v>
          </cell>
          <cell r="X1084">
            <v>98</v>
          </cell>
          <cell r="Y1084">
            <v>0</v>
          </cell>
          <cell r="Z1084">
            <v>0</v>
          </cell>
          <cell r="AD1084" t="str">
            <v>0</v>
          </cell>
          <cell r="AE1084" t="str">
            <v>0</v>
          </cell>
          <cell r="AF1084" t="str">
            <v>00</v>
          </cell>
        </row>
        <row r="1085">
          <cell r="A1085" t="str">
            <v>02</v>
          </cell>
          <cell r="B1085" t="str">
            <v>05</v>
          </cell>
          <cell r="C1085" t="str">
            <v>547</v>
          </cell>
          <cell r="D1085" t="str">
            <v>Центратор</v>
          </cell>
          <cell r="E1085" t="str">
            <v>изготов ЦБПО</v>
          </cell>
          <cell r="G1085" t="str">
            <v>01</v>
          </cell>
          <cell r="H1085">
            <v>11912.2</v>
          </cell>
          <cell r="I1085">
            <v>0</v>
          </cell>
          <cell r="J1085">
            <v>0</v>
          </cell>
          <cell r="L1085" t="str">
            <v>23</v>
          </cell>
          <cell r="M1085" t="str">
            <v>43807</v>
          </cell>
          <cell r="N1085" t="str">
            <v>14 2928286</v>
          </cell>
          <cell r="P1085">
            <v>25</v>
          </cell>
          <cell r="Q1085">
            <v>0</v>
          </cell>
          <cell r="R1085" t="str">
            <v>1</v>
          </cell>
          <cell r="S1085" t="str">
            <v>43</v>
          </cell>
          <cell r="T1085">
            <v>98</v>
          </cell>
          <cell r="U1085">
            <v>4</v>
          </cell>
          <cell r="V1085">
            <v>98</v>
          </cell>
          <cell r="W1085">
            <v>4</v>
          </cell>
          <cell r="X1085">
            <v>98</v>
          </cell>
          <cell r="Y1085">
            <v>0</v>
          </cell>
          <cell r="Z1085">
            <v>0</v>
          </cell>
          <cell r="AD1085" t="str">
            <v>0</v>
          </cell>
          <cell r="AE1085" t="str">
            <v>0</v>
          </cell>
          <cell r="AF1085" t="str">
            <v>00</v>
          </cell>
        </row>
        <row r="1086">
          <cell r="A1086" t="str">
            <v>02</v>
          </cell>
          <cell r="B1086" t="str">
            <v>70</v>
          </cell>
          <cell r="C1086" t="str">
            <v>548</v>
          </cell>
          <cell r="D1086" t="str">
            <v>Центратор</v>
          </cell>
          <cell r="E1086" t="str">
            <v>изготов. ЦБПО</v>
          </cell>
          <cell r="G1086" t="str">
            <v>01</v>
          </cell>
          <cell r="H1086">
            <v>11912.21</v>
          </cell>
          <cell r="I1086">
            <v>0</v>
          </cell>
          <cell r="J1086">
            <v>0</v>
          </cell>
          <cell r="L1086" t="str">
            <v>20</v>
          </cell>
          <cell r="M1086" t="str">
            <v>43807</v>
          </cell>
          <cell r="N1086" t="str">
            <v>14 2928286</v>
          </cell>
          <cell r="P1086">
            <v>25</v>
          </cell>
          <cell r="Q1086">
            <v>0</v>
          </cell>
          <cell r="R1086" t="str">
            <v>1</v>
          </cell>
          <cell r="S1086" t="str">
            <v>43</v>
          </cell>
          <cell r="T1086">
            <v>98</v>
          </cell>
          <cell r="U1086">
            <v>4</v>
          </cell>
          <cell r="V1086">
            <v>98</v>
          </cell>
          <cell r="W1086">
            <v>4</v>
          </cell>
          <cell r="X1086">
            <v>98</v>
          </cell>
          <cell r="Y1086">
            <v>0</v>
          </cell>
          <cell r="Z1086">
            <v>0</v>
          </cell>
          <cell r="AB1086" t="str">
            <v>14</v>
          </cell>
          <cell r="AC1086">
            <v>5</v>
          </cell>
          <cell r="AD1086" t="str">
            <v>0</v>
          </cell>
          <cell r="AE1086" t="str">
            <v>0</v>
          </cell>
          <cell r="AF1086" t="str">
            <v>00</v>
          </cell>
        </row>
        <row r="1087">
          <cell r="A1087" t="str">
            <v>02</v>
          </cell>
          <cell r="B1087" t="str">
            <v>71</v>
          </cell>
          <cell r="C1087" t="str">
            <v>549</v>
          </cell>
          <cell r="D1087" t="str">
            <v>Гидромолот МГ-300</v>
          </cell>
          <cell r="E1087" t="str">
            <v>/Тверской экскаватор</v>
          </cell>
          <cell r="F1087" t="str">
            <v>ный з-д/</v>
          </cell>
          <cell r="G1087" t="str">
            <v>01</v>
          </cell>
          <cell r="H1087">
            <v>33333.33</v>
          </cell>
          <cell r="I1087">
            <v>0</v>
          </cell>
          <cell r="J1087">
            <v>0</v>
          </cell>
          <cell r="L1087" t="str">
            <v>23</v>
          </cell>
          <cell r="M1087" t="str">
            <v>41200</v>
          </cell>
          <cell r="N1087" t="str">
            <v>14 3699000</v>
          </cell>
          <cell r="P1087">
            <v>5.39</v>
          </cell>
          <cell r="Q1087">
            <v>0</v>
          </cell>
          <cell r="R1087" t="str">
            <v>1</v>
          </cell>
          <cell r="S1087" t="str">
            <v>41</v>
          </cell>
          <cell r="T1087">
            <v>98</v>
          </cell>
          <cell r="U1087">
            <v>5</v>
          </cell>
          <cell r="V1087">
            <v>98</v>
          </cell>
          <cell r="W1087">
            <v>5</v>
          </cell>
          <cell r="X1087">
            <v>98</v>
          </cell>
          <cell r="Y1087">
            <v>0</v>
          </cell>
          <cell r="Z1087">
            <v>0</v>
          </cell>
          <cell r="AD1087" t="str">
            <v>0</v>
          </cell>
          <cell r="AE1087" t="str">
            <v>0</v>
          </cell>
          <cell r="AF1087" t="str">
            <v>00</v>
          </cell>
        </row>
        <row r="1088">
          <cell r="A1088" t="str">
            <v>02</v>
          </cell>
          <cell r="B1088" t="str">
            <v>23</v>
          </cell>
          <cell r="C1088" t="str">
            <v>550</v>
          </cell>
          <cell r="D1088" t="str">
            <v>А/м ЗИЛ-131 фургон г</v>
          </cell>
          <cell r="E1088" t="str">
            <v>рузопассаж.NоТ931НУ</v>
          </cell>
          <cell r="F1088" t="str">
            <v>дв 736880 ш 015676</v>
          </cell>
          <cell r="G1088" t="str">
            <v>01</v>
          </cell>
          <cell r="H1088">
            <v>62150</v>
          </cell>
          <cell r="I1088">
            <v>46087.26</v>
          </cell>
          <cell r="J1088">
            <v>0</v>
          </cell>
          <cell r="L1088" t="str">
            <v>23</v>
          </cell>
          <cell r="M1088" t="str">
            <v>50426</v>
          </cell>
          <cell r="N1088" t="str">
            <v>15 3410359</v>
          </cell>
          <cell r="P1088">
            <v>10</v>
          </cell>
          <cell r="Q1088">
            <v>0</v>
          </cell>
          <cell r="R1088" t="str">
            <v>1</v>
          </cell>
          <cell r="S1088" t="str">
            <v>50</v>
          </cell>
          <cell r="T1088">
            <v>91</v>
          </cell>
          <cell r="U1088">
            <v>5</v>
          </cell>
          <cell r="V1088">
            <v>98</v>
          </cell>
          <cell r="W1088">
            <v>5</v>
          </cell>
          <cell r="X1088">
            <v>98</v>
          </cell>
          <cell r="Y1088">
            <v>0</v>
          </cell>
          <cell r="Z1088">
            <v>0</v>
          </cell>
          <cell r="AD1088" t="str">
            <v>0</v>
          </cell>
          <cell r="AE1088" t="str">
            <v>0</v>
          </cell>
          <cell r="AF1088" t="str">
            <v>00</v>
          </cell>
        </row>
        <row r="1089">
          <cell r="A1089" t="str">
            <v>02</v>
          </cell>
          <cell r="B1089" t="str">
            <v>70</v>
          </cell>
          <cell r="C1089" t="str">
            <v>551</v>
          </cell>
          <cell r="D1089" t="str">
            <v>Трубоукладчик ОМТ-16</v>
          </cell>
          <cell r="G1089" t="str">
            <v>01</v>
          </cell>
          <cell r="H1089">
            <v>257148.39</v>
          </cell>
          <cell r="I1089">
            <v>68572.88</v>
          </cell>
          <cell r="J1089">
            <v>0</v>
          </cell>
          <cell r="L1089" t="str">
            <v>20</v>
          </cell>
          <cell r="M1089" t="str">
            <v>41723</v>
          </cell>
          <cell r="N1089" t="str">
            <v>14 2915246</v>
          </cell>
          <cell r="P1089">
            <v>10</v>
          </cell>
          <cell r="Q1089">
            <v>0</v>
          </cell>
          <cell r="R1089" t="str">
            <v>1</v>
          </cell>
          <cell r="S1089" t="str">
            <v>41</v>
          </cell>
          <cell r="T1089">
            <v>95</v>
          </cell>
          <cell r="U1089">
            <v>5</v>
          </cell>
          <cell r="V1089">
            <v>98</v>
          </cell>
          <cell r="W1089">
            <v>5</v>
          </cell>
          <cell r="X1089">
            <v>98</v>
          </cell>
          <cell r="Y1089">
            <v>0</v>
          </cell>
          <cell r="Z1089">
            <v>0</v>
          </cell>
          <cell r="AB1089" t="str">
            <v>14</v>
          </cell>
          <cell r="AC1089">
            <v>6</v>
          </cell>
          <cell r="AD1089" t="str">
            <v>0</v>
          </cell>
          <cell r="AE1089" t="str">
            <v>0</v>
          </cell>
          <cell r="AF1089" t="str">
            <v>00</v>
          </cell>
        </row>
        <row r="1090">
          <cell r="A1090" t="str">
            <v>02</v>
          </cell>
          <cell r="B1090" t="str">
            <v>71</v>
          </cell>
          <cell r="C1090" t="str">
            <v>552</v>
          </cell>
          <cell r="D1090" t="str">
            <v>Бульдозер Катерпилле</v>
          </cell>
          <cell r="E1090" t="str">
            <v>р</v>
          </cell>
          <cell r="G1090" t="str">
            <v>01</v>
          </cell>
          <cell r="H1090">
            <v>724697.92</v>
          </cell>
          <cell r="I1090">
            <v>39254.449999999997</v>
          </cell>
          <cell r="J1090">
            <v>0</v>
          </cell>
          <cell r="L1090" t="str">
            <v>23</v>
          </cell>
          <cell r="M1090" t="str">
            <v>41816</v>
          </cell>
          <cell r="N1090" t="str">
            <v>14 2924340</v>
          </cell>
          <cell r="P1090">
            <v>10</v>
          </cell>
          <cell r="Q1090">
            <v>0</v>
          </cell>
          <cell r="R1090" t="str">
            <v>1</v>
          </cell>
          <cell r="S1090" t="str">
            <v>41</v>
          </cell>
          <cell r="T1090">
            <v>94</v>
          </cell>
          <cell r="U1090">
            <v>5</v>
          </cell>
          <cell r="V1090">
            <v>98</v>
          </cell>
          <cell r="W1090">
            <v>5</v>
          </cell>
          <cell r="X1090">
            <v>98</v>
          </cell>
          <cell r="Y1090">
            <v>0</v>
          </cell>
          <cell r="Z1090">
            <v>0</v>
          </cell>
          <cell r="AB1090" t="str">
            <v>14</v>
          </cell>
          <cell r="AC1090">
            <v>7</v>
          </cell>
          <cell r="AD1090" t="str">
            <v>0</v>
          </cell>
          <cell r="AE1090" t="str">
            <v>0</v>
          </cell>
          <cell r="AF1090" t="str">
            <v>00</v>
          </cell>
        </row>
        <row r="1091">
          <cell r="A1091" t="str">
            <v>02</v>
          </cell>
          <cell r="B1091" t="str">
            <v>71</v>
          </cell>
          <cell r="C1091" t="str">
            <v>554</v>
          </cell>
          <cell r="D1091" t="str">
            <v>Бульдозер Катерпилле</v>
          </cell>
          <cell r="E1091" t="str">
            <v>р</v>
          </cell>
          <cell r="G1091" t="str">
            <v>01</v>
          </cell>
          <cell r="H1091">
            <v>724697.92</v>
          </cell>
          <cell r="I1091">
            <v>39254.449999999997</v>
          </cell>
          <cell r="J1091">
            <v>0</v>
          </cell>
          <cell r="L1091" t="str">
            <v>23</v>
          </cell>
          <cell r="M1091" t="str">
            <v>41816</v>
          </cell>
          <cell r="N1091" t="str">
            <v>14 2924340</v>
          </cell>
          <cell r="P1091">
            <v>10</v>
          </cell>
          <cell r="Q1091">
            <v>0</v>
          </cell>
          <cell r="R1091" t="str">
            <v>1</v>
          </cell>
          <cell r="S1091" t="str">
            <v>41</v>
          </cell>
          <cell r="T1091">
            <v>94</v>
          </cell>
          <cell r="U1091">
            <v>5</v>
          </cell>
          <cell r="V1091">
            <v>98</v>
          </cell>
          <cell r="W1091">
            <v>5</v>
          </cell>
          <cell r="X1091">
            <v>98</v>
          </cell>
          <cell r="Y1091">
            <v>0</v>
          </cell>
          <cell r="Z1091">
            <v>0</v>
          </cell>
          <cell r="AB1091" t="str">
            <v>14</v>
          </cell>
          <cell r="AC1091">
            <v>6</v>
          </cell>
          <cell r="AD1091" t="str">
            <v>0</v>
          </cell>
          <cell r="AE1091" t="str">
            <v>0</v>
          </cell>
          <cell r="AF1091" t="str">
            <v>00</v>
          </cell>
        </row>
        <row r="1092">
          <cell r="A1092" t="str">
            <v>02</v>
          </cell>
          <cell r="B1092" t="str">
            <v>23</v>
          </cell>
          <cell r="C1092" t="str">
            <v>553</v>
          </cell>
          <cell r="D1092" t="str">
            <v>А/м КАМАЗ-5511</v>
          </cell>
          <cell r="E1092" t="str">
            <v>Nо Т855СС ш189402</v>
          </cell>
          <cell r="F1092" t="str">
            <v>дв022744</v>
          </cell>
          <cell r="G1092" t="str">
            <v>01</v>
          </cell>
          <cell r="H1092">
            <v>133000</v>
          </cell>
          <cell r="I1092">
            <v>81385</v>
          </cell>
          <cell r="J1092">
            <v>0</v>
          </cell>
          <cell r="L1092" t="str">
            <v>23</v>
          </cell>
          <cell r="M1092" t="str">
            <v>50402</v>
          </cell>
          <cell r="N1092" t="str">
            <v>15 3410349</v>
          </cell>
          <cell r="P1092">
            <v>0.37</v>
          </cell>
          <cell r="Q1092">
            <v>0</v>
          </cell>
          <cell r="R1092" t="str">
            <v>1</v>
          </cell>
          <cell r="S1092" t="str">
            <v>50</v>
          </cell>
          <cell r="T1092">
            <v>0</v>
          </cell>
          <cell r="U1092">
            <v>6</v>
          </cell>
          <cell r="V1092">
            <v>98</v>
          </cell>
          <cell r="W1092">
            <v>6</v>
          </cell>
          <cell r="X1092">
            <v>98</v>
          </cell>
          <cell r="Y1092">
            <v>0</v>
          </cell>
          <cell r="Z1092">
            <v>0</v>
          </cell>
          <cell r="AD1092" t="str">
            <v>0</v>
          </cell>
          <cell r="AE1092" t="str">
            <v>0</v>
          </cell>
          <cell r="AF1092" t="str">
            <v>00</v>
          </cell>
        </row>
        <row r="1093">
          <cell r="A1093" t="str">
            <v>02</v>
          </cell>
          <cell r="B1093" t="str">
            <v>23</v>
          </cell>
          <cell r="C1093" t="str">
            <v>555</v>
          </cell>
          <cell r="D1093" t="str">
            <v>А/М КАМАЗ-5513</v>
          </cell>
          <cell r="E1093" t="str">
            <v>Nо Т839СС ш1036453</v>
          </cell>
          <cell r="F1093" t="str">
            <v>дв041110</v>
          </cell>
          <cell r="G1093" t="str">
            <v>01</v>
          </cell>
          <cell r="H1093">
            <v>106220</v>
          </cell>
          <cell r="I1093">
            <v>63459.79</v>
          </cell>
          <cell r="J1093">
            <v>0</v>
          </cell>
          <cell r="L1093" t="str">
            <v>23</v>
          </cell>
          <cell r="M1093" t="str">
            <v>50402</v>
          </cell>
          <cell r="N1093" t="str">
            <v>15 3410349</v>
          </cell>
          <cell r="P1093">
            <v>0.37</v>
          </cell>
          <cell r="Q1093">
            <v>0</v>
          </cell>
          <cell r="R1093" t="str">
            <v>1</v>
          </cell>
          <cell r="S1093" t="str">
            <v>50</v>
          </cell>
          <cell r="T1093">
            <v>0</v>
          </cell>
          <cell r="U1093">
            <v>6</v>
          </cell>
          <cell r="V1093">
            <v>98</v>
          </cell>
          <cell r="W1093">
            <v>6</v>
          </cell>
          <cell r="X1093">
            <v>98</v>
          </cell>
          <cell r="Y1093">
            <v>0</v>
          </cell>
          <cell r="Z1093">
            <v>0</v>
          </cell>
          <cell r="AD1093" t="str">
            <v>0</v>
          </cell>
          <cell r="AE1093" t="str">
            <v>0</v>
          </cell>
          <cell r="AF1093" t="str">
            <v>00</v>
          </cell>
        </row>
        <row r="1094">
          <cell r="A1094" t="str">
            <v>02</v>
          </cell>
          <cell r="B1094" t="str">
            <v>02</v>
          </cell>
          <cell r="C1094" t="str">
            <v>556</v>
          </cell>
          <cell r="D1094" t="str">
            <v>Трубоукладчик КАТЕРП</v>
          </cell>
          <cell r="E1094" t="str">
            <v>ИЛЛАР завN00536</v>
          </cell>
          <cell r="G1094" t="str">
            <v>01</v>
          </cell>
          <cell r="H1094">
            <v>1728161.32</v>
          </cell>
          <cell r="I1094">
            <v>604856.43999999994</v>
          </cell>
          <cell r="J1094">
            <v>0</v>
          </cell>
          <cell r="L1094" t="str">
            <v>20</v>
          </cell>
          <cell r="M1094" t="str">
            <v>41723</v>
          </cell>
          <cell r="N1094" t="str">
            <v>14 2915246</v>
          </cell>
          <cell r="P1094">
            <v>10</v>
          </cell>
          <cell r="Q1094">
            <v>0</v>
          </cell>
          <cell r="R1094" t="str">
            <v>1</v>
          </cell>
          <cell r="S1094" t="str">
            <v>41</v>
          </cell>
          <cell r="T1094">
            <v>94</v>
          </cell>
          <cell r="U1094">
            <v>6</v>
          </cell>
          <cell r="V1094">
            <v>98</v>
          </cell>
          <cell r="W1094">
            <v>6</v>
          </cell>
          <cell r="X1094">
            <v>98</v>
          </cell>
          <cell r="Y1094">
            <v>0</v>
          </cell>
          <cell r="Z1094">
            <v>0</v>
          </cell>
          <cell r="AD1094" t="str">
            <v>0</v>
          </cell>
          <cell r="AE1094" t="str">
            <v>0</v>
          </cell>
          <cell r="AF1094" t="str">
            <v>00</v>
          </cell>
        </row>
        <row r="1095">
          <cell r="A1095" t="str">
            <v>02</v>
          </cell>
          <cell r="B1095" t="str">
            <v>02</v>
          </cell>
          <cell r="C1095" t="str">
            <v>557</v>
          </cell>
          <cell r="D1095" t="str">
            <v>Трубоукладчик КАТЕРП</v>
          </cell>
          <cell r="E1095" t="str">
            <v>ИЛЛАР 572 завN00527</v>
          </cell>
          <cell r="G1095" t="str">
            <v>01</v>
          </cell>
          <cell r="H1095">
            <v>1728161.32</v>
          </cell>
          <cell r="I1095">
            <v>604856.43999999994</v>
          </cell>
          <cell r="J1095">
            <v>0</v>
          </cell>
          <cell r="L1095" t="str">
            <v>20</v>
          </cell>
          <cell r="M1095" t="str">
            <v>41723</v>
          </cell>
          <cell r="N1095" t="str">
            <v>114 291524</v>
          </cell>
          <cell r="P1095">
            <v>10</v>
          </cell>
          <cell r="Q1095">
            <v>0</v>
          </cell>
          <cell r="R1095" t="str">
            <v>1</v>
          </cell>
          <cell r="S1095" t="str">
            <v>41</v>
          </cell>
          <cell r="T1095">
            <v>94</v>
          </cell>
          <cell r="U1095">
            <v>6</v>
          </cell>
          <cell r="V1095">
            <v>98</v>
          </cell>
          <cell r="W1095">
            <v>6</v>
          </cell>
          <cell r="X1095">
            <v>98</v>
          </cell>
          <cell r="Y1095">
            <v>0</v>
          </cell>
          <cell r="Z1095">
            <v>0</v>
          </cell>
          <cell r="AD1095" t="str">
            <v>0</v>
          </cell>
          <cell r="AE1095" t="str">
            <v>0</v>
          </cell>
          <cell r="AF1095" t="str">
            <v>00</v>
          </cell>
        </row>
        <row r="1096">
          <cell r="A1096" t="str">
            <v>02</v>
          </cell>
          <cell r="B1096" t="str">
            <v>02</v>
          </cell>
          <cell r="C1096" t="str">
            <v>558</v>
          </cell>
          <cell r="D1096" t="str">
            <v>Экскаватор ЭО-4224</v>
          </cell>
          <cell r="E1096" t="str">
            <v>завN1403</v>
          </cell>
          <cell r="G1096" t="str">
            <v>01</v>
          </cell>
          <cell r="H1096">
            <v>353000</v>
          </cell>
          <cell r="I1096">
            <v>206123</v>
          </cell>
          <cell r="J1096">
            <v>0</v>
          </cell>
          <cell r="L1096" t="str">
            <v>20</v>
          </cell>
          <cell r="M1096" t="str">
            <v>41803</v>
          </cell>
          <cell r="N1096" t="str">
            <v>14 2924331</v>
          </cell>
          <cell r="P1096">
            <v>9.1</v>
          </cell>
          <cell r="Q1096">
            <v>0</v>
          </cell>
          <cell r="R1096" t="str">
            <v>1</v>
          </cell>
          <cell r="S1096" t="str">
            <v>41</v>
          </cell>
          <cell r="T1096">
            <v>91</v>
          </cell>
          <cell r="U1096">
            <v>6</v>
          </cell>
          <cell r="V1096">
            <v>98</v>
          </cell>
          <cell r="W1096">
            <v>6</v>
          </cell>
          <cell r="X1096">
            <v>98</v>
          </cell>
          <cell r="Y1096">
            <v>0</v>
          </cell>
          <cell r="Z1096">
            <v>0</v>
          </cell>
          <cell r="AD1096" t="str">
            <v>0</v>
          </cell>
          <cell r="AE1096" t="str">
            <v>0</v>
          </cell>
          <cell r="AF1096" t="str">
            <v>00</v>
          </cell>
        </row>
        <row r="1097">
          <cell r="A1097" t="str">
            <v>02</v>
          </cell>
          <cell r="B1097" t="str">
            <v>02</v>
          </cell>
          <cell r="C1097" t="str">
            <v>559</v>
          </cell>
          <cell r="D1097" t="str">
            <v>Машина грунтовочная</v>
          </cell>
          <cell r="E1097" t="str">
            <v>с щеточным устройств</v>
          </cell>
          <cell r="F1097" t="str">
            <v>ом МГ-1220</v>
          </cell>
          <cell r="G1097" t="str">
            <v>01</v>
          </cell>
          <cell r="H1097">
            <v>143333</v>
          </cell>
          <cell r="I1097">
            <v>0</v>
          </cell>
          <cell r="J1097">
            <v>147833</v>
          </cell>
          <cell r="L1097" t="str">
            <v>20</v>
          </cell>
          <cell r="M1097" t="str">
            <v>43803</v>
          </cell>
          <cell r="N1097" t="str">
            <v>14 2947195</v>
          </cell>
          <cell r="P1097">
            <v>33.299999999999997</v>
          </cell>
          <cell r="Q1097">
            <v>0</v>
          </cell>
          <cell r="R1097" t="str">
            <v>1</v>
          </cell>
          <cell r="S1097" t="str">
            <v>43</v>
          </cell>
          <cell r="T1097">
            <v>98</v>
          </cell>
          <cell r="U1097">
            <v>6</v>
          </cell>
          <cell r="V1097">
            <v>98</v>
          </cell>
          <cell r="W1097">
            <v>6</v>
          </cell>
          <cell r="X1097">
            <v>98</v>
          </cell>
          <cell r="Y1097">
            <v>6</v>
          </cell>
          <cell r="Z1097">
            <v>98</v>
          </cell>
          <cell r="AB1097" t="str">
            <v>14</v>
          </cell>
          <cell r="AC1097">
            <v>7</v>
          </cell>
          <cell r="AD1097" t="str">
            <v>0</v>
          </cell>
          <cell r="AE1097" t="str">
            <v>0</v>
          </cell>
          <cell r="AF1097" t="str">
            <v>00</v>
          </cell>
        </row>
        <row r="1098">
          <cell r="A1098" t="str">
            <v>02</v>
          </cell>
          <cell r="B1098" t="str">
            <v>99</v>
          </cell>
          <cell r="C1098" t="str">
            <v>560</v>
          </cell>
          <cell r="D1098" t="str">
            <v>Пескоструйное устрой</v>
          </cell>
          <cell r="E1098" t="str">
            <v>ство /для чистки тру</v>
          </cell>
          <cell r="F1098" t="str">
            <v>б/</v>
          </cell>
          <cell r="G1098" t="str">
            <v>01</v>
          </cell>
          <cell r="H1098">
            <v>10000</v>
          </cell>
          <cell r="I1098">
            <v>0</v>
          </cell>
          <cell r="J1098">
            <v>0</v>
          </cell>
          <cell r="L1098" t="str">
            <v>20</v>
          </cell>
          <cell r="M1098" t="str">
            <v>43803</v>
          </cell>
          <cell r="N1098" t="str">
            <v>14 2947195</v>
          </cell>
          <cell r="P1098">
            <v>33.299999999999997</v>
          </cell>
          <cell r="Q1098">
            <v>0</v>
          </cell>
          <cell r="R1098" t="str">
            <v>1</v>
          </cell>
          <cell r="S1098" t="str">
            <v>43</v>
          </cell>
          <cell r="T1098">
            <v>98</v>
          </cell>
          <cell r="U1098">
            <v>6</v>
          </cell>
          <cell r="V1098">
            <v>98</v>
          </cell>
          <cell r="W1098">
            <v>6</v>
          </cell>
          <cell r="X1098">
            <v>98</v>
          </cell>
          <cell r="Y1098">
            <v>0</v>
          </cell>
          <cell r="Z1098">
            <v>0</v>
          </cell>
          <cell r="AD1098" t="str">
            <v>0</v>
          </cell>
          <cell r="AE1098" t="str">
            <v>0</v>
          </cell>
          <cell r="AF1098" t="str">
            <v>00</v>
          </cell>
        </row>
        <row r="1099">
          <cell r="A1099" t="str">
            <v>02</v>
          </cell>
          <cell r="B1099" t="str">
            <v>99</v>
          </cell>
          <cell r="C1099" t="str">
            <v>561</v>
          </cell>
          <cell r="D1099" t="str">
            <v>Компрессор с дизельн</v>
          </cell>
          <cell r="E1099" t="str">
            <v>ым проводом</v>
          </cell>
          <cell r="G1099" t="str">
            <v>01</v>
          </cell>
          <cell r="H1099">
            <v>42000</v>
          </cell>
          <cell r="I1099">
            <v>0</v>
          </cell>
          <cell r="J1099">
            <v>0</v>
          </cell>
          <cell r="L1099" t="str">
            <v>20</v>
          </cell>
          <cell r="M1099" t="str">
            <v>41400</v>
          </cell>
          <cell r="P1099">
            <v>5.4</v>
          </cell>
          <cell r="Q1099">
            <v>0</v>
          </cell>
          <cell r="R1099" t="str">
            <v>1</v>
          </cell>
          <cell r="S1099" t="str">
            <v>41</v>
          </cell>
          <cell r="T1099">
            <v>98</v>
          </cell>
          <cell r="U1099">
            <v>6</v>
          </cell>
          <cell r="V1099">
            <v>98</v>
          </cell>
          <cell r="W1099">
            <v>6</v>
          </cell>
          <cell r="X1099">
            <v>98</v>
          </cell>
          <cell r="Y1099">
            <v>0</v>
          </cell>
          <cell r="Z1099">
            <v>0</v>
          </cell>
          <cell r="AD1099" t="str">
            <v>0</v>
          </cell>
          <cell r="AE1099" t="str">
            <v>0</v>
          </cell>
          <cell r="AF1099" t="str">
            <v>00</v>
          </cell>
        </row>
        <row r="1100">
          <cell r="A1100" t="str">
            <v>02</v>
          </cell>
          <cell r="B1100" t="str">
            <v>02</v>
          </cell>
          <cell r="C1100" t="str">
            <v>565</v>
          </cell>
          <cell r="D1100" t="str">
            <v>Стрела-упопр /гпрузо</v>
          </cell>
          <cell r="E1100" t="str">
            <v>подъем.приспособл.</v>
          </cell>
          <cell r="F1100" t="str">
            <v>для тпрубоукладчика</v>
          </cell>
          <cell r="G1100" t="str">
            <v>01</v>
          </cell>
          <cell r="H1100">
            <v>32601.95</v>
          </cell>
          <cell r="I1100">
            <v>0</v>
          </cell>
          <cell r="J1100">
            <v>0</v>
          </cell>
          <cell r="L1100" t="str">
            <v>20</v>
          </cell>
          <cell r="M1100" t="str">
            <v>41723</v>
          </cell>
          <cell r="N1100" t="str">
            <v>14 2915319</v>
          </cell>
          <cell r="P1100">
            <v>10</v>
          </cell>
          <cell r="Q1100">
            <v>0</v>
          </cell>
          <cell r="R1100" t="str">
            <v>1</v>
          </cell>
          <cell r="S1100" t="str">
            <v>41</v>
          </cell>
          <cell r="T1100">
            <v>98</v>
          </cell>
          <cell r="U1100">
            <v>7</v>
          </cell>
          <cell r="V1100">
            <v>98</v>
          </cell>
          <cell r="W1100">
            <v>7</v>
          </cell>
          <cell r="X1100">
            <v>98</v>
          </cell>
          <cell r="Y1100">
            <v>0</v>
          </cell>
          <cell r="Z1100">
            <v>0</v>
          </cell>
          <cell r="AD1100" t="str">
            <v>0</v>
          </cell>
          <cell r="AE1100" t="str">
            <v>0</v>
          </cell>
          <cell r="AF1100" t="str">
            <v>00</v>
          </cell>
        </row>
        <row r="1101">
          <cell r="A1101" t="str">
            <v>02</v>
          </cell>
          <cell r="B1101" t="str">
            <v>02</v>
          </cell>
          <cell r="C1101" t="str">
            <v>566</v>
          </cell>
          <cell r="D1101" t="str">
            <v>Стрела-упор /грузопо</v>
          </cell>
          <cell r="E1101" t="str">
            <v>дъемн приспособл для</v>
          </cell>
          <cell r="F1101" t="str">
            <v>трубоукладчика</v>
          </cell>
          <cell r="G1101" t="str">
            <v>01</v>
          </cell>
          <cell r="H1101">
            <v>32601.95</v>
          </cell>
          <cell r="I1101">
            <v>0</v>
          </cell>
          <cell r="J1101">
            <v>0</v>
          </cell>
          <cell r="L1101" t="str">
            <v>20</v>
          </cell>
          <cell r="M1101" t="str">
            <v>41723</v>
          </cell>
          <cell r="N1101" t="str">
            <v>14 2915319</v>
          </cell>
          <cell r="P1101">
            <v>10</v>
          </cell>
          <cell r="Q1101">
            <v>0</v>
          </cell>
          <cell r="R1101" t="str">
            <v>1</v>
          </cell>
          <cell r="S1101" t="str">
            <v>41</v>
          </cell>
          <cell r="T1101">
            <v>98</v>
          </cell>
          <cell r="U1101">
            <v>7</v>
          </cell>
          <cell r="V1101">
            <v>98</v>
          </cell>
          <cell r="W1101">
            <v>7</v>
          </cell>
          <cell r="X1101">
            <v>98</v>
          </cell>
          <cell r="Y1101">
            <v>0</v>
          </cell>
          <cell r="Z1101">
            <v>0</v>
          </cell>
          <cell r="AD1101" t="str">
            <v>0</v>
          </cell>
          <cell r="AE1101" t="str">
            <v>0</v>
          </cell>
          <cell r="AF1101" t="str">
            <v>00</v>
          </cell>
        </row>
        <row r="1102">
          <cell r="A1102" t="str">
            <v>02</v>
          </cell>
          <cell r="B1102" t="str">
            <v>02</v>
          </cell>
          <cell r="C1102" t="str">
            <v>567</v>
          </cell>
          <cell r="D1102" t="str">
            <v>Стрела-упор /грузопо</v>
          </cell>
          <cell r="E1102" t="str">
            <v>дъем приспособл для</v>
          </cell>
          <cell r="F1102" t="str">
            <v>трубоукладчика</v>
          </cell>
          <cell r="G1102" t="str">
            <v>01</v>
          </cell>
          <cell r="H1102">
            <v>32601.95</v>
          </cell>
          <cell r="I1102">
            <v>0</v>
          </cell>
          <cell r="J1102">
            <v>0</v>
          </cell>
          <cell r="L1102" t="str">
            <v>20</v>
          </cell>
          <cell r="M1102" t="str">
            <v>41723</v>
          </cell>
          <cell r="N1102" t="str">
            <v>14 2915319</v>
          </cell>
          <cell r="P1102">
            <v>10</v>
          </cell>
          <cell r="Q1102">
            <v>0</v>
          </cell>
          <cell r="R1102" t="str">
            <v>1</v>
          </cell>
          <cell r="S1102" t="str">
            <v>41</v>
          </cell>
          <cell r="T1102">
            <v>98</v>
          </cell>
          <cell r="U1102">
            <v>7</v>
          </cell>
          <cell r="V1102">
            <v>98</v>
          </cell>
          <cell r="W1102">
            <v>7</v>
          </cell>
          <cell r="X1102">
            <v>98</v>
          </cell>
          <cell r="Y1102">
            <v>0</v>
          </cell>
          <cell r="Z1102">
            <v>0</v>
          </cell>
          <cell r="AD1102" t="str">
            <v>0</v>
          </cell>
          <cell r="AE1102" t="str">
            <v>0</v>
          </cell>
          <cell r="AF1102" t="str">
            <v>00</v>
          </cell>
        </row>
        <row r="1103">
          <cell r="A1103" t="str">
            <v>02</v>
          </cell>
          <cell r="B1103" t="str">
            <v>02</v>
          </cell>
          <cell r="C1103" t="str">
            <v>568</v>
          </cell>
          <cell r="D1103" t="str">
            <v>Диз.эл.станция ДГ-10</v>
          </cell>
          <cell r="E1103" t="str">
            <v>0 /Москов.прожекторн</v>
          </cell>
          <cell r="F1103" t="str">
            <v>ый з-д зN9303026/</v>
          </cell>
          <cell r="G1103" t="str">
            <v>01</v>
          </cell>
          <cell r="H1103">
            <v>127783.33</v>
          </cell>
          <cell r="I1103">
            <v>0</v>
          </cell>
          <cell r="J1103">
            <v>0</v>
          </cell>
          <cell r="L1103" t="str">
            <v>20</v>
          </cell>
          <cell r="M1103" t="str">
            <v>40301</v>
          </cell>
          <cell r="N1103" t="str">
            <v>14 3149130</v>
          </cell>
          <cell r="P1103">
            <v>10.8</v>
          </cell>
          <cell r="Q1103">
            <v>0</v>
          </cell>
          <cell r="R1103" t="str">
            <v>1</v>
          </cell>
          <cell r="S1103" t="str">
            <v>40</v>
          </cell>
          <cell r="T1103">
            <v>93</v>
          </cell>
          <cell r="U1103">
            <v>7</v>
          </cell>
          <cell r="V1103">
            <v>98</v>
          </cell>
          <cell r="W1103">
            <v>7</v>
          </cell>
          <cell r="X1103">
            <v>98</v>
          </cell>
          <cell r="Y1103">
            <v>0</v>
          </cell>
          <cell r="Z1103">
            <v>0</v>
          </cell>
          <cell r="AD1103" t="str">
            <v>0</v>
          </cell>
          <cell r="AE1103" t="str">
            <v>0</v>
          </cell>
          <cell r="AF1103" t="str">
            <v>00</v>
          </cell>
        </row>
        <row r="1104">
          <cell r="A1104" t="str">
            <v>02</v>
          </cell>
          <cell r="B1104" t="str">
            <v>02</v>
          </cell>
          <cell r="C1104" t="str">
            <v>569</v>
          </cell>
          <cell r="D1104" t="str">
            <v>Прицеп-фургон МАЗ-52</v>
          </cell>
          <cell r="E1104" t="str">
            <v>243 /Минский а/з-д /</v>
          </cell>
          <cell r="G1104" t="str">
            <v>01</v>
          </cell>
          <cell r="H1104">
            <v>3883.33</v>
          </cell>
          <cell r="I1104">
            <v>0</v>
          </cell>
          <cell r="J1104">
            <v>4271.6499999999996</v>
          </cell>
          <cell r="L1104" t="str">
            <v>20</v>
          </cell>
          <cell r="M1104" t="str">
            <v>50410</v>
          </cell>
          <cell r="N1104" t="str">
            <v>14 3420203</v>
          </cell>
          <cell r="P1104">
            <v>12.5</v>
          </cell>
          <cell r="Q1104">
            <v>0</v>
          </cell>
          <cell r="R1104" t="str">
            <v>1</v>
          </cell>
          <cell r="S1104" t="str">
            <v>50</v>
          </cell>
          <cell r="T1104">
            <v>93</v>
          </cell>
          <cell r="U1104">
            <v>7</v>
          </cell>
          <cell r="V1104">
            <v>98</v>
          </cell>
          <cell r="W1104">
            <v>7</v>
          </cell>
          <cell r="X1104">
            <v>98</v>
          </cell>
          <cell r="Y1104">
            <v>7</v>
          </cell>
          <cell r="Z1104">
            <v>98</v>
          </cell>
          <cell r="AD1104" t="str">
            <v>0</v>
          </cell>
          <cell r="AE1104" t="str">
            <v>0</v>
          </cell>
          <cell r="AF1104" t="str">
            <v>00</v>
          </cell>
        </row>
        <row r="1105">
          <cell r="A1105" t="str">
            <v>02</v>
          </cell>
          <cell r="B1105" t="str">
            <v>23</v>
          </cell>
          <cell r="C1105" t="str">
            <v>570</v>
          </cell>
          <cell r="D1105" t="str">
            <v>Помпа водяная</v>
          </cell>
          <cell r="G1105" t="str">
            <v>01</v>
          </cell>
          <cell r="H1105">
            <v>12500</v>
          </cell>
          <cell r="I1105">
            <v>0</v>
          </cell>
          <cell r="J1105">
            <v>0</v>
          </cell>
          <cell r="L1105" t="str">
            <v>23</v>
          </cell>
          <cell r="M1105" t="str">
            <v>41500</v>
          </cell>
          <cell r="N1105" t="str">
            <v>14 2912110</v>
          </cell>
          <cell r="P1105">
            <v>20</v>
          </cell>
          <cell r="Q1105">
            <v>0</v>
          </cell>
          <cell r="R1105" t="str">
            <v>1</v>
          </cell>
          <cell r="S1105" t="str">
            <v>41</v>
          </cell>
          <cell r="T1105">
            <v>98</v>
          </cell>
          <cell r="U1105">
            <v>7</v>
          </cell>
          <cell r="V1105">
            <v>98</v>
          </cell>
          <cell r="W1105">
            <v>7</v>
          </cell>
          <cell r="X1105">
            <v>98</v>
          </cell>
          <cell r="Y1105">
            <v>0</v>
          </cell>
          <cell r="Z1105">
            <v>0</v>
          </cell>
          <cell r="AD1105" t="str">
            <v>0</v>
          </cell>
          <cell r="AE1105" t="str">
            <v>0</v>
          </cell>
          <cell r="AF1105" t="str">
            <v>00</v>
          </cell>
        </row>
        <row r="1106">
          <cell r="A1106" t="str">
            <v>02</v>
          </cell>
          <cell r="B1106" t="str">
            <v>23</v>
          </cell>
          <cell r="C1106" t="str">
            <v>571</v>
          </cell>
          <cell r="D1106" t="str">
            <v>Генератор</v>
          </cell>
          <cell r="G1106" t="str">
            <v>01</v>
          </cell>
          <cell r="H1106">
            <v>10550</v>
          </cell>
          <cell r="I1106">
            <v>0</v>
          </cell>
          <cell r="J1106">
            <v>0</v>
          </cell>
          <cell r="L1106" t="str">
            <v>23</v>
          </cell>
          <cell r="M1106" t="str">
            <v>40203</v>
          </cell>
          <cell r="N1106" t="str">
            <v>14 2911100</v>
          </cell>
          <cell r="P1106">
            <v>6.2</v>
          </cell>
          <cell r="Q1106">
            <v>0</v>
          </cell>
          <cell r="R1106" t="str">
            <v>1</v>
          </cell>
          <cell r="S1106" t="str">
            <v>40</v>
          </cell>
          <cell r="T1106">
            <v>98</v>
          </cell>
          <cell r="U1106">
            <v>7</v>
          </cell>
          <cell r="V1106">
            <v>98</v>
          </cell>
          <cell r="W1106">
            <v>7</v>
          </cell>
          <cell r="X1106">
            <v>98</v>
          </cell>
          <cell r="Y1106">
            <v>0</v>
          </cell>
          <cell r="Z1106">
            <v>0</v>
          </cell>
          <cell r="AD1106" t="str">
            <v>0</v>
          </cell>
          <cell r="AE1106" t="str">
            <v>0</v>
          </cell>
          <cell r="AF1106" t="str">
            <v>00</v>
          </cell>
        </row>
        <row r="1107">
          <cell r="A1107" t="str">
            <v>02</v>
          </cell>
          <cell r="B1107" t="str">
            <v>71</v>
          </cell>
          <cell r="C1107" t="str">
            <v>572</v>
          </cell>
          <cell r="D1107" t="str">
            <v>Бульдозер ДЗ-171</v>
          </cell>
          <cell r="G1107" t="str">
            <v>01</v>
          </cell>
          <cell r="H1107">
            <v>190000</v>
          </cell>
          <cell r="I1107">
            <v>181133.34</v>
          </cell>
          <cell r="J1107">
            <v>0</v>
          </cell>
          <cell r="L1107" t="str">
            <v>23</v>
          </cell>
          <cell r="M1107" t="str">
            <v>41814</v>
          </cell>
          <cell r="N1107" t="str">
            <v>14 2924340</v>
          </cell>
          <cell r="P1107">
            <v>14.3</v>
          </cell>
          <cell r="Q1107">
            <v>0</v>
          </cell>
          <cell r="R1107" t="str">
            <v>1</v>
          </cell>
          <cell r="S1107" t="str">
            <v>41</v>
          </cell>
          <cell r="T1107">
            <v>91</v>
          </cell>
          <cell r="U1107">
            <v>7</v>
          </cell>
          <cell r="V1107">
            <v>98</v>
          </cell>
          <cell r="W1107">
            <v>7</v>
          </cell>
          <cell r="X1107">
            <v>98</v>
          </cell>
          <cell r="Y1107">
            <v>0</v>
          </cell>
          <cell r="Z1107">
            <v>0</v>
          </cell>
          <cell r="AD1107" t="str">
            <v>0</v>
          </cell>
          <cell r="AE1107" t="str">
            <v>0</v>
          </cell>
          <cell r="AF1107" t="str">
            <v>00</v>
          </cell>
        </row>
        <row r="1108">
          <cell r="A1108" t="str">
            <v>02</v>
          </cell>
          <cell r="B1108" t="str">
            <v>02</v>
          </cell>
          <cell r="C1108" t="str">
            <v>573</v>
          </cell>
          <cell r="D1108" t="str">
            <v>Очистная машина ОМГ-</v>
          </cell>
          <cell r="E1108" t="str">
            <v>1220 г.Камешково</v>
          </cell>
          <cell r="F1108" t="str">
            <v>ОАО "КАМЗ"/мех.з-д/</v>
          </cell>
          <cell r="G1108" t="str">
            <v>01</v>
          </cell>
          <cell r="H1108">
            <v>190000</v>
          </cell>
          <cell r="I1108">
            <v>0</v>
          </cell>
          <cell r="J1108">
            <v>0</v>
          </cell>
          <cell r="L1108" t="str">
            <v>20</v>
          </cell>
          <cell r="M1108" t="str">
            <v>43803</v>
          </cell>
          <cell r="N1108" t="str">
            <v>14 2947195</v>
          </cell>
          <cell r="P1108">
            <v>33.299999999999997</v>
          </cell>
          <cell r="Q1108">
            <v>0</v>
          </cell>
          <cell r="R1108" t="str">
            <v>1</v>
          </cell>
          <cell r="S1108" t="str">
            <v>43</v>
          </cell>
          <cell r="T1108">
            <v>98</v>
          </cell>
          <cell r="U1108">
            <v>8</v>
          </cell>
          <cell r="V1108">
            <v>98</v>
          </cell>
          <cell r="W1108">
            <v>8</v>
          </cell>
          <cell r="X1108">
            <v>98</v>
          </cell>
          <cell r="Y1108">
            <v>0</v>
          </cell>
          <cell r="Z1108">
            <v>0</v>
          </cell>
          <cell r="AD1108" t="str">
            <v>0</v>
          </cell>
          <cell r="AE1108" t="str">
            <v>0</v>
          </cell>
          <cell r="AF1108" t="str">
            <v>00</v>
          </cell>
        </row>
        <row r="1109">
          <cell r="A1109" t="str">
            <v>02</v>
          </cell>
          <cell r="B1109" t="str">
            <v>02</v>
          </cell>
          <cell r="C1109" t="str">
            <v>574</v>
          </cell>
          <cell r="D1109" t="str">
            <v>Подвеска троллейная</v>
          </cell>
          <cell r="E1109" t="str">
            <v>РПТ-1220РС</v>
          </cell>
          <cell r="G1109" t="str">
            <v>01</v>
          </cell>
          <cell r="H1109">
            <v>76884</v>
          </cell>
          <cell r="I1109">
            <v>0</v>
          </cell>
          <cell r="J1109">
            <v>64070</v>
          </cell>
          <cell r="L1109" t="str">
            <v>20</v>
          </cell>
          <cell r="M1109" t="str">
            <v>43814</v>
          </cell>
          <cell r="N1109" t="str">
            <v>14 2947192</v>
          </cell>
          <cell r="P1109">
            <v>33.299999999999997</v>
          </cell>
          <cell r="Q1109">
            <v>0</v>
          </cell>
          <cell r="R1109" t="str">
            <v>1</v>
          </cell>
          <cell r="S1109" t="str">
            <v>43</v>
          </cell>
          <cell r="T1109">
            <v>98</v>
          </cell>
          <cell r="U1109">
            <v>8</v>
          </cell>
          <cell r="V1109">
            <v>98</v>
          </cell>
          <cell r="W1109">
            <v>8</v>
          </cell>
          <cell r="X1109">
            <v>98</v>
          </cell>
          <cell r="Y1109">
            <v>8</v>
          </cell>
          <cell r="Z1109">
            <v>98</v>
          </cell>
          <cell r="AD1109" t="str">
            <v>0</v>
          </cell>
          <cell r="AE1109" t="str">
            <v>0</v>
          </cell>
          <cell r="AF1109" t="str">
            <v>00</v>
          </cell>
        </row>
        <row r="1110">
          <cell r="A1110" t="str">
            <v>02</v>
          </cell>
          <cell r="B1110" t="str">
            <v>02</v>
          </cell>
          <cell r="C1110" t="str">
            <v>575</v>
          </cell>
          <cell r="D1110" t="str">
            <v>Подвеска троллейная</v>
          </cell>
          <cell r="E1110" t="str">
            <v>РПТ-1220</v>
          </cell>
          <cell r="G1110" t="str">
            <v>01</v>
          </cell>
          <cell r="H1110">
            <v>76884</v>
          </cell>
          <cell r="I1110">
            <v>0</v>
          </cell>
          <cell r="J1110">
            <v>64070</v>
          </cell>
          <cell r="L1110" t="str">
            <v>20</v>
          </cell>
          <cell r="M1110" t="str">
            <v>43814</v>
          </cell>
          <cell r="N1110" t="str">
            <v>14 2947192</v>
          </cell>
          <cell r="P1110">
            <v>33.299999999999997</v>
          </cell>
          <cell r="Q1110">
            <v>0</v>
          </cell>
          <cell r="R1110" t="str">
            <v>1</v>
          </cell>
          <cell r="S1110" t="str">
            <v>43</v>
          </cell>
          <cell r="T1110">
            <v>98</v>
          </cell>
          <cell r="U1110">
            <v>8</v>
          </cell>
          <cell r="V1110">
            <v>98</v>
          </cell>
          <cell r="W1110">
            <v>8</v>
          </cell>
          <cell r="X1110">
            <v>98</v>
          </cell>
          <cell r="Y1110">
            <v>8</v>
          </cell>
          <cell r="Z1110">
            <v>98</v>
          </cell>
          <cell r="AD1110" t="str">
            <v>0</v>
          </cell>
          <cell r="AE1110" t="str">
            <v>0</v>
          </cell>
          <cell r="AF1110" t="str">
            <v>00</v>
          </cell>
        </row>
        <row r="1111">
          <cell r="A1111" t="str">
            <v>02</v>
          </cell>
          <cell r="B1111" t="str">
            <v>02</v>
          </cell>
          <cell r="C1111" t="str">
            <v>576</v>
          </cell>
          <cell r="D1111" t="str">
            <v>Подвеска троллейная</v>
          </cell>
          <cell r="E1111" t="str">
            <v>РПТ-1220РС</v>
          </cell>
          <cell r="G1111" t="str">
            <v>01</v>
          </cell>
          <cell r="H1111">
            <v>76884</v>
          </cell>
          <cell r="I1111">
            <v>0</v>
          </cell>
          <cell r="J1111">
            <v>64070</v>
          </cell>
          <cell r="L1111" t="str">
            <v>20</v>
          </cell>
          <cell r="M1111" t="str">
            <v>43814</v>
          </cell>
          <cell r="N1111" t="str">
            <v>14 2947192</v>
          </cell>
          <cell r="P1111">
            <v>33.299999999999997</v>
          </cell>
          <cell r="Q1111">
            <v>0</v>
          </cell>
          <cell r="R1111" t="str">
            <v>1</v>
          </cell>
          <cell r="S1111" t="str">
            <v>43</v>
          </cell>
          <cell r="T1111">
            <v>98</v>
          </cell>
          <cell r="U1111">
            <v>8</v>
          </cell>
          <cell r="V1111">
            <v>98</v>
          </cell>
          <cell r="W1111">
            <v>8</v>
          </cell>
          <cell r="X1111">
            <v>98</v>
          </cell>
          <cell r="Y1111">
            <v>8</v>
          </cell>
          <cell r="Z1111">
            <v>98</v>
          </cell>
          <cell r="AD1111" t="str">
            <v>0</v>
          </cell>
          <cell r="AE1111" t="str">
            <v>0</v>
          </cell>
          <cell r="AF1111" t="str">
            <v>00</v>
          </cell>
        </row>
        <row r="1112">
          <cell r="A1112" t="str">
            <v>02</v>
          </cell>
          <cell r="B1112" t="str">
            <v>70</v>
          </cell>
          <cell r="C1112" t="str">
            <v>577</v>
          </cell>
          <cell r="D1112" t="str">
            <v>Свароч.полуавтомат</v>
          </cell>
          <cell r="E1112" t="str">
            <v>ПДГ-312-4 /ВДГ-3033/</v>
          </cell>
          <cell r="F1112" t="str">
            <v>ЗАО"СЭЛМА"гСимферопо</v>
          </cell>
          <cell r="G1112" t="str">
            <v>01</v>
          </cell>
          <cell r="H1112">
            <v>15000</v>
          </cell>
          <cell r="I1112">
            <v>0</v>
          </cell>
          <cell r="J1112">
            <v>0</v>
          </cell>
          <cell r="L1112" t="str">
            <v>20</v>
          </cell>
          <cell r="M1112" t="str">
            <v>42502</v>
          </cell>
          <cell r="N1112" t="str">
            <v>14 2922772</v>
          </cell>
          <cell r="P1112">
            <v>16.7</v>
          </cell>
          <cell r="Q1112">
            <v>0</v>
          </cell>
          <cell r="R1112" t="str">
            <v>1</v>
          </cell>
          <cell r="S1112" t="str">
            <v>42</v>
          </cell>
          <cell r="T1112">
            <v>96</v>
          </cell>
          <cell r="U1112">
            <v>8</v>
          </cell>
          <cell r="V1112">
            <v>98</v>
          </cell>
          <cell r="W1112">
            <v>8</v>
          </cell>
          <cell r="X1112">
            <v>98</v>
          </cell>
          <cell r="Y1112">
            <v>0</v>
          </cell>
          <cell r="Z1112">
            <v>0</v>
          </cell>
          <cell r="AD1112" t="str">
            <v>0</v>
          </cell>
          <cell r="AE1112" t="str">
            <v>0</v>
          </cell>
          <cell r="AF1112" t="str">
            <v>00</v>
          </cell>
        </row>
        <row r="1113">
          <cell r="A1113" t="str">
            <v>02</v>
          </cell>
          <cell r="B1113" t="str">
            <v>23</v>
          </cell>
          <cell r="C1113" t="str">
            <v>578</v>
          </cell>
          <cell r="D1113" t="str">
            <v>А/м КАМАЗ-5511 г/нТ</v>
          </cell>
          <cell r="E1113" t="str">
            <v>838СС дв133158 ш0081</v>
          </cell>
          <cell r="F1113" t="str">
            <v>091Камский а/з-д</v>
          </cell>
          <cell r="G1113" t="str">
            <v>01</v>
          </cell>
          <cell r="H1113">
            <v>106531</v>
          </cell>
          <cell r="I1113">
            <v>106531</v>
          </cell>
          <cell r="J1113">
            <v>0</v>
          </cell>
          <cell r="L1113" t="str">
            <v>23</v>
          </cell>
          <cell r="M1113" t="str">
            <v>50426</v>
          </cell>
          <cell r="N1113" t="str">
            <v>15 3410349</v>
          </cell>
          <cell r="P1113">
            <v>10</v>
          </cell>
          <cell r="Q1113">
            <v>0</v>
          </cell>
          <cell r="R1113" t="str">
            <v>1</v>
          </cell>
          <cell r="S1113" t="str">
            <v>50</v>
          </cell>
          <cell r="T1113">
            <v>84</v>
          </cell>
          <cell r="U1113">
            <v>8</v>
          </cell>
          <cell r="V1113">
            <v>98</v>
          </cell>
          <cell r="W1113">
            <v>8</v>
          </cell>
          <cell r="X1113">
            <v>98</v>
          </cell>
          <cell r="Y1113">
            <v>0</v>
          </cell>
          <cell r="Z1113">
            <v>0</v>
          </cell>
          <cell r="AD1113" t="str">
            <v>0</v>
          </cell>
          <cell r="AE1113" t="str">
            <v>0</v>
          </cell>
          <cell r="AF1113" t="str">
            <v>00</v>
          </cell>
        </row>
        <row r="1114">
          <cell r="A1114" t="str">
            <v>02</v>
          </cell>
          <cell r="B1114" t="str">
            <v>23</v>
          </cell>
          <cell r="C1114" t="str">
            <v>579</v>
          </cell>
          <cell r="D1114" t="str">
            <v>А/мКРАЗ-256Б1 г/нТ85</v>
          </cell>
          <cell r="E1114" t="str">
            <v>4СС дв31816 ш0645488</v>
          </cell>
          <cell r="F1114" t="str">
            <v>гКременчуг</v>
          </cell>
          <cell r="G1114" t="str">
            <v>01</v>
          </cell>
          <cell r="H1114">
            <v>121333.33</v>
          </cell>
          <cell r="I1114">
            <v>121333.33</v>
          </cell>
          <cell r="J1114">
            <v>0</v>
          </cell>
          <cell r="L1114" t="str">
            <v>23</v>
          </cell>
          <cell r="M1114" t="str">
            <v>50411</v>
          </cell>
          <cell r="N1114" t="str">
            <v>14 2928262</v>
          </cell>
          <cell r="P1114">
            <v>10</v>
          </cell>
          <cell r="Q1114">
            <v>0</v>
          </cell>
          <cell r="R1114" t="str">
            <v>1</v>
          </cell>
          <cell r="S1114" t="str">
            <v>50</v>
          </cell>
          <cell r="T1114">
            <v>89</v>
          </cell>
          <cell r="U1114">
            <v>8</v>
          </cell>
          <cell r="V1114">
            <v>98</v>
          </cell>
          <cell r="W1114">
            <v>8</v>
          </cell>
          <cell r="X1114">
            <v>98</v>
          </cell>
          <cell r="Y1114">
            <v>0</v>
          </cell>
          <cell r="Z1114">
            <v>0</v>
          </cell>
          <cell r="AD1114" t="str">
            <v>0</v>
          </cell>
          <cell r="AE1114" t="str">
            <v>0</v>
          </cell>
          <cell r="AF1114" t="str">
            <v>00</v>
          </cell>
        </row>
        <row r="1115">
          <cell r="A1115" t="str">
            <v>02</v>
          </cell>
          <cell r="B1115" t="str">
            <v>80</v>
          </cell>
          <cell r="C1115" t="str">
            <v>562</v>
          </cell>
          <cell r="D1115" t="str">
            <v>Сканер 120dp:, цв.</v>
          </cell>
          <cell r="G1115" t="str">
            <v>01</v>
          </cell>
          <cell r="H1115">
            <v>19200</v>
          </cell>
          <cell r="I1115">
            <v>0</v>
          </cell>
          <cell r="J1115">
            <v>0</v>
          </cell>
          <cell r="L1115" t="str">
            <v>26</v>
          </cell>
          <cell r="M1115" t="str">
            <v>48003</v>
          </cell>
          <cell r="P1115">
            <v>11.1</v>
          </cell>
          <cell r="Q1115">
            <v>0</v>
          </cell>
          <cell r="R1115" t="str">
            <v>1</v>
          </cell>
          <cell r="S1115" t="str">
            <v>48</v>
          </cell>
          <cell r="T1115">
            <v>98</v>
          </cell>
          <cell r="U1115">
            <v>10</v>
          </cell>
          <cell r="V1115">
            <v>98</v>
          </cell>
          <cell r="W1115">
            <v>10</v>
          </cell>
          <cell r="X1115">
            <v>98</v>
          </cell>
          <cell r="Y1115">
            <v>0</v>
          </cell>
          <cell r="Z1115">
            <v>0</v>
          </cell>
          <cell r="AD1115" t="str">
            <v>0</v>
          </cell>
          <cell r="AE1115" t="str">
            <v>0</v>
          </cell>
          <cell r="AF1115" t="str">
            <v>00</v>
          </cell>
        </row>
        <row r="1116">
          <cell r="A1116" t="str">
            <v>02</v>
          </cell>
          <cell r="B1116" t="str">
            <v>80</v>
          </cell>
          <cell r="C1116" t="str">
            <v>563</v>
          </cell>
          <cell r="D1116" t="str">
            <v>Компьютер Р-П /Ceb/-</v>
          </cell>
          <cell r="E1116" t="str">
            <v>266</v>
          </cell>
          <cell r="G1116" t="str">
            <v>01</v>
          </cell>
          <cell r="H1116">
            <v>21000</v>
          </cell>
          <cell r="I1116">
            <v>0</v>
          </cell>
          <cell r="J1116">
            <v>24500</v>
          </cell>
          <cell r="L1116" t="str">
            <v>26</v>
          </cell>
          <cell r="M1116" t="str">
            <v>48008</v>
          </cell>
          <cell r="P1116">
            <v>10</v>
          </cell>
          <cell r="Q1116">
            <v>0</v>
          </cell>
          <cell r="R1116" t="str">
            <v>1</v>
          </cell>
          <cell r="S1116" t="str">
            <v>48</v>
          </cell>
          <cell r="T1116">
            <v>98</v>
          </cell>
          <cell r="U1116">
            <v>10</v>
          </cell>
          <cell r="V1116">
            <v>98</v>
          </cell>
          <cell r="W1116">
            <v>10</v>
          </cell>
          <cell r="X1116">
            <v>98</v>
          </cell>
          <cell r="Y1116">
            <v>10</v>
          </cell>
          <cell r="Z1116">
            <v>98</v>
          </cell>
          <cell r="AD1116" t="str">
            <v>0</v>
          </cell>
          <cell r="AE1116" t="str">
            <v>0</v>
          </cell>
          <cell r="AF1116" t="str">
            <v>00</v>
          </cell>
        </row>
        <row r="1117">
          <cell r="A1117" t="str">
            <v>02</v>
          </cell>
          <cell r="B1117" t="str">
            <v>02</v>
          </cell>
          <cell r="C1117" t="str">
            <v>564</v>
          </cell>
          <cell r="D1117" t="str">
            <v>Компрессор 4ВУ-1-5/9</v>
          </cell>
          <cell r="G1117" t="str">
            <v>01</v>
          </cell>
          <cell r="H1117">
            <v>10433.719999999999</v>
          </cell>
          <cell r="I1117">
            <v>10433.719999999999</v>
          </cell>
          <cell r="J1117">
            <v>0</v>
          </cell>
          <cell r="L1117" t="str">
            <v>20</v>
          </cell>
          <cell r="M1117" t="str">
            <v>41401</v>
          </cell>
          <cell r="P1117">
            <v>6.7</v>
          </cell>
          <cell r="Q1117">
            <v>0</v>
          </cell>
          <cell r="R1117" t="str">
            <v>1</v>
          </cell>
          <cell r="S1117" t="str">
            <v>41</v>
          </cell>
          <cell r="T1117">
            <v>76</v>
          </cell>
          <cell r="U1117">
            <v>10</v>
          </cell>
          <cell r="V1117">
            <v>98</v>
          </cell>
          <cell r="W1117">
            <v>10</v>
          </cell>
          <cell r="X1117">
            <v>98</v>
          </cell>
          <cell r="Y1117">
            <v>0</v>
          </cell>
          <cell r="Z1117">
            <v>0</v>
          </cell>
          <cell r="AD1117" t="str">
            <v>0</v>
          </cell>
          <cell r="AE1117" t="str">
            <v>0</v>
          </cell>
          <cell r="AF1117" t="str">
            <v>00</v>
          </cell>
        </row>
        <row r="1118">
          <cell r="A1118" t="str">
            <v>02</v>
          </cell>
          <cell r="B1118" t="str">
            <v>02</v>
          </cell>
          <cell r="C1118" t="str">
            <v>580</v>
          </cell>
          <cell r="D1118" t="str">
            <v>Компрессор 4ВУ-1-5/9</v>
          </cell>
          <cell r="G1118" t="str">
            <v>01</v>
          </cell>
          <cell r="H1118">
            <v>10433.719999999999</v>
          </cell>
          <cell r="I1118">
            <v>10433.719999999999</v>
          </cell>
          <cell r="J1118">
            <v>0</v>
          </cell>
          <cell r="L1118" t="str">
            <v>20</v>
          </cell>
          <cell r="M1118" t="str">
            <v>41401</v>
          </cell>
          <cell r="P1118">
            <v>6.7</v>
          </cell>
          <cell r="Q1118">
            <v>0</v>
          </cell>
          <cell r="R1118" t="str">
            <v>1</v>
          </cell>
          <cell r="S1118" t="str">
            <v>41</v>
          </cell>
          <cell r="T1118">
            <v>76</v>
          </cell>
          <cell r="U1118">
            <v>10</v>
          </cell>
          <cell r="V1118">
            <v>98</v>
          </cell>
          <cell r="W1118">
            <v>10</v>
          </cell>
          <cell r="X1118">
            <v>98</v>
          </cell>
          <cell r="Y1118">
            <v>0</v>
          </cell>
          <cell r="Z1118">
            <v>0</v>
          </cell>
          <cell r="AD1118" t="str">
            <v>0</v>
          </cell>
          <cell r="AE1118" t="str">
            <v>0</v>
          </cell>
          <cell r="AF1118" t="str">
            <v>00</v>
          </cell>
        </row>
        <row r="1119">
          <cell r="A1119" t="str">
            <v>02</v>
          </cell>
          <cell r="B1119" t="str">
            <v>03</v>
          </cell>
          <cell r="C1119" t="str">
            <v>581</v>
          </cell>
          <cell r="D1119" t="str">
            <v>Весы 4031РП-600</v>
          </cell>
          <cell r="G1119" t="str">
            <v>01</v>
          </cell>
          <cell r="H1119">
            <v>9000</v>
          </cell>
          <cell r="I1119">
            <v>0</v>
          </cell>
          <cell r="J1119">
            <v>0</v>
          </cell>
          <cell r="L1119" t="str">
            <v>26</v>
          </cell>
          <cell r="M1119" t="str">
            <v>47039</v>
          </cell>
          <cell r="P1119">
            <v>6.7</v>
          </cell>
          <cell r="Q1119">
            <v>0</v>
          </cell>
          <cell r="R1119" t="str">
            <v>1</v>
          </cell>
          <cell r="S1119" t="str">
            <v>47</v>
          </cell>
          <cell r="T1119">
            <v>97</v>
          </cell>
          <cell r="U1119">
            <v>10</v>
          </cell>
          <cell r="V1119">
            <v>98</v>
          </cell>
          <cell r="W1119">
            <v>10</v>
          </cell>
          <cell r="X1119">
            <v>98</v>
          </cell>
          <cell r="Y1119">
            <v>0</v>
          </cell>
          <cell r="Z1119">
            <v>0</v>
          </cell>
          <cell r="AD1119" t="str">
            <v>0</v>
          </cell>
          <cell r="AE1119" t="str">
            <v>0</v>
          </cell>
          <cell r="AF1119" t="str">
            <v>00</v>
          </cell>
        </row>
        <row r="1120">
          <cell r="A1120" t="str">
            <v>02</v>
          </cell>
          <cell r="B1120" t="str">
            <v>02</v>
          </cell>
          <cell r="C1120" t="str">
            <v>582</v>
          </cell>
          <cell r="D1120" t="str">
            <v>Подкапывающая машина</v>
          </cell>
          <cell r="E1120" t="str">
            <v>МПТ-1220</v>
          </cell>
          <cell r="G1120" t="str">
            <v>01</v>
          </cell>
          <cell r="H1120">
            <v>178195</v>
          </cell>
          <cell r="I1120">
            <v>0</v>
          </cell>
          <cell r="J1120">
            <v>0</v>
          </cell>
          <cell r="L1120" t="str">
            <v>20</v>
          </cell>
          <cell r="M1120" t="str">
            <v>43803</v>
          </cell>
          <cell r="P1120">
            <v>33.299999999999997</v>
          </cell>
          <cell r="Q1120">
            <v>0</v>
          </cell>
          <cell r="R1120" t="str">
            <v>1</v>
          </cell>
          <cell r="S1120" t="str">
            <v>43</v>
          </cell>
          <cell r="T1120">
            <v>98</v>
          </cell>
          <cell r="U1120">
            <v>10</v>
          </cell>
          <cell r="V1120">
            <v>98</v>
          </cell>
          <cell r="W1120">
            <v>10</v>
          </cell>
          <cell r="X1120">
            <v>98</v>
          </cell>
          <cell r="Y1120">
            <v>0</v>
          </cell>
          <cell r="Z1120">
            <v>0</v>
          </cell>
          <cell r="AD1120" t="str">
            <v>0</v>
          </cell>
          <cell r="AE1120" t="str">
            <v>0</v>
          </cell>
          <cell r="AF1120" t="str">
            <v>00</v>
          </cell>
        </row>
        <row r="1121">
          <cell r="A1121" t="str">
            <v>02</v>
          </cell>
          <cell r="B1121" t="str">
            <v>23</v>
          </cell>
          <cell r="C1121" t="str">
            <v>583</v>
          </cell>
          <cell r="D1121" t="str">
            <v>А/м УРАЛ-4320 грузов</v>
          </cell>
          <cell r="E1121" t="str">
            <v>трубовоз г.N У614ВА6</v>
          </cell>
          <cell r="F1121" t="str">
            <v>3 дв08241 ш0209725</v>
          </cell>
          <cell r="G1121" t="str">
            <v>01</v>
          </cell>
          <cell r="H1121">
            <v>155000</v>
          </cell>
          <cell r="I1121">
            <v>81364.95</v>
          </cell>
          <cell r="J1121">
            <v>0</v>
          </cell>
          <cell r="L1121" t="str">
            <v>23</v>
          </cell>
          <cell r="M1121" t="str">
            <v>50402</v>
          </cell>
          <cell r="P1121">
            <v>0.37</v>
          </cell>
          <cell r="Q1121">
            <v>0</v>
          </cell>
          <cell r="R1121" t="str">
            <v>1</v>
          </cell>
          <cell r="S1121" t="str">
            <v>50</v>
          </cell>
          <cell r="T1121">
            <v>93</v>
          </cell>
          <cell r="U1121">
            <v>11</v>
          </cell>
          <cell r="V1121">
            <v>98</v>
          </cell>
          <cell r="W1121">
            <v>11</v>
          </cell>
          <cell r="X1121">
            <v>98</v>
          </cell>
          <cell r="Y1121">
            <v>0</v>
          </cell>
          <cell r="Z1121">
            <v>0</v>
          </cell>
          <cell r="AD1121" t="str">
            <v>0</v>
          </cell>
          <cell r="AE1121" t="str">
            <v>0</v>
          </cell>
          <cell r="AF1121" t="str">
            <v>00</v>
          </cell>
        </row>
        <row r="1122">
          <cell r="A1122" t="str">
            <v>02</v>
          </cell>
          <cell r="B1122" t="str">
            <v>03</v>
          </cell>
          <cell r="C1122" t="str">
            <v>584</v>
          </cell>
          <cell r="D1122" t="str">
            <v>Насос ПР 5/10 с эл.</v>
          </cell>
          <cell r="E1122" t="str">
            <v>двигателем</v>
          </cell>
          <cell r="G1122" t="str">
            <v>01</v>
          </cell>
          <cell r="H1122">
            <v>6065.28</v>
          </cell>
          <cell r="I1122">
            <v>0</v>
          </cell>
          <cell r="J1122">
            <v>0</v>
          </cell>
          <cell r="L1122" t="str">
            <v>26</v>
          </cell>
          <cell r="M1122" t="str">
            <v>40700</v>
          </cell>
          <cell r="P1122">
            <v>3.7</v>
          </cell>
          <cell r="Q1122">
            <v>0</v>
          </cell>
          <cell r="R1122" t="str">
            <v>1</v>
          </cell>
          <cell r="S1122" t="str">
            <v>40</v>
          </cell>
          <cell r="T1122">
            <v>90</v>
          </cell>
          <cell r="U1122">
            <v>11</v>
          </cell>
          <cell r="V1122">
            <v>98</v>
          </cell>
          <cell r="W1122">
            <v>11</v>
          </cell>
          <cell r="X1122">
            <v>98</v>
          </cell>
          <cell r="Y1122">
            <v>0</v>
          </cell>
          <cell r="Z1122">
            <v>0</v>
          </cell>
          <cell r="AD1122" t="str">
            <v>0</v>
          </cell>
          <cell r="AE1122" t="str">
            <v>0</v>
          </cell>
          <cell r="AF1122" t="str">
            <v>00</v>
          </cell>
        </row>
        <row r="1123">
          <cell r="A1123" t="str">
            <v>02</v>
          </cell>
          <cell r="B1123" t="str">
            <v>70</v>
          </cell>
          <cell r="C1123" t="str">
            <v>585</v>
          </cell>
          <cell r="D1123" t="str">
            <v>Блок питания Б-5301</v>
          </cell>
          <cell r="G1123" t="str">
            <v>01</v>
          </cell>
          <cell r="H1123">
            <v>3455.73</v>
          </cell>
          <cell r="I1123">
            <v>0</v>
          </cell>
          <cell r="J1123">
            <v>0</v>
          </cell>
          <cell r="L1123" t="str">
            <v>20</v>
          </cell>
          <cell r="M1123" t="str">
            <v>40712</v>
          </cell>
          <cell r="P1123">
            <v>33.299999999999997</v>
          </cell>
          <cell r="Q1123">
            <v>0</v>
          </cell>
          <cell r="R1123" t="str">
            <v>1</v>
          </cell>
          <cell r="S1123" t="str">
            <v>40</v>
          </cell>
          <cell r="T1123">
            <v>89</v>
          </cell>
          <cell r="U1123">
            <v>11</v>
          </cell>
          <cell r="V1123">
            <v>98</v>
          </cell>
          <cell r="W1123">
            <v>11</v>
          </cell>
          <cell r="X1123">
            <v>98</v>
          </cell>
          <cell r="Y1123">
            <v>0</v>
          </cell>
          <cell r="Z1123">
            <v>0</v>
          </cell>
          <cell r="AD1123" t="str">
            <v>0</v>
          </cell>
          <cell r="AE1123" t="str">
            <v>0</v>
          </cell>
          <cell r="AF1123" t="str">
            <v>00</v>
          </cell>
        </row>
        <row r="1124">
          <cell r="A1124" t="str">
            <v>02</v>
          </cell>
          <cell r="B1124" t="str">
            <v>23</v>
          </cell>
          <cell r="C1124" t="str">
            <v>586</v>
          </cell>
          <cell r="D1124" t="str">
            <v>Газоанализатор ГИАМ-</v>
          </cell>
          <cell r="E1124" t="str">
            <v>27-01</v>
          </cell>
          <cell r="G1124" t="str">
            <v>01</v>
          </cell>
          <cell r="H1124">
            <v>5458.35</v>
          </cell>
          <cell r="I1124">
            <v>0</v>
          </cell>
          <cell r="J1124">
            <v>0</v>
          </cell>
          <cell r="L1124" t="str">
            <v>23</v>
          </cell>
          <cell r="M1124" t="str">
            <v>47026</v>
          </cell>
          <cell r="P1124">
            <v>8.3000000000000007</v>
          </cell>
          <cell r="Q1124">
            <v>0</v>
          </cell>
          <cell r="R1124" t="str">
            <v>1</v>
          </cell>
          <cell r="S1124" t="str">
            <v>47</v>
          </cell>
          <cell r="T1124">
            <v>94</v>
          </cell>
          <cell r="U1124">
            <v>11</v>
          </cell>
          <cell r="V1124">
            <v>98</v>
          </cell>
          <cell r="W1124">
            <v>11</v>
          </cell>
          <cell r="X1124">
            <v>98</v>
          </cell>
          <cell r="Y1124">
            <v>0</v>
          </cell>
          <cell r="Z1124">
            <v>0</v>
          </cell>
          <cell r="AD1124" t="str">
            <v>0</v>
          </cell>
          <cell r="AE1124" t="str">
            <v>0</v>
          </cell>
          <cell r="AF1124" t="str">
            <v>00</v>
          </cell>
        </row>
        <row r="1125">
          <cell r="A1125" t="str">
            <v>02</v>
          </cell>
          <cell r="B1125" t="str">
            <v>03</v>
          </cell>
          <cell r="C1125" t="str">
            <v>587</v>
          </cell>
          <cell r="D1125" t="str">
            <v>Индикатор</v>
          </cell>
          <cell r="G1125" t="str">
            <v>01</v>
          </cell>
          <cell r="H1125">
            <v>12024.21</v>
          </cell>
          <cell r="I1125">
            <v>0</v>
          </cell>
          <cell r="J1125">
            <v>0</v>
          </cell>
          <cell r="L1125" t="str">
            <v>26</v>
          </cell>
          <cell r="M1125" t="str">
            <v>47045</v>
          </cell>
          <cell r="P1125">
            <v>9</v>
          </cell>
          <cell r="Q1125">
            <v>0</v>
          </cell>
          <cell r="R1125" t="str">
            <v>1</v>
          </cell>
          <cell r="S1125" t="str">
            <v>47</v>
          </cell>
          <cell r="T1125">
            <v>97</v>
          </cell>
          <cell r="U1125">
            <v>11</v>
          </cell>
          <cell r="V1125">
            <v>98</v>
          </cell>
          <cell r="W1125">
            <v>11</v>
          </cell>
          <cell r="X1125">
            <v>98</v>
          </cell>
          <cell r="Y1125">
            <v>0</v>
          </cell>
          <cell r="Z1125">
            <v>0</v>
          </cell>
          <cell r="AD1125" t="str">
            <v>0</v>
          </cell>
          <cell r="AE1125" t="str">
            <v>0</v>
          </cell>
          <cell r="AF1125" t="str">
            <v>00</v>
          </cell>
        </row>
        <row r="1126">
          <cell r="A1126" t="str">
            <v>02</v>
          </cell>
          <cell r="B1126" t="str">
            <v>03</v>
          </cell>
          <cell r="C1126" t="str">
            <v>588</v>
          </cell>
          <cell r="D1126" t="str">
            <v>Индикатор</v>
          </cell>
          <cell r="G1126" t="str">
            <v>01</v>
          </cell>
          <cell r="H1126">
            <v>12024.21</v>
          </cell>
          <cell r="I1126">
            <v>0</v>
          </cell>
          <cell r="J1126">
            <v>0</v>
          </cell>
          <cell r="L1126" t="str">
            <v>26</v>
          </cell>
          <cell r="M1126" t="str">
            <v>47045</v>
          </cell>
          <cell r="P1126">
            <v>9</v>
          </cell>
          <cell r="Q1126">
            <v>0</v>
          </cell>
          <cell r="R1126" t="str">
            <v>1</v>
          </cell>
          <cell r="S1126" t="str">
            <v>47</v>
          </cell>
          <cell r="T1126">
            <v>97</v>
          </cell>
          <cell r="U1126">
            <v>11</v>
          </cell>
          <cell r="V1126">
            <v>98</v>
          </cell>
          <cell r="W1126">
            <v>11</v>
          </cell>
          <cell r="X1126">
            <v>98</v>
          </cell>
          <cell r="Y1126">
            <v>0</v>
          </cell>
          <cell r="Z1126">
            <v>0</v>
          </cell>
          <cell r="AD1126" t="str">
            <v>0</v>
          </cell>
          <cell r="AE1126" t="str">
            <v>0</v>
          </cell>
          <cell r="AF1126" t="str">
            <v>00</v>
          </cell>
        </row>
        <row r="1127">
          <cell r="A1127" t="str">
            <v>02</v>
          </cell>
          <cell r="B1127" t="str">
            <v>03</v>
          </cell>
          <cell r="C1127" t="str">
            <v>589</v>
          </cell>
          <cell r="D1127" t="str">
            <v>Индикатор</v>
          </cell>
          <cell r="G1127" t="str">
            <v>01</v>
          </cell>
          <cell r="H1127">
            <v>12024.21</v>
          </cell>
          <cell r="I1127">
            <v>0</v>
          </cell>
          <cell r="J1127">
            <v>0</v>
          </cell>
          <cell r="L1127" t="str">
            <v>26</v>
          </cell>
          <cell r="M1127" t="str">
            <v>47045</v>
          </cell>
          <cell r="P1127">
            <v>9</v>
          </cell>
          <cell r="Q1127">
            <v>0</v>
          </cell>
          <cell r="R1127" t="str">
            <v>1</v>
          </cell>
          <cell r="S1127" t="str">
            <v>47</v>
          </cell>
          <cell r="T1127">
            <v>97</v>
          </cell>
          <cell r="U1127">
            <v>11</v>
          </cell>
          <cell r="V1127">
            <v>98</v>
          </cell>
          <cell r="W1127">
            <v>11</v>
          </cell>
          <cell r="X1127">
            <v>98</v>
          </cell>
          <cell r="Y1127">
            <v>0</v>
          </cell>
          <cell r="Z1127">
            <v>0</v>
          </cell>
          <cell r="AD1127" t="str">
            <v>0</v>
          </cell>
          <cell r="AE1127" t="str">
            <v>0</v>
          </cell>
          <cell r="AF1127" t="str">
            <v>00</v>
          </cell>
        </row>
        <row r="1128">
          <cell r="A1128" t="str">
            <v>02</v>
          </cell>
          <cell r="B1128" t="str">
            <v>03</v>
          </cell>
          <cell r="C1128" t="str">
            <v>590</v>
          </cell>
          <cell r="D1128" t="str">
            <v>Индикатор</v>
          </cell>
          <cell r="G1128" t="str">
            <v>01</v>
          </cell>
          <cell r="H1128">
            <v>12024.21</v>
          </cell>
          <cell r="I1128">
            <v>0</v>
          </cell>
          <cell r="J1128">
            <v>0</v>
          </cell>
          <cell r="L1128" t="str">
            <v>26</v>
          </cell>
          <cell r="M1128" t="str">
            <v>47045</v>
          </cell>
          <cell r="P1128">
            <v>9</v>
          </cell>
          <cell r="Q1128">
            <v>0</v>
          </cell>
          <cell r="R1128" t="str">
            <v>1</v>
          </cell>
          <cell r="S1128" t="str">
            <v>47</v>
          </cell>
          <cell r="T1128">
            <v>97</v>
          </cell>
          <cell r="U1128">
            <v>11</v>
          </cell>
          <cell r="V1128">
            <v>98</v>
          </cell>
          <cell r="W1128">
            <v>11</v>
          </cell>
          <cell r="X1128">
            <v>98</v>
          </cell>
          <cell r="Y1128">
            <v>0</v>
          </cell>
          <cell r="Z1128">
            <v>0</v>
          </cell>
          <cell r="AD1128" t="str">
            <v>0</v>
          </cell>
          <cell r="AE1128" t="str">
            <v>0</v>
          </cell>
          <cell r="AF1128" t="str">
            <v>00</v>
          </cell>
        </row>
        <row r="1129">
          <cell r="A1129" t="str">
            <v>02</v>
          </cell>
          <cell r="B1129" t="str">
            <v>03</v>
          </cell>
          <cell r="C1129" t="str">
            <v>591</v>
          </cell>
          <cell r="D1129" t="str">
            <v>Индикатор</v>
          </cell>
          <cell r="G1129" t="str">
            <v>01</v>
          </cell>
          <cell r="H1129">
            <v>12024.21</v>
          </cell>
          <cell r="I1129">
            <v>0</v>
          </cell>
          <cell r="J1129">
            <v>0</v>
          </cell>
          <cell r="L1129" t="str">
            <v>26</v>
          </cell>
          <cell r="M1129" t="str">
            <v>47045</v>
          </cell>
          <cell r="P1129">
            <v>9</v>
          </cell>
          <cell r="Q1129">
            <v>0</v>
          </cell>
          <cell r="R1129" t="str">
            <v>1</v>
          </cell>
          <cell r="S1129" t="str">
            <v>47</v>
          </cell>
          <cell r="T1129">
            <v>97</v>
          </cell>
          <cell r="U1129">
            <v>11</v>
          </cell>
          <cell r="V1129">
            <v>98</v>
          </cell>
          <cell r="W1129">
            <v>11</v>
          </cell>
          <cell r="X1129">
            <v>98</v>
          </cell>
          <cell r="Y1129">
            <v>0</v>
          </cell>
          <cell r="Z1129">
            <v>0</v>
          </cell>
          <cell r="AD1129" t="str">
            <v>0</v>
          </cell>
          <cell r="AE1129" t="str">
            <v>0</v>
          </cell>
          <cell r="AF1129" t="str">
            <v>00</v>
          </cell>
        </row>
        <row r="1130">
          <cell r="A1130" t="str">
            <v>02</v>
          </cell>
          <cell r="B1130" t="str">
            <v>03</v>
          </cell>
          <cell r="C1130" t="str">
            <v>592</v>
          </cell>
          <cell r="D1130" t="str">
            <v>Индикатор</v>
          </cell>
          <cell r="G1130" t="str">
            <v>01</v>
          </cell>
          <cell r="H1130">
            <v>12024.21</v>
          </cell>
          <cell r="I1130">
            <v>0</v>
          </cell>
          <cell r="J1130">
            <v>0</v>
          </cell>
          <cell r="L1130" t="str">
            <v>26</v>
          </cell>
          <cell r="M1130" t="str">
            <v>47045</v>
          </cell>
          <cell r="P1130">
            <v>9</v>
          </cell>
          <cell r="Q1130">
            <v>0</v>
          </cell>
          <cell r="R1130" t="str">
            <v>1</v>
          </cell>
          <cell r="S1130" t="str">
            <v>47</v>
          </cell>
          <cell r="T1130">
            <v>97</v>
          </cell>
          <cell r="U1130">
            <v>11</v>
          </cell>
          <cell r="V1130">
            <v>98</v>
          </cell>
          <cell r="W1130">
            <v>11</v>
          </cell>
          <cell r="X1130">
            <v>98</v>
          </cell>
          <cell r="Y1130">
            <v>0</v>
          </cell>
          <cell r="Z1130">
            <v>0</v>
          </cell>
          <cell r="AD1130" t="str">
            <v>0</v>
          </cell>
          <cell r="AE1130" t="str">
            <v>0</v>
          </cell>
          <cell r="AF1130" t="str">
            <v>00</v>
          </cell>
        </row>
        <row r="1131">
          <cell r="A1131" t="str">
            <v>20</v>
          </cell>
          <cell r="B1131" t="str">
            <v>17</v>
          </cell>
          <cell r="C1131" t="str">
            <v>593</v>
          </cell>
          <cell r="D1131" t="str">
            <v>Счетчик ультразвуков</v>
          </cell>
          <cell r="E1131" t="str">
            <v>ой УЗС-1 в цехе по</v>
          </cell>
          <cell r="F1131" t="str">
            <v>переработке молока</v>
          </cell>
          <cell r="G1131" t="str">
            <v>01</v>
          </cell>
          <cell r="H1131">
            <v>6750</v>
          </cell>
          <cell r="I1131">
            <v>0</v>
          </cell>
          <cell r="J1131">
            <v>0</v>
          </cell>
          <cell r="L1131" t="str">
            <v>88/2</v>
          </cell>
          <cell r="M1131" t="str">
            <v>47036</v>
          </cell>
          <cell r="P1131">
            <v>14.3</v>
          </cell>
          <cell r="Q1131">
            <v>0</v>
          </cell>
          <cell r="R1131" t="str">
            <v>1</v>
          </cell>
          <cell r="S1131" t="str">
            <v>47</v>
          </cell>
          <cell r="T1131">
            <v>97</v>
          </cell>
          <cell r="U1131">
            <v>11</v>
          </cell>
          <cell r="V1131">
            <v>98</v>
          </cell>
          <cell r="W1131">
            <v>11</v>
          </cell>
          <cell r="X1131">
            <v>98</v>
          </cell>
          <cell r="Y1131">
            <v>0</v>
          </cell>
          <cell r="Z1131">
            <v>0</v>
          </cell>
          <cell r="AD1131" t="str">
            <v>0</v>
          </cell>
          <cell r="AE1131" t="str">
            <v>0</v>
          </cell>
          <cell r="AF1131" t="str">
            <v>20</v>
          </cell>
        </row>
        <row r="1132">
          <cell r="A1132" t="str">
            <v>02</v>
          </cell>
          <cell r="B1132" t="str">
            <v>80</v>
          </cell>
          <cell r="C1132" t="str">
            <v>594</v>
          </cell>
          <cell r="D1132" t="str">
            <v>Компьютер с принтеро</v>
          </cell>
          <cell r="E1132" t="str">
            <v>м Epson FX-1170</v>
          </cell>
          <cell r="G1132" t="str">
            <v>01</v>
          </cell>
          <cell r="H1132">
            <v>12655</v>
          </cell>
          <cell r="I1132">
            <v>0</v>
          </cell>
          <cell r="J1132">
            <v>0</v>
          </cell>
          <cell r="L1132" t="str">
            <v>26</v>
          </cell>
          <cell r="M1132" t="str">
            <v>48008</v>
          </cell>
          <cell r="P1132">
            <v>10</v>
          </cell>
          <cell r="Q1132">
            <v>0</v>
          </cell>
          <cell r="R1132" t="str">
            <v>1</v>
          </cell>
          <cell r="S1132" t="str">
            <v>48</v>
          </cell>
          <cell r="T1132">
            <v>98</v>
          </cell>
          <cell r="U1132">
            <v>12</v>
          </cell>
          <cell r="V1132">
            <v>98</v>
          </cell>
          <cell r="W1132">
            <v>12</v>
          </cell>
          <cell r="X1132">
            <v>98</v>
          </cell>
          <cell r="Y1132">
            <v>0</v>
          </cell>
          <cell r="Z1132">
            <v>0</v>
          </cell>
          <cell r="AD1132" t="str">
            <v>0</v>
          </cell>
          <cell r="AE1132" t="str">
            <v>0</v>
          </cell>
          <cell r="AF1132" t="str">
            <v>00</v>
          </cell>
        </row>
        <row r="1133">
          <cell r="A1133" t="str">
            <v>02</v>
          </cell>
          <cell r="B1133" t="str">
            <v>80</v>
          </cell>
          <cell r="C1133" t="str">
            <v>595</v>
          </cell>
          <cell r="D1133" t="str">
            <v>Компьютер с принтеро</v>
          </cell>
          <cell r="E1133" t="str">
            <v>м NPN5L</v>
          </cell>
          <cell r="G1133" t="str">
            <v>01</v>
          </cell>
          <cell r="H1133">
            <v>14869</v>
          </cell>
          <cell r="I1133">
            <v>0</v>
          </cell>
          <cell r="J1133">
            <v>0</v>
          </cell>
          <cell r="L1133" t="str">
            <v>26</v>
          </cell>
          <cell r="M1133" t="str">
            <v>48008</v>
          </cell>
          <cell r="P1133">
            <v>10</v>
          </cell>
          <cell r="Q1133">
            <v>0</v>
          </cell>
          <cell r="R1133" t="str">
            <v>1</v>
          </cell>
          <cell r="S1133" t="str">
            <v>48</v>
          </cell>
          <cell r="T1133">
            <v>98</v>
          </cell>
          <cell r="U1133">
            <v>12</v>
          </cell>
          <cell r="V1133">
            <v>98</v>
          </cell>
          <cell r="W1133">
            <v>12</v>
          </cell>
          <cell r="X1133">
            <v>98</v>
          </cell>
          <cell r="Y1133">
            <v>0</v>
          </cell>
          <cell r="Z1133">
            <v>0</v>
          </cell>
          <cell r="AD1133" t="str">
            <v>0</v>
          </cell>
          <cell r="AE1133" t="str">
            <v>0</v>
          </cell>
          <cell r="AF1133" t="str">
            <v>00</v>
          </cell>
        </row>
        <row r="1134">
          <cell r="A1134" t="str">
            <v>02</v>
          </cell>
          <cell r="B1134" t="str">
            <v>41</v>
          </cell>
          <cell r="C1134" t="str">
            <v>596</v>
          </cell>
          <cell r="D1134" t="str">
            <v>Дефектоскоп КРОНА-1Р</v>
          </cell>
          <cell r="E1134" t="str">
            <v>Н</v>
          </cell>
          <cell r="F1134" t="str">
            <v>НПО Волга гКишинев</v>
          </cell>
          <cell r="G1134" t="str">
            <v>01</v>
          </cell>
          <cell r="H1134">
            <v>7700</v>
          </cell>
          <cell r="I1134">
            <v>0</v>
          </cell>
          <cell r="J1134">
            <v>0</v>
          </cell>
          <cell r="L1134" t="str">
            <v>20</v>
          </cell>
          <cell r="M1134" t="str">
            <v>47015</v>
          </cell>
          <cell r="P1134">
            <v>14.3</v>
          </cell>
          <cell r="Q1134">
            <v>0</v>
          </cell>
          <cell r="R1134" t="str">
            <v>1</v>
          </cell>
          <cell r="S1134" t="str">
            <v>47</v>
          </cell>
          <cell r="T1134">
            <v>89</v>
          </cell>
          <cell r="U1134">
            <v>12</v>
          </cell>
          <cell r="V1134">
            <v>98</v>
          </cell>
          <cell r="W1134">
            <v>12</v>
          </cell>
          <cell r="X1134">
            <v>98</v>
          </cell>
          <cell r="Y1134">
            <v>0</v>
          </cell>
          <cell r="Z1134">
            <v>0</v>
          </cell>
          <cell r="AD1134" t="str">
            <v>0</v>
          </cell>
          <cell r="AE1134" t="str">
            <v>0</v>
          </cell>
          <cell r="AF1134" t="str">
            <v>00</v>
          </cell>
        </row>
        <row r="1135">
          <cell r="A1135" t="str">
            <v>02</v>
          </cell>
          <cell r="B1135" t="str">
            <v>99</v>
          </cell>
          <cell r="C1135" t="str">
            <v>597</v>
          </cell>
          <cell r="D1135" t="str">
            <v>Экскаватор РС-200-6</v>
          </cell>
          <cell r="E1135" t="str">
            <v>зав.N95515 дв.160928</v>
          </cell>
          <cell r="F1135" t="str">
            <v>Комацу Япония</v>
          </cell>
          <cell r="G1135" t="str">
            <v>02</v>
          </cell>
          <cell r="H1135">
            <v>835588</v>
          </cell>
          <cell r="I1135">
            <v>7729.19</v>
          </cell>
          <cell r="J1135">
            <v>0</v>
          </cell>
          <cell r="L1135" t="str">
            <v>20</v>
          </cell>
          <cell r="M1135" t="str">
            <v>41801</v>
          </cell>
          <cell r="N1135" t="str">
            <v>14 2924331</v>
          </cell>
          <cell r="P1135">
            <v>11.1</v>
          </cell>
          <cell r="Q1135">
            <v>0</v>
          </cell>
          <cell r="R1135" t="str">
            <v>1</v>
          </cell>
          <cell r="S1135" t="str">
            <v>41</v>
          </cell>
          <cell r="T1135">
            <v>97</v>
          </cell>
          <cell r="U1135">
            <v>1</v>
          </cell>
          <cell r="V1135">
            <v>99</v>
          </cell>
          <cell r="W1135">
            <v>1</v>
          </cell>
          <cell r="X1135">
            <v>99</v>
          </cell>
          <cell r="Y1135">
            <v>0</v>
          </cell>
          <cell r="Z1135">
            <v>0</v>
          </cell>
          <cell r="AD1135" t="str">
            <v>0</v>
          </cell>
          <cell r="AE1135" t="str">
            <v>0</v>
          </cell>
          <cell r="AF1135" t="str">
            <v>00</v>
          </cell>
        </row>
        <row r="1136">
          <cell r="A1136" t="str">
            <v>02</v>
          </cell>
          <cell r="B1136" t="str">
            <v>02</v>
          </cell>
          <cell r="C1136" t="str">
            <v>598</v>
          </cell>
          <cell r="D1136" t="str">
            <v>Экскаватор РС-200-6</v>
          </cell>
          <cell r="E1136" t="str">
            <v>зав.N95516 ld.160929</v>
          </cell>
          <cell r="F1136" t="str">
            <v>Комацу Япония</v>
          </cell>
          <cell r="G1136" t="str">
            <v>02</v>
          </cell>
          <cell r="H1136">
            <v>835588</v>
          </cell>
          <cell r="I1136">
            <v>7729.19</v>
          </cell>
          <cell r="J1136">
            <v>0</v>
          </cell>
          <cell r="L1136" t="str">
            <v>20</v>
          </cell>
          <cell r="M1136" t="str">
            <v>41801</v>
          </cell>
          <cell r="N1136" t="str">
            <v>14 2924331</v>
          </cell>
          <cell r="P1136">
            <v>11.1</v>
          </cell>
          <cell r="Q1136">
            <v>0</v>
          </cell>
          <cell r="R1136" t="str">
            <v>1</v>
          </cell>
          <cell r="S1136" t="str">
            <v>41</v>
          </cell>
          <cell r="T1136">
            <v>97</v>
          </cell>
          <cell r="U1136">
            <v>1</v>
          </cell>
          <cell r="V1136">
            <v>99</v>
          </cell>
          <cell r="W1136">
            <v>1</v>
          </cell>
          <cell r="X1136">
            <v>99</v>
          </cell>
          <cell r="Y1136">
            <v>0</v>
          </cell>
          <cell r="Z1136">
            <v>0</v>
          </cell>
          <cell r="AD1136" t="str">
            <v>0</v>
          </cell>
          <cell r="AE1136" t="str">
            <v>0</v>
          </cell>
          <cell r="AF1136" t="str">
            <v>00</v>
          </cell>
        </row>
        <row r="1137">
          <cell r="A1137" t="str">
            <v>02</v>
          </cell>
          <cell r="B1137" t="str">
            <v>02</v>
          </cell>
          <cell r="C1137" t="str">
            <v>599</v>
          </cell>
          <cell r="D1137" t="str">
            <v>Экскаватор РС-200-6</v>
          </cell>
          <cell r="E1137" t="str">
            <v>зав.N95519 дв.160932</v>
          </cell>
          <cell r="F1137" t="str">
            <v>Комацу Япония</v>
          </cell>
          <cell r="G1137" t="str">
            <v>02</v>
          </cell>
          <cell r="H1137">
            <v>835588</v>
          </cell>
          <cell r="I1137">
            <v>7729.19</v>
          </cell>
          <cell r="J1137">
            <v>0</v>
          </cell>
          <cell r="L1137" t="str">
            <v>20</v>
          </cell>
          <cell r="M1137" t="str">
            <v>41801</v>
          </cell>
          <cell r="N1137" t="str">
            <v>14 2924331</v>
          </cell>
          <cell r="P1137">
            <v>11.1</v>
          </cell>
          <cell r="Q1137">
            <v>0</v>
          </cell>
          <cell r="R1137" t="str">
            <v>1</v>
          </cell>
          <cell r="S1137" t="str">
            <v>41</v>
          </cell>
          <cell r="T1137">
            <v>97</v>
          </cell>
          <cell r="U1137">
            <v>1</v>
          </cell>
          <cell r="V1137">
            <v>99</v>
          </cell>
          <cell r="W1137">
            <v>1</v>
          </cell>
          <cell r="X1137">
            <v>99</v>
          </cell>
          <cell r="Y1137">
            <v>0</v>
          </cell>
          <cell r="Z1137">
            <v>0</v>
          </cell>
          <cell r="AD1137" t="str">
            <v>0</v>
          </cell>
          <cell r="AE1137" t="str">
            <v>0</v>
          </cell>
          <cell r="AF1137" t="str">
            <v>00</v>
          </cell>
        </row>
        <row r="1138">
          <cell r="A1138" t="str">
            <v>02</v>
          </cell>
          <cell r="B1138" t="str">
            <v>02</v>
          </cell>
          <cell r="C1138" t="str">
            <v>600</v>
          </cell>
          <cell r="D1138" t="str">
            <v>Экскаватор РС-200-6</v>
          </cell>
          <cell r="E1138" t="str">
            <v>зав.N95522 дв.160935</v>
          </cell>
          <cell r="F1138" t="str">
            <v>Комацу Япония</v>
          </cell>
          <cell r="G1138" t="str">
            <v>02</v>
          </cell>
          <cell r="H1138">
            <v>835588</v>
          </cell>
          <cell r="I1138">
            <v>7729.19</v>
          </cell>
          <cell r="J1138">
            <v>0</v>
          </cell>
          <cell r="L1138" t="str">
            <v>20</v>
          </cell>
          <cell r="M1138" t="str">
            <v>41801</v>
          </cell>
          <cell r="N1138" t="str">
            <v>14 2924331</v>
          </cell>
          <cell r="P1138">
            <v>11.1</v>
          </cell>
          <cell r="Q1138">
            <v>0</v>
          </cell>
          <cell r="R1138" t="str">
            <v>1</v>
          </cell>
          <cell r="S1138" t="str">
            <v>41</v>
          </cell>
          <cell r="T1138">
            <v>97</v>
          </cell>
          <cell r="U1138">
            <v>1</v>
          </cell>
          <cell r="V1138">
            <v>99</v>
          </cell>
          <cell r="W1138">
            <v>1</v>
          </cell>
          <cell r="X1138">
            <v>99</v>
          </cell>
          <cell r="Y1138">
            <v>0</v>
          </cell>
          <cell r="Z1138">
            <v>0</v>
          </cell>
          <cell r="AD1138" t="str">
            <v>0</v>
          </cell>
          <cell r="AE1138" t="str">
            <v>0</v>
          </cell>
          <cell r="AF1138" t="str">
            <v>00</v>
          </cell>
        </row>
        <row r="1139">
          <cell r="A1139" t="str">
            <v>02</v>
          </cell>
          <cell r="B1139" t="str">
            <v>02</v>
          </cell>
          <cell r="C1139" t="str">
            <v>604</v>
          </cell>
          <cell r="D1139" t="str">
            <v>Экскаватор РС-200-6</v>
          </cell>
          <cell r="E1139" t="str">
            <v>зав.N95525 дв.160938</v>
          </cell>
          <cell r="F1139" t="str">
            <v>Комацу Япония</v>
          </cell>
          <cell r="G1139" t="str">
            <v>02</v>
          </cell>
          <cell r="H1139">
            <v>835588</v>
          </cell>
          <cell r="I1139">
            <v>7729.19</v>
          </cell>
          <cell r="J1139">
            <v>0</v>
          </cell>
          <cell r="L1139" t="str">
            <v>20</v>
          </cell>
          <cell r="M1139" t="str">
            <v>41801</v>
          </cell>
          <cell r="N1139" t="str">
            <v>14 2924331</v>
          </cell>
          <cell r="P1139">
            <v>11.1</v>
          </cell>
          <cell r="Q1139">
            <v>0</v>
          </cell>
          <cell r="R1139" t="str">
            <v>1</v>
          </cell>
          <cell r="S1139" t="str">
            <v>41</v>
          </cell>
          <cell r="T1139">
            <v>97</v>
          </cell>
          <cell r="U1139">
            <v>1</v>
          </cell>
          <cell r="V1139">
            <v>99</v>
          </cell>
          <cell r="W1139">
            <v>1</v>
          </cell>
          <cell r="X1139">
            <v>99</v>
          </cell>
          <cell r="Y1139">
            <v>0</v>
          </cell>
          <cell r="Z1139">
            <v>0</v>
          </cell>
          <cell r="AD1139" t="str">
            <v>0</v>
          </cell>
          <cell r="AE1139" t="str">
            <v>0</v>
          </cell>
          <cell r="AF1139" t="str">
            <v>00</v>
          </cell>
        </row>
        <row r="1140">
          <cell r="A1140" t="str">
            <v>02</v>
          </cell>
          <cell r="B1140" t="str">
            <v>02</v>
          </cell>
          <cell r="C1140" t="str">
            <v>602</v>
          </cell>
          <cell r="D1140" t="str">
            <v>Экскаватор РС-200-6</v>
          </cell>
          <cell r="E1140" t="str">
            <v>зав.N95528 дв.160946</v>
          </cell>
          <cell r="F1140" t="str">
            <v>Комацу Япония</v>
          </cell>
          <cell r="G1140" t="str">
            <v>02</v>
          </cell>
          <cell r="H1140">
            <v>835588</v>
          </cell>
          <cell r="I1140">
            <v>7729.19</v>
          </cell>
          <cell r="J1140">
            <v>0</v>
          </cell>
          <cell r="L1140" t="str">
            <v>20</v>
          </cell>
          <cell r="M1140" t="str">
            <v>41801</v>
          </cell>
          <cell r="N1140" t="str">
            <v>14 2924331</v>
          </cell>
          <cell r="P1140">
            <v>11.1</v>
          </cell>
          <cell r="Q1140">
            <v>0</v>
          </cell>
          <cell r="R1140" t="str">
            <v>1</v>
          </cell>
          <cell r="S1140" t="str">
            <v>41</v>
          </cell>
          <cell r="T1140">
            <v>97</v>
          </cell>
          <cell r="U1140">
            <v>1</v>
          </cell>
          <cell r="V1140">
            <v>99</v>
          </cell>
          <cell r="W1140">
            <v>1</v>
          </cell>
          <cell r="X1140">
            <v>99</v>
          </cell>
          <cell r="Y1140">
            <v>0</v>
          </cell>
          <cell r="Z1140">
            <v>0</v>
          </cell>
          <cell r="AD1140" t="str">
            <v>0</v>
          </cell>
          <cell r="AE1140" t="str">
            <v>0</v>
          </cell>
          <cell r="AF1140" t="str">
            <v>00</v>
          </cell>
        </row>
        <row r="1141">
          <cell r="A1141" t="str">
            <v>02</v>
          </cell>
          <cell r="B1141" t="str">
            <v>02</v>
          </cell>
          <cell r="C1141" t="str">
            <v>603</v>
          </cell>
          <cell r="D1141" t="str">
            <v>Экскаватор РС-200-6</v>
          </cell>
          <cell r="E1141" t="str">
            <v>зав.N95530 дв.160948</v>
          </cell>
          <cell r="F1141" t="str">
            <v>Комацу Япония</v>
          </cell>
          <cell r="G1141" t="str">
            <v>02</v>
          </cell>
          <cell r="H1141">
            <v>835588</v>
          </cell>
          <cell r="I1141">
            <v>7729.19</v>
          </cell>
          <cell r="J1141">
            <v>0</v>
          </cell>
          <cell r="L1141" t="str">
            <v>20</v>
          </cell>
          <cell r="M1141" t="str">
            <v>41801</v>
          </cell>
          <cell r="N1141" t="str">
            <v>14 2924331</v>
          </cell>
          <cell r="P1141">
            <v>11.1</v>
          </cell>
          <cell r="Q1141">
            <v>0</v>
          </cell>
          <cell r="R1141" t="str">
            <v>1</v>
          </cell>
          <cell r="S1141" t="str">
            <v>41</v>
          </cell>
          <cell r="T1141">
            <v>97</v>
          </cell>
          <cell r="U1141">
            <v>1</v>
          </cell>
          <cell r="V1141">
            <v>99</v>
          </cell>
          <cell r="W1141">
            <v>1</v>
          </cell>
          <cell r="X1141">
            <v>99</v>
          </cell>
          <cell r="Y1141">
            <v>0</v>
          </cell>
          <cell r="Z1141">
            <v>0</v>
          </cell>
          <cell r="AD1141" t="str">
            <v>0</v>
          </cell>
          <cell r="AE1141" t="str">
            <v>0</v>
          </cell>
          <cell r="AF1141" t="str">
            <v>00</v>
          </cell>
        </row>
        <row r="1142">
          <cell r="A1142" t="str">
            <v>02</v>
          </cell>
          <cell r="B1142" t="str">
            <v>02</v>
          </cell>
          <cell r="C1142" t="str">
            <v>605</v>
          </cell>
          <cell r="D1142" t="str">
            <v>Экскаватор РС-200-6</v>
          </cell>
          <cell r="E1142" t="str">
            <v>зав.N95554 ld.160954</v>
          </cell>
          <cell r="F1142" t="str">
            <v>Комацу Япония</v>
          </cell>
          <cell r="G1142" t="str">
            <v>02</v>
          </cell>
          <cell r="H1142">
            <v>835588</v>
          </cell>
          <cell r="I1142">
            <v>7729.19</v>
          </cell>
          <cell r="J1142">
            <v>0</v>
          </cell>
          <cell r="L1142" t="str">
            <v>20</v>
          </cell>
          <cell r="M1142" t="str">
            <v>41801</v>
          </cell>
          <cell r="N1142" t="str">
            <v>14 2924331</v>
          </cell>
          <cell r="P1142">
            <v>11.1</v>
          </cell>
          <cell r="Q1142">
            <v>0</v>
          </cell>
          <cell r="R1142" t="str">
            <v>1</v>
          </cell>
          <cell r="S1142" t="str">
            <v>41</v>
          </cell>
          <cell r="T1142">
            <v>97</v>
          </cell>
          <cell r="U1142">
            <v>1</v>
          </cell>
          <cell r="V1142">
            <v>99</v>
          </cell>
          <cell r="W1142">
            <v>1</v>
          </cell>
          <cell r="X1142">
            <v>99</v>
          </cell>
          <cell r="Y1142">
            <v>0</v>
          </cell>
          <cell r="Z1142">
            <v>0</v>
          </cell>
          <cell r="AD1142" t="str">
            <v>0</v>
          </cell>
          <cell r="AE1142" t="str">
            <v>0</v>
          </cell>
          <cell r="AF1142" t="str">
            <v>00</v>
          </cell>
        </row>
        <row r="1143">
          <cell r="A1143" t="str">
            <v>02</v>
          </cell>
          <cell r="B1143" t="str">
            <v>02</v>
          </cell>
          <cell r="C1143" t="str">
            <v>606</v>
          </cell>
          <cell r="D1143" t="str">
            <v>Бульдозер Д-85А-21</v>
          </cell>
          <cell r="E1143" t="str">
            <v>зав.N36933 дв.67835</v>
          </cell>
          <cell r="F1143" t="str">
            <v>Комацу Япония</v>
          </cell>
          <cell r="G1143" t="str">
            <v>02</v>
          </cell>
          <cell r="H1143">
            <v>2222408</v>
          </cell>
          <cell r="I1143">
            <v>18520.07</v>
          </cell>
          <cell r="J1143">
            <v>0</v>
          </cell>
          <cell r="L1143" t="str">
            <v>20</v>
          </cell>
          <cell r="M1143" t="str">
            <v>41816</v>
          </cell>
          <cell r="N1143" t="str">
            <v>14 2924340</v>
          </cell>
          <cell r="P1143">
            <v>10</v>
          </cell>
          <cell r="Q1143">
            <v>0</v>
          </cell>
          <cell r="R1143" t="str">
            <v>1</v>
          </cell>
          <cell r="S1143" t="str">
            <v>41</v>
          </cell>
          <cell r="T1143">
            <v>97</v>
          </cell>
          <cell r="U1143">
            <v>1</v>
          </cell>
          <cell r="V1143">
            <v>99</v>
          </cell>
          <cell r="W1143">
            <v>1</v>
          </cell>
          <cell r="X1143">
            <v>99</v>
          </cell>
          <cell r="Y1143">
            <v>0</v>
          </cell>
          <cell r="Z1143">
            <v>0</v>
          </cell>
          <cell r="AD1143" t="str">
            <v>0</v>
          </cell>
          <cell r="AE1143" t="str">
            <v>0</v>
          </cell>
          <cell r="AF1143" t="str">
            <v>00</v>
          </cell>
        </row>
        <row r="1144">
          <cell r="A1144" t="str">
            <v>02</v>
          </cell>
          <cell r="B1144" t="str">
            <v>02</v>
          </cell>
          <cell r="C1144" t="str">
            <v>607</v>
          </cell>
          <cell r="D1144" t="str">
            <v>Бульдозер Д-85А-21</v>
          </cell>
          <cell r="E1144" t="str">
            <v>зав.N36936 дв.67838</v>
          </cell>
          <cell r="F1144" t="str">
            <v>Комацу Япония</v>
          </cell>
          <cell r="G1144" t="str">
            <v>02</v>
          </cell>
          <cell r="H1144">
            <v>2222408</v>
          </cell>
          <cell r="I1144">
            <v>18520.07</v>
          </cell>
          <cell r="J1144">
            <v>0</v>
          </cell>
          <cell r="L1144" t="str">
            <v>20</v>
          </cell>
          <cell r="M1144" t="str">
            <v>41816</v>
          </cell>
          <cell r="N1144" t="str">
            <v>14 2924340</v>
          </cell>
          <cell r="P1144">
            <v>10</v>
          </cell>
          <cell r="Q1144">
            <v>0</v>
          </cell>
          <cell r="R1144" t="str">
            <v>1</v>
          </cell>
          <cell r="S1144" t="str">
            <v>41</v>
          </cell>
          <cell r="T1144">
            <v>97</v>
          </cell>
          <cell r="U1144">
            <v>1</v>
          </cell>
          <cell r="V1144">
            <v>99</v>
          </cell>
          <cell r="W1144">
            <v>1</v>
          </cell>
          <cell r="X1144">
            <v>99</v>
          </cell>
          <cell r="Y1144">
            <v>0</v>
          </cell>
          <cell r="Z1144">
            <v>0</v>
          </cell>
          <cell r="AD1144" t="str">
            <v>0</v>
          </cell>
          <cell r="AE1144" t="str">
            <v>0</v>
          </cell>
          <cell r="AF1144" t="str">
            <v>00</v>
          </cell>
        </row>
        <row r="1145">
          <cell r="A1145" t="str">
            <v>02</v>
          </cell>
          <cell r="B1145" t="str">
            <v>99</v>
          </cell>
          <cell r="C1145" t="str">
            <v>608</v>
          </cell>
          <cell r="D1145" t="str">
            <v>Трубоукладчик Д-155С</v>
          </cell>
          <cell r="E1145" t="str">
            <v>-1 зав.N31418 дв.573</v>
          </cell>
          <cell r="F1145" t="str">
            <v>37 Комацу Япония</v>
          </cell>
          <cell r="G1145" t="str">
            <v>02</v>
          </cell>
          <cell r="H1145">
            <v>3394213</v>
          </cell>
          <cell r="I1145">
            <v>28285.11</v>
          </cell>
          <cell r="J1145">
            <v>0</v>
          </cell>
          <cell r="L1145" t="str">
            <v>20</v>
          </cell>
          <cell r="M1145" t="str">
            <v>41723</v>
          </cell>
          <cell r="N1145" t="str">
            <v>14 2915246</v>
          </cell>
          <cell r="P1145">
            <v>10</v>
          </cell>
          <cell r="Q1145">
            <v>0</v>
          </cell>
          <cell r="R1145" t="str">
            <v>1</v>
          </cell>
          <cell r="S1145" t="str">
            <v>41</v>
          </cell>
          <cell r="T1145">
            <v>97</v>
          </cell>
          <cell r="U1145">
            <v>1</v>
          </cell>
          <cell r="V1145">
            <v>99</v>
          </cell>
          <cell r="W1145">
            <v>1</v>
          </cell>
          <cell r="X1145">
            <v>99</v>
          </cell>
          <cell r="Y1145">
            <v>0</v>
          </cell>
          <cell r="Z1145">
            <v>0</v>
          </cell>
          <cell r="AD1145" t="str">
            <v>0</v>
          </cell>
          <cell r="AE1145" t="str">
            <v>0</v>
          </cell>
          <cell r="AF1145" t="str">
            <v>00</v>
          </cell>
        </row>
        <row r="1146">
          <cell r="A1146" t="str">
            <v>02</v>
          </cell>
          <cell r="B1146" t="str">
            <v>99</v>
          </cell>
          <cell r="C1146" t="str">
            <v>609</v>
          </cell>
          <cell r="D1146" t="str">
            <v>Трубоукладчик Д-155С</v>
          </cell>
          <cell r="E1146" t="str">
            <v>-1 зав.N31419 дв.573</v>
          </cell>
          <cell r="F1146" t="str">
            <v>38 Комацу Япония</v>
          </cell>
          <cell r="G1146" t="str">
            <v>02</v>
          </cell>
          <cell r="H1146">
            <v>3394213</v>
          </cell>
          <cell r="I1146">
            <v>28285.11</v>
          </cell>
          <cell r="J1146">
            <v>0</v>
          </cell>
          <cell r="L1146" t="str">
            <v>20</v>
          </cell>
          <cell r="M1146" t="str">
            <v>41723</v>
          </cell>
          <cell r="N1146" t="str">
            <v>14 2915246</v>
          </cell>
          <cell r="P1146">
            <v>10</v>
          </cell>
          <cell r="Q1146">
            <v>0</v>
          </cell>
          <cell r="R1146" t="str">
            <v>1</v>
          </cell>
          <cell r="S1146" t="str">
            <v>41</v>
          </cell>
          <cell r="T1146">
            <v>97</v>
          </cell>
          <cell r="U1146">
            <v>1</v>
          </cell>
          <cell r="V1146">
            <v>99</v>
          </cell>
          <cell r="W1146">
            <v>1</v>
          </cell>
          <cell r="X1146">
            <v>99</v>
          </cell>
          <cell r="Y1146">
            <v>0</v>
          </cell>
          <cell r="Z1146">
            <v>0</v>
          </cell>
          <cell r="AD1146" t="str">
            <v>0</v>
          </cell>
          <cell r="AE1146" t="str">
            <v>0</v>
          </cell>
          <cell r="AF1146" t="str">
            <v>00</v>
          </cell>
        </row>
        <row r="1147">
          <cell r="A1147" t="str">
            <v>02</v>
          </cell>
          <cell r="B1147" t="str">
            <v>02</v>
          </cell>
          <cell r="C1147" t="str">
            <v>610</v>
          </cell>
          <cell r="D1147" t="str">
            <v>Трубоукладчик Д-155С</v>
          </cell>
          <cell r="E1147" t="str">
            <v>-1 зав.N31423 дв.573</v>
          </cell>
          <cell r="F1147" t="str">
            <v>42 Комацу Япония</v>
          </cell>
          <cell r="G1147" t="str">
            <v>02</v>
          </cell>
          <cell r="H1147">
            <v>3394213</v>
          </cell>
          <cell r="I1147">
            <v>28285.11</v>
          </cell>
          <cell r="J1147">
            <v>0</v>
          </cell>
          <cell r="L1147" t="str">
            <v>20</v>
          </cell>
          <cell r="M1147" t="str">
            <v>41723</v>
          </cell>
          <cell r="N1147" t="str">
            <v>14 2915246</v>
          </cell>
          <cell r="P1147">
            <v>10</v>
          </cell>
          <cell r="Q1147">
            <v>0</v>
          </cell>
          <cell r="R1147" t="str">
            <v>1</v>
          </cell>
          <cell r="S1147" t="str">
            <v>41</v>
          </cell>
          <cell r="T1147">
            <v>97</v>
          </cell>
          <cell r="U1147">
            <v>1</v>
          </cell>
          <cell r="V1147">
            <v>99</v>
          </cell>
          <cell r="W1147">
            <v>1</v>
          </cell>
          <cell r="X1147">
            <v>99</v>
          </cell>
          <cell r="Y1147">
            <v>0</v>
          </cell>
          <cell r="Z1147">
            <v>0</v>
          </cell>
          <cell r="AD1147" t="str">
            <v>0</v>
          </cell>
          <cell r="AE1147" t="str">
            <v>0</v>
          </cell>
          <cell r="AF1147" t="str">
            <v>00</v>
          </cell>
        </row>
        <row r="1148">
          <cell r="A1148" t="str">
            <v>02</v>
          </cell>
          <cell r="B1148" t="str">
            <v>02</v>
          </cell>
          <cell r="C1148" t="str">
            <v>611</v>
          </cell>
          <cell r="D1148" t="str">
            <v>Трубоукладчик Д-155С</v>
          </cell>
          <cell r="E1148" t="str">
            <v>-1 зав.N31429 дв.573</v>
          </cell>
          <cell r="F1148" t="str">
            <v>76 Комацу Япония</v>
          </cell>
          <cell r="G1148" t="str">
            <v>02</v>
          </cell>
          <cell r="H1148">
            <v>3394213</v>
          </cell>
          <cell r="I1148">
            <v>28285.11</v>
          </cell>
          <cell r="J1148">
            <v>0</v>
          </cell>
          <cell r="L1148" t="str">
            <v>20</v>
          </cell>
          <cell r="M1148" t="str">
            <v>41723</v>
          </cell>
          <cell r="N1148" t="str">
            <v>14 2915246</v>
          </cell>
          <cell r="P1148">
            <v>10</v>
          </cell>
          <cell r="Q1148">
            <v>0</v>
          </cell>
          <cell r="R1148" t="str">
            <v>1</v>
          </cell>
          <cell r="S1148" t="str">
            <v>41</v>
          </cell>
          <cell r="T1148">
            <v>97</v>
          </cell>
          <cell r="U1148">
            <v>1</v>
          </cell>
          <cell r="V1148">
            <v>99</v>
          </cell>
          <cell r="W1148">
            <v>1</v>
          </cell>
          <cell r="X1148">
            <v>99</v>
          </cell>
          <cell r="Y1148">
            <v>0</v>
          </cell>
          <cell r="Z1148">
            <v>0</v>
          </cell>
          <cell r="AD1148" t="str">
            <v>0</v>
          </cell>
          <cell r="AE1148" t="str">
            <v>0</v>
          </cell>
          <cell r="AF1148" t="str">
            <v>00</v>
          </cell>
        </row>
        <row r="1149">
          <cell r="A1149" t="str">
            <v>02</v>
          </cell>
          <cell r="B1149" t="str">
            <v>02</v>
          </cell>
          <cell r="C1149" t="str">
            <v>612</v>
          </cell>
          <cell r="D1149" t="str">
            <v>Трубоукладчик Д-155С</v>
          </cell>
          <cell r="E1149" t="str">
            <v>-1 зав.N31430 дв.573</v>
          </cell>
          <cell r="F1149" t="str">
            <v>77 Комацу Япония</v>
          </cell>
          <cell r="G1149" t="str">
            <v>02</v>
          </cell>
          <cell r="H1149">
            <v>3394213</v>
          </cell>
          <cell r="I1149">
            <v>28285.11</v>
          </cell>
          <cell r="J1149">
            <v>0</v>
          </cell>
          <cell r="L1149" t="str">
            <v>20</v>
          </cell>
          <cell r="M1149" t="str">
            <v>41723</v>
          </cell>
          <cell r="N1149" t="str">
            <v>14 2925246</v>
          </cell>
          <cell r="P1149">
            <v>10</v>
          </cell>
          <cell r="Q1149">
            <v>0</v>
          </cell>
          <cell r="R1149" t="str">
            <v>1</v>
          </cell>
          <cell r="S1149" t="str">
            <v>41</v>
          </cell>
          <cell r="T1149">
            <v>97</v>
          </cell>
          <cell r="U1149">
            <v>1</v>
          </cell>
          <cell r="V1149">
            <v>99</v>
          </cell>
          <cell r="W1149">
            <v>1</v>
          </cell>
          <cell r="X1149">
            <v>99</v>
          </cell>
          <cell r="Y1149">
            <v>0</v>
          </cell>
          <cell r="Z1149">
            <v>0</v>
          </cell>
          <cell r="AD1149" t="str">
            <v>0</v>
          </cell>
          <cell r="AE1149" t="str">
            <v>0</v>
          </cell>
          <cell r="AF1149" t="str">
            <v>00</v>
          </cell>
        </row>
        <row r="1150">
          <cell r="A1150" t="str">
            <v>02</v>
          </cell>
          <cell r="B1150" t="str">
            <v>02</v>
          </cell>
          <cell r="C1150" t="str">
            <v>613</v>
          </cell>
          <cell r="D1150" t="str">
            <v>Трубоукладчик Д-155С</v>
          </cell>
          <cell r="E1150" t="str">
            <v>-1 зав.N31431 дв.573</v>
          </cell>
          <cell r="F1150" t="str">
            <v>78 Комацу Япония</v>
          </cell>
          <cell r="G1150" t="str">
            <v>02</v>
          </cell>
          <cell r="H1150">
            <v>3394213</v>
          </cell>
          <cell r="I1150">
            <v>28285.11</v>
          </cell>
          <cell r="J1150">
            <v>0</v>
          </cell>
          <cell r="L1150" t="str">
            <v>20</v>
          </cell>
          <cell r="M1150" t="str">
            <v>41723</v>
          </cell>
          <cell r="N1150" t="str">
            <v>14 2915246</v>
          </cell>
          <cell r="P1150">
            <v>10</v>
          </cell>
          <cell r="Q1150">
            <v>0</v>
          </cell>
          <cell r="R1150" t="str">
            <v>1</v>
          </cell>
          <cell r="S1150" t="str">
            <v>41</v>
          </cell>
          <cell r="T1150">
            <v>97</v>
          </cell>
          <cell r="U1150">
            <v>1</v>
          </cell>
          <cell r="V1150">
            <v>99</v>
          </cell>
          <cell r="W1150">
            <v>1</v>
          </cell>
          <cell r="X1150">
            <v>99</v>
          </cell>
          <cell r="Y1150">
            <v>0</v>
          </cell>
          <cell r="Z1150">
            <v>0</v>
          </cell>
          <cell r="AD1150" t="str">
            <v>0</v>
          </cell>
          <cell r="AE1150" t="str">
            <v>0</v>
          </cell>
          <cell r="AF1150" t="str">
            <v>00</v>
          </cell>
        </row>
        <row r="1151">
          <cell r="A1151" t="str">
            <v>02</v>
          </cell>
          <cell r="B1151" t="str">
            <v>02</v>
          </cell>
          <cell r="C1151" t="str">
            <v>614</v>
          </cell>
          <cell r="D1151" t="str">
            <v>Трубоукладчик Д-155С</v>
          </cell>
          <cell r="E1151" t="str">
            <v>-1 зав.N31434 дв.573</v>
          </cell>
          <cell r="F1151" t="str">
            <v>81 Комацу Япония</v>
          </cell>
          <cell r="G1151" t="str">
            <v>02</v>
          </cell>
          <cell r="H1151">
            <v>3394213</v>
          </cell>
          <cell r="I1151">
            <v>28285.11</v>
          </cell>
          <cell r="J1151">
            <v>0</v>
          </cell>
          <cell r="L1151" t="str">
            <v>20</v>
          </cell>
          <cell r="M1151" t="str">
            <v>41723</v>
          </cell>
          <cell r="N1151" t="str">
            <v>14 2915246</v>
          </cell>
          <cell r="P1151">
            <v>10</v>
          </cell>
          <cell r="Q1151">
            <v>0</v>
          </cell>
          <cell r="R1151" t="str">
            <v>1</v>
          </cell>
          <cell r="S1151" t="str">
            <v>41</v>
          </cell>
          <cell r="T1151">
            <v>97</v>
          </cell>
          <cell r="U1151">
            <v>1</v>
          </cell>
          <cell r="V1151">
            <v>99</v>
          </cell>
          <cell r="W1151">
            <v>1</v>
          </cell>
          <cell r="X1151">
            <v>99</v>
          </cell>
          <cell r="Y1151">
            <v>0</v>
          </cell>
          <cell r="Z1151">
            <v>0</v>
          </cell>
          <cell r="AD1151" t="str">
            <v>0</v>
          </cell>
          <cell r="AE1151" t="str">
            <v>0</v>
          </cell>
          <cell r="AF1151" t="str">
            <v>00</v>
          </cell>
        </row>
        <row r="1152">
          <cell r="A1152" t="str">
            <v>02</v>
          </cell>
          <cell r="B1152" t="str">
            <v>02</v>
          </cell>
          <cell r="C1152" t="str">
            <v>615</v>
          </cell>
          <cell r="D1152" t="str">
            <v>Трубоукладчик Д-155С</v>
          </cell>
          <cell r="E1152" t="str">
            <v>-1 зав.N31436 дв.573</v>
          </cell>
          <cell r="F1152" t="str">
            <v>83 Комацу Япония</v>
          </cell>
          <cell r="G1152" t="str">
            <v>02</v>
          </cell>
          <cell r="H1152">
            <v>3394213</v>
          </cell>
          <cell r="I1152">
            <v>28285.11</v>
          </cell>
          <cell r="J1152">
            <v>0</v>
          </cell>
          <cell r="L1152" t="str">
            <v>20</v>
          </cell>
          <cell r="M1152" t="str">
            <v>41723</v>
          </cell>
          <cell r="N1152" t="str">
            <v>14 2915246</v>
          </cell>
          <cell r="P1152">
            <v>10</v>
          </cell>
          <cell r="Q1152">
            <v>0</v>
          </cell>
          <cell r="R1152" t="str">
            <v>1</v>
          </cell>
          <cell r="S1152" t="str">
            <v>41</v>
          </cell>
          <cell r="T1152">
            <v>97</v>
          </cell>
          <cell r="U1152">
            <v>1</v>
          </cell>
          <cell r="V1152">
            <v>99</v>
          </cell>
          <cell r="W1152">
            <v>1</v>
          </cell>
          <cell r="X1152">
            <v>99</v>
          </cell>
          <cell r="Y1152">
            <v>0</v>
          </cell>
          <cell r="Z1152">
            <v>0</v>
          </cell>
          <cell r="AD1152" t="str">
            <v>0</v>
          </cell>
          <cell r="AE1152" t="str">
            <v>0</v>
          </cell>
          <cell r="AF1152" t="str">
            <v>00</v>
          </cell>
        </row>
        <row r="1153">
          <cell r="A1153" t="str">
            <v>02</v>
          </cell>
          <cell r="B1153" t="str">
            <v>02</v>
          </cell>
          <cell r="C1153" t="str">
            <v>616</v>
          </cell>
          <cell r="D1153" t="str">
            <v>Трубоукладчик Д-155С</v>
          </cell>
          <cell r="E1153" t="str">
            <v>-1 зав.N31441 дв.573</v>
          </cell>
          <cell r="F1153" t="str">
            <v>88 Комацу Япония</v>
          </cell>
          <cell r="G1153" t="str">
            <v>02</v>
          </cell>
          <cell r="H1153">
            <v>3394213</v>
          </cell>
          <cell r="I1153">
            <v>28285.11</v>
          </cell>
          <cell r="J1153">
            <v>0</v>
          </cell>
          <cell r="L1153" t="str">
            <v>20</v>
          </cell>
          <cell r="M1153" t="str">
            <v>41723</v>
          </cell>
          <cell r="N1153" t="str">
            <v>14 2915246</v>
          </cell>
          <cell r="P1153">
            <v>10</v>
          </cell>
          <cell r="Q1153">
            <v>0</v>
          </cell>
          <cell r="R1153" t="str">
            <v>1</v>
          </cell>
          <cell r="S1153" t="str">
            <v>41</v>
          </cell>
          <cell r="T1153">
            <v>97</v>
          </cell>
          <cell r="U1153">
            <v>1</v>
          </cell>
          <cell r="V1153">
            <v>99</v>
          </cell>
          <cell r="W1153">
            <v>1</v>
          </cell>
          <cell r="X1153">
            <v>99</v>
          </cell>
          <cell r="Y1153">
            <v>0</v>
          </cell>
          <cell r="Z1153">
            <v>0</v>
          </cell>
          <cell r="AD1153" t="str">
            <v>0</v>
          </cell>
          <cell r="AE1153" t="str">
            <v>0</v>
          </cell>
          <cell r="AF1153" t="str">
            <v>00</v>
          </cell>
        </row>
        <row r="1154">
          <cell r="A1154" t="str">
            <v>02</v>
          </cell>
          <cell r="B1154" t="str">
            <v>02</v>
          </cell>
          <cell r="C1154" t="str">
            <v>617</v>
          </cell>
          <cell r="D1154" t="str">
            <v>Трубоукладчик Д-155С</v>
          </cell>
          <cell r="E1154" t="str">
            <v>-1 зав.N31442 дв.573</v>
          </cell>
          <cell r="F1154" t="str">
            <v>89 Комацу Япония</v>
          </cell>
          <cell r="G1154" t="str">
            <v>02</v>
          </cell>
          <cell r="H1154">
            <v>3394213</v>
          </cell>
          <cell r="I1154">
            <v>28285.11</v>
          </cell>
          <cell r="J1154">
            <v>0</v>
          </cell>
          <cell r="L1154" t="str">
            <v>20</v>
          </cell>
          <cell r="M1154" t="str">
            <v>41723</v>
          </cell>
          <cell r="N1154" t="str">
            <v>14 2915246</v>
          </cell>
          <cell r="P1154">
            <v>10</v>
          </cell>
          <cell r="Q1154">
            <v>0</v>
          </cell>
          <cell r="R1154" t="str">
            <v>1</v>
          </cell>
          <cell r="S1154" t="str">
            <v>41</v>
          </cell>
          <cell r="T1154">
            <v>97</v>
          </cell>
          <cell r="U1154">
            <v>1</v>
          </cell>
          <cell r="V1154">
            <v>99</v>
          </cell>
          <cell r="W1154">
            <v>1</v>
          </cell>
          <cell r="X1154">
            <v>99</v>
          </cell>
          <cell r="Y1154">
            <v>0</v>
          </cell>
          <cell r="Z1154">
            <v>0</v>
          </cell>
          <cell r="AD1154" t="str">
            <v>0</v>
          </cell>
          <cell r="AE1154" t="str">
            <v>0</v>
          </cell>
          <cell r="AF1154" t="str">
            <v>00</v>
          </cell>
        </row>
        <row r="1155">
          <cell r="A1155" t="str">
            <v>02</v>
          </cell>
          <cell r="B1155" t="str">
            <v>02</v>
          </cell>
          <cell r="C1155" t="str">
            <v>618</v>
          </cell>
          <cell r="D1155" t="str">
            <v>Трубоукладчик Д-155С</v>
          </cell>
          <cell r="E1155" t="str">
            <v>-1 зав.N31443 дв.573</v>
          </cell>
          <cell r="F1155" t="str">
            <v>90 Комацу Япония</v>
          </cell>
          <cell r="G1155" t="str">
            <v>02</v>
          </cell>
          <cell r="H1155">
            <v>3394213</v>
          </cell>
          <cell r="I1155">
            <v>28285.11</v>
          </cell>
          <cell r="J1155">
            <v>0</v>
          </cell>
          <cell r="L1155" t="str">
            <v>20</v>
          </cell>
          <cell r="M1155" t="str">
            <v>41723</v>
          </cell>
          <cell r="N1155" t="str">
            <v>14 2915246</v>
          </cell>
          <cell r="P1155">
            <v>10</v>
          </cell>
          <cell r="Q1155">
            <v>0</v>
          </cell>
          <cell r="R1155" t="str">
            <v>1</v>
          </cell>
          <cell r="S1155" t="str">
            <v>41</v>
          </cell>
          <cell r="T1155">
            <v>97</v>
          </cell>
          <cell r="U1155">
            <v>1</v>
          </cell>
          <cell r="V1155">
            <v>99</v>
          </cell>
          <cell r="W1155">
            <v>1</v>
          </cell>
          <cell r="X1155">
            <v>99</v>
          </cell>
          <cell r="Y1155">
            <v>0</v>
          </cell>
          <cell r="Z1155">
            <v>0</v>
          </cell>
          <cell r="AD1155" t="str">
            <v>0</v>
          </cell>
          <cell r="AE1155" t="str">
            <v>0</v>
          </cell>
          <cell r="AF1155" t="str">
            <v>00</v>
          </cell>
        </row>
        <row r="1156">
          <cell r="A1156" t="str">
            <v>02</v>
          </cell>
          <cell r="B1156" t="str">
            <v>02</v>
          </cell>
          <cell r="C1156" t="str">
            <v>619</v>
          </cell>
          <cell r="D1156" t="str">
            <v>Трубоукладчик Д-155С</v>
          </cell>
          <cell r="E1156" t="str">
            <v>-1 зав.N31444 дв.573</v>
          </cell>
          <cell r="F1156" t="str">
            <v>91 Комацу Япония</v>
          </cell>
          <cell r="G1156" t="str">
            <v>02</v>
          </cell>
          <cell r="H1156">
            <v>3394213</v>
          </cell>
          <cell r="I1156">
            <v>28285.11</v>
          </cell>
          <cell r="J1156">
            <v>0</v>
          </cell>
          <cell r="L1156" t="str">
            <v>20</v>
          </cell>
          <cell r="M1156" t="str">
            <v>41723</v>
          </cell>
          <cell r="N1156" t="str">
            <v>14 2915246</v>
          </cell>
          <cell r="P1156">
            <v>10</v>
          </cell>
          <cell r="Q1156">
            <v>0</v>
          </cell>
          <cell r="R1156" t="str">
            <v>1</v>
          </cell>
          <cell r="S1156" t="str">
            <v>41</v>
          </cell>
          <cell r="T1156">
            <v>97</v>
          </cell>
          <cell r="U1156">
            <v>1</v>
          </cell>
          <cell r="V1156">
            <v>99</v>
          </cell>
          <cell r="W1156">
            <v>1</v>
          </cell>
          <cell r="X1156">
            <v>99</v>
          </cell>
          <cell r="Y1156">
            <v>0</v>
          </cell>
          <cell r="Z1156">
            <v>0</v>
          </cell>
          <cell r="AD1156" t="str">
            <v>0</v>
          </cell>
          <cell r="AE1156" t="str">
            <v>0</v>
          </cell>
          <cell r="AF1156" t="str">
            <v>00</v>
          </cell>
        </row>
        <row r="1157">
          <cell r="A1157" t="str">
            <v>02</v>
          </cell>
          <cell r="B1157" t="str">
            <v>02</v>
          </cell>
          <cell r="C1157" t="str">
            <v>620</v>
          </cell>
          <cell r="D1157" t="str">
            <v>ТРубоукладчик Д-155С</v>
          </cell>
          <cell r="E1157" t="str">
            <v>-1 зав.N31448 дв.573</v>
          </cell>
          <cell r="F1157" t="str">
            <v>95 Комацу Япония</v>
          </cell>
          <cell r="G1157" t="str">
            <v>02</v>
          </cell>
          <cell r="H1157">
            <v>3394213</v>
          </cell>
          <cell r="I1157">
            <v>28285.11</v>
          </cell>
          <cell r="J1157">
            <v>0</v>
          </cell>
          <cell r="L1157" t="str">
            <v>20</v>
          </cell>
          <cell r="M1157" t="str">
            <v>41723</v>
          </cell>
          <cell r="N1157" t="str">
            <v>14 2915246</v>
          </cell>
          <cell r="P1157">
            <v>10</v>
          </cell>
          <cell r="Q1157">
            <v>0</v>
          </cell>
          <cell r="R1157" t="str">
            <v>1</v>
          </cell>
          <cell r="S1157" t="str">
            <v>41</v>
          </cell>
          <cell r="T1157">
            <v>97</v>
          </cell>
          <cell r="U1157">
            <v>1</v>
          </cell>
          <cell r="V1157">
            <v>99</v>
          </cell>
          <cell r="W1157">
            <v>1</v>
          </cell>
          <cell r="X1157">
            <v>99</v>
          </cell>
          <cell r="Y1157">
            <v>0</v>
          </cell>
          <cell r="Z1157">
            <v>0</v>
          </cell>
          <cell r="AD1157" t="str">
            <v>0</v>
          </cell>
          <cell r="AE1157" t="str">
            <v>0</v>
          </cell>
          <cell r="AF1157" t="str">
            <v>00</v>
          </cell>
        </row>
        <row r="1158">
          <cell r="A1158" t="str">
            <v>02</v>
          </cell>
          <cell r="B1158" t="str">
            <v>02</v>
          </cell>
          <cell r="C1158" t="str">
            <v>621</v>
          </cell>
          <cell r="D1158" t="str">
            <v>Экскаватор РС200-6</v>
          </cell>
          <cell r="E1158" t="str">
            <v>зав.N89967 дв.148023</v>
          </cell>
          <cell r="F1158" t="str">
            <v>Комацу Япония</v>
          </cell>
          <cell r="G1158" t="str">
            <v>02</v>
          </cell>
          <cell r="H1158">
            <v>361879.84</v>
          </cell>
          <cell r="I1158">
            <v>3347.39</v>
          </cell>
          <cell r="J1158">
            <v>0</v>
          </cell>
          <cell r="L1158" t="str">
            <v>20</v>
          </cell>
          <cell r="M1158" t="str">
            <v>41801</v>
          </cell>
          <cell r="N1158" t="str">
            <v>14 2924331</v>
          </cell>
          <cell r="P1158">
            <v>11.1</v>
          </cell>
          <cell r="Q1158">
            <v>0</v>
          </cell>
          <cell r="R1158" t="str">
            <v>1</v>
          </cell>
          <cell r="S1158" t="str">
            <v>41</v>
          </cell>
          <cell r="T1158">
            <v>97</v>
          </cell>
          <cell r="U1158">
            <v>1</v>
          </cell>
          <cell r="V1158">
            <v>99</v>
          </cell>
          <cell r="W1158">
            <v>1</v>
          </cell>
          <cell r="X1158">
            <v>99</v>
          </cell>
          <cell r="Y1158">
            <v>0</v>
          </cell>
          <cell r="Z1158">
            <v>0</v>
          </cell>
          <cell r="AD1158" t="str">
            <v>0</v>
          </cell>
          <cell r="AE1158" t="str">
            <v>0</v>
          </cell>
          <cell r="AF1158" t="str">
            <v>00</v>
          </cell>
        </row>
        <row r="1159">
          <cell r="A1159" t="str">
            <v>02</v>
          </cell>
          <cell r="B1159" t="str">
            <v>71</v>
          </cell>
          <cell r="C1159" t="str">
            <v>622</v>
          </cell>
          <cell r="D1159" t="str">
            <v>Экскаватор РС-200-6</v>
          </cell>
          <cell r="E1159" t="str">
            <v>зав.N89891 дв.147256</v>
          </cell>
          <cell r="F1159" t="str">
            <v>Комацу Япония</v>
          </cell>
          <cell r="G1159" t="str">
            <v>02</v>
          </cell>
          <cell r="H1159">
            <v>361879.84</v>
          </cell>
          <cell r="I1159">
            <v>3347.39</v>
          </cell>
          <cell r="J1159">
            <v>0</v>
          </cell>
          <cell r="L1159" t="str">
            <v>23</v>
          </cell>
          <cell r="M1159" t="str">
            <v>41801</v>
          </cell>
          <cell r="N1159" t="str">
            <v>14 2924331</v>
          </cell>
          <cell r="P1159">
            <v>11.1</v>
          </cell>
          <cell r="Q1159">
            <v>0</v>
          </cell>
          <cell r="R1159" t="str">
            <v>1</v>
          </cell>
          <cell r="S1159" t="str">
            <v>41</v>
          </cell>
          <cell r="T1159">
            <v>97</v>
          </cell>
          <cell r="U1159">
            <v>1</v>
          </cell>
          <cell r="V1159">
            <v>99</v>
          </cell>
          <cell r="W1159">
            <v>1</v>
          </cell>
          <cell r="X1159">
            <v>99</v>
          </cell>
          <cell r="Y1159">
            <v>0</v>
          </cell>
          <cell r="Z1159">
            <v>0</v>
          </cell>
          <cell r="AD1159" t="str">
            <v>0</v>
          </cell>
          <cell r="AE1159" t="str">
            <v>0</v>
          </cell>
          <cell r="AF1159" t="str">
            <v>00</v>
          </cell>
        </row>
        <row r="1160">
          <cell r="A1160" t="str">
            <v>02</v>
          </cell>
          <cell r="B1160" t="str">
            <v>99</v>
          </cell>
          <cell r="C1160" t="str">
            <v>623</v>
          </cell>
          <cell r="D1160" t="str">
            <v>Трубоукладчик Д85С-2</v>
          </cell>
          <cell r="E1160" t="str">
            <v>1 зав.N36685 дв.6476</v>
          </cell>
          <cell r="F1160" t="str">
            <v>6 Комацу Япония</v>
          </cell>
          <cell r="G1160" t="str">
            <v>02</v>
          </cell>
          <cell r="H1160">
            <v>1265733.0900000001</v>
          </cell>
          <cell r="I1160">
            <v>10547.78</v>
          </cell>
          <cell r="J1160">
            <v>0</v>
          </cell>
          <cell r="L1160" t="str">
            <v>20</v>
          </cell>
          <cell r="M1160" t="str">
            <v>41723</v>
          </cell>
          <cell r="N1160" t="str">
            <v>14 2915246</v>
          </cell>
          <cell r="P1160">
            <v>10</v>
          </cell>
          <cell r="Q1160">
            <v>0</v>
          </cell>
          <cell r="R1160" t="str">
            <v>1</v>
          </cell>
          <cell r="S1160" t="str">
            <v>41</v>
          </cell>
          <cell r="T1160">
            <v>97</v>
          </cell>
          <cell r="U1160">
            <v>1</v>
          </cell>
          <cell r="V1160">
            <v>99</v>
          </cell>
          <cell r="W1160">
            <v>1</v>
          </cell>
          <cell r="X1160">
            <v>99</v>
          </cell>
          <cell r="Y1160">
            <v>0</v>
          </cell>
          <cell r="Z1160">
            <v>0</v>
          </cell>
          <cell r="AD1160" t="str">
            <v>0</v>
          </cell>
          <cell r="AE1160" t="str">
            <v>0</v>
          </cell>
          <cell r="AF1160" t="str">
            <v>00</v>
          </cell>
        </row>
        <row r="1161">
          <cell r="A1161" t="str">
            <v>02</v>
          </cell>
          <cell r="B1161" t="str">
            <v>02</v>
          </cell>
          <cell r="C1161" t="str">
            <v>624</v>
          </cell>
          <cell r="D1161" t="str">
            <v>Трубоукладчик Д85С-2</v>
          </cell>
          <cell r="E1161" t="str">
            <v>1 зав.N36683 дв.6476</v>
          </cell>
          <cell r="F1161" t="str">
            <v>4 Комацу Япония</v>
          </cell>
          <cell r="G1161" t="str">
            <v>02</v>
          </cell>
          <cell r="H1161">
            <v>1265733.0900000001</v>
          </cell>
          <cell r="I1161">
            <v>10547.78</v>
          </cell>
          <cell r="J1161">
            <v>0</v>
          </cell>
          <cell r="L1161" t="str">
            <v>20</v>
          </cell>
          <cell r="M1161" t="str">
            <v>41723</v>
          </cell>
          <cell r="N1161" t="str">
            <v>14 2915246</v>
          </cell>
          <cell r="P1161">
            <v>10</v>
          </cell>
          <cell r="Q1161">
            <v>0</v>
          </cell>
          <cell r="R1161" t="str">
            <v>1</v>
          </cell>
          <cell r="S1161" t="str">
            <v>41</v>
          </cell>
          <cell r="T1161">
            <v>97</v>
          </cell>
          <cell r="U1161">
            <v>1</v>
          </cell>
          <cell r="V1161">
            <v>99</v>
          </cell>
          <cell r="W1161">
            <v>1</v>
          </cell>
          <cell r="X1161">
            <v>99</v>
          </cell>
          <cell r="Y1161">
            <v>0</v>
          </cell>
          <cell r="Z1161">
            <v>0</v>
          </cell>
          <cell r="AD1161" t="str">
            <v>0</v>
          </cell>
          <cell r="AE1161" t="str">
            <v>0</v>
          </cell>
          <cell r="AF1161" t="str">
            <v>00</v>
          </cell>
        </row>
        <row r="1162">
          <cell r="A1162" t="str">
            <v>02</v>
          </cell>
          <cell r="B1162" t="str">
            <v>02</v>
          </cell>
          <cell r="C1162" t="str">
            <v>625</v>
          </cell>
          <cell r="D1162" t="str">
            <v>Трубоукладчик Д85С-2</v>
          </cell>
          <cell r="E1162" t="str">
            <v>1 зав.N36721 дв 6502</v>
          </cell>
          <cell r="F1162" t="str">
            <v>3 Комацу Япония</v>
          </cell>
          <cell r="G1162" t="str">
            <v>02</v>
          </cell>
          <cell r="H1162">
            <v>1265733.0900000001</v>
          </cell>
          <cell r="I1162">
            <v>10547.78</v>
          </cell>
          <cell r="J1162">
            <v>0</v>
          </cell>
          <cell r="L1162" t="str">
            <v>20</v>
          </cell>
          <cell r="M1162" t="str">
            <v>41723</v>
          </cell>
          <cell r="N1162" t="str">
            <v>14 2915246</v>
          </cell>
          <cell r="P1162">
            <v>10</v>
          </cell>
          <cell r="Q1162">
            <v>0</v>
          </cell>
          <cell r="R1162" t="str">
            <v>1</v>
          </cell>
          <cell r="S1162" t="str">
            <v>41</v>
          </cell>
          <cell r="T1162">
            <v>97</v>
          </cell>
          <cell r="U1162">
            <v>1</v>
          </cell>
          <cell r="V1162">
            <v>99</v>
          </cell>
          <cell r="W1162">
            <v>1</v>
          </cell>
          <cell r="X1162">
            <v>99</v>
          </cell>
          <cell r="Y1162">
            <v>0</v>
          </cell>
          <cell r="Z1162">
            <v>0</v>
          </cell>
          <cell r="AD1162" t="str">
            <v>0</v>
          </cell>
          <cell r="AE1162" t="str">
            <v>0</v>
          </cell>
          <cell r="AF1162" t="str">
            <v>00</v>
          </cell>
        </row>
        <row r="1163">
          <cell r="A1163" t="str">
            <v>02</v>
          </cell>
          <cell r="B1163" t="str">
            <v>02</v>
          </cell>
          <cell r="C1163" t="str">
            <v>626</v>
          </cell>
          <cell r="D1163" t="str">
            <v>Трубоукладчик Д85С-2</v>
          </cell>
          <cell r="E1163" t="str">
            <v>1 зав.N36689 дв.6477</v>
          </cell>
          <cell r="F1163" t="str">
            <v>0 Комацу Япония</v>
          </cell>
          <cell r="G1163" t="str">
            <v>02</v>
          </cell>
          <cell r="H1163">
            <v>1265733.0900000001</v>
          </cell>
          <cell r="I1163">
            <v>10547.78</v>
          </cell>
          <cell r="J1163">
            <v>0</v>
          </cell>
          <cell r="L1163" t="str">
            <v>20</v>
          </cell>
          <cell r="M1163" t="str">
            <v>41723</v>
          </cell>
          <cell r="N1163" t="str">
            <v>14 2915246</v>
          </cell>
          <cell r="P1163">
            <v>10</v>
          </cell>
          <cell r="Q1163">
            <v>0</v>
          </cell>
          <cell r="R1163" t="str">
            <v>1</v>
          </cell>
          <cell r="S1163" t="str">
            <v>41</v>
          </cell>
          <cell r="T1163">
            <v>97</v>
          </cell>
          <cell r="U1163">
            <v>1</v>
          </cell>
          <cell r="V1163">
            <v>99</v>
          </cell>
          <cell r="W1163">
            <v>1</v>
          </cell>
          <cell r="X1163">
            <v>99</v>
          </cell>
          <cell r="Y1163">
            <v>0</v>
          </cell>
          <cell r="Z1163">
            <v>0</v>
          </cell>
          <cell r="AD1163" t="str">
            <v>0</v>
          </cell>
          <cell r="AE1163" t="str">
            <v>0</v>
          </cell>
          <cell r="AF1163" t="str">
            <v>00</v>
          </cell>
        </row>
        <row r="1164">
          <cell r="A1164" t="str">
            <v>02</v>
          </cell>
          <cell r="B1164" t="str">
            <v>02</v>
          </cell>
          <cell r="C1164" t="str">
            <v>627</v>
          </cell>
          <cell r="D1164" t="str">
            <v>Трубоукладчик Д-85С-</v>
          </cell>
          <cell r="E1164" t="str">
            <v>21 зав.N36693 дв.647</v>
          </cell>
          <cell r="F1164" t="str">
            <v>74 Комацу Япония</v>
          </cell>
          <cell r="G1164" t="str">
            <v>02</v>
          </cell>
          <cell r="H1164">
            <v>1265733.0900000001</v>
          </cell>
          <cell r="I1164">
            <v>10547.78</v>
          </cell>
          <cell r="J1164">
            <v>0</v>
          </cell>
          <cell r="L1164" t="str">
            <v>20</v>
          </cell>
          <cell r="M1164" t="str">
            <v>41723</v>
          </cell>
          <cell r="N1164" t="str">
            <v>14 2915246</v>
          </cell>
          <cell r="P1164">
            <v>10</v>
          </cell>
          <cell r="Q1164">
            <v>0</v>
          </cell>
          <cell r="R1164" t="str">
            <v>1</v>
          </cell>
          <cell r="S1164" t="str">
            <v>41</v>
          </cell>
          <cell r="T1164">
            <v>97</v>
          </cell>
          <cell r="U1164">
            <v>1</v>
          </cell>
          <cell r="V1164">
            <v>99</v>
          </cell>
          <cell r="W1164">
            <v>1</v>
          </cell>
          <cell r="X1164">
            <v>99</v>
          </cell>
          <cell r="Y1164">
            <v>0</v>
          </cell>
          <cell r="Z1164">
            <v>0</v>
          </cell>
          <cell r="AD1164" t="str">
            <v>0</v>
          </cell>
          <cell r="AE1164" t="str">
            <v>0</v>
          </cell>
          <cell r="AF1164" t="str">
            <v>00</v>
          </cell>
        </row>
        <row r="1165">
          <cell r="A1165" t="str">
            <v>02</v>
          </cell>
          <cell r="B1165" t="str">
            <v>71</v>
          </cell>
          <cell r="C1165" t="str">
            <v>628</v>
          </cell>
          <cell r="D1165" t="str">
            <v>Трубоукладчик Д-85С-</v>
          </cell>
          <cell r="E1165" t="str">
            <v>21 зав.N36746 дв.650</v>
          </cell>
          <cell r="F1165" t="str">
            <v>42 Комацу Япония</v>
          </cell>
          <cell r="G1165" t="str">
            <v>02</v>
          </cell>
          <cell r="H1165">
            <v>1265733.0900000001</v>
          </cell>
          <cell r="I1165">
            <v>10547.78</v>
          </cell>
          <cell r="J1165">
            <v>0</v>
          </cell>
          <cell r="L1165" t="str">
            <v>23</v>
          </cell>
          <cell r="M1165" t="str">
            <v>41723</v>
          </cell>
          <cell r="N1165" t="str">
            <v>14 2915246</v>
          </cell>
          <cell r="P1165">
            <v>10</v>
          </cell>
          <cell r="Q1165">
            <v>0</v>
          </cell>
          <cell r="R1165" t="str">
            <v>1</v>
          </cell>
          <cell r="S1165" t="str">
            <v>41</v>
          </cell>
          <cell r="T1165">
            <v>97</v>
          </cell>
          <cell r="U1165">
            <v>1</v>
          </cell>
          <cell r="V1165">
            <v>99</v>
          </cell>
          <cell r="W1165">
            <v>1</v>
          </cell>
          <cell r="X1165">
            <v>99</v>
          </cell>
          <cell r="Y1165">
            <v>0</v>
          </cell>
          <cell r="Z1165">
            <v>0</v>
          </cell>
          <cell r="AD1165" t="str">
            <v>0</v>
          </cell>
          <cell r="AE1165" t="str">
            <v>0</v>
          </cell>
          <cell r="AF1165" t="str">
            <v>00</v>
          </cell>
        </row>
        <row r="1166">
          <cell r="A1166" t="str">
            <v>02</v>
          </cell>
          <cell r="B1166" t="str">
            <v>80</v>
          </cell>
          <cell r="C1166" t="str">
            <v>629</v>
          </cell>
          <cell r="D1166" t="str">
            <v>Контрольно-кассовая</v>
          </cell>
          <cell r="E1166" t="str">
            <v>машина ККМ АМС-100Ф</v>
          </cell>
          <cell r="F1166" t="str">
            <v>/Калужский з-д/</v>
          </cell>
          <cell r="G1166" t="str">
            <v>07</v>
          </cell>
          <cell r="H1166">
            <v>3500</v>
          </cell>
          <cell r="I1166">
            <v>0</v>
          </cell>
          <cell r="J1166">
            <v>0</v>
          </cell>
          <cell r="L1166" t="str">
            <v>26</v>
          </cell>
          <cell r="M1166" t="str">
            <v>47013</v>
          </cell>
          <cell r="N1166" t="str">
            <v>14 2945119</v>
          </cell>
          <cell r="P1166">
            <v>11</v>
          </cell>
          <cell r="Q1166">
            <v>0</v>
          </cell>
          <cell r="R1166" t="str">
            <v>1</v>
          </cell>
          <cell r="S1166" t="str">
            <v>47</v>
          </cell>
          <cell r="T1166">
            <v>99</v>
          </cell>
          <cell r="U1166">
            <v>2</v>
          </cell>
          <cell r="V1166">
            <v>99</v>
          </cell>
          <cell r="W1166">
            <v>2</v>
          </cell>
          <cell r="X1166">
            <v>99</v>
          </cell>
          <cell r="Y1166">
            <v>0</v>
          </cell>
          <cell r="Z1166">
            <v>0</v>
          </cell>
          <cell r="AD1166" t="str">
            <v>0</v>
          </cell>
          <cell r="AE1166" t="str">
            <v>0</v>
          </cell>
          <cell r="AF1166" t="str">
            <v>00</v>
          </cell>
        </row>
        <row r="1167">
          <cell r="A1167" t="str">
            <v>02</v>
          </cell>
          <cell r="B1167" t="str">
            <v>03</v>
          </cell>
          <cell r="C1167" t="str">
            <v>630</v>
          </cell>
          <cell r="D1167" t="str">
            <v>Контрольно-кассовая</v>
          </cell>
          <cell r="E1167" t="str">
            <v>машина ККМ АМС-100Ф</v>
          </cell>
          <cell r="F1167" t="str">
            <v>/Калужский з-д/</v>
          </cell>
          <cell r="G1167" t="str">
            <v>07</v>
          </cell>
          <cell r="H1167">
            <v>3500</v>
          </cell>
          <cell r="I1167">
            <v>0</v>
          </cell>
          <cell r="J1167">
            <v>0</v>
          </cell>
          <cell r="L1167" t="str">
            <v>26</v>
          </cell>
          <cell r="M1167" t="str">
            <v>47013</v>
          </cell>
          <cell r="N1167" t="str">
            <v>14 2945119</v>
          </cell>
          <cell r="P1167">
            <v>11</v>
          </cell>
          <cell r="Q1167">
            <v>0</v>
          </cell>
          <cell r="R1167" t="str">
            <v>1</v>
          </cell>
          <cell r="S1167" t="str">
            <v>47</v>
          </cell>
          <cell r="T1167">
            <v>99</v>
          </cell>
          <cell r="U1167">
            <v>2</v>
          </cell>
          <cell r="V1167">
            <v>99</v>
          </cell>
          <cell r="W1167">
            <v>2</v>
          </cell>
          <cell r="X1167">
            <v>99</v>
          </cell>
          <cell r="Y1167">
            <v>0</v>
          </cell>
          <cell r="Z1167">
            <v>0</v>
          </cell>
          <cell r="AD1167" t="str">
            <v>0</v>
          </cell>
          <cell r="AE1167" t="str">
            <v>0</v>
          </cell>
          <cell r="AF1167" t="str">
            <v>00</v>
          </cell>
        </row>
        <row r="1168">
          <cell r="A1168" t="str">
            <v>02</v>
          </cell>
          <cell r="B1168" t="str">
            <v>80</v>
          </cell>
          <cell r="C1168" t="str">
            <v>631</v>
          </cell>
          <cell r="D1168" t="str">
            <v>Факс Panasonic КХ-F6</v>
          </cell>
          <cell r="E1168" t="str">
            <v>80 RS</v>
          </cell>
          <cell r="F1168" t="str">
            <v>Япония</v>
          </cell>
          <cell r="G1168" t="str">
            <v>07</v>
          </cell>
          <cell r="H1168">
            <v>5755</v>
          </cell>
          <cell r="I1168">
            <v>0</v>
          </cell>
          <cell r="J1168">
            <v>0</v>
          </cell>
          <cell r="L1168" t="str">
            <v>26</v>
          </cell>
          <cell r="M1168" t="str">
            <v>45613</v>
          </cell>
          <cell r="N1168" t="str">
            <v>14 3222146</v>
          </cell>
          <cell r="P1168">
            <v>7.4</v>
          </cell>
          <cell r="Q1168">
            <v>0</v>
          </cell>
          <cell r="R1168" t="str">
            <v>1</v>
          </cell>
          <cell r="S1168" t="str">
            <v>45</v>
          </cell>
          <cell r="T1168">
            <v>98</v>
          </cell>
          <cell r="U1168">
            <v>2</v>
          </cell>
          <cell r="V1168">
            <v>99</v>
          </cell>
          <cell r="W1168">
            <v>2</v>
          </cell>
          <cell r="X1168">
            <v>99</v>
          </cell>
          <cell r="Y1168">
            <v>0</v>
          </cell>
          <cell r="Z1168">
            <v>0</v>
          </cell>
          <cell r="AD1168" t="str">
            <v>0</v>
          </cell>
          <cell r="AE1168" t="str">
            <v>0</v>
          </cell>
          <cell r="AF1168" t="str">
            <v>00</v>
          </cell>
        </row>
        <row r="1169">
          <cell r="A1169" t="str">
            <v>02</v>
          </cell>
          <cell r="B1169" t="str">
            <v>99</v>
          </cell>
          <cell r="C1169" t="str">
            <v>632</v>
          </cell>
          <cell r="D1169" t="str">
            <v>Полотенце мягкое ПМ-</v>
          </cell>
          <cell r="E1169" t="str">
            <v>1428</v>
          </cell>
          <cell r="G1169" t="str">
            <v>02</v>
          </cell>
          <cell r="H1169">
            <v>22500</v>
          </cell>
          <cell r="I1169">
            <v>0</v>
          </cell>
          <cell r="J1169">
            <v>22930.880000000001</v>
          </cell>
          <cell r="L1169" t="str">
            <v>20</v>
          </cell>
          <cell r="M1169" t="str">
            <v>43815</v>
          </cell>
          <cell r="P1169">
            <v>50</v>
          </cell>
          <cell r="Q1169">
            <v>0</v>
          </cell>
          <cell r="R1169" t="str">
            <v>1</v>
          </cell>
          <cell r="S1169" t="str">
            <v>43</v>
          </cell>
          <cell r="T1169">
            <v>99</v>
          </cell>
          <cell r="U1169">
            <v>3</v>
          </cell>
          <cell r="V1169">
            <v>99</v>
          </cell>
          <cell r="W1169">
            <v>3</v>
          </cell>
          <cell r="X1169">
            <v>99</v>
          </cell>
          <cell r="Y1169">
            <v>4</v>
          </cell>
          <cell r="Z1169">
            <v>99</v>
          </cell>
          <cell r="AD1169" t="str">
            <v>0</v>
          </cell>
          <cell r="AE1169" t="str">
            <v>0</v>
          </cell>
          <cell r="AF1169" t="str">
            <v>00</v>
          </cell>
        </row>
        <row r="1170">
          <cell r="A1170" t="str">
            <v>02</v>
          </cell>
          <cell r="B1170" t="str">
            <v>99</v>
          </cell>
          <cell r="C1170" t="str">
            <v>633</v>
          </cell>
          <cell r="D1170" t="str">
            <v>Полотенце мягкое ПМ-</v>
          </cell>
          <cell r="E1170" t="str">
            <v>1428</v>
          </cell>
          <cell r="G1170" t="str">
            <v>02</v>
          </cell>
          <cell r="H1170">
            <v>22500</v>
          </cell>
          <cell r="I1170">
            <v>0</v>
          </cell>
          <cell r="J1170">
            <v>22930.880000000001</v>
          </cell>
          <cell r="L1170" t="str">
            <v>20</v>
          </cell>
          <cell r="M1170" t="str">
            <v>43815</v>
          </cell>
          <cell r="P1170">
            <v>50</v>
          </cell>
          <cell r="Q1170">
            <v>0</v>
          </cell>
          <cell r="R1170" t="str">
            <v>1</v>
          </cell>
          <cell r="S1170" t="str">
            <v>43</v>
          </cell>
          <cell r="T1170">
            <v>99</v>
          </cell>
          <cell r="U1170">
            <v>3</v>
          </cell>
          <cell r="V1170">
            <v>99</v>
          </cell>
          <cell r="W1170">
            <v>3</v>
          </cell>
          <cell r="X1170">
            <v>99</v>
          </cell>
          <cell r="Y1170">
            <v>4</v>
          </cell>
          <cell r="Z1170">
            <v>99</v>
          </cell>
          <cell r="AD1170" t="str">
            <v>0</v>
          </cell>
          <cell r="AE1170" t="str">
            <v>0</v>
          </cell>
          <cell r="AF1170" t="str">
            <v>00</v>
          </cell>
        </row>
        <row r="1171">
          <cell r="A1171" t="str">
            <v>02</v>
          </cell>
          <cell r="B1171" t="str">
            <v>99</v>
          </cell>
          <cell r="C1171" t="str">
            <v>634</v>
          </cell>
          <cell r="D1171" t="str">
            <v>Полотенце мягкое ПМ=</v>
          </cell>
          <cell r="E1171" t="str">
            <v>1428</v>
          </cell>
          <cell r="G1171" t="str">
            <v>02</v>
          </cell>
          <cell r="H1171">
            <v>22500</v>
          </cell>
          <cell r="I1171">
            <v>0</v>
          </cell>
          <cell r="J1171">
            <v>22930.880000000001</v>
          </cell>
          <cell r="L1171" t="str">
            <v>20</v>
          </cell>
          <cell r="M1171" t="str">
            <v>43815</v>
          </cell>
          <cell r="P1171">
            <v>50</v>
          </cell>
          <cell r="Q1171">
            <v>0</v>
          </cell>
          <cell r="R1171" t="str">
            <v>1</v>
          </cell>
          <cell r="S1171" t="str">
            <v>43</v>
          </cell>
          <cell r="T1171">
            <v>99</v>
          </cell>
          <cell r="U1171">
            <v>3</v>
          </cell>
          <cell r="V1171">
            <v>99</v>
          </cell>
          <cell r="W1171">
            <v>3</v>
          </cell>
          <cell r="X1171">
            <v>99</v>
          </cell>
          <cell r="Y1171">
            <v>4</v>
          </cell>
          <cell r="Z1171">
            <v>99</v>
          </cell>
          <cell r="AD1171" t="str">
            <v>0</v>
          </cell>
          <cell r="AE1171" t="str">
            <v>0</v>
          </cell>
          <cell r="AF1171" t="str">
            <v>00</v>
          </cell>
        </row>
        <row r="1172">
          <cell r="A1172" t="str">
            <v>02</v>
          </cell>
          <cell r="B1172" t="str">
            <v>05</v>
          </cell>
          <cell r="C1172" t="str">
            <v>635</v>
          </cell>
          <cell r="D1172" t="str">
            <v>Плот спасательный</v>
          </cell>
          <cell r="E1172" t="str">
            <v>ПСН-6МК</v>
          </cell>
          <cell r="G1172" t="str">
            <v>07</v>
          </cell>
          <cell r="H1172">
            <v>14300</v>
          </cell>
          <cell r="I1172">
            <v>0</v>
          </cell>
          <cell r="J1172">
            <v>0</v>
          </cell>
          <cell r="L1172" t="str">
            <v>20</v>
          </cell>
          <cell r="M1172" t="str">
            <v>50134</v>
          </cell>
          <cell r="P1172">
            <v>5</v>
          </cell>
          <cell r="Q1172">
            <v>0</v>
          </cell>
          <cell r="R1172" t="str">
            <v>1</v>
          </cell>
          <cell r="S1172" t="str">
            <v>50</v>
          </cell>
          <cell r="T1172">
            <v>99</v>
          </cell>
          <cell r="U1172">
            <v>3</v>
          </cell>
          <cell r="V1172">
            <v>99</v>
          </cell>
          <cell r="W1172">
            <v>3</v>
          </cell>
          <cell r="X1172">
            <v>99</v>
          </cell>
          <cell r="Y1172">
            <v>0</v>
          </cell>
          <cell r="Z1172">
            <v>0</v>
          </cell>
          <cell r="AD1172" t="str">
            <v>0</v>
          </cell>
          <cell r="AE1172" t="str">
            <v>0</v>
          </cell>
          <cell r="AF1172" t="str">
            <v>00</v>
          </cell>
        </row>
        <row r="1173">
          <cell r="A1173" t="str">
            <v>02</v>
          </cell>
          <cell r="B1173" t="str">
            <v>05</v>
          </cell>
          <cell r="C1173" t="str">
            <v>636</v>
          </cell>
          <cell r="D1173" t="str">
            <v>Плот спасательный ПС</v>
          </cell>
          <cell r="E1173" t="str">
            <v>Н-6МК</v>
          </cell>
          <cell r="G1173" t="str">
            <v>07</v>
          </cell>
          <cell r="H1173">
            <v>14300</v>
          </cell>
          <cell r="I1173">
            <v>0</v>
          </cell>
          <cell r="J1173">
            <v>0</v>
          </cell>
          <cell r="L1173" t="str">
            <v>20</v>
          </cell>
          <cell r="M1173" t="str">
            <v>50134</v>
          </cell>
          <cell r="P1173">
            <v>5</v>
          </cell>
          <cell r="Q1173">
            <v>0</v>
          </cell>
          <cell r="R1173" t="str">
            <v>1</v>
          </cell>
          <cell r="S1173" t="str">
            <v>50</v>
          </cell>
          <cell r="T1173">
            <v>99</v>
          </cell>
          <cell r="U1173">
            <v>3</v>
          </cell>
          <cell r="V1173">
            <v>99</v>
          </cell>
          <cell r="W1173">
            <v>3</v>
          </cell>
          <cell r="X1173">
            <v>99</v>
          </cell>
          <cell r="Y1173">
            <v>0</v>
          </cell>
          <cell r="Z1173">
            <v>0</v>
          </cell>
          <cell r="AD1173" t="str">
            <v>0</v>
          </cell>
          <cell r="AE1173" t="str">
            <v>0</v>
          </cell>
          <cell r="AF1173" t="str">
            <v>00</v>
          </cell>
        </row>
        <row r="1174">
          <cell r="A1174" t="str">
            <v>02</v>
          </cell>
          <cell r="B1174" t="str">
            <v>80</v>
          </cell>
          <cell r="C1174" t="str">
            <v>637</v>
          </cell>
          <cell r="D1174" t="str">
            <v>Компьютер Cet300 A/4</v>
          </cell>
          <cell r="E1174" t="str">
            <v>40Exl28/64 с принтер</v>
          </cell>
          <cell r="F1174" t="str">
            <v>ом НР и мониторомNEC</v>
          </cell>
          <cell r="G1174" t="str">
            <v>07</v>
          </cell>
          <cell r="H1174">
            <v>25235</v>
          </cell>
          <cell r="I1174">
            <v>0</v>
          </cell>
          <cell r="J1174">
            <v>0</v>
          </cell>
          <cell r="L1174" t="str">
            <v>26</v>
          </cell>
          <cell r="M1174" t="str">
            <v>48008</v>
          </cell>
          <cell r="P1174">
            <v>10</v>
          </cell>
          <cell r="Q1174">
            <v>0</v>
          </cell>
          <cell r="R1174" t="str">
            <v>1</v>
          </cell>
          <cell r="S1174" t="str">
            <v>48</v>
          </cell>
          <cell r="T1174">
            <v>99</v>
          </cell>
          <cell r="U1174">
            <v>3</v>
          </cell>
          <cell r="V1174">
            <v>99</v>
          </cell>
          <cell r="W1174">
            <v>3</v>
          </cell>
          <cell r="X1174">
            <v>99</v>
          </cell>
          <cell r="Y1174">
            <v>0</v>
          </cell>
          <cell r="Z1174">
            <v>0</v>
          </cell>
          <cell r="AD1174" t="str">
            <v>0</v>
          </cell>
          <cell r="AE1174" t="str">
            <v>0</v>
          </cell>
          <cell r="AF1174" t="str">
            <v>00</v>
          </cell>
        </row>
        <row r="1175">
          <cell r="A1175" t="str">
            <v>02</v>
          </cell>
          <cell r="B1175" t="str">
            <v>23</v>
          </cell>
          <cell r="C1175" t="str">
            <v>638</v>
          </cell>
          <cell r="D1175" t="str">
            <v>А/машина ВАЗ-2121 ле</v>
          </cell>
          <cell r="E1175" t="str">
            <v>гков.куз1034932 дв.3</v>
          </cell>
          <cell r="F1175" t="str">
            <v>025944 гN-У784ЕУ</v>
          </cell>
          <cell r="G1175" t="str">
            <v>02</v>
          </cell>
          <cell r="H1175">
            <v>35375</v>
          </cell>
          <cell r="I1175">
            <v>20248.689999999999</v>
          </cell>
          <cell r="J1175">
            <v>0</v>
          </cell>
          <cell r="L1175" t="str">
            <v>23</v>
          </cell>
          <cell r="M1175" t="str">
            <v>50416</v>
          </cell>
          <cell r="P1175">
            <v>14.3</v>
          </cell>
          <cell r="Q1175">
            <v>0</v>
          </cell>
          <cell r="R1175" t="str">
            <v>1</v>
          </cell>
          <cell r="S1175" t="str">
            <v>50</v>
          </cell>
          <cell r="T1175">
            <v>93</v>
          </cell>
          <cell r="U1175">
            <v>4</v>
          </cell>
          <cell r="V1175">
            <v>99</v>
          </cell>
          <cell r="W1175">
            <v>4</v>
          </cell>
          <cell r="X1175">
            <v>99</v>
          </cell>
          <cell r="Y1175">
            <v>0</v>
          </cell>
          <cell r="Z1175">
            <v>0</v>
          </cell>
          <cell r="AD1175" t="str">
            <v>0</v>
          </cell>
          <cell r="AE1175" t="str">
            <v>0</v>
          </cell>
          <cell r="AF1175" t="str">
            <v>00</v>
          </cell>
        </row>
        <row r="1176">
          <cell r="A1176" t="str">
            <v>02</v>
          </cell>
          <cell r="B1176" t="str">
            <v>03</v>
          </cell>
          <cell r="C1176" t="str">
            <v>639</v>
          </cell>
          <cell r="D1176" t="str">
            <v>А/заправочная станци</v>
          </cell>
          <cell r="E1176" t="str">
            <v>я</v>
          </cell>
          <cell r="G1176" t="str">
            <v>02</v>
          </cell>
          <cell r="H1176">
            <v>623500</v>
          </cell>
          <cell r="I1176">
            <v>141704.82999999999</v>
          </cell>
          <cell r="J1176">
            <v>0</v>
          </cell>
          <cell r="L1176" t="str">
            <v>26</v>
          </cell>
          <cell r="M1176" t="str">
            <v>20334</v>
          </cell>
          <cell r="P1176">
            <v>5</v>
          </cell>
          <cell r="Q1176">
            <v>0</v>
          </cell>
          <cell r="R1176" t="str">
            <v>1</v>
          </cell>
          <cell r="S1176" t="str">
            <v>20</v>
          </cell>
          <cell r="T1176">
            <v>0</v>
          </cell>
          <cell r="U1176">
            <v>4</v>
          </cell>
          <cell r="V1176">
            <v>99</v>
          </cell>
          <cell r="W1176">
            <v>4</v>
          </cell>
          <cell r="X1176">
            <v>99</v>
          </cell>
          <cell r="Y1176">
            <v>0</v>
          </cell>
          <cell r="Z1176">
            <v>0</v>
          </cell>
          <cell r="AD1176" t="str">
            <v>0</v>
          </cell>
          <cell r="AE1176" t="str">
            <v>0</v>
          </cell>
          <cell r="AF1176" t="str">
            <v>00</v>
          </cell>
        </row>
        <row r="1177">
          <cell r="A1177" t="str">
            <v>02</v>
          </cell>
          <cell r="B1177" t="str">
            <v>02</v>
          </cell>
          <cell r="C1177" t="str">
            <v>640</v>
          </cell>
          <cell r="D1177" t="str">
            <v>Очистная машина ОМ-1</v>
          </cell>
          <cell r="E1177" t="str">
            <v>2203</v>
          </cell>
          <cell r="G1177" t="str">
            <v>02</v>
          </cell>
          <cell r="H1177">
            <v>265000</v>
          </cell>
          <cell r="I1177">
            <v>0</v>
          </cell>
          <cell r="J1177">
            <v>316650</v>
          </cell>
          <cell r="L1177" t="str">
            <v>20</v>
          </cell>
          <cell r="M1177" t="str">
            <v>43803</v>
          </cell>
          <cell r="P1177">
            <v>33.299999999999997</v>
          </cell>
          <cell r="Q1177">
            <v>0</v>
          </cell>
          <cell r="R1177" t="str">
            <v>1</v>
          </cell>
          <cell r="S1177" t="str">
            <v>43</v>
          </cell>
          <cell r="T1177">
            <v>99</v>
          </cell>
          <cell r="U1177">
            <v>5</v>
          </cell>
          <cell r="V1177">
            <v>99</v>
          </cell>
          <cell r="W1177">
            <v>5</v>
          </cell>
          <cell r="X1177">
            <v>99</v>
          </cell>
          <cell r="Y1177">
            <v>5</v>
          </cell>
          <cell r="Z1177">
            <v>99</v>
          </cell>
          <cell r="AD1177" t="str">
            <v>0</v>
          </cell>
          <cell r="AE1177" t="str">
            <v>0</v>
          </cell>
          <cell r="AF1177" t="str">
            <v>00</v>
          </cell>
        </row>
        <row r="1178">
          <cell r="A1178" t="str">
            <v>02</v>
          </cell>
          <cell r="B1178" t="str">
            <v>02</v>
          </cell>
          <cell r="C1178" t="str">
            <v>641</v>
          </cell>
          <cell r="D1178" t="str">
            <v>Стрела-упор</v>
          </cell>
          <cell r="G1178" t="str">
            <v>02</v>
          </cell>
          <cell r="H1178">
            <v>68103.509999999995</v>
          </cell>
          <cell r="I1178">
            <v>0</v>
          </cell>
          <cell r="J1178">
            <v>0</v>
          </cell>
          <cell r="L1178" t="str">
            <v>20</v>
          </cell>
          <cell r="M1178" t="str">
            <v>41723</v>
          </cell>
          <cell r="P1178">
            <v>10</v>
          </cell>
          <cell r="Q1178">
            <v>0</v>
          </cell>
          <cell r="R1178" t="str">
            <v>1</v>
          </cell>
          <cell r="S1178" t="str">
            <v>41</v>
          </cell>
          <cell r="T1178">
            <v>99</v>
          </cell>
          <cell r="U1178">
            <v>5</v>
          </cell>
          <cell r="V1178">
            <v>99</v>
          </cell>
          <cell r="W1178">
            <v>5</v>
          </cell>
          <cell r="X1178">
            <v>99</v>
          </cell>
          <cell r="Y1178">
            <v>0</v>
          </cell>
          <cell r="Z1178">
            <v>0</v>
          </cell>
          <cell r="AD1178" t="str">
            <v>0</v>
          </cell>
          <cell r="AE1178" t="str">
            <v>0</v>
          </cell>
          <cell r="AF1178" t="str">
            <v>00</v>
          </cell>
        </row>
        <row r="1179">
          <cell r="A1179" t="str">
            <v>02</v>
          </cell>
          <cell r="B1179" t="str">
            <v>02</v>
          </cell>
          <cell r="C1179" t="str">
            <v>642</v>
          </cell>
          <cell r="D1179" t="str">
            <v>Стрела-упор</v>
          </cell>
          <cell r="G1179" t="str">
            <v>02</v>
          </cell>
          <cell r="H1179">
            <v>68103.509999999995</v>
          </cell>
          <cell r="I1179">
            <v>0</v>
          </cell>
          <cell r="J1179">
            <v>0</v>
          </cell>
          <cell r="L1179" t="str">
            <v>20</v>
          </cell>
          <cell r="M1179" t="str">
            <v>41723</v>
          </cell>
          <cell r="P1179">
            <v>10</v>
          </cell>
          <cell r="Q1179">
            <v>0</v>
          </cell>
          <cell r="R1179" t="str">
            <v>1</v>
          </cell>
          <cell r="S1179" t="str">
            <v>41</v>
          </cell>
          <cell r="T1179">
            <v>99</v>
          </cell>
          <cell r="U1179">
            <v>5</v>
          </cell>
          <cell r="V1179">
            <v>99</v>
          </cell>
          <cell r="W1179">
            <v>5</v>
          </cell>
          <cell r="X1179">
            <v>99</v>
          </cell>
          <cell r="Y1179">
            <v>0</v>
          </cell>
          <cell r="Z1179">
            <v>0</v>
          </cell>
          <cell r="AD1179" t="str">
            <v>0</v>
          </cell>
          <cell r="AE1179" t="str">
            <v>0</v>
          </cell>
          <cell r="AF1179" t="str">
            <v>00</v>
          </cell>
        </row>
        <row r="1180">
          <cell r="A1180" t="str">
            <v>02</v>
          </cell>
          <cell r="B1180" t="str">
            <v>02</v>
          </cell>
          <cell r="C1180" t="str">
            <v>643</v>
          </cell>
          <cell r="D1180" t="str">
            <v>Стрела-упор</v>
          </cell>
          <cell r="G1180" t="str">
            <v>02</v>
          </cell>
          <cell r="H1180">
            <v>68103.509999999995</v>
          </cell>
          <cell r="I1180">
            <v>0</v>
          </cell>
          <cell r="J1180">
            <v>0</v>
          </cell>
          <cell r="L1180" t="str">
            <v>20</v>
          </cell>
          <cell r="M1180" t="str">
            <v>41723</v>
          </cell>
          <cell r="P1180">
            <v>10</v>
          </cell>
          <cell r="Q1180">
            <v>0</v>
          </cell>
          <cell r="R1180" t="str">
            <v>1</v>
          </cell>
          <cell r="S1180" t="str">
            <v>41</v>
          </cell>
          <cell r="T1180">
            <v>99</v>
          </cell>
          <cell r="U1180">
            <v>5</v>
          </cell>
          <cell r="V1180">
            <v>99</v>
          </cell>
          <cell r="W1180">
            <v>5</v>
          </cell>
          <cell r="X1180">
            <v>99</v>
          </cell>
          <cell r="Y1180">
            <v>0</v>
          </cell>
          <cell r="Z1180">
            <v>0</v>
          </cell>
          <cell r="AD1180" t="str">
            <v>0</v>
          </cell>
          <cell r="AE1180" t="str">
            <v>0</v>
          </cell>
          <cell r="AF1180" t="str">
            <v>00</v>
          </cell>
        </row>
        <row r="1181">
          <cell r="A1181" t="str">
            <v>02</v>
          </cell>
          <cell r="B1181" t="str">
            <v>02</v>
          </cell>
          <cell r="C1181" t="str">
            <v>644</v>
          </cell>
          <cell r="D1181" t="str">
            <v>Стрела-упор</v>
          </cell>
          <cell r="G1181" t="str">
            <v>02</v>
          </cell>
          <cell r="H1181">
            <v>68103.509999999995</v>
          </cell>
          <cell r="I1181">
            <v>0</v>
          </cell>
          <cell r="J1181">
            <v>0</v>
          </cell>
          <cell r="L1181" t="str">
            <v>20</v>
          </cell>
          <cell r="M1181" t="str">
            <v>41723</v>
          </cell>
          <cell r="P1181">
            <v>10</v>
          </cell>
          <cell r="Q1181">
            <v>0</v>
          </cell>
          <cell r="R1181" t="str">
            <v>1</v>
          </cell>
          <cell r="S1181" t="str">
            <v>41</v>
          </cell>
          <cell r="T1181">
            <v>99</v>
          </cell>
          <cell r="U1181">
            <v>5</v>
          </cell>
          <cell r="V1181">
            <v>99</v>
          </cell>
          <cell r="W1181">
            <v>5</v>
          </cell>
          <cell r="X1181">
            <v>99</v>
          </cell>
          <cell r="Y1181">
            <v>0</v>
          </cell>
          <cell r="Z1181">
            <v>0</v>
          </cell>
          <cell r="AD1181" t="str">
            <v>0</v>
          </cell>
          <cell r="AE1181" t="str">
            <v>0</v>
          </cell>
          <cell r="AF1181" t="str">
            <v>00</v>
          </cell>
        </row>
        <row r="1182">
          <cell r="A1182" t="str">
            <v>02</v>
          </cell>
          <cell r="B1182" t="str">
            <v>02</v>
          </cell>
          <cell r="C1182" t="str">
            <v>645</v>
          </cell>
          <cell r="D1182" t="str">
            <v>Индикатор</v>
          </cell>
          <cell r="G1182" t="str">
            <v>02</v>
          </cell>
          <cell r="H1182">
            <v>21356.23</v>
          </cell>
          <cell r="I1182">
            <v>0</v>
          </cell>
          <cell r="J1182">
            <v>0</v>
          </cell>
          <cell r="L1182" t="str">
            <v>20</v>
          </cell>
          <cell r="M1182" t="str">
            <v>47045</v>
          </cell>
          <cell r="P1182">
            <v>9</v>
          </cell>
          <cell r="Q1182">
            <v>0</v>
          </cell>
          <cell r="R1182" t="str">
            <v>1</v>
          </cell>
          <cell r="S1182" t="str">
            <v>47</v>
          </cell>
          <cell r="T1182">
            <v>99</v>
          </cell>
          <cell r="U1182">
            <v>5</v>
          </cell>
          <cell r="V1182">
            <v>99</v>
          </cell>
          <cell r="W1182">
            <v>5</v>
          </cell>
          <cell r="X1182">
            <v>99</v>
          </cell>
          <cell r="Y1182">
            <v>0</v>
          </cell>
          <cell r="Z1182">
            <v>0</v>
          </cell>
          <cell r="AD1182" t="str">
            <v>0</v>
          </cell>
          <cell r="AE1182" t="str">
            <v>0</v>
          </cell>
          <cell r="AF1182" t="str">
            <v>00</v>
          </cell>
        </row>
        <row r="1183">
          <cell r="A1183" t="str">
            <v>02</v>
          </cell>
          <cell r="B1183" t="str">
            <v>02</v>
          </cell>
          <cell r="C1183" t="str">
            <v>646</v>
          </cell>
          <cell r="D1183" t="str">
            <v>Индикатор</v>
          </cell>
          <cell r="G1183" t="str">
            <v>02</v>
          </cell>
          <cell r="H1183">
            <v>21356.23</v>
          </cell>
          <cell r="I1183">
            <v>0</v>
          </cell>
          <cell r="J1183">
            <v>0</v>
          </cell>
          <cell r="L1183" t="str">
            <v>20</v>
          </cell>
          <cell r="M1183" t="str">
            <v>47045</v>
          </cell>
          <cell r="P1183">
            <v>9</v>
          </cell>
          <cell r="Q1183">
            <v>0</v>
          </cell>
          <cell r="R1183" t="str">
            <v>1</v>
          </cell>
          <cell r="S1183" t="str">
            <v>47</v>
          </cell>
          <cell r="T1183">
            <v>99</v>
          </cell>
          <cell r="U1183">
            <v>5</v>
          </cell>
          <cell r="V1183">
            <v>99</v>
          </cell>
          <cell r="W1183">
            <v>5</v>
          </cell>
          <cell r="X1183">
            <v>99</v>
          </cell>
          <cell r="Y1183">
            <v>0</v>
          </cell>
          <cell r="Z1183">
            <v>0</v>
          </cell>
          <cell r="AD1183" t="str">
            <v>0</v>
          </cell>
          <cell r="AE1183" t="str">
            <v>0</v>
          </cell>
          <cell r="AF1183" t="str">
            <v>00</v>
          </cell>
        </row>
        <row r="1184">
          <cell r="A1184" t="str">
            <v>02</v>
          </cell>
          <cell r="B1184" t="str">
            <v>02</v>
          </cell>
          <cell r="C1184" t="str">
            <v>647</v>
          </cell>
          <cell r="D1184" t="str">
            <v>Индикатор</v>
          </cell>
          <cell r="G1184" t="str">
            <v>02</v>
          </cell>
          <cell r="H1184">
            <v>21356.23</v>
          </cell>
          <cell r="I1184">
            <v>0</v>
          </cell>
          <cell r="J1184">
            <v>0</v>
          </cell>
          <cell r="L1184" t="str">
            <v>20</v>
          </cell>
          <cell r="M1184" t="str">
            <v>47045</v>
          </cell>
          <cell r="P1184">
            <v>9</v>
          </cell>
          <cell r="Q1184">
            <v>0</v>
          </cell>
          <cell r="R1184" t="str">
            <v>1</v>
          </cell>
          <cell r="S1184" t="str">
            <v>47</v>
          </cell>
          <cell r="T1184">
            <v>99</v>
          </cell>
          <cell r="U1184">
            <v>5</v>
          </cell>
          <cell r="V1184">
            <v>99</v>
          </cell>
          <cell r="W1184">
            <v>5</v>
          </cell>
          <cell r="X1184">
            <v>99</v>
          </cell>
          <cell r="Y1184">
            <v>0</v>
          </cell>
          <cell r="Z1184">
            <v>0</v>
          </cell>
          <cell r="AD1184" t="str">
            <v>0</v>
          </cell>
          <cell r="AE1184" t="str">
            <v>0</v>
          </cell>
          <cell r="AF1184" t="str">
            <v>00</v>
          </cell>
        </row>
        <row r="1185">
          <cell r="A1185" t="str">
            <v>02</v>
          </cell>
          <cell r="B1185" t="str">
            <v>02</v>
          </cell>
          <cell r="C1185" t="str">
            <v>648</v>
          </cell>
          <cell r="D1185" t="str">
            <v>Индикатор</v>
          </cell>
          <cell r="G1185" t="str">
            <v>02</v>
          </cell>
          <cell r="H1185">
            <v>21356.23</v>
          </cell>
          <cell r="I1185">
            <v>0</v>
          </cell>
          <cell r="J1185">
            <v>0</v>
          </cell>
          <cell r="L1185" t="str">
            <v>20</v>
          </cell>
          <cell r="M1185" t="str">
            <v>47045</v>
          </cell>
          <cell r="P1185">
            <v>9</v>
          </cell>
          <cell r="Q1185">
            <v>0</v>
          </cell>
          <cell r="R1185" t="str">
            <v>1</v>
          </cell>
          <cell r="S1185" t="str">
            <v>47</v>
          </cell>
          <cell r="T1185">
            <v>99</v>
          </cell>
          <cell r="U1185">
            <v>5</v>
          </cell>
          <cell r="V1185">
            <v>99</v>
          </cell>
          <cell r="W1185">
            <v>5</v>
          </cell>
          <cell r="X1185">
            <v>99</v>
          </cell>
          <cell r="Y1185">
            <v>0</v>
          </cell>
          <cell r="Z1185">
            <v>0</v>
          </cell>
          <cell r="AD1185" t="str">
            <v>0</v>
          </cell>
          <cell r="AE1185" t="str">
            <v>0</v>
          </cell>
          <cell r="AF1185" t="str">
            <v>00</v>
          </cell>
        </row>
        <row r="1186">
          <cell r="A1186" t="str">
            <v>02</v>
          </cell>
          <cell r="B1186" t="str">
            <v>80</v>
          </cell>
          <cell r="C1186" t="str">
            <v>649</v>
          </cell>
          <cell r="D1186" t="str">
            <v>Копировальный аппара</v>
          </cell>
          <cell r="E1186" t="str">
            <v>т</v>
          </cell>
          <cell r="G1186" t="str">
            <v>07</v>
          </cell>
          <cell r="H1186">
            <v>35500</v>
          </cell>
          <cell r="I1186">
            <v>0</v>
          </cell>
          <cell r="J1186">
            <v>0</v>
          </cell>
          <cell r="L1186" t="str">
            <v>26</v>
          </cell>
          <cell r="M1186" t="str">
            <v>44804</v>
          </cell>
          <cell r="P1186">
            <v>12.5</v>
          </cell>
          <cell r="Q1186">
            <v>0</v>
          </cell>
          <cell r="R1186" t="str">
            <v>1</v>
          </cell>
          <cell r="S1186" t="str">
            <v>44</v>
          </cell>
          <cell r="T1186">
            <v>99</v>
          </cell>
          <cell r="U1186">
            <v>5</v>
          </cell>
          <cell r="V1186">
            <v>99</v>
          </cell>
          <cell r="W1186">
            <v>5</v>
          </cell>
          <cell r="X1186">
            <v>99</v>
          </cell>
          <cell r="Y1186">
            <v>0</v>
          </cell>
          <cell r="Z1186">
            <v>0</v>
          </cell>
          <cell r="AD1186" t="str">
            <v>0</v>
          </cell>
          <cell r="AE1186" t="str">
            <v>0</v>
          </cell>
          <cell r="AF1186" t="str">
            <v>00</v>
          </cell>
        </row>
        <row r="1187">
          <cell r="A1187" t="str">
            <v>02</v>
          </cell>
          <cell r="B1187" t="str">
            <v>80</v>
          </cell>
          <cell r="C1187" t="str">
            <v>650</v>
          </cell>
          <cell r="D1187" t="str">
            <v>Копировальный аппара</v>
          </cell>
          <cell r="E1187" t="str">
            <v>т</v>
          </cell>
          <cell r="G1187" t="str">
            <v>07</v>
          </cell>
          <cell r="H1187">
            <v>35500</v>
          </cell>
          <cell r="I1187">
            <v>0</v>
          </cell>
          <cell r="J1187">
            <v>0</v>
          </cell>
          <cell r="L1187" t="str">
            <v>26</v>
          </cell>
          <cell r="M1187" t="str">
            <v>44804</v>
          </cell>
          <cell r="P1187">
            <v>12.5</v>
          </cell>
          <cell r="Q1187">
            <v>0</v>
          </cell>
          <cell r="R1187" t="str">
            <v>1</v>
          </cell>
          <cell r="S1187" t="str">
            <v>44</v>
          </cell>
          <cell r="T1187">
            <v>99</v>
          </cell>
          <cell r="U1187">
            <v>5</v>
          </cell>
          <cell r="V1187">
            <v>99</v>
          </cell>
          <cell r="W1187">
            <v>5</v>
          </cell>
          <cell r="X1187">
            <v>99</v>
          </cell>
          <cell r="Y1187">
            <v>0</v>
          </cell>
          <cell r="Z1187">
            <v>0</v>
          </cell>
          <cell r="AD1187" t="str">
            <v>0</v>
          </cell>
          <cell r="AE1187" t="str">
            <v>0</v>
          </cell>
          <cell r="AF1187" t="str">
            <v>00</v>
          </cell>
        </row>
        <row r="1188">
          <cell r="A1188" t="str">
            <v>02</v>
          </cell>
          <cell r="B1188" t="str">
            <v>02</v>
          </cell>
          <cell r="C1188" t="str">
            <v>651</v>
          </cell>
          <cell r="D1188" t="str">
            <v>Станок заточный ИЗ-9</v>
          </cell>
          <cell r="E1188" t="str">
            <v>701</v>
          </cell>
          <cell r="G1188" t="str">
            <v>07</v>
          </cell>
          <cell r="H1188">
            <v>7400</v>
          </cell>
          <cell r="I1188">
            <v>0</v>
          </cell>
          <cell r="J1188">
            <v>0</v>
          </cell>
          <cell r="L1188" t="str">
            <v>20</v>
          </cell>
          <cell r="M1188" t="str">
            <v>41000</v>
          </cell>
          <cell r="P1188">
            <v>3.5</v>
          </cell>
          <cell r="Q1188">
            <v>0</v>
          </cell>
          <cell r="R1188" t="str">
            <v>1</v>
          </cell>
          <cell r="S1188" t="str">
            <v>41</v>
          </cell>
          <cell r="T1188">
            <v>99</v>
          </cell>
          <cell r="U1188">
            <v>5</v>
          </cell>
          <cell r="V1188">
            <v>99</v>
          </cell>
          <cell r="W1188">
            <v>5</v>
          </cell>
          <cell r="X1188">
            <v>99</v>
          </cell>
          <cell r="Y1188">
            <v>0</v>
          </cell>
          <cell r="Z1188">
            <v>0</v>
          </cell>
          <cell r="AD1188" t="str">
            <v>0</v>
          </cell>
          <cell r="AE1188" t="str">
            <v>0</v>
          </cell>
          <cell r="AF1188" t="str">
            <v>00</v>
          </cell>
        </row>
        <row r="1189">
          <cell r="A1189" t="str">
            <v>02</v>
          </cell>
          <cell r="B1189" t="str">
            <v>02</v>
          </cell>
          <cell r="C1189" t="str">
            <v>652</v>
          </cell>
          <cell r="D1189" t="str">
            <v>Станок заточный ИЗ-9</v>
          </cell>
          <cell r="E1189" t="str">
            <v>701</v>
          </cell>
          <cell r="G1189" t="str">
            <v>07</v>
          </cell>
          <cell r="H1189">
            <v>7400</v>
          </cell>
          <cell r="I1189">
            <v>0</v>
          </cell>
          <cell r="J1189">
            <v>0</v>
          </cell>
          <cell r="L1189" t="str">
            <v>20</v>
          </cell>
          <cell r="M1189" t="str">
            <v>41000</v>
          </cell>
          <cell r="P1189">
            <v>3.5</v>
          </cell>
          <cell r="Q1189">
            <v>0</v>
          </cell>
          <cell r="R1189" t="str">
            <v>1</v>
          </cell>
          <cell r="S1189" t="str">
            <v>41</v>
          </cell>
          <cell r="T1189">
            <v>99</v>
          </cell>
          <cell r="U1189">
            <v>5</v>
          </cell>
          <cell r="V1189">
            <v>99</v>
          </cell>
          <cell r="W1189">
            <v>5</v>
          </cell>
          <cell r="X1189">
            <v>99</v>
          </cell>
          <cell r="Y1189">
            <v>0</v>
          </cell>
          <cell r="Z1189">
            <v>0</v>
          </cell>
          <cell r="AD1189" t="str">
            <v>0</v>
          </cell>
          <cell r="AE1189" t="str">
            <v>0</v>
          </cell>
          <cell r="AF1189" t="str">
            <v>00</v>
          </cell>
        </row>
        <row r="1190">
          <cell r="A1190" t="str">
            <v>02</v>
          </cell>
          <cell r="B1190" t="str">
            <v>05</v>
          </cell>
          <cell r="C1190" t="str">
            <v>653</v>
          </cell>
          <cell r="D1190" t="str">
            <v>Станок заточный ИЗ-9</v>
          </cell>
          <cell r="E1190" t="str">
            <v>701</v>
          </cell>
          <cell r="G1190" t="str">
            <v>07</v>
          </cell>
          <cell r="H1190">
            <v>7400</v>
          </cell>
          <cell r="I1190">
            <v>0</v>
          </cell>
          <cell r="J1190">
            <v>0</v>
          </cell>
          <cell r="L1190" t="str">
            <v>20</v>
          </cell>
          <cell r="M1190" t="str">
            <v>41000</v>
          </cell>
          <cell r="P1190">
            <v>3.5</v>
          </cell>
          <cell r="Q1190">
            <v>0</v>
          </cell>
          <cell r="R1190" t="str">
            <v>1</v>
          </cell>
          <cell r="S1190" t="str">
            <v>41</v>
          </cell>
          <cell r="T1190">
            <v>99</v>
          </cell>
          <cell r="U1190">
            <v>5</v>
          </cell>
          <cell r="V1190">
            <v>99</v>
          </cell>
          <cell r="W1190">
            <v>5</v>
          </cell>
          <cell r="X1190">
            <v>99</v>
          </cell>
          <cell r="Y1190">
            <v>0</v>
          </cell>
          <cell r="Z1190">
            <v>0</v>
          </cell>
          <cell r="AB1190" t="str">
            <v>14</v>
          </cell>
          <cell r="AC1190">
            <v>7</v>
          </cell>
          <cell r="AD1190" t="str">
            <v>0</v>
          </cell>
          <cell r="AE1190" t="str">
            <v>0</v>
          </cell>
          <cell r="AF1190" t="str">
            <v>00</v>
          </cell>
        </row>
        <row r="1191">
          <cell r="A1191" t="str">
            <v>02</v>
          </cell>
          <cell r="B1191" t="str">
            <v>02</v>
          </cell>
          <cell r="C1191" t="str">
            <v>654</v>
          </cell>
          <cell r="D1191" t="str">
            <v>Подвеска троллейная</v>
          </cell>
          <cell r="G1191" t="str">
            <v>02</v>
          </cell>
          <cell r="H1191">
            <v>89884</v>
          </cell>
          <cell r="I1191">
            <v>0</v>
          </cell>
          <cell r="J1191">
            <v>0</v>
          </cell>
          <cell r="L1191" t="str">
            <v>20</v>
          </cell>
          <cell r="M1191" t="str">
            <v>43814</v>
          </cell>
          <cell r="P1191">
            <v>33.299999999999997</v>
          </cell>
          <cell r="Q1191">
            <v>0</v>
          </cell>
          <cell r="R1191" t="str">
            <v>1</v>
          </cell>
          <cell r="S1191" t="str">
            <v>43</v>
          </cell>
          <cell r="T1191">
            <v>99</v>
          </cell>
          <cell r="U1191">
            <v>6</v>
          </cell>
          <cell r="V1191">
            <v>99</v>
          </cell>
          <cell r="W1191">
            <v>6</v>
          </cell>
          <cell r="X1191">
            <v>99</v>
          </cell>
          <cell r="Y1191">
            <v>0</v>
          </cell>
          <cell r="Z1191">
            <v>0</v>
          </cell>
          <cell r="AB1191" t="str">
            <v>14</v>
          </cell>
          <cell r="AC1191">
            <v>8</v>
          </cell>
          <cell r="AD1191" t="str">
            <v>0</v>
          </cell>
          <cell r="AE1191" t="str">
            <v>0</v>
          </cell>
          <cell r="AF1191" t="str">
            <v>00</v>
          </cell>
        </row>
        <row r="1192">
          <cell r="A1192" t="str">
            <v>02</v>
          </cell>
          <cell r="B1192" t="str">
            <v>02</v>
          </cell>
          <cell r="C1192" t="str">
            <v>655</v>
          </cell>
          <cell r="D1192" t="str">
            <v>Подвеска троллейная</v>
          </cell>
          <cell r="G1192" t="str">
            <v>02</v>
          </cell>
          <cell r="H1192">
            <v>89884</v>
          </cell>
          <cell r="I1192">
            <v>0</v>
          </cell>
          <cell r="J1192">
            <v>0</v>
          </cell>
          <cell r="L1192" t="str">
            <v>20</v>
          </cell>
          <cell r="M1192" t="str">
            <v>43814</v>
          </cell>
          <cell r="P1192">
            <v>33.299999999999997</v>
          </cell>
          <cell r="Q1192">
            <v>0</v>
          </cell>
          <cell r="R1192" t="str">
            <v>1</v>
          </cell>
          <cell r="S1192" t="str">
            <v>43</v>
          </cell>
          <cell r="T1192">
            <v>99</v>
          </cell>
          <cell r="U1192">
            <v>6</v>
          </cell>
          <cell r="V1192">
            <v>99</v>
          </cell>
          <cell r="W1192">
            <v>6</v>
          </cell>
          <cell r="X1192">
            <v>99</v>
          </cell>
          <cell r="Y1192">
            <v>0</v>
          </cell>
          <cell r="Z1192">
            <v>0</v>
          </cell>
          <cell r="AB1192" t="str">
            <v>14</v>
          </cell>
          <cell r="AC1192">
            <v>8</v>
          </cell>
          <cell r="AD1192" t="str">
            <v>0</v>
          </cell>
          <cell r="AE1192" t="str">
            <v>0</v>
          </cell>
          <cell r="AF1192" t="str">
            <v>00</v>
          </cell>
        </row>
        <row r="1193">
          <cell r="A1193" t="str">
            <v>02</v>
          </cell>
          <cell r="B1193" t="str">
            <v>02</v>
          </cell>
          <cell r="C1193" t="str">
            <v>656</v>
          </cell>
          <cell r="D1193" t="str">
            <v>Подвеска троллейная</v>
          </cell>
          <cell r="G1193" t="str">
            <v>02</v>
          </cell>
          <cell r="H1193">
            <v>89884</v>
          </cell>
          <cell r="I1193">
            <v>0</v>
          </cell>
          <cell r="J1193">
            <v>0</v>
          </cell>
          <cell r="L1193" t="str">
            <v>20</v>
          </cell>
          <cell r="M1193" t="str">
            <v>43814</v>
          </cell>
          <cell r="P1193">
            <v>33.299999999999997</v>
          </cell>
          <cell r="Q1193">
            <v>0</v>
          </cell>
          <cell r="R1193" t="str">
            <v>1</v>
          </cell>
          <cell r="S1193" t="str">
            <v>43</v>
          </cell>
          <cell r="T1193">
            <v>99</v>
          </cell>
          <cell r="U1193">
            <v>6</v>
          </cell>
          <cell r="V1193">
            <v>99</v>
          </cell>
          <cell r="W1193">
            <v>6</v>
          </cell>
          <cell r="X1193">
            <v>99</v>
          </cell>
          <cell r="Y1193">
            <v>0</v>
          </cell>
          <cell r="Z1193">
            <v>0</v>
          </cell>
          <cell r="AB1193" t="str">
            <v>14</v>
          </cell>
          <cell r="AC1193">
            <v>8</v>
          </cell>
          <cell r="AD1193" t="str">
            <v>0</v>
          </cell>
          <cell r="AE1193" t="str">
            <v>0</v>
          </cell>
          <cell r="AF1193" t="str">
            <v>00</v>
          </cell>
        </row>
        <row r="1194">
          <cell r="A1194" t="str">
            <v>02</v>
          </cell>
          <cell r="B1194" t="str">
            <v>02</v>
          </cell>
          <cell r="C1194" t="str">
            <v>657</v>
          </cell>
          <cell r="D1194" t="str">
            <v>Машина подкопочная</v>
          </cell>
          <cell r="E1194" t="str">
            <v>МПТ-1220</v>
          </cell>
          <cell r="G1194" t="str">
            <v>02</v>
          </cell>
          <cell r="H1194">
            <v>228000</v>
          </cell>
          <cell r="I1194">
            <v>0</v>
          </cell>
          <cell r="J1194">
            <v>0</v>
          </cell>
          <cell r="L1194" t="str">
            <v>20</v>
          </cell>
          <cell r="M1194" t="str">
            <v>43803</v>
          </cell>
          <cell r="P1194">
            <v>33.299999999999997</v>
          </cell>
          <cell r="Q1194">
            <v>0</v>
          </cell>
          <cell r="R1194" t="str">
            <v>1</v>
          </cell>
          <cell r="S1194" t="str">
            <v>43</v>
          </cell>
          <cell r="T1194">
            <v>99</v>
          </cell>
          <cell r="U1194">
            <v>6</v>
          </cell>
          <cell r="V1194">
            <v>99</v>
          </cell>
          <cell r="W1194">
            <v>6</v>
          </cell>
          <cell r="X1194">
            <v>99</v>
          </cell>
          <cell r="Y1194">
            <v>0</v>
          </cell>
          <cell r="Z1194">
            <v>0</v>
          </cell>
          <cell r="AD1194" t="str">
            <v>0</v>
          </cell>
          <cell r="AE1194" t="str">
            <v>0</v>
          </cell>
          <cell r="AF1194" t="str">
            <v>00</v>
          </cell>
        </row>
        <row r="1195">
          <cell r="A1195" t="str">
            <v>02</v>
          </cell>
          <cell r="B1195" t="str">
            <v>41</v>
          </cell>
          <cell r="C1195" t="str">
            <v>658</v>
          </cell>
          <cell r="D1195" t="str">
            <v>Дефектоскоп КРОНА- Р</v>
          </cell>
          <cell r="E1195" t="str">
            <v>М</v>
          </cell>
          <cell r="G1195" t="str">
            <v>02</v>
          </cell>
          <cell r="H1195">
            <v>19200</v>
          </cell>
          <cell r="I1195">
            <v>0</v>
          </cell>
          <cell r="J1195">
            <v>0</v>
          </cell>
          <cell r="L1195" t="str">
            <v>20</v>
          </cell>
          <cell r="M1195" t="str">
            <v>47015</v>
          </cell>
          <cell r="P1195">
            <v>14.3</v>
          </cell>
          <cell r="Q1195">
            <v>0</v>
          </cell>
          <cell r="R1195" t="str">
            <v>1</v>
          </cell>
          <cell r="S1195" t="str">
            <v>47</v>
          </cell>
          <cell r="T1195">
            <v>99</v>
          </cell>
          <cell r="U1195">
            <v>6</v>
          </cell>
          <cell r="V1195">
            <v>99</v>
          </cell>
          <cell r="W1195">
            <v>6</v>
          </cell>
          <cell r="X1195">
            <v>99</v>
          </cell>
          <cell r="Y1195">
            <v>0</v>
          </cell>
          <cell r="Z1195">
            <v>0</v>
          </cell>
          <cell r="AD1195" t="str">
            <v>0</v>
          </cell>
          <cell r="AE1195" t="str">
            <v>0</v>
          </cell>
          <cell r="AF1195" t="str">
            <v>00</v>
          </cell>
        </row>
        <row r="1196">
          <cell r="A1196" t="str">
            <v>02</v>
          </cell>
          <cell r="B1196" t="str">
            <v>02</v>
          </cell>
          <cell r="C1196" t="str">
            <v>659</v>
          </cell>
          <cell r="D1196" t="str">
            <v>Машина изоляционная</v>
          </cell>
          <cell r="E1196" t="str">
            <v>асмольно-битумная</v>
          </cell>
          <cell r="F1196" t="str">
            <v>МИАБ-1220</v>
          </cell>
          <cell r="G1196" t="str">
            <v>02</v>
          </cell>
          <cell r="H1196">
            <v>413333.33</v>
          </cell>
          <cell r="I1196">
            <v>0</v>
          </cell>
          <cell r="J1196">
            <v>0</v>
          </cell>
          <cell r="L1196" t="str">
            <v>20</v>
          </cell>
          <cell r="M1196" t="str">
            <v>43803</v>
          </cell>
          <cell r="P1196">
            <v>33.299999999999997</v>
          </cell>
          <cell r="Q1196">
            <v>0</v>
          </cell>
          <cell r="R1196" t="str">
            <v>1</v>
          </cell>
          <cell r="S1196" t="str">
            <v>43</v>
          </cell>
          <cell r="T1196">
            <v>99</v>
          </cell>
          <cell r="U1196">
            <v>6</v>
          </cell>
          <cell r="V1196">
            <v>99</v>
          </cell>
          <cell r="W1196">
            <v>6</v>
          </cell>
          <cell r="X1196">
            <v>99</v>
          </cell>
          <cell r="Y1196">
            <v>0</v>
          </cell>
          <cell r="Z1196">
            <v>0</v>
          </cell>
          <cell r="AD1196" t="str">
            <v>0</v>
          </cell>
          <cell r="AE1196" t="str">
            <v>0</v>
          </cell>
          <cell r="AF1196" t="str">
            <v>00</v>
          </cell>
        </row>
        <row r="1197">
          <cell r="A1197" t="str">
            <v>02</v>
          </cell>
          <cell r="B1197" t="str">
            <v>02</v>
          </cell>
          <cell r="C1197" t="str">
            <v>660</v>
          </cell>
          <cell r="D1197" t="str">
            <v>Котел эл.асмоло-плав</v>
          </cell>
          <cell r="E1197" t="str">
            <v>ильный КАПЭ-2400</v>
          </cell>
          <cell r="G1197" t="str">
            <v>02</v>
          </cell>
          <cell r="H1197">
            <v>475000</v>
          </cell>
          <cell r="I1197">
            <v>0</v>
          </cell>
          <cell r="J1197">
            <v>0</v>
          </cell>
          <cell r="L1197" t="str">
            <v>20</v>
          </cell>
          <cell r="M1197" t="str">
            <v>40005</v>
          </cell>
          <cell r="P1197">
            <v>14.3</v>
          </cell>
          <cell r="Q1197">
            <v>0</v>
          </cell>
          <cell r="R1197" t="str">
            <v>1</v>
          </cell>
          <cell r="S1197" t="str">
            <v>40</v>
          </cell>
          <cell r="T1197">
            <v>99</v>
          </cell>
          <cell r="U1197">
            <v>6</v>
          </cell>
          <cell r="V1197">
            <v>99</v>
          </cell>
          <cell r="W1197">
            <v>6</v>
          </cell>
          <cell r="X1197">
            <v>99</v>
          </cell>
          <cell r="Y1197">
            <v>0</v>
          </cell>
          <cell r="Z1197">
            <v>0</v>
          </cell>
          <cell r="AD1197" t="str">
            <v>0</v>
          </cell>
          <cell r="AE1197" t="str">
            <v>0</v>
          </cell>
          <cell r="AF1197" t="str">
            <v>00</v>
          </cell>
        </row>
        <row r="1198">
          <cell r="A1198" t="str">
            <v>02</v>
          </cell>
          <cell r="B1198" t="str">
            <v>02</v>
          </cell>
          <cell r="C1198" t="str">
            <v>661</v>
          </cell>
          <cell r="D1198" t="str">
            <v>Машина грунтовочная</v>
          </cell>
          <cell r="E1198" t="str">
            <v>МГ-1220</v>
          </cell>
          <cell r="G1198" t="str">
            <v>02</v>
          </cell>
          <cell r="H1198">
            <v>279166.67</v>
          </cell>
          <cell r="I1198">
            <v>0</v>
          </cell>
          <cell r="J1198">
            <v>0</v>
          </cell>
          <cell r="L1198" t="str">
            <v>20</v>
          </cell>
          <cell r="M1198" t="str">
            <v>43803</v>
          </cell>
          <cell r="P1198">
            <v>33.299999999999997</v>
          </cell>
          <cell r="Q1198">
            <v>0</v>
          </cell>
          <cell r="R1198" t="str">
            <v>1</v>
          </cell>
          <cell r="S1198" t="str">
            <v>43</v>
          </cell>
          <cell r="T1198">
            <v>99</v>
          </cell>
          <cell r="U1198">
            <v>6</v>
          </cell>
          <cell r="V1198">
            <v>99</v>
          </cell>
          <cell r="W1198">
            <v>6</v>
          </cell>
          <cell r="X1198">
            <v>99</v>
          </cell>
          <cell r="Y1198">
            <v>0</v>
          </cell>
          <cell r="Z1198">
            <v>0</v>
          </cell>
          <cell r="AD1198" t="str">
            <v>0</v>
          </cell>
          <cell r="AE1198" t="str">
            <v>0</v>
          </cell>
          <cell r="AF1198" t="str">
            <v>00</v>
          </cell>
        </row>
        <row r="1199">
          <cell r="A1199" t="str">
            <v>02</v>
          </cell>
          <cell r="B1199" t="str">
            <v>71</v>
          </cell>
          <cell r="C1199" t="str">
            <v>662</v>
          </cell>
          <cell r="D1199" t="str">
            <v>Мотопомпа 27/100</v>
          </cell>
          <cell r="G1199" t="str">
            <v>02</v>
          </cell>
          <cell r="H1199">
            <v>80000</v>
          </cell>
          <cell r="I1199">
            <v>0</v>
          </cell>
          <cell r="J1199">
            <v>0</v>
          </cell>
          <cell r="L1199" t="str">
            <v>23</v>
          </cell>
          <cell r="M1199" t="str">
            <v>41502</v>
          </cell>
          <cell r="P1199">
            <v>12.5</v>
          </cell>
          <cell r="Q1199">
            <v>0</v>
          </cell>
          <cell r="R1199" t="str">
            <v>1</v>
          </cell>
          <cell r="S1199" t="str">
            <v>41</v>
          </cell>
          <cell r="T1199">
            <v>99</v>
          </cell>
          <cell r="U1199">
            <v>6</v>
          </cell>
          <cell r="V1199">
            <v>99</v>
          </cell>
          <cell r="W1199">
            <v>6</v>
          </cell>
          <cell r="X1199">
            <v>99</v>
          </cell>
          <cell r="Y1199">
            <v>0</v>
          </cell>
          <cell r="Z1199">
            <v>0</v>
          </cell>
          <cell r="AB1199" t="str">
            <v>14</v>
          </cell>
          <cell r="AC1199">
            <v>8</v>
          </cell>
          <cell r="AD1199" t="str">
            <v>0</v>
          </cell>
          <cell r="AE1199" t="str">
            <v>0</v>
          </cell>
          <cell r="AF1199" t="str">
            <v>00</v>
          </cell>
        </row>
        <row r="1200">
          <cell r="A1200" t="str">
            <v>02</v>
          </cell>
          <cell r="B1200" t="str">
            <v>02</v>
          </cell>
          <cell r="C1200" t="str">
            <v>663</v>
          </cell>
          <cell r="D1200" t="str">
            <v>Мотопомпа 27/100</v>
          </cell>
          <cell r="G1200" t="str">
            <v>02</v>
          </cell>
          <cell r="H1200">
            <v>80000</v>
          </cell>
          <cell r="I1200">
            <v>0</v>
          </cell>
          <cell r="J1200">
            <v>0</v>
          </cell>
          <cell r="L1200" t="str">
            <v>20</v>
          </cell>
          <cell r="M1200" t="str">
            <v>41502</v>
          </cell>
          <cell r="P1200">
            <v>12.5</v>
          </cell>
          <cell r="Q1200">
            <v>0</v>
          </cell>
          <cell r="R1200" t="str">
            <v>1</v>
          </cell>
          <cell r="S1200" t="str">
            <v>41</v>
          </cell>
          <cell r="T1200">
            <v>99</v>
          </cell>
          <cell r="U1200">
            <v>6</v>
          </cell>
          <cell r="V1200">
            <v>99</v>
          </cell>
          <cell r="W1200">
            <v>6</v>
          </cell>
          <cell r="X1200">
            <v>99</v>
          </cell>
          <cell r="Y1200">
            <v>0</v>
          </cell>
          <cell r="Z1200">
            <v>0</v>
          </cell>
          <cell r="AB1200" t="str">
            <v>14</v>
          </cell>
          <cell r="AC1200">
            <v>8</v>
          </cell>
          <cell r="AD1200" t="str">
            <v>0</v>
          </cell>
          <cell r="AE1200" t="str">
            <v>0</v>
          </cell>
          <cell r="AF1200" t="str">
            <v>00</v>
          </cell>
        </row>
        <row r="1201">
          <cell r="A1201" t="str">
            <v>02</v>
          </cell>
          <cell r="B1201" t="str">
            <v>02</v>
          </cell>
          <cell r="C1201" t="str">
            <v>664</v>
          </cell>
          <cell r="D1201" t="str">
            <v>Мотопомпа 27/100</v>
          </cell>
          <cell r="G1201" t="str">
            <v>02</v>
          </cell>
          <cell r="H1201">
            <v>80000</v>
          </cell>
          <cell r="I1201">
            <v>0</v>
          </cell>
          <cell r="J1201">
            <v>0</v>
          </cell>
          <cell r="L1201" t="str">
            <v>20</v>
          </cell>
          <cell r="M1201" t="str">
            <v>41502</v>
          </cell>
          <cell r="P1201">
            <v>12.5</v>
          </cell>
          <cell r="Q1201">
            <v>0</v>
          </cell>
          <cell r="R1201" t="str">
            <v>1</v>
          </cell>
          <cell r="S1201" t="str">
            <v>41</v>
          </cell>
          <cell r="T1201">
            <v>99</v>
          </cell>
          <cell r="U1201">
            <v>6</v>
          </cell>
          <cell r="V1201">
            <v>99</v>
          </cell>
          <cell r="W1201">
            <v>6</v>
          </cell>
          <cell r="X1201">
            <v>99</v>
          </cell>
          <cell r="Y1201">
            <v>0</v>
          </cell>
          <cell r="Z1201">
            <v>0</v>
          </cell>
          <cell r="AB1201" t="str">
            <v>14</v>
          </cell>
          <cell r="AC1201">
            <v>8</v>
          </cell>
          <cell r="AD1201" t="str">
            <v>0</v>
          </cell>
          <cell r="AE1201" t="str">
            <v>0</v>
          </cell>
          <cell r="AF1201" t="str">
            <v>00</v>
          </cell>
        </row>
        <row r="1202">
          <cell r="A1202" t="str">
            <v>02</v>
          </cell>
          <cell r="B1202" t="str">
            <v>02</v>
          </cell>
          <cell r="C1202" t="str">
            <v>665</v>
          </cell>
          <cell r="D1202" t="str">
            <v>Мотопомпа 27/100</v>
          </cell>
          <cell r="G1202" t="str">
            <v>02</v>
          </cell>
          <cell r="H1202">
            <v>80000</v>
          </cell>
          <cell r="I1202">
            <v>0</v>
          </cell>
          <cell r="J1202">
            <v>0</v>
          </cell>
          <cell r="L1202" t="str">
            <v>20</v>
          </cell>
          <cell r="M1202" t="str">
            <v>41502</v>
          </cell>
          <cell r="P1202">
            <v>12.5</v>
          </cell>
          <cell r="Q1202">
            <v>0</v>
          </cell>
          <cell r="R1202" t="str">
            <v>1</v>
          </cell>
          <cell r="S1202" t="str">
            <v>41</v>
          </cell>
          <cell r="T1202">
            <v>99</v>
          </cell>
          <cell r="U1202">
            <v>6</v>
          </cell>
          <cell r="V1202">
            <v>99</v>
          </cell>
          <cell r="W1202">
            <v>6</v>
          </cell>
          <cell r="X1202">
            <v>99</v>
          </cell>
          <cell r="Y1202">
            <v>0</v>
          </cell>
          <cell r="Z1202">
            <v>0</v>
          </cell>
          <cell r="AB1202" t="str">
            <v>14</v>
          </cell>
          <cell r="AC1202">
            <v>8</v>
          </cell>
          <cell r="AD1202" t="str">
            <v>0</v>
          </cell>
          <cell r="AE1202" t="str">
            <v>0</v>
          </cell>
          <cell r="AF1202" t="str">
            <v>00</v>
          </cell>
        </row>
        <row r="1203">
          <cell r="A1203" t="str">
            <v>02</v>
          </cell>
          <cell r="B1203" t="str">
            <v>02</v>
          </cell>
          <cell r="C1203" t="str">
            <v>666</v>
          </cell>
          <cell r="D1203" t="str">
            <v>Машина подкопочная М</v>
          </cell>
          <cell r="E1203" t="str">
            <v>ПТ-820 зав.N8</v>
          </cell>
          <cell r="F1203" t="str">
            <v>г.Верхние Луки ЦБПО</v>
          </cell>
          <cell r="G1203" t="str">
            <v>02</v>
          </cell>
          <cell r="H1203">
            <v>190000</v>
          </cell>
          <cell r="I1203">
            <v>0</v>
          </cell>
          <cell r="J1203">
            <v>0</v>
          </cell>
          <cell r="L1203" t="str">
            <v>20</v>
          </cell>
          <cell r="M1203" t="str">
            <v>43803</v>
          </cell>
          <cell r="P1203">
            <v>33.299999999999997</v>
          </cell>
          <cell r="Q1203">
            <v>0</v>
          </cell>
          <cell r="R1203" t="str">
            <v>1</v>
          </cell>
          <cell r="S1203" t="str">
            <v>43</v>
          </cell>
          <cell r="T1203">
            <v>99</v>
          </cell>
          <cell r="U1203">
            <v>7</v>
          </cell>
          <cell r="V1203">
            <v>99</v>
          </cell>
          <cell r="W1203">
            <v>7</v>
          </cell>
          <cell r="X1203">
            <v>99</v>
          </cell>
          <cell r="Y1203">
            <v>0</v>
          </cell>
          <cell r="Z1203">
            <v>0</v>
          </cell>
          <cell r="AD1203" t="str">
            <v>0</v>
          </cell>
          <cell r="AE1203" t="str">
            <v>0</v>
          </cell>
          <cell r="AF1203" t="str">
            <v>00</v>
          </cell>
        </row>
        <row r="1204">
          <cell r="A1204" t="str">
            <v>02</v>
          </cell>
          <cell r="B1204" t="str">
            <v>03</v>
          </cell>
          <cell r="C1204" t="str">
            <v>667</v>
          </cell>
          <cell r="D1204" t="str">
            <v>Эл.станция дизельная</v>
          </cell>
          <cell r="E1204" t="str">
            <v>на прицепе АД100-Т40</v>
          </cell>
          <cell r="F1204" t="str">
            <v>0</v>
          </cell>
          <cell r="G1204" t="str">
            <v>02</v>
          </cell>
          <cell r="H1204">
            <v>168500</v>
          </cell>
          <cell r="I1204">
            <v>0</v>
          </cell>
          <cell r="J1204">
            <v>185350</v>
          </cell>
          <cell r="L1204" t="str">
            <v>26</v>
          </cell>
          <cell r="M1204" t="str">
            <v>40307</v>
          </cell>
          <cell r="P1204">
            <v>14.3</v>
          </cell>
          <cell r="Q1204">
            <v>0</v>
          </cell>
          <cell r="R1204" t="str">
            <v>1</v>
          </cell>
          <cell r="S1204" t="str">
            <v>40</v>
          </cell>
          <cell r="T1204">
            <v>99</v>
          </cell>
          <cell r="U1204">
            <v>7</v>
          </cell>
          <cell r="V1204">
            <v>99</v>
          </cell>
          <cell r="W1204">
            <v>7</v>
          </cell>
          <cell r="X1204">
            <v>99</v>
          </cell>
          <cell r="Y1204">
            <v>7</v>
          </cell>
          <cell r="Z1204">
            <v>99</v>
          </cell>
          <cell r="AD1204" t="str">
            <v>0</v>
          </cell>
          <cell r="AE1204" t="str">
            <v>0</v>
          </cell>
          <cell r="AF1204" t="str">
            <v>00</v>
          </cell>
        </row>
        <row r="1205">
          <cell r="A1205" t="str">
            <v>02</v>
          </cell>
          <cell r="B1205" t="str">
            <v>02</v>
          </cell>
          <cell r="C1205" t="str">
            <v>668</v>
          </cell>
          <cell r="D1205" t="str">
            <v>Радиотелефон MCS2000</v>
          </cell>
          <cell r="E1205" t="str">
            <v>зав.N623 изг.США "Мо</v>
          </cell>
          <cell r="F1205" t="str">
            <v>торолла ИНК"</v>
          </cell>
          <cell r="G1205" t="str">
            <v>02</v>
          </cell>
          <cell r="H1205">
            <v>15931.68</v>
          </cell>
          <cell r="I1205">
            <v>0</v>
          </cell>
          <cell r="J1205">
            <v>0</v>
          </cell>
          <cell r="L1205" t="str">
            <v>20</v>
          </cell>
          <cell r="M1205" t="str">
            <v>45620</v>
          </cell>
          <cell r="P1205">
            <v>12.5</v>
          </cell>
          <cell r="Q1205">
            <v>0</v>
          </cell>
          <cell r="R1205" t="str">
            <v>1</v>
          </cell>
          <cell r="S1205" t="str">
            <v>45</v>
          </cell>
          <cell r="T1205">
            <v>99</v>
          </cell>
          <cell r="U1205">
            <v>7</v>
          </cell>
          <cell r="V1205">
            <v>99</v>
          </cell>
          <cell r="W1205">
            <v>7</v>
          </cell>
          <cell r="X1205">
            <v>99</v>
          </cell>
          <cell r="Y1205">
            <v>0</v>
          </cell>
          <cell r="Z1205">
            <v>0</v>
          </cell>
          <cell r="AD1205" t="str">
            <v>0</v>
          </cell>
          <cell r="AE1205" t="str">
            <v>0</v>
          </cell>
          <cell r="AF1205" t="str">
            <v>00</v>
          </cell>
        </row>
        <row r="1206">
          <cell r="A1206" t="str">
            <v>02</v>
          </cell>
          <cell r="B1206" t="str">
            <v>51</v>
          </cell>
          <cell r="C1206" t="str">
            <v>669</v>
          </cell>
          <cell r="D1206" t="str">
            <v>Радиотелефон MCS2000</v>
          </cell>
          <cell r="E1206" t="str">
            <v>изг.США "Моторолла И</v>
          </cell>
          <cell r="F1206" t="str">
            <v>НК" зав.N</v>
          </cell>
          <cell r="G1206" t="str">
            <v>02</v>
          </cell>
          <cell r="H1206">
            <v>15931.68</v>
          </cell>
          <cell r="I1206">
            <v>0</v>
          </cell>
          <cell r="J1206">
            <v>0</v>
          </cell>
          <cell r="L1206" t="str">
            <v>20</v>
          </cell>
          <cell r="M1206" t="str">
            <v>45620</v>
          </cell>
          <cell r="P1206">
            <v>12.5</v>
          </cell>
          <cell r="Q1206">
            <v>0</v>
          </cell>
          <cell r="R1206" t="str">
            <v>1</v>
          </cell>
          <cell r="S1206" t="str">
            <v>45</v>
          </cell>
          <cell r="T1206">
            <v>99</v>
          </cell>
          <cell r="U1206">
            <v>7</v>
          </cell>
          <cell r="V1206">
            <v>99</v>
          </cell>
          <cell r="W1206">
            <v>7</v>
          </cell>
          <cell r="X1206">
            <v>99</v>
          </cell>
          <cell r="Y1206">
            <v>0</v>
          </cell>
          <cell r="Z1206">
            <v>0</v>
          </cell>
          <cell r="AD1206" t="str">
            <v>0</v>
          </cell>
          <cell r="AE1206" t="str">
            <v>0</v>
          </cell>
          <cell r="AF1206" t="str">
            <v>00</v>
          </cell>
        </row>
        <row r="1207">
          <cell r="A1207" t="str">
            <v>02</v>
          </cell>
          <cell r="B1207" t="str">
            <v>02</v>
          </cell>
          <cell r="C1207" t="str">
            <v>670</v>
          </cell>
          <cell r="D1207" t="str">
            <v>Подвеска троллейная</v>
          </cell>
          <cell r="E1207" t="str">
            <v>роликоканатная 820</v>
          </cell>
          <cell r="F1207" t="str">
            <v>зав.N9</v>
          </cell>
          <cell r="G1207" t="str">
            <v>02</v>
          </cell>
          <cell r="H1207">
            <v>78696.44</v>
          </cell>
          <cell r="I1207">
            <v>0</v>
          </cell>
          <cell r="J1207">
            <v>0</v>
          </cell>
          <cell r="L1207" t="str">
            <v>20</v>
          </cell>
          <cell r="M1207" t="str">
            <v>43814</v>
          </cell>
          <cell r="P1207">
            <v>33.299999999999997</v>
          </cell>
          <cell r="Q1207">
            <v>0</v>
          </cell>
          <cell r="R1207" t="str">
            <v>1</v>
          </cell>
          <cell r="S1207" t="str">
            <v>43</v>
          </cell>
          <cell r="T1207">
            <v>99</v>
          </cell>
          <cell r="U1207">
            <v>7</v>
          </cell>
          <cell r="V1207">
            <v>99</v>
          </cell>
          <cell r="W1207">
            <v>7</v>
          </cell>
          <cell r="X1207">
            <v>99</v>
          </cell>
          <cell r="Y1207">
            <v>0</v>
          </cell>
          <cell r="Z1207">
            <v>0</v>
          </cell>
          <cell r="AD1207" t="str">
            <v>0</v>
          </cell>
          <cell r="AE1207" t="str">
            <v>0</v>
          </cell>
          <cell r="AF1207" t="str">
            <v>00</v>
          </cell>
        </row>
        <row r="1208">
          <cell r="A1208" t="str">
            <v>02</v>
          </cell>
          <cell r="B1208" t="str">
            <v>02</v>
          </cell>
          <cell r="C1208" t="str">
            <v>671</v>
          </cell>
          <cell r="D1208" t="str">
            <v>Подвеска троллейная</v>
          </cell>
          <cell r="E1208" t="str">
            <v>роликоканатная 820</v>
          </cell>
          <cell r="F1208" t="str">
            <v>зав.N10</v>
          </cell>
          <cell r="G1208" t="str">
            <v>02</v>
          </cell>
          <cell r="H1208">
            <v>78696.44</v>
          </cell>
          <cell r="I1208">
            <v>0</v>
          </cell>
          <cell r="J1208">
            <v>0</v>
          </cell>
          <cell r="L1208" t="str">
            <v>20</v>
          </cell>
          <cell r="M1208" t="str">
            <v>43814</v>
          </cell>
          <cell r="P1208">
            <v>33.299999999999997</v>
          </cell>
          <cell r="Q1208">
            <v>0</v>
          </cell>
          <cell r="R1208" t="str">
            <v>1</v>
          </cell>
          <cell r="S1208" t="str">
            <v>43</v>
          </cell>
          <cell r="T1208">
            <v>99</v>
          </cell>
          <cell r="U1208">
            <v>7</v>
          </cell>
          <cell r="V1208">
            <v>99</v>
          </cell>
          <cell r="W1208">
            <v>7</v>
          </cell>
          <cell r="X1208">
            <v>99</v>
          </cell>
          <cell r="Y1208">
            <v>0</v>
          </cell>
          <cell r="Z1208">
            <v>0</v>
          </cell>
          <cell r="AD1208" t="str">
            <v>0</v>
          </cell>
          <cell r="AE1208" t="str">
            <v>0</v>
          </cell>
          <cell r="AF1208" t="str">
            <v>00</v>
          </cell>
        </row>
        <row r="1209">
          <cell r="A1209" t="str">
            <v>02</v>
          </cell>
          <cell r="B1209" t="str">
            <v>02</v>
          </cell>
          <cell r="C1209" t="str">
            <v>672</v>
          </cell>
          <cell r="D1209" t="str">
            <v>Подвеска троллейная</v>
          </cell>
          <cell r="E1209" t="str">
            <v>роликоканатная 820</v>
          </cell>
          <cell r="F1209" t="str">
            <v>зав.N11</v>
          </cell>
          <cell r="G1209" t="str">
            <v>02</v>
          </cell>
          <cell r="H1209">
            <v>78696.44</v>
          </cell>
          <cell r="I1209">
            <v>0</v>
          </cell>
          <cell r="J1209">
            <v>0</v>
          </cell>
          <cell r="L1209" t="str">
            <v>20</v>
          </cell>
          <cell r="M1209" t="str">
            <v>43814</v>
          </cell>
          <cell r="P1209">
            <v>33.299999999999997</v>
          </cell>
          <cell r="Q1209">
            <v>0</v>
          </cell>
          <cell r="R1209" t="str">
            <v>1</v>
          </cell>
          <cell r="S1209" t="str">
            <v>43</v>
          </cell>
          <cell r="T1209">
            <v>99</v>
          </cell>
          <cell r="U1209">
            <v>7</v>
          </cell>
          <cell r="V1209">
            <v>99</v>
          </cell>
          <cell r="W1209">
            <v>7</v>
          </cell>
          <cell r="X1209">
            <v>99</v>
          </cell>
          <cell r="Y1209">
            <v>0</v>
          </cell>
          <cell r="Z1209">
            <v>0</v>
          </cell>
          <cell r="AD1209" t="str">
            <v>0</v>
          </cell>
          <cell r="AE1209" t="str">
            <v>0</v>
          </cell>
          <cell r="AF1209" t="str">
            <v>00</v>
          </cell>
        </row>
        <row r="1210">
          <cell r="A1210" t="str">
            <v>02</v>
          </cell>
          <cell r="B1210" t="str">
            <v>02</v>
          </cell>
          <cell r="C1210" t="str">
            <v>673</v>
          </cell>
          <cell r="D1210" t="str">
            <v>Эл.двигатель ВА-160</v>
          </cell>
          <cell r="E1210" t="str">
            <v>М8 1081 11/750 изг.З</v>
          </cell>
          <cell r="F1210" t="str">
            <v>АО "Электромаш"</v>
          </cell>
          <cell r="G1210" t="str">
            <v>07</v>
          </cell>
          <cell r="H1210">
            <v>7238.33</v>
          </cell>
          <cell r="I1210">
            <v>0</v>
          </cell>
          <cell r="J1210">
            <v>0</v>
          </cell>
          <cell r="L1210" t="str">
            <v>20</v>
          </cell>
          <cell r="M1210" t="str">
            <v>40200</v>
          </cell>
          <cell r="P1210">
            <v>6.6</v>
          </cell>
          <cell r="Q1210">
            <v>0</v>
          </cell>
          <cell r="R1210" t="str">
            <v>1</v>
          </cell>
          <cell r="S1210" t="str">
            <v>40</v>
          </cell>
          <cell r="T1210">
            <v>99</v>
          </cell>
          <cell r="U1210">
            <v>7</v>
          </cell>
          <cell r="V1210">
            <v>99</v>
          </cell>
          <cell r="W1210">
            <v>7</v>
          </cell>
          <cell r="X1210">
            <v>99</v>
          </cell>
          <cell r="Y1210">
            <v>0</v>
          </cell>
          <cell r="Z1210">
            <v>0</v>
          </cell>
          <cell r="AD1210" t="str">
            <v>0</v>
          </cell>
          <cell r="AE1210" t="str">
            <v>0</v>
          </cell>
          <cell r="AF1210" t="str">
            <v>00</v>
          </cell>
        </row>
        <row r="1211">
          <cell r="A1211" t="str">
            <v>02</v>
          </cell>
          <cell r="B1211" t="str">
            <v>02</v>
          </cell>
          <cell r="C1211" t="str">
            <v>674</v>
          </cell>
          <cell r="D1211" t="str">
            <v>Эл.двигатель ВА-160</v>
          </cell>
          <cell r="E1211" t="str">
            <v>М8 1081 11/750 изг.З</v>
          </cell>
          <cell r="F1211" t="str">
            <v>АО "Электромаш"</v>
          </cell>
          <cell r="G1211" t="str">
            <v>07</v>
          </cell>
          <cell r="H1211">
            <v>7238.34</v>
          </cell>
          <cell r="I1211">
            <v>0</v>
          </cell>
          <cell r="J1211">
            <v>0</v>
          </cell>
          <cell r="L1211" t="str">
            <v>20</v>
          </cell>
          <cell r="M1211" t="str">
            <v>40200</v>
          </cell>
          <cell r="P1211">
            <v>6.6</v>
          </cell>
          <cell r="Q1211">
            <v>0</v>
          </cell>
          <cell r="R1211" t="str">
            <v>1</v>
          </cell>
          <cell r="S1211" t="str">
            <v>40</v>
          </cell>
          <cell r="T1211">
            <v>99</v>
          </cell>
          <cell r="U1211">
            <v>7</v>
          </cell>
          <cell r="V1211">
            <v>99</v>
          </cell>
          <cell r="W1211">
            <v>7</v>
          </cell>
          <cell r="X1211">
            <v>99</v>
          </cell>
          <cell r="Y1211">
            <v>0</v>
          </cell>
          <cell r="Z1211">
            <v>0</v>
          </cell>
          <cell r="AD1211" t="str">
            <v>0</v>
          </cell>
          <cell r="AE1211" t="str">
            <v>0</v>
          </cell>
          <cell r="AF1211" t="str">
            <v>00</v>
          </cell>
        </row>
      </sheetData>
      <sheetData sheetId="1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одержание"/>
    </sheetNames>
    <sheetDataSet>
      <sheetData sheetId="0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2(v1)"/>
      <sheetName val="Инф99"/>
      <sheetName val="2002(v2)"/>
      <sheetName val="I"/>
      <sheetName val="Печv1"/>
      <sheetName val="Печv2 "/>
      <sheetName val="ПечМОНv1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ОГНОЗ_1"/>
      <sheetName val="Гр5(о)"/>
    </sheetNames>
    <sheetDataSet>
      <sheetData sheetId="0"/>
      <sheetData sheetId="1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ИСХ"/>
      <sheetName val="СВОДНАЯ ТАБЛИЦА"/>
      <sheetName val="ИТОГО"/>
      <sheetName val="База_А"/>
      <sheetName val="РАСЧЕТЫ"/>
      <sheetName val="БАЗА_Б"/>
      <sheetName val="РАСЧЕТЫ 2"/>
      <sheetName val="!!!!!!!!!!!!"/>
    </sheetNames>
    <sheetDataSet>
      <sheetData sheetId="0">
        <row r="4">
          <cell r="L4">
            <v>3605</v>
          </cell>
        </row>
      </sheetData>
      <sheetData sheetId="1" refreshError="1"/>
      <sheetData sheetId="2" refreshError="1"/>
      <sheetData sheetId="3" refreshError="1"/>
      <sheetData sheetId="4">
        <row r="1">
          <cell r="B1" t="str">
            <v>Район</v>
          </cell>
          <cell r="H1" t="str">
            <v>ГОДОВОЙ ОБЪЕМ ТЭ ВСЕГО</v>
          </cell>
          <cell r="I1" t="str">
            <v>ГОДОВОЙ объем ТЭ ЮРЛИЦ</v>
          </cell>
          <cell r="J1" t="str">
            <v>ГОДОВОЙ объем ТЭ НАСЕЛЕНИЯ</v>
          </cell>
          <cell r="K1" t="str">
            <v>ЭОТ 
1 полугодия</v>
          </cell>
          <cell r="L1" t="str">
            <v>ЭОТ 
2 полугодия</v>
          </cell>
          <cell r="M1" t="str">
            <v>ТН 
1 полугодия</v>
          </cell>
          <cell r="N1" t="str">
            <v>ТН 
2 полугодия</v>
          </cell>
        </row>
      </sheetData>
      <sheetData sheetId="5" refreshError="1"/>
      <sheetData sheetId="6"/>
      <sheetData sheetId="7"/>
      <sheetData sheetId="8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Форма1"/>
      <sheetName val="Форма2"/>
      <sheetName val="Форма3"/>
      <sheetName val="Форма4"/>
      <sheetName val="Форма5"/>
      <sheetName val="Арифметика"/>
      <sheetName val="Форма1Области"/>
      <sheetName val="Форма2Области"/>
      <sheetName val="Форма3Области"/>
      <sheetName val="Форма4Области"/>
      <sheetName val="Взаимоувязка"/>
      <sheetName val="Форма6"/>
      <sheetName val="Форма5Области"/>
      <sheetName val="Сверка2000Полистил"/>
    </sheetNames>
    <sheetDataSet>
      <sheetData sheetId="0" refreshError="1">
        <row r="9">
          <cell r="D9">
            <v>42788</v>
          </cell>
        </row>
        <row r="12">
          <cell r="D12">
            <v>13344</v>
          </cell>
        </row>
        <row r="16">
          <cell r="D16">
            <v>10995</v>
          </cell>
        </row>
        <row r="26">
          <cell r="D26">
            <v>23076</v>
          </cell>
        </row>
        <row r="41">
          <cell r="D41">
            <v>13184</v>
          </cell>
        </row>
        <row r="52">
          <cell r="D52">
            <v>1453</v>
          </cell>
        </row>
        <row r="77">
          <cell r="D77">
            <v>14439</v>
          </cell>
        </row>
        <row r="83">
          <cell r="D83">
            <v>4000</v>
          </cell>
        </row>
        <row r="86">
          <cell r="D86">
            <v>26359</v>
          </cell>
        </row>
      </sheetData>
      <sheetData sheetId="1" refreshError="1"/>
      <sheetData sheetId="2" refreshError="1">
        <row r="57">
          <cell r="D57">
            <v>60666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Форма1"/>
      <sheetName val="Форма2"/>
      <sheetName val="Форма3"/>
      <sheetName val="Форма4"/>
      <sheetName val="Форма5"/>
      <sheetName val="Арифметика"/>
      <sheetName val="Форма1Области"/>
      <sheetName val="Форма2Области"/>
      <sheetName val="Форма3Области"/>
      <sheetName val="Форма4Области"/>
      <sheetName val="Взаимоувязка"/>
      <sheetName val="Форма6"/>
      <sheetName val="Форма5Области"/>
      <sheetName val="Сверка2000Полистил"/>
    </sheetNames>
    <sheetDataSet>
      <sheetData sheetId="0" refreshError="1">
        <row r="9">
          <cell r="D9">
            <v>42788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р1(98_00)"/>
      <sheetName val="Гр1(99_00)"/>
      <sheetName val="Гр2"/>
      <sheetName val="Гр2(06)"/>
      <sheetName val="Гр3"/>
      <sheetName val="Прод(Непр)"/>
      <sheetName val="Гр4"/>
      <sheetName val="Гр4(06)"/>
      <sheetName val="Гр5(о)"/>
      <sheetName val="Гр6"/>
      <sheetName val="ПРОГНОЗ_1"/>
      <sheetName val="Огл. Графиков"/>
      <sheetName val="рабочий"/>
      <sheetName val="Текущие цены"/>
      <sheetName val="окраска"/>
      <sheetName val="Управление"/>
      <sheetName val="multilat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1_ИСХ"/>
      <sheetName val="БАЗА"/>
      <sheetName val="РАСЧЕТ ИДЕКСОВ С НДС (БЕЗ БОЙЛ)"/>
      <sheetName val="Расчет индексов БЕЗ НДС"/>
      <sheetName val="Курский и ЖД районы"/>
      <sheetName val="..."/>
      <sheetName val="...."/>
      <sheetName val="бойлеры"/>
      <sheetName val="БАЗА (С БОЙЛЕРАМИ В ГВС)"/>
      <sheetName val="РАСЧЕТ ИНН С НДС (БЕЗ БОЙЛ 2022"/>
    </sheetNames>
    <sheetDataSet>
      <sheetData sheetId="0">
        <row r="38">
          <cell r="AI38">
            <v>0.95236178179999997</v>
          </cell>
          <cell r="AL38">
            <v>1.0708874794000001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5">
    <tabColor rgb="FFFFFF00"/>
  </sheetPr>
  <dimension ref="A1:AE605"/>
  <sheetViews>
    <sheetView zoomScale="115" zoomScaleNormal="115" workbookViewId="0">
      <pane xSplit="6" ySplit="6" topLeftCell="K127" activePane="bottomRight" state="frozen"/>
      <selection pane="topRight" activeCell="G1" sqref="G1"/>
      <selection pane="bottomLeft" activeCell="A7" sqref="A7"/>
      <selection pane="bottomRight" activeCell="B134" sqref="B134"/>
    </sheetView>
  </sheetViews>
  <sheetFormatPr defaultRowHeight="15" outlineLevelCol="1"/>
  <cols>
    <col min="1" max="1" width="4.5703125" style="75" customWidth="1"/>
    <col min="2" max="2" width="31" style="81" customWidth="1"/>
    <col min="3" max="3" width="14.7109375" style="81" customWidth="1" outlineLevel="1"/>
    <col min="4" max="4" width="26.42578125" style="81" customWidth="1"/>
    <col min="5" max="5" width="15.140625" style="81" customWidth="1" outlineLevel="1"/>
    <col min="6" max="6" width="36" style="81" customWidth="1"/>
    <col min="7" max="7" width="15.7109375" style="82" customWidth="1"/>
    <col min="8" max="10" width="16.5703125" style="75" customWidth="1"/>
    <col min="11" max="11" width="15.7109375" style="75" customWidth="1"/>
    <col min="12" max="12" width="15.28515625" style="75" customWidth="1"/>
    <col min="13" max="16" width="15.7109375" style="75" customWidth="1"/>
    <col min="17" max="22" width="16.5703125" style="75" customWidth="1"/>
    <col min="23" max="24" width="16.28515625" style="78" customWidth="1"/>
    <col min="25" max="26" width="16.28515625" style="212" customWidth="1"/>
    <col min="27" max="30" width="16.5703125" style="78" customWidth="1"/>
    <col min="31" max="31" width="11.5703125" style="75" bestFit="1" customWidth="1"/>
    <col min="32" max="16384" width="9.140625" style="75"/>
  </cols>
  <sheetData>
    <row r="1" spans="1:30" ht="15.75" thickBot="1">
      <c r="H1" s="77" t="e">
        <f>H2-H3</f>
        <v>#REF!</v>
      </c>
      <c r="I1" s="77" t="e">
        <f t="shared" ref="I1:AD1" si="0">I2-I3</f>
        <v>#REF!</v>
      </c>
      <c r="J1" s="77" t="e">
        <f t="shared" si="0"/>
        <v>#REF!</v>
      </c>
      <c r="K1" s="77" t="e">
        <f t="shared" si="0"/>
        <v>#REF!</v>
      </c>
      <c r="L1" s="77" t="e">
        <f t="shared" si="0"/>
        <v>#REF!</v>
      </c>
      <c r="M1" s="77" t="e">
        <f t="shared" si="0"/>
        <v>#REF!</v>
      </c>
      <c r="N1" s="77" t="e">
        <f t="shared" si="0"/>
        <v>#REF!</v>
      </c>
      <c r="O1" s="77" t="e">
        <f t="shared" si="0"/>
        <v>#REF!</v>
      </c>
      <c r="P1" s="77" t="e">
        <f t="shared" si="0"/>
        <v>#REF!</v>
      </c>
      <c r="Q1" s="77" t="e">
        <f t="shared" si="0"/>
        <v>#REF!</v>
      </c>
      <c r="R1" s="77" t="e">
        <f t="shared" si="0"/>
        <v>#REF!</v>
      </c>
      <c r="S1" s="77" t="e">
        <f t="shared" si="0"/>
        <v>#REF!</v>
      </c>
      <c r="T1" s="77" t="e">
        <f t="shared" si="0"/>
        <v>#REF!</v>
      </c>
      <c r="U1" s="77" t="e">
        <f t="shared" si="0"/>
        <v>#REF!</v>
      </c>
      <c r="V1" s="77" t="e">
        <f t="shared" si="0"/>
        <v>#REF!</v>
      </c>
      <c r="W1" s="77">
        <f t="shared" si="0"/>
        <v>0</v>
      </c>
      <c r="X1" s="77">
        <f t="shared" si="0"/>
        <v>0</v>
      </c>
      <c r="Y1" s="77">
        <f t="shared" si="0"/>
        <v>0</v>
      </c>
      <c r="Z1" s="77">
        <f t="shared" si="0"/>
        <v>0</v>
      </c>
      <c r="AA1" s="77">
        <f t="shared" si="0"/>
        <v>0</v>
      </c>
      <c r="AB1" s="77">
        <f t="shared" si="0"/>
        <v>0</v>
      </c>
      <c r="AC1" s="77">
        <f t="shared" si="0"/>
        <v>0</v>
      </c>
      <c r="AD1" s="77">
        <f t="shared" si="0"/>
        <v>0</v>
      </c>
    </row>
    <row r="2" spans="1:30" s="79" customFormat="1" ht="15.75" thickBot="1">
      <c r="B2" s="1498">
        <v>2025</v>
      </c>
      <c r="C2" s="81"/>
      <c r="D2" s="87" t="e">
        <f>L2+Q2</f>
        <v>#REF!</v>
      </c>
      <c r="E2" s="81"/>
      <c r="F2" s="1495" t="s">
        <v>257</v>
      </c>
      <c r="G2" s="82"/>
      <c r="H2" s="851" t="e">
        <f>#REF!</f>
        <v>#REF!</v>
      </c>
      <c r="I2" s="851" t="e">
        <f>#REF!</f>
        <v>#REF!</v>
      </c>
      <c r="J2" s="851" t="e">
        <f>#REF!</f>
        <v>#REF!</v>
      </c>
      <c r="K2" s="851" t="e">
        <f>#REF!+#REF!</f>
        <v>#REF!</v>
      </c>
      <c r="L2" s="851" t="e">
        <f>#REF!+#REF!</f>
        <v>#REF!</v>
      </c>
      <c r="M2" s="851" t="e">
        <f>#REF!+#REF!</f>
        <v>#REF!</v>
      </c>
      <c r="N2" s="851" t="e">
        <f>#REF!+#REF!</f>
        <v>#REF!</v>
      </c>
      <c r="O2" s="851" t="e">
        <f>#REF!</f>
        <v>#REF!</v>
      </c>
      <c r="P2" s="851" t="e">
        <f>#REF!</f>
        <v>#REF!</v>
      </c>
      <c r="Q2" s="851" t="e">
        <f>#REF!+#REF!</f>
        <v>#REF!</v>
      </c>
      <c r="R2" s="851" t="e">
        <f>#REF!+#REF!</f>
        <v>#REF!</v>
      </c>
      <c r="S2" s="851" t="e">
        <f>#REF!</f>
        <v>#REF!</v>
      </c>
      <c r="T2" s="851" t="e">
        <f>#REF!</f>
        <v>#REF!</v>
      </c>
      <c r="U2" s="851" t="e">
        <f>#REF!</f>
        <v>#REF!</v>
      </c>
      <c r="V2" s="851" t="e">
        <f>#REF!</f>
        <v>#REF!</v>
      </c>
      <c r="W2" s="76"/>
      <c r="X2" s="76"/>
      <c r="Y2" s="213"/>
      <c r="Z2" s="213"/>
      <c r="AA2" s="76"/>
      <c r="AB2" s="76"/>
      <c r="AC2" s="76"/>
      <c r="AD2" s="76"/>
    </row>
    <row r="3" spans="1:30" s="186" customFormat="1" ht="15.75" thickBot="1">
      <c r="A3" s="80"/>
      <c r="B3" s="1499"/>
      <c r="C3" s="87"/>
      <c r="D3" s="87" t="e">
        <f>M2+R2</f>
        <v>#REF!</v>
      </c>
      <c r="E3" s="87"/>
      <c r="F3" s="1496"/>
      <c r="G3" s="95" t="e">
        <f>SUM(H3:V3)-SUM(H2:V2)</f>
        <v>#REF!</v>
      </c>
      <c r="H3" s="852" t="e">
        <f t="shared" ref="H3:V3" si="1">SUBTOTAL(9,H7:H139)</f>
        <v>#REF!</v>
      </c>
      <c r="I3" s="852" t="e">
        <f t="shared" si="1"/>
        <v>#REF!</v>
      </c>
      <c r="J3" s="852" t="e">
        <f t="shared" si="1"/>
        <v>#REF!</v>
      </c>
      <c r="K3" s="852" t="e">
        <f t="shared" si="1"/>
        <v>#REF!</v>
      </c>
      <c r="L3" s="852" t="e">
        <f t="shared" si="1"/>
        <v>#REF!</v>
      </c>
      <c r="M3" s="852" t="e">
        <f t="shared" si="1"/>
        <v>#REF!</v>
      </c>
      <c r="N3" s="852" t="e">
        <f t="shared" si="1"/>
        <v>#REF!</v>
      </c>
      <c r="O3" s="852" t="e">
        <f t="shared" si="1"/>
        <v>#REF!</v>
      </c>
      <c r="P3" s="852" t="e">
        <f t="shared" si="1"/>
        <v>#REF!</v>
      </c>
      <c r="Q3" s="852" t="e">
        <f t="shared" si="1"/>
        <v>#REF!</v>
      </c>
      <c r="R3" s="852" t="e">
        <f t="shared" si="1"/>
        <v>#REF!</v>
      </c>
      <c r="S3" s="852" t="e">
        <f t="shared" si="1"/>
        <v>#REF!</v>
      </c>
      <c r="T3" s="852" t="e">
        <f t="shared" si="1"/>
        <v>#REF!</v>
      </c>
      <c r="U3" s="852" t="e">
        <f t="shared" si="1"/>
        <v>#REF!</v>
      </c>
      <c r="V3" s="852" t="e">
        <f t="shared" si="1"/>
        <v>#REF!</v>
      </c>
      <c r="W3" s="852"/>
      <c r="X3" s="852"/>
      <c r="Y3" s="852">
        <f>SUBTOTAL(9,Y7:Y139)</f>
        <v>0</v>
      </c>
      <c r="Z3" s="852">
        <f>SUBTOTAL(9,Z7:Z139)</f>
        <v>0</v>
      </c>
      <c r="AA3" s="852"/>
      <c r="AB3" s="852"/>
      <c r="AC3" s="852"/>
      <c r="AD3" s="852"/>
    </row>
    <row r="4" spans="1:30" s="187" customFormat="1" ht="19.5" thickBot="1">
      <c r="A4" s="46"/>
      <c r="B4" s="1500"/>
      <c r="C4" s="88"/>
      <c r="D4" s="88"/>
      <c r="E4" s="88"/>
      <c r="F4" s="1497"/>
      <c r="G4" s="83"/>
      <c r="H4">
        <v>1</v>
      </c>
      <c r="I4">
        <f t="shared" ref="I4:AD4" si="2">H4+1</f>
        <v>2</v>
      </c>
      <c r="J4">
        <f t="shared" si="2"/>
        <v>3</v>
      </c>
      <c r="K4">
        <f t="shared" si="2"/>
        <v>4</v>
      </c>
      <c r="L4">
        <f t="shared" si="2"/>
        <v>5</v>
      </c>
      <c r="M4">
        <f t="shared" si="2"/>
        <v>6</v>
      </c>
      <c r="N4">
        <f t="shared" si="2"/>
        <v>7</v>
      </c>
      <c r="O4">
        <f t="shared" si="2"/>
        <v>8</v>
      </c>
      <c r="P4">
        <f t="shared" si="2"/>
        <v>9</v>
      </c>
      <c r="Q4">
        <f t="shared" si="2"/>
        <v>10</v>
      </c>
      <c r="R4">
        <f t="shared" si="2"/>
        <v>11</v>
      </c>
      <c r="S4">
        <f t="shared" si="2"/>
        <v>12</v>
      </c>
      <c r="T4">
        <f t="shared" si="2"/>
        <v>13</v>
      </c>
      <c r="U4">
        <f t="shared" si="2"/>
        <v>14</v>
      </c>
      <c r="V4">
        <f t="shared" si="2"/>
        <v>15</v>
      </c>
      <c r="W4">
        <f t="shared" ref="W4:AA5" si="3">V4+1</f>
        <v>16</v>
      </c>
      <c r="X4">
        <f t="shared" si="3"/>
        <v>17</v>
      </c>
      <c r="Y4">
        <f t="shared" si="3"/>
        <v>18</v>
      </c>
      <c r="Z4">
        <f t="shared" si="3"/>
        <v>19</v>
      </c>
      <c r="AA4">
        <f t="shared" si="3"/>
        <v>20</v>
      </c>
      <c r="AB4">
        <f t="shared" si="2"/>
        <v>21</v>
      </c>
      <c r="AC4">
        <f t="shared" si="2"/>
        <v>22</v>
      </c>
      <c r="AD4">
        <f t="shared" si="2"/>
        <v>23</v>
      </c>
    </row>
    <row r="5" spans="1:30" ht="15.75" thickBot="1">
      <c r="A5">
        <v>1</v>
      </c>
      <c r="B5" s="50">
        <f t="shared" ref="B5:G5" si="4">A5+1</f>
        <v>2</v>
      </c>
      <c r="C5" s="81">
        <f>B5+1</f>
        <v>3</v>
      </c>
      <c r="D5" s="81">
        <f t="shared" si="4"/>
        <v>4</v>
      </c>
      <c r="E5" s="81">
        <f t="shared" si="4"/>
        <v>5</v>
      </c>
      <c r="F5" s="81">
        <f t="shared" si="4"/>
        <v>6</v>
      </c>
      <c r="G5" s="51">
        <f t="shared" si="4"/>
        <v>7</v>
      </c>
      <c r="H5">
        <f>G5+1</f>
        <v>8</v>
      </c>
      <c r="I5">
        <f t="shared" ref="I5:AD5" si="5">H5+1</f>
        <v>9</v>
      </c>
      <c r="J5">
        <f t="shared" si="5"/>
        <v>10</v>
      </c>
      <c r="K5">
        <f t="shared" si="5"/>
        <v>11</v>
      </c>
      <c r="L5">
        <f t="shared" si="5"/>
        <v>12</v>
      </c>
      <c r="M5">
        <f t="shared" si="5"/>
        <v>13</v>
      </c>
      <c r="N5">
        <f t="shared" si="5"/>
        <v>14</v>
      </c>
      <c r="O5">
        <f t="shared" si="5"/>
        <v>15</v>
      </c>
      <c r="P5">
        <f t="shared" si="5"/>
        <v>16</v>
      </c>
      <c r="Q5">
        <f t="shared" si="5"/>
        <v>17</v>
      </c>
      <c r="R5">
        <f t="shared" si="5"/>
        <v>18</v>
      </c>
      <c r="S5">
        <f t="shared" si="5"/>
        <v>19</v>
      </c>
      <c r="T5">
        <f t="shared" si="5"/>
        <v>20</v>
      </c>
      <c r="U5">
        <f t="shared" si="5"/>
        <v>21</v>
      </c>
      <c r="V5">
        <f t="shared" si="5"/>
        <v>22</v>
      </c>
      <c r="W5">
        <f t="shared" si="3"/>
        <v>23</v>
      </c>
      <c r="X5">
        <f t="shared" si="3"/>
        <v>24</v>
      </c>
      <c r="Y5">
        <f t="shared" si="3"/>
        <v>25</v>
      </c>
      <c r="Z5">
        <f t="shared" si="3"/>
        <v>26</v>
      </c>
      <c r="AA5">
        <f t="shared" si="3"/>
        <v>27</v>
      </c>
      <c r="AB5">
        <f t="shared" si="5"/>
        <v>28</v>
      </c>
      <c r="AC5">
        <f t="shared" si="5"/>
        <v>29</v>
      </c>
      <c r="AD5">
        <f t="shared" si="5"/>
        <v>30</v>
      </c>
    </row>
    <row r="6" spans="1:30" s="188" customFormat="1" ht="79.5" thickBot="1">
      <c r="A6" s="47"/>
      <c r="B6" s="93" t="s">
        <v>234</v>
      </c>
      <c r="C6" s="84" t="s">
        <v>235</v>
      </c>
      <c r="D6" s="94" t="s">
        <v>236</v>
      </c>
      <c r="E6" s="84" t="s">
        <v>237</v>
      </c>
      <c r="F6" s="84" t="s">
        <v>238</v>
      </c>
      <c r="G6" s="90" t="s">
        <v>223</v>
      </c>
      <c r="H6" s="52" t="s">
        <v>239</v>
      </c>
      <c r="I6" s="52" t="s">
        <v>282</v>
      </c>
      <c r="J6" s="52" t="s">
        <v>283</v>
      </c>
      <c r="K6" s="53" t="s">
        <v>240</v>
      </c>
      <c r="L6" s="54" t="s">
        <v>241</v>
      </c>
      <c r="M6" s="55" t="s">
        <v>242</v>
      </c>
      <c r="N6" s="56" t="s">
        <v>243</v>
      </c>
      <c r="O6" s="57" t="s">
        <v>244</v>
      </c>
      <c r="P6" s="58" t="s">
        <v>245</v>
      </c>
      <c r="Q6" s="59" t="s">
        <v>246</v>
      </c>
      <c r="R6" s="59" t="s">
        <v>247</v>
      </c>
      <c r="S6" s="60" t="s">
        <v>248</v>
      </c>
      <c r="T6" s="60" t="s">
        <v>249</v>
      </c>
      <c r="U6" s="61" t="s">
        <v>250</v>
      </c>
      <c r="V6" s="61" t="s">
        <v>251</v>
      </c>
      <c r="W6" s="62" t="s">
        <v>1009</v>
      </c>
      <c r="X6" s="63" t="s">
        <v>1010</v>
      </c>
      <c r="Y6" s="210" t="s">
        <v>1011</v>
      </c>
      <c r="Z6" s="210" t="s">
        <v>1012</v>
      </c>
      <c r="AA6" s="64" t="s">
        <v>1008</v>
      </c>
      <c r="AB6" s="64" t="s">
        <v>1013</v>
      </c>
      <c r="AC6" s="64" t="s">
        <v>1014</v>
      </c>
      <c r="AD6" s="64" t="s">
        <v>1015</v>
      </c>
    </row>
    <row r="7" spans="1:30">
      <c r="A7">
        <v>1</v>
      </c>
      <c r="B7" s="85" t="e">
        <f>#REF!</f>
        <v>#REF!</v>
      </c>
      <c r="C7" s="92" t="str">
        <f>C6</f>
        <v>Код района</v>
      </c>
      <c r="D7" s="66" t="e">
        <f>#REF!</f>
        <v>#REF!</v>
      </c>
      <c r="E7" s="92" t="str">
        <f t="shared" ref="E7:E70" si="6">E6</f>
        <v>Код сельсовета</v>
      </c>
      <c r="F7" s="89" t="e">
        <f>#REF!</f>
        <v>#REF!</v>
      </c>
      <c r="G7" s="91" t="e">
        <f>#REF!</f>
        <v>#REF!</v>
      </c>
      <c r="H7" s="48" t="e">
        <f>K7+N7</f>
        <v>#REF!</v>
      </c>
      <c r="I7" s="48" t="e">
        <f>L7+Q7</f>
        <v>#REF!</v>
      </c>
      <c r="J7" s="48" t="e">
        <f>M7+R7</f>
        <v>#REF!</v>
      </c>
      <c r="K7" s="49" t="e">
        <f>L7+M7</f>
        <v>#REF!</v>
      </c>
      <c r="L7" s="86" t="e">
        <f>#REF!+#REF!</f>
        <v>#REF!</v>
      </c>
      <c r="M7" s="71" t="e">
        <f>#REF!+#REF!</f>
        <v>#REF!</v>
      </c>
      <c r="N7" s="67" t="e">
        <f>Q7+R7</f>
        <v>#REF!</v>
      </c>
      <c r="O7" s="68" t="e">
        <f>S7+T7</f>
        <v>#REF!</v>
      </c>
      <c r="P7" s="69" t="e">
        <f>U7+V7</f>
        <v>#REF!</v>
      </c>
      <c r="Q7" s="70" t="e">
        <f>S7+U7</f>
        <v>#REF!</v>
      </c>
      <c r="R7" s="70" t="e">
        <f>T7+V7</f>
        <v>#REF!</v>
      </c>
      <c r="S7" s="71" t="e">
        <f>#REF!</f>
        <v>#REF!</v>
      </c>
      <c r="T7" s="71" t="e">
        <f>#REF!</f>
        <v>#REF!</v>
      </c>
      <c r="U7" s="72" t="e">
        <f>#REF!</f>
        <v>#REF!</v>
      </c>
      <c r="V7" s="72" t="e">
        <f>#REF!</f>
        <v>#REF!</v>
      </c>
      <c r="W7" s="73" t="e">
        <f>#REF!</f>
        <v>#REF!</v>
      </c>
      <c r="X7" s="74" t="e">
        <f>#REF!</f>
        <v>#REF!</v>
      </c>
      <c r="Y7" s="217">
        <v>0</v>
      </c>
      <c r="Z7" s="217">
        <v>0</v>
      </c>
      <c r="AA7" s="74" t="e">
        <f>#REF!</f>
        <v>#REF!</v>
      </c>
      <c r="AB7" s="74" t="e">
        <f>#REF!</f>
        <v>#REF!</v>
      </c>
      <c r="AC7" s="74" t="e">
        <f>#REF!</f>
        <v>#REF!</v>
      </c>
      <c r="AD7" s="74" t="e">
        <f>#REF!</f>
        <v>#REF!</v>
      </c>
    </row>
    <row r="8" spans="1:30">
      <c r="A8">
        <f t="shared" ref="A8:A72" si="7">A7+1</f>
        <v>2</v>
      </c>
      <c r="B8" s="85" t="e">
        <f>#REF!</f>
        <v>#REF!</v>
      </c>
      <c r="C8" s="92" t="str">
        <f t="shared" ref="C8:C71" si="8">C7</f>
        <v>Код района</v>
      </c>
      <c r="D8" s="66" t="e">
        <f>#REF!</f>
        <v>#REF!</v>
      </c>
      <c r="E8" s="92" t="str">
        <f t="shared" si="6"/>
        <v>Код сельсовета</v>
      </c>
      <c r="F8" s="89" t="e">
        <f>#REF!</f>
        <v>#REF!</v>
      </c>
      <c r="G8" s="91" t="e">
        <f>#REF!</f>
        <v>#REF!</v>
      </c>
      <c r="H8" s="48" t="e">
        <f t="shared" ref="H8:H71" si="9">K8+N8</f>
        <v>#REF!</v>
      </c>
      <c r="I8" s="48" t="e">
        <f t="shared" ref="I8:I71" si="10">L8+Q8</f>
        <v>#REF!</v>
      </c>
      <c r="J8" s="48" t="e">
        <f t="shared" ref="J8:J71" si="11">M8+R8</f>
        <v>#REF!</v>
      </c>
      <c r="K8" s="49" t="e">
        <f t="shared" ref="K8:K71" si="12">L8+M8</f>
        <v>#REF!</v>
      </c>
      <c r="L8" s="86" t="e">
        <f>#REF!+#REF!</f>
        <v>#REF!</v>
      </c>
      <c r="M8" s="71" t="e">
        <f>#REF!+#REF!</f>
        <v>#REF!</v>
      </c>
      <c r="N8" s="67" t="e">
        <f t="shared" ref="N8:N71" si="13">Q8+R8</f>
        <v>#REF!</v>
      </c>
      <c r="O8" s="68" t="e">
        <f t="shared" ref="O8:O71" si="14">S8+T8</f>
        <v>#REF!</v>
      </c>
      <c r="P8" s="69" t="e">
        <f t="shared" ref="P8:P71" si="15">U8+V8</f>
        <v>#REF!</v>
      </c>
      <c r="Q8" s="70" t="e">
        <f t="shared" ref="Q8:Q71" si="16">S8+U8</f>
        <v>#REF!</v>
      </c>
      <c r="R8" s="70" t="e">
        <f t="shared" ref="R8:R71" si="17">T8+V8</f>
        <v>#REF!</v>
      </c>
      <c r="S8" s="71" t="e">
        <f>#REF!</f>
        <v>#REF!</v>
      </c>
      <c r="T8" s="71" t="e">
        <f>#REF!</f>
        <v>#REF!</v>
      </c>
      <c r="U8" s="72" t="e">
        <f>#REF!</f>
        <v>#REF!</v>
      </c>
      <c r="V8" s="72" t="e">
        <f>#REF!</f>
        <v>#REF!</v>
      </c>
      <c r="W8" s="73" t="e">
        <f>#REF!</f>
        <v>#REF!</v>
      </c>
      <c r="X8" s="74" t="e">
        <f>#REF!</f>
        <v>#REF!</v>
      </c>
      <c r="Y8" s="217">
        <v>0</v>
      </c>
      <c r="Z8" s="217">
        <v>0</v>
      </c>
      <c r="AA8" s="74" t="e">
        <f>#REF!</f>
        <v>#REF!</v>
      </c>
      <c r="AB8" s="74" t="e">
        <f>#REF!</f>
        <v>#REF!</v>
      </c>
      <c r="AC8" s="74" t="e">
        <f>#REF!</f>
        <v>#REF!</v>
      </c>
      <c r="AD8" s="74" t="e">
        <f>#REF!</f>
        <v>#REF!</v>
      </c>
    </row>
    <row r="9" spans="1:30">
      <c r="A9">
        <f t="shared" si="7"/>
        <v>3</v>
      </c>
      <c r="B9" s="85" t="e">
        <f>#REF!</f>
        <v>#REF!</v>
      </c>
      <c r="C9" s="92" t="str">
        <f t="shared" si="8"/>
        <v>Код района</v>
      </c>
      <c r="D9" s="66" t="e">
        <f>#REF!</f>
        <v>#REF!</v>
      </c>
      <c r="E9" s="92" t="str">
        <f t="shared" si="6"/>
        <v>Код сельсовета</v>
      </c>
      <c r="F9" s="89" t="e">
        <f>#REF!</f>
        <v>#REF!</v>
      </c>
      <c r="G9" s="91" t="e">
        <f>#REF!</f>
        <v>#REF!</v>
      </c>
      <c r="H9" s="48" t="e">
        <f t="shared" si="9"/>
        <v>#REF!</v>
      </c>
      <c r="I9" s="48" t="e">
        <f t="shared" si="10"/>
        <v>#REF!</v>
      </c>
      <c r="J9" s="48" t="e">
        <f t="shared" si="11"/>
        <v>#REF!</v>
      </c>
      <c r="K9" s="49" t="e">
        <f t="shared" si="12"/>
        <v>#REF!</v>
      </c>
      <c r="L9" s="86" t="e">
        <f>#REF!+#REF!</f>
        <v>#REF!</v>
      </c>
      <c r="M9" s="71" t="e">
        <f>#REF!+#REF!</f>
        <v>#REF!</v>
      </c>
      <c r="N9" s="67" t="e">
        <f t="shared" si="13"/>
        <v>#REF!</v>
      </c>
      <c r="O9" s="68" t="e">
        <f t="shared" si="14"/>
        <v>#REF!</v>
      </c>
      <c r="P9" s="69" t="e">
        <f t="shared" si="15"/>
        <v>#REF!</v>
      </c>
      <c r="Q9" s="70" t="e">
        <f t="shared" si="16"/>
        <v>#REF!</v>
      </c>
      <c r="R9" s="70" t="e">
        <f t="shared" si="17"/>
        <v>#REF!</v>
      </c>
      <c r="S9" s="71" t="e">
        <f>#REF!</f>
        <v>#REF!</v>
      </c>
      <c r="T9" s="71" t="e">
        <f>#REF!</f>
        <v>#REF!</v>
      </c>
      <c r="U9" s="72" t="e">
        <f>#REF!</f>
        <v>#REF!</v>
      </c>
      <c r="V9" s="72" t="e">
        <f>#REF!</f>
        <v>#REF!</v>
      </c>
      <c r="W9" s="73" t="e">
        <f>#REF!</f>
        <v>#REF!</v>
      </c>
      <c r="X9" s="74" t="e">
        <f>#REF!</f>
        <v>#REF!</v>
      </c>
      <c r="Y9" s="217">
        <v>0</v>
      </c>
      <c r="Z9" s="217">
        <v>0</v>
      </c>
      <c r="AA9" s="74" t="e">
        <f>#REF!</f>
        <v>#REF!</v>
      </c>
      <c r="AB9" s="74" t="e">
        <f>#REF!</f>
        <v>#REF!</v>
      </c>
      <c r="AC9" s="74" t="e">
        <f>#REF!</f>
        <v>#REF!</v>
      </c>
      <c r="AD9" s="74" t="e">
        <f>#REF!</f>
        <v>#REF!</v>
      </c>
    </row>
    <row r="10" spans="1:30">
      <c r="A10">
        <f t="shared" si="7"/>
        <v>4</v>
      </c>
      <c r="B10" s="85" t="e">
        <f>#REF!</f>
        <v>#REF!</v>
      </c>
      <c r="C10" s="92" t="str">
        <f t="shared" si="8"/>
        <v>Код района</v>
      </c>
      <c r="D10" s="66" t="e">
        <f>#REF!</f>
        <v>#REF!</v>
      </c>
      <c r="E10" s="92" t="str">
        <f t="shared" si="6"/>
        <v>Код сельсовета</v>
      </c>
      <c r="F10" s="89" t="e">
        <f>#REF!</f>
        <v>#REF!</v>
      </c>
      <c r="G10" s="91" t="e">
        <f>#REF!</f>
        <v>#REF!</v>
      </c>
      <c r="H10" s="48" t="e">
        <f t="shared" si="9"/>
        <v>#REF!</v>
      </c>
      <c r="I10" s="48" t="e">
        <f t="shared" si="10"/>
        <v>#REF!</v>
      </c>
      <c r="J10" s="48" t="e">
        <f t="shared" si="11"/>
        <v>#REF!</v>
      </c>
      <c r="K10" s="49" t="e">
        <f t="shared" si="12"/>
        <v>#REF!</v>
      </c>
      <c r="L10" s="86" t="e">
        <f>#REF!+#REF!</f>
        <v>#REF!</v>
      </c>
      <c r="M10" s="71" t="e">
        <f>#REF!+#REF!</f>
        <v>#REF!</v>
      </c>
      <c r="N10" s="67" t="e">
        <f t="shared" si="13"/>
        <v>#REF!</v>
      </c>
      <c r="O10" s="68" t="e">
        <f t="shared" si="14"/>
        <v>#REF!</v>
      </c>
      <c r="P10" s="69" t="e">
        <f t="shared" si="15"/>
        <v>#REF!</v>
      </c>
      <c r="Q10" s="70" t="e">
        <f t="shared" si="16"/>
        <v>#REF!</v>
      </c>
      <c r="R10" s="70" t="e">
        <f t="shared" si="17"/>
        <v>#REF!</v>
      </c>
      <c r="S10" s="71" t="e">
        <f>#REF!</f>
        <v>#REF!</v>
      </c>
      <c r="T10" s="71" t="e">
        <f>#REF!</f>
        <v>#REF!</v>
      </c>
      <c r="U10" s="72" t="e">
        <f>#REF!</f>
        <v>#REF!</v>
      </c>
      <c r="V10" s="72" t="e">
        <f>#REF!</f>
        <v>#REF!</v>
      </c>
      <c r="W10" s="73" t="e">
        <f>#REF!</f>
        <v>#REF!</v>
      </c>
      <c r="X10" s="74" t="e">
        <f>#REF!</f>
        <v>#REF!</v>
      </c>
      <c r="Y10" s="217">
        <v>0</v>
      </c>
      <c r="Z10" s="217">
        <v>0</v>
      </c>
      <c r="AA10" s="74" t="e">
        <f>#REF!</f>
        <v>#REF!</v>
      </c>
      <c r="AB10" s="74" t="e">
        <f>#REF!</f>
        <v>#REF!</v>
      </c>
      <c r="AC10" s="74" t="e">
        <f>#REF!</f>
        <v>#REF!</v>
      </c>
      <c r="AD10" s="74" t="e">
        <f>#REF!</f>
        <v>#REF!</v>
      </c>
    </row>
    <row r="11" spans="1:30">
      <c r="A11">
        <f t="shared" si="7"/>
        <v>5</v>
      </c>
      <c r="B11" s="85" t="e">
        <f>#REF!</f>
        <v>#REF!</v>
      </c>
      <c r="C11" s="92" t="str">
        <f t="shared" si="8"/>
        <v>Код района</v>
      </c>
      <c r="D11" s="66" t="e">
        <f>#REF!</f>
        <v>#REF!</v>
      </c>
      <c r="E11" s="92" t="str">
        <f t="shared" si="6"/>
        <v>Код сельсовета</v>
      </c>
      <c r="F11" s="89" t="e">
        <f>#REF!</f>
        <v>#REF!</v>
      </c>
      <c r="G11" s="91" t="e">
        <f>#REF!</f>
        <v>#REF!</v>
      </c>
      <c r="H11" s="48" t="e">
        <f t="shared" si="9"/>
        <v>#REF!</v>
      </c>
      <c r="I11" s="48" t="e">
        <f t="shared" si="10"/>
        <v>#REF!</v>
      </c>
      <c r="J11" s="48" t="e">
        <f t="shared" si="11"/>
        <v>#REF!</v>
      </c>
      <c r="K11" s="49" t="e">
        <f t="shared" si="12"/>
        <v>#REF!</v>
      </c>
      <c r="L11" s="86" t="e">
        <f>#REF!+#REF!</f>
        <v>#REF!</v>
      </c>
      <c r="M11" s="71" t="e">
        <f>#REF!+#REF!</f>
        <v>#REF!</v>
      </c>
      <c r="N11" s="67" t="e">
        <f t="shared" si="13"/>
        <v>#REF!</v>
      </c>
      <c r="O11" s="68" t="e">
        <f t="shared" si="14"/>
        <v>#REF!</v>
      </c>
      <c r="P11" s="69" t="e">
        <f t="shared" si="15"/>
        <v>#REF!</v>
      </c>
      <c r="Q11" s="70" t="e">
        <f t="shared" si="16"/>
        <v>#REF!</v>
      </c>
      <c r="R11" s="70" t="e">
        <f t="shared" si="17"/>
        <v>#REF!</v>
      </c>
      <c r="S11" s="71" t="e">
        <f>#REF!</f>
        <v>#REF!</v>
      </c>
      <c r="T11" s="71" t="e">
        <f>#REF!</f>
        <v>#REF!</v>
      </c>
      <c r="U11" s="72" t="e">
        <f>#REF!</f>
        <v>#REF!</v>
      </c>
      <c r="V11" s="72" t="e">
        <f>#REF!</f>
        <v>#REF!</v>
      </c>
      <c r="W11" s="73" t="e">
        <f>#REF!</f>
        <v>#REF!</v>
      </c>
      <c r="X11" s="74" t="e">
        <f>#REF!</f>
        <v>#REF!</v>
      </c>
      <c r="Y11" s="217">
        <v>0</v>
      </c>
      <c r="Z11" s="217">
        <v>0</v>
      </c>
      <c r="AA11" s="74" t="e">
        <f>#REF!</f>
        <v>#REF!</v>
      </c>
      <c r="AB11" s="74" t="e">
        <f>#REF!</f>
        <v>#REF!</v>
      </c>
      <c r="AC11" s="74" t="e">
        <f>#REF!</f>
        <v>#REF!</v>
      </c>
      <c r="AD11" s="74" t="e">
        <f>#REF!</f>
        <v>#REF!</v>
      </c>
    </row>
    <row r="12" spans="1:30">
      <c r="A12">
        <f t="shared" si="7"/>
        <v>6</v>
      </c>
      <c r="B12" s="85" t="e">
        <f>#REF!</f>
        <v>#REF!</v>
      </c>
      <c r="C12" s="92" t="str">
        <f t="shared" si="8"/>
        <v>Код района</v>
      </c>
      <c r="D12" s="66" t="e">
        <f>#REF!</f>
        <v>#REF!</v>
      </c>
      <c r="E12" s="92" t="str">
        <f t="shared" si="6"/>
        <v>Код сельсовета</v>
      </c>
      <c r="F12" s="89" t="e">
        <f>#REF!</f>
        <v>#REF!</v>
      </c>
      <c r="G12" s="91" t="e">
        <f>#REF!</f>
        <v>#REF!</v>
      </c>
      <c r="H12" s="48" t="e">
        <f t="shared" si="9"/>
        <v>#REF!</v>
      </c>
      <c r="I12" s="48" t="e">
        <f t="shared" si="10"/>
        <v>#REF!</v>
      </c>
      <c r="J12" s="48" t="e">
        <f t="shared" si="11"/>
        <v>#REF!</v>
      </c>
      <c r="K12" s="49" t="e">
        <f t="shared" si="12"/>
        <v>#REF!</v>
      </c>
      <c r="L12" s="86" t="e">
        <f>#REF!+#REF!</f>
        <v>#REF!</v>
      </c>
      <c r="M12" s="71" t="e">
        <f>#REF!+#REF!</f>
        <v>#REF!</v>
      </c>
      <c r="N12" s="67" t="e">
        <f t="shared" si="13"/>
        <v>#REF!</v>
      </c>
      <c r="O12" s="68" t="e">
        <f t="shared" si="14"/>
        <v>#REF!</v>
      </c>
      <c r="P12" s="69" t="e">
        <f t="shared" si="15"/>
        <v>#REF!</v>
      </c>
      <c r="Q12" s="70" t="e">
        <f t="shared" si="16"/>
        <v>#REF!</v>
      </c>
      <c r="R12" s="70" t="e">
        <f t="shared" si="17"/>
        <v>#REF!</v>
      </c>
      <c r="S12" s="71" t="e">
        <f>#REF!</f>
        <v>#REF!</v>
      </c>
      <c r="T12" s="71" t="e">
        <f>#REF!</f>
        <v>#REF!</v>
      </c>
      <c r="U12" s="72" t="e">
        <f>#REF!</f>
        <v>#REF!</v>
      </c>
      <c r="V12" s="72" t="e">
        <f>#REF!</f>
        <v>#REF!</v>
      </c>
      <c r="W12" s="73" t="e">
        <f>#REF!</f>
        <v>#REF!</v>
      </c>
      <c r="X12" s="74" t="e">
        <f>#REF!</f>
        <v>#REF!</v>
      </c>
      <c r="Y12" s="217">
        <v>0</v>
      </c>
      <c r="Z12" s="217">
        <v>0</v>
      </c>
      <c r="AA12" s="74" t="e">
        <f>#REF!</f>
        <v>#REF!</v>
      </c>
      <c r="AB12" s="74" t="e">
        <f>#REF!</f>
        <v>#REF!</v>
      </c>
      <c r="AC12" s="74" t="e">
        <f>#REF!</f>
        <v>#REF!</v>
      </c>
      <c r="AD12" s="74" t="e">
        <f>#REF!</f>
        <v>#REF!</v>
      </c>
    </row>
    <row r="13" spans="1:30">
      <c r="A13">
        <f t="shared" si="7"/>
        <v>7</v>
      </c>
      <c r="B13" s="85" t="e">
        <f>#REF!</f>
        <v>#REF!</v>
      </c>
      <c r="C13" s="92" t="str">
        <f t="shared" si="8"/>
        <v>Код района</v>
      </c>
      <c r="D13" s="66" t="e">
        <f>#REF!</f>
        <v>#REF!</v>
      </c>
      <c r="E13" s="92" t="str">
        <f t="shared" si="6"/>
        <v>Код сельсовета</v>
      </c>
      <c r="F13" s="89" t="e">
        <f>#REF!</f>
        <v>#REF!</v>
      </c>
      <c r="G13" s="91" t="e">
        <f>#REF!</f>
        <v>#REF!</v>
      </c>
      <c r="H13" s="48" t="e">
        <f t="shared" si="9"/>
        <v>#REF!</v>
      </c>
      <c r="I13" s="48" t="e">
        <f t="shared" si="10"/>
        <v>#REF!</v>
      </c>
      <c r="J13" s="48" t="e">
        <f t="shared" si="11"/>
        <v>#REF!</v>
      </c>
      <c r="K13" s="49" t="e">
        <f t="shared" si="12"/>
        <v>#REF!</v>
      </c>
      <c r="L13" s="86" t="e">
        <f>#REF!+#REF!</f>
        <v>#REF!</v>
      </c>
      <c r="M13" s="71" t="e">
        <f>#REF!+#REF!</f>
        <v>#REF!</v>
      </c>
      <c r="N13" s="67" t="e">
        <f t="shared" si="13"/>
        <v>#REF!</v>
      </c>
      <c r="O13" s="68" t="e">
        <f t="shared" si="14"/>
        <v>#REF!</v>
      </c>
      <c r="P13" s="69" t="e">
        <f t="shared" si="15"/>
        <v>#REF!</v>
      </c>
      <c r="Q13" s="70" t="e">
        <f t="shared" si="16"/>
        <v>#REF!</v>
      </c>
      <c r="R13" s="70" t="e">
        <f t="shared" si="17"/>
        <v>#REF!</v>
      </c>
      <c r="S13" s="71" t="e">
        <f>#REF!</f>
        <v>#REF!</v>
      </c>
      <c r="T13" s="71" t="e">
        <f>#REF!</f>
        <v>#REF!</v>
      </c>
      <c r="U13" s="72" t="e">
        <f>#REF!</f>
        <v>#REF!</v>
      </c>
      <c r="V13" s="72" t="e">
        <f>#REF!</f>
        <v>#REF!</v>
      </c>
      <c r="W13" s="73" t="e">
        <f>#REF!</f>
        <v>#REF!</v>
      </c>
      <c r="X13" s="74" t="e">
        <f>#REF!</f>
        <v>#REF!</v>
      </c>
      <c r="Y13" s="217">
        <v>0</v>
      </c>
      <c r="Z13" s="217">
        <v>0</v>
      </c>
      <c r="AA13" s="74" t="e">
        <f>#REF!</f>
        <v>#REF!</v>
      </c>
      <c r="AB13" s="74" t="e">
        <f>#REF!</f>
        <v>#REF!</v>
      </c>
      <c r="AC13" s="74" t="e">
        <f>#REF!</f>
        <v>#REF!</v>
      </c>
      <c r="AD13" s="74" t="e">
        <f>#REF!</f>
        <v>#REF!</v>
      </c>
    </row>
    <row r="14" spans="1:30">
      <c r="A14">
        <f t="shared" si="7"/>
        <v>8</v>
      </c>
      <c r="B14" s="85" t="e">
        <f>#REF!</f>
        <v>#REF!</v>
      </c>
      <c r="C14" s="92" t="str">
        <f t="shared" si="8"/>
        <v>Код района</v>
      </c>
      <c r="D14" s="66" t="e">
        <f>#REF!</f>
        <v>#REF!</v>
      </c>
      <c r="E14" s="92" t="str">
        <f t="shared" si="6"/>
        <v>Код сельсовета</v>
      </c>
      <c r="F14" s="89" t="e">
        <f>#REF!</f>
        <v>#REF!</v>
      </c>
      <c r="G14" s="91" t="e">
        <f>#REF!</f>
        <v>#REF!</v>
      </c>
      <c r="H14" s="48" t="e">
        <f t="shared" si="9"/>
        <v>#REF!</v>
      </c>
      <c r="I14" s="48" t="e">
        <f t="shared" si="10"/>
        <v>#REF!</v>
      </c>
      <c r="J14" s="48" t="e">
        <f t="shared" si="11"/>
        <v>#REF!</v>
      </c>
      <c r="K14" s="49" t="e">
        <f t="shared" si="12"/>
        <v>#REF!</v>
      </c>
      <c r="L14" s="86" t="e">
        <f>#REF!+#REF!</f>
        <v>#REF!</v>
      </c>
      <c r="M14" s="71" t="e">
        <f>#REF!+#REF!</f>
        <v>#REF!</v>
      </c>
      <c r="N14" s="67" t="e">
        <f t="shared" si="13"/>
        <v>#REF!</v>
      </c>
      <c r="O14" s="68" t="e">
        <f t="shared" si="14"/>
        <v>#REF!</v>
      </c>
      <c r="P14" s="69" t="e">
        <f t="shared" si="15"/>
        <v>#REF!</v>
      </c>
      <c r="Q14" s="70" t="e">
        <f t="shared" si="16"/>
        <v>#REF!</v>
      </c>
      <c r="R14" s="70" t="e">
        <f t="shared" si="17"/>
        <v>#REF!</v>
      </c>
      <c r="S14" s="71" t="e">
        <f>#REF!</f>
        <v>#REF!</v>
      </c>
      <c r="T14" s="71" t="e">
        <f>#REF!</f>
        <v>#REF!</v>
      </c>
      <c r="U14" s="72" t="e">
        <f>#REF!</f>
        <v>#REF!</v>
      </c>
      <c r="V14" s="72" t="e">
        <f>#REF!</f>
        <v>#REF!</v>
      </c>
      <c r="W14" s="73" t="e">
        <f>#REF!</f>
        <v>#REF!</v>
      </c>
      <c r="X14" s="74" t="e">
        <f>#REF!</f>
        <v>#REF!</v>
      </c>
      <c r="Y14" s="217">
        <v>0</v>
      </c>
      <c r="Z14" s="217">
        <v>0</v>
      </c>
      <c r="AA14" s="74" t="e">
        <f>#REF!</f>
        <v>#REF!</v>
      </c>
      <c r="AB14" s="74" t="e">
        <f>#REF!</f>
        <v>#REF!</v>
      </c>
      <c r="AC14" s="74" t="e">
        <f>#REF!</f>
        <v>#REF!</v>
      </c>
      <c r="AD14" s="74" t="e">
        <f>#REF!</f>
        <v>#REF!</v>
      </c>
    </row>
    <row r="15" spans="1:30">
      <c r="A15">
        <f t="shared" si="7"/>
        <v>9</v>
      </c>
      <c r="B15" s="85" t="e">
        <f>#REF!</f>
        <v>#REF!</v>
      </c>
      <c r="C15" s="92" t="str">
        <f t="shared" si="8"/>
        <v>Код района</v>
      </c>
      <c r="D15" s="66" t="e">
        <f>#REF!</f>
        <v>#REF!</v>
      </c>
      <c r="E15" s="92" t="str">
        <f t="shared" si="6"/>
        <v>Код сельсовета</v>
      </c>
      <c r="F15" s="89" t="e">
        <f>#REF!</f>
        <v>#REF!</v>
      </c>
      <c r="G15" s="91" t="e">
        <f>#REF!</f>
        <v>#REF!</v>
      </c>
      <c r="H15" s="48" t="e">
        <f t="shared" si="9"/>
        <v>#REF!</v>
      </c>
      <c r="I15" s="48" t="e">
        <f t="shared" si="10"/>
        <v>#REF!</v>
      </c>
      <c r="J15" s="48" t="e">
        <f t="shared" si="11"/>
        <v>#REF!</v>
      </c>
      <c r="K15" s="49" t="e">
        <f t="shared" si="12"/>
        <v>#REF!</v>
      </c>
      <c r="L15" s="86" t="e">
        <f>#REF!+#REF!</f>
        <v>#REF!</v>
      </c>
      <c r="M15" s="71" t="e">
        <f>#REF!+#REF!</f>
        <v>#REF!</v>
      </c>
      <c r="N15" s="67" t="e">
        <f t="shared" si="13"/>
        <v>#REF!</v>
      </c>
      <c r="O15" s="68" t="e">
        <f t="shared" si="14"/>
        <v>#REF!</v>
      </c>
      <c r="P15" s="69" t="e">
        <f t="shared" si="15"/>
        <v>#REF!</v>
      </c>
      <c r="Q15" s="70" t="e">
        <f t="shared" si="16"/>
        <v>#REF!</v>
      </c>
      <c r="R15" s="70" t="e">
        <f t="shared" si="17"/>
        <v>#REF!</v>
      </c>
      <c r="S15" s="71" t="e">
        <f>#REF!</f>
        <v>#REF!</v>
      </c>
      <c r="T15" s="71" t="e">
        <f>#REF!</f>
        <v>#REF!</v>
      </c>
      <c r="U15" s="72" t="e">
        <f>#REF!</f>
        <v>#REF!</v>
      </c>
      <c r="V15" s="72" t="e">
        <f>#REF!</f>
        <v>#REF!</v>
      </c>
      <c r="W15" s="73" t="e">
        <f>#REF!</f>
        <v>#REF!</v>
      </c>
      <c r="X15" s="74" t="e">
        <f>#REF!</f>
        <v>#REF!</v>
      </c>
      <c r="Y15" s="217">
        <v>0</v>
      </c>
      <c r="Z15" s="217">
        <v>0</v>
      </c>
      <c r="AA15" s="74" t="e">
        <f>#REF!</f>
        <v>#REF!</v>
      </c>
      <c r="AB15" s="74" t="e">
        <f>#REF!</f>
        <v>#REF!</v>
      </c>
      <c r="AC15" s="74" t="e">
        <f>#REF!</f>
        <v>#REF!</v>
      </c>
      <c r="AD15" s="74" t="e">
        <f>#REF!</f>
        <v>#REF!</v>
      </c>
    </row>
    <row r="16" spans="1:30">
      <c r="A16">
        <f t="shared" si="7"/>
        <v>10</v>
      </c>
      <c r="B16" s="85" t="e">
        <f>#REF!</f>
        <v>#REF!</v>
      </c>
      <c r="C16" s="92" t="str">
        <f t="shared" si="8"/>
        <v>Код района</v>
      </c>
      <c r="D16" s="66" t="e">
        <f>#REF!</f>
        <v>#REF!</v>
      </c>
      <c r="E16" s="92" t="str">
        <f t="shared" si="6"/>
        <v>Код сельсовета</v>
      </c>
      <c r="F16" s="89" t="e">
        <f>#REF!</f>
        <v>#REF!</v>
      </c>
      <c r="G16" s="91" t="e">
        <f>#REF!</f>
        <v>#REF!</v>
      </c>
      <c r="H16" s="48" t="e">
        <f t="shared" si="9"/>
        <v>#REF!</v>
      </c>
      <c r="I16" s="48" t="e">
        <f t="shared" si="10"/>
        <v>#REF!</v>
      </c>
      <c r="J16" s="48" t="e">
        <f t="shared" si="11"/>
        <v>#REF!</v>
      </c>
      <c r="K16" s="49" t="e">
        <f t="shared" si="12"/>
        <v>#REF!</v>
      </c>
      <c r="L16" s="86" t="e">
        <f>#REF!+#REF!</f>
        <v>#REF!</v>
      </c>
      <c r="M16" s="71" t="e">
        <f>#REF!+#REF!</f>
        <v>#REF!</v>
      </c>
      <c r="N16" s="67" t="e">
        <f t="shared" si="13"/>
        <v>#REF!</v>
      </c>
      <c r="O16" s="68" t="e">
        <f t="shared" si="14"/>
        <v>#REF!</v>
      </c>
      <c r="P16" s="69" t="e">
        <f t="shared" si="15"/>
        <v>#REF!</v>
      </c>
      <c r="Q16" s="70" t="e">
        <f t="shared" si="16"/>
        <v>#REF!</v>
      </c>
      <c r="R16" s="70" t="e">
        <f t="shared" si="17"/>
        <v>#REF!</v>
      </c>
      <c r="S16" s="71" t="e">
        <f>#REF!</f>
        <v>#REF!</v>
      </c>
      <c r="T16" s="71" t="e">
        <f>#REF!</f>
        <v>#REF!</v>
      </c>
      <c r="U16" s="72" t="e">
        <f>#REF!</f>
        <v>#REF!</v>
      </c>
      <c r="V16" s="72" t="e">
        <f>#REF!</f>
        <v>#REF!</v>
      </c>
      <c r="W16" s="73" t="e">
        <f>#REF!</f>
        <v>#REF!</v>
      </c>
      <c r="X16" s="74" t="e">
        <f>#REF!</f>
        <v>#REF!</v>
      </c>
      <c r="Y16" s="217">
        <v>0</v>
      </c>
      <c r="Z16" s="217">
        <v>0</v>
      </c>
      <c r="AA16" s="74" t="e">
        <f>#REF!</f>
        <v>#REF!</v>
      </c>
      <c r="AB16" s="74" t="e">
        <f>#REF!</f>
        <v>#REF!</v>
      </c>
      <c r="AC16" s="74" t="e">
        <f>#REF!</f>
        <v>#REF!</v>
      </c>
      <c r="AD16" s="74" t="e">
        <f>#REF!</f>
        <v>#REF!</v>
      </c>
    </row>
    <row r="17" spans="1:30">
      <c r="A17">
        <f t="shared" si="7"/>
        <v>11</v>
      </c>
      <c r="B17" s="85" t="e">
        <f>#REF!</f>
        <v>#REF!</v>
      </c>
      <c r="C17" s="92" t="str">
        <f t="shared" si="8"/>
        <v>Код района</v>
      </c>
      <c r="D17" s="66" t="e">
        <f>#REF!</f>
        <v>#REF!</v>
      </c>
      <c r="E17" s="92" t="str">
        <f t="shared" si="6"/>
        <v>Код сельсовета</v>
      </c>
      <c r="F17" s="89" t="e">
        <f>#REF!</f>
        <v>#REF!</v>
      </c>
      <c r="G17" s="91" t="e">
        <f>#REF!</f>
        <v>#REF!</v>
      </c>
      <c r="H17" s="48" t="e">
        <f t="shared" si="9"/>
        <v>#REF!</v>
      </c>
      <c r="I17" s="48" t="e">
        <f t="shared" si="10"/>
        <v>#REF!</v>
      </c>
      <c r="J17" s="48" t="e">
        <f t="shared" si="11"/>
        <v>#REF!</v>
      </c>
      <c r="K17" s="49" t="e">
        <f t="shared" si="12"/>
        <v>#REF!</v>
      </c>
      <c r="L17" s="86" t="e">
        <f>#REF!+#REF!</f>
        <v>#REF!</v>
      </c>
      <c r="M17" s="71" t="e">
        <f>#REF!+#REF!</f>
        <v>#REF!</v>
      </c>
      <c r="N17" s="67" t="e">
        <f t="shared" si="13"/>
        <v>#REF!</v>
      </c>
      <c r="O17" s="68" t="e">
        <f t="shared" si="14"/>
        <v>#REF!</v>
      </c>
      <c r="P17" s="69" t="e">
        <f t="shared" si="15"/>
        <v>#REF!</v>
      </c>
      <c r="Q17" s="70" t="e">
        <f t="shared" si="16"/>
        <v>#REF!</v>
      </c>
      <c r="R17" s="70" t="e">
        <f t="shared" si="17"/>
        <v>#REF!</v>
      </c>
      <c r="S17" s="71" t="e">
        <f>#REF!</f>
        <v>#REF!</v>
      </c>
      <c r="T17" s="71" t="e">
        <f>#REF!</f>
        <v>#REF!</v>
      </c>
      <c r="U17" s="72" t="e">
        <f>#REF!</f>
        <v>#REF!</v>
      </c>
      <c r="V17" s="72" t="e">
        <f>#REF!</f>
        <v>#REF!</v>
      </c>
      <c r="W17" s="73" t="e">
        <f>#REF!</f>
        <v>#REF!</v>
      </c>
      <c r="X17" s="74" t="e">
        <f>#REF!</f>
        <v>#REF!</v>
      </c>
      <c r="Y17" s="217">
        <v>0</v>
      </c>
      <c r="Z17" s="217">
        <v>0</v>
      </c>
      <c r="AA17" s="74" t="e">
        <f>#REF!</f>
        <v>#REF!</v>
      </c>
      <c r="AB17" s="74" t="e">
        <f>#REF!</f>
        <v>#REF!</v>
      </c>
      <c r="AC17" s="74" t="e">
        <f>#REF!</f>
        <v>#REF!</v>
      </c>
      <c r="AD17" s="74" t="e">
        <f>#REF!</f>
        <v>#REF!</v>
      </c>
    </row>
    <row r="18" spans="1:30">
      <c r="A18">
        <f t="shared" si="7"/>
        <v>12</v>
      </c>
      <c r="B18" s="85" t="e">
        <f>#REF!</f>
        <v>#REF!</v>
      </c>
      <c r="C18" s="92" t="str">
        <f t="shared" si="8"/>
        <v>Код района</v>
      </c>
      <c r="D18" s="66" t="e">
        <f>#REF!</f>
        <v>#REF!</v>
      </c>
      <c r="E18" s="92" t="str">
        <f t="shared" si="6"/>
        <v>Код сельсовета</v>
      </c>
      <c r="F18" s="89" t="e">
        <f>#REF!</f>
        <v>#REF!</v>
      </c>
      <c r="G18" s="91" t="e">
        <f>#REF!</f>
        <v>#REF!</v>
      </c>
      <c r="H18" s="48" t="e">
        <f t="shared" si="9"/>
        <v>#REF!</v>
      </c>
      <c r="I18" s="48" t="e">
        <f t="shared" si="10"/>
        <v>#REF!</v>
      </c>
      <c r="J18" s="48" t="e">
        <f t="shared" si="11"/>
        <v>#REF!</v>
      </c>
      <c r="K18" s="49" t="e">
        <f t="shared" si="12"/>
        <v>#REF!</v>
      </c>
      <c r="L18" s="86" t="e">
        <f>#REF!+#REF!</f>
        <v>#REF!</v>
      </c>
      <c r="M18" s="71" t="e">
        <f>#REF!+#REF!</f>
        <v>#REF!</v>
      </c>
      <c r="N18" s="67" t="e">
        <f t="shared" si="13"/>
        <v>#REF!</v>
      </c>
      <c r="O18" s="68" t="e">
        <f t="shared" si="14"/>
        <v>#REF!</v>
      </c>
      <c r="P18" s="69" t="e">
        <f t="shared" si="15"/>
        <v>#REF!</v>
      </c>
      <c r="Q18" s="70" t="e">
        <f t="shared" si="16"/>
        <v>#REF!</v>
      </c>
      <c r="R18" s="70" t="e">
        <f t="shared" si="17"/>
        <v>#REF!</v>
      </c>
      <c r="S18" s="71" t="e">
        <f>#REF!</f>
        <v>#REF!</v>
      </c>
      <c r="T18" s="71" t="e">
        <f>#REF!</f>
        <v>#REF!</v>
      </c>
      <c r="U18" s="72" t="e">
        <f>#REF!</f>
        <v>#REF!</v>
      </c>
      <c r="V18" s="72" t="e">
        <f>#REF!</f>
        <v>#REF!</v>
      </c>
      <c r="W18" s="73" t="e">
        <f>#REF!</f>
        <v>#REF!</v>
      </c>
      <c r="X18" s="74" t="e">
        <f>#REF!</f>
        <v>#REF!</v>
      </c>
      <c r="Y18" s="217">
        <v>0</v>
      </c>
      <c r="Z18" s="217">
        <v>0</v>
      </c>
      <c r="AA18" s="74" t="e">
        <f>#REF!</f>
        <v>#REF!</v>
      </c>
      <c r="AB18" s="74" t="e">
        <f>#REF!</f>
        <v>#REF!</v>
      </c>
      <c r="AC18" s="74" t="e">
        <f>#REF!</f>
        <v>#REF!</v>
      </c>
      <c r="AD18" s="74" t="e">
        <f>#REF!</f>
        <v>#REF!</v>
      </c>
    </row>
    <row r="19" spans="1:30">
      <c r="A19">
        <f t="shared" si="7"/>
        <v>13</v>
      </c>
      <c r="B19" s="85" t="e">
        <f>#REF!</f>
        <v>#REF!</v>
      </c>
      <c r="C19" s="92" t="str">
        <f t="shared" si="8"/>
        <v>Код района</v>
      </c>
      <c r="D19" s="66" t="e">
        <f>#REF!</f>
        <v>#REF!</v>
      </c>
      <c r="E19" s="92" t="str">
        <f t="shared" si="6"/>
        <v>Код сельсовета</v>
      </c>
      <c r="F19" s="89" t="e">
        <f>#REF!</f>
        <v>#REF!</v>
      </c>
      <c r="G19" s="91" t="e">
        <f>#REF!</f>
        <v>#REF!</v>
      </c>
      <c r="H19" s="48" t="e">
        <f t="shared" si="9"/>
        <v>#REF!</v>
      </c>
      <c r="I19" s="48" t="e">
        <f t="shared" si="10"/>
        <v>#REF!</v>
      </c>
      <c r="J19" s="48" t="e">
        <f t="shared" si="11"/>
        <v>#REF!</v>
      </c>
      <c r="K19" s="49" t="e">
        <f t="shared" si="12"/>
        <v>#REF!</v>
      </c>
      <c r="L19" s="86" t="e">
        <f>#REF!+#REF!</f>
        <v>#REF!</v>
      </c>
      <c r="M19" s="71" t="e">
        <f>#REF!+#REF!</f>
        <v>#REF!</v>
      </c>
      <c r="N19" s="67" t="e">
        <f t="shared" si="13"/>
        <v>#REF!</v>
      </c>
      <c r="O19" s="68" t="e">
        <f t="shared" si="14"/>
        <v>#REF!</v>
      </c>
      <c r="P19" s="69" t="e">
        <f t="shared" si="15"/>
        <v>#REF!</v>
      </c>
      <c r="Q19" s="70" t="e">
        <f t="shared" si="16"/>
        <v>#REF!</v>
      </c>
      <c r="R19" s="70" t="e">
        <f t="shared" si="17"/>
        <v>#REF!</v>
      </c>
      <c r="S19" s="71" t="e">
        <f>#REF!</f>
        <v>#REF!</v>
      </c>
      <c r="T19" s="71" t="e">
        <f>#REF!</f>
        <v>#REF!</v>
      </c>
      <c r="U19" s="72" t="e">
        <f>#REF!</f>
        <v>#REF!</v>
      </c>
      <c r="V19" s="72" t="e">
        <f>#REF!</f>
        <v>#REF!</v>
      </c>
      <c r="W19" s="73" t="e">
        <f>#REF!</f>
        <v>#REF!</v>
      </c>
      <c r="X19" s="74" t="e">
        <f>#REF!</f>
        <v>#REF!</v>
      </c>
      <c r="Y19" s="217">
        <v>0</v>
      </c>
      <c r="Z19" s="217">
        <v>0</v>
      </c>
      <c r="AA19" s="74" t="e">
        <f>#REF!</f>
        <v>#REF!</v>
      </c>
      <c r="AB19" s="74" t="e">
        <f>#REF!</f>
        <v>#REF!</v>
      </c>
      <c r="AC19" s="74" t="e">
        <f>#REF!</f>
        <v>#REF!</v>
      </c>
      <c r="AD19" s="74" t="e">
        <f>#REF!</f>
        <v>#REF!</v>
      </c>
    </row>
    <row r="20" spans="1:30">
      <c r="A20">
        <f t="shared" si="7"/>
        <v>14</v>
      </c>
      <c r="B20" s="85" t="e">
        <f>#REF!</f>
        <v>#REF!</v>
      </c>
      <c r="C20" s="92" t="str">
        <f t="shared" si="8"/>
        <v>Код района</v>
      </c>
      <c r="D20" s="66" t="e">
        <f>#REF!</f>
        <v>#REF!</v>
      </c>
      <c r="E20" s="92" t="str">
        <f t="shared" si="6"/>
        <v>Код сельсовета</v>
      </c>
      <c r="F20" s="89" t="e">
        <f>#REF!</f>
        <v>#REF!</v>
      </c>
      <c r="G20" s="91" t="e">
        <f>#REF!</f>
        <v>#REF!</v>
      </c>
      <c r="H20" s="48" t="e">
        <f t="shared" si="9"/>
        <v>#REF!</v>
      </c>
      <c r="I20" s="48" t="e">
        <f t="shared" si="10"/>
        <v>#REF!</v>
      </c>
      <c r="J20" s="48" t="e">
        <f t="shared" si="11"/>
        <v>#REF!</v>
      </c>
      <c r="K20" s="49" t="e">
        <f t="shared" si="12"/>
        <v>#REF!</v>
      </c>
      <c r="L20" s="86" t="e">
        <f>#REF!+#REF!</f>
        <v>#REF!</v>
      </c>
      <c r="M20" s="71" t="e">
        <f>#REF!+#REF!</f>
        <v>#REF!</v>
      </c>
      <c r="N20" s="67" t="e">
        <f t="shared" si="13"/>
        <v>#REF!</v>
      </c>
      <c r="O20" s="68" t="e">
        <f t="shared" si="14"/>
        <v>#REF!</v>
      </c>
      <c r="P20" s="69" t="e">
        <f t="shared" si="15"/>
        <v>#REF!</v>
      </c>
      <c r="Q20" s="70" t="e">
        <f t="shared" si="16"/>
        <v>#REF!</v>
      </c>
      <c r="R20" s="70" t="e">
        <f t="shared" si="17"/>
        <v>#REF!</v>
      </c>
      <c r="S20" s="71" t="e">
        <f>#REF!</f>
        <v>#REF!</v>
      </c>
      <c r="T20" s="71" t="e">
        <f>#REF!</f>
        <v>#REF!</v>
      </c>
      <c r="U20" s="72" t="e">
        <f>#REF!</f>
        <v>#REF!</v>
      </c>
      <c r="V20" s="72" t="e">
        <f>#REF!</f>
        <v>#REF!</v>
      </c>
      <c r="W20" s="73" t="e">
        <f>#REF!</f>
        <v>#REF!</v>
      </c>
      <c r="X20" s="74" t="e">
        <f>#REF!</f>
        <v>#REF!</v>
      </c>
      <c r="Y20" s="217">
        <v>0</v>
      </c>
      <c r="Z20" s="217">
        <v>0</v>
      </c>
      <c r="AA20" s="74" t="e">
        <f>#REF!</f>
        <v>#REF!</v>
      </c>
      <c r="AB20" s="74" t="e">
        <f>#REF!</f>
        <v>#REF!</v>
      </c>
      <c r="AC20" s="74" t="e">
        <f>#REF!</f>
        <v>#REF!</v>
      </c>
      <c r="AD20" s="74" t="e">
        <f>#REF!</f>
        <v>#REF!</v>
      </c>
    </row>
    <row r="21" spans="1:30">
      <c r="A21">
        <f t="shared" si="7"/>
        <v>15</v>
      </c>
      <c r="B21" s="85" t="e">
        <f>#REF!</f>
        <v>#REF!</v>
      </c>
      <c r="C21" s="92" t="str">
        <f t="shared" si="8"/>
        <v>Код района</v>
      </c>
      <c r="D21" s="66" t="e">
        <f>#REF!</f>
        <v>#REF!</v>
      </c>
      <c r="E21" s="92" t="str">
        <f t="shared" si="6"/>
        <v>Код сельсовета</v>
      </c>
      <c r="F21" s="89" t="e">
        <f>#REF!</f>
        <v>#REF!</v>
      </c>
      <c r="G21" s="91" t="e">
        <f>#REF!</f>
        <v>#REF!</v>
      </c>
      <c r="H21" s="48" t="e">
        <f t="shared" si="9"/>
        <v>#REF!</v>
      </c>
      <c r="I21" s="48" t="e">
        <f t="shared" si="10"/>
        <v>#REF!</v>
      </c>
      <c r="J21" s="48" t="e">
        <f t="shared" si="11"/>
        <v>#REF!</v>
      </c>
      <c r="K21" s="49" t="e">
        <f t="shared" si="12"/>
        <v>#REF!</v>
      </c>
      <c r="L21" s="86" t="e">
        <f>#REF!+#REF!</f>
        <v>#REF!</v>
      </c>
      <c r="M21" s="71" t="e">
        <f>#REF!+#REF!</f>
        <v>#REF!</v>
      </c>
      <c r="N21" s="67" t="e">
        <f t="shared" si="13"/>
        <v>#REF!</v>
      </c>
      <c r="O21" s="68" t="e">
        <f t="shared" si="14"/>
        <v>#REF!</v>
      </c>
      <c r="P21" s="69" t="e">
        <f t="shared" si="15"/>
        <v>#REF!</v>
      </c>
      <c r="Q21" s="70" t="e">
        <f t="shared" si="16"/>
        <v>#REF!</v>
      </c>
      <c r="R21" s="70" t="e">
        <f t="shared" si="17"/>
        <v>#REF!</v>
      </c>
      <c r="S21" s="71" t="e">
        <f>#REF!</f>
        <v>#REF!</v>
      </c>
      <c r="T21" s="71" t="e">
        <f>#REF!</f>
        <v>#REF!</v>
      </c>
      <c r="U21" s="72" t="e">
        <f>#REF!</f>
        <v>#REF!</v>
      </c>
      <c r="V21" s="72" t="e">
        <f>#REF!</f>
        <v>#REF!</v>
      </c>
      <c r="W21" s="73" t="e">
        <f>#REF!</f>
        <v>#REF!</v>
      </c>
      <c r="X21" s="74" t="e">
        <f>#REF!</f>
        <v>#REF!</v>
      </c>
      <c r="Y21" s="217">
        <v>0</v>
      </c>
      <c r="Z21" s="217">
        <v>0</v>
      </c>
      <c r="AA21" s="74" t="e">
        <f>#REF!</f>
        <v>#REF!</v>
      </c>
      <c r="AB21" s="74" t="e">
        <f>#REF!</f>
        <v>#REF!</v>
      </c>
      <c r="AC21" s="74" t="e">
        <f>#REF!</f>
        <v>#REF!</v>
      </c>
      <c r="AD21" s="74" t="e">
        <f>#REF!</f>
        <v>#REF!</v>
      </c>
    </row>
    <row r="22" spans="1:30">
      <c r="A22">
        <f t="shared" si="7"/>
        <v>16</v>
      </c>
      <c r="B22" s="85" t="e">
        <f>#REF!</f>
        <v>#REF!</v>
      </c>
      <c r="C22" s="92" t="str">
        <f t="shared" si="8"/>
        <v>Код района</v>
      </c>
      <c r="D22" s="66" t="e">
        <f>#REF!</f>
        <v>#REF!</v>
      </c>
      <c r="E22" s="92" t="str">
        <f t="shared" si="6"/>
        <v>Код сельсовета</v>
      </c>
      <c r="F22" s="89" t="e">
        <f>#REF!</f>
        <v>#REF!</v>
      </c>
      <c r="G22" s="91" t="e">
        <f>#REF!</f>
        <v>#REF!</v>
      </c>
      <c r="H22" s="48" t="e">
        <f t="shared" si="9"/>
        <v>#REF!</v>
      </c>
      <c r="I22" s="48" t="e">
        <f t="shared" si="10"/>
        <v>#REF!</v>
      </c>
      <c r="J22" s="48" t="e">
        <f t="shared" si="11"/>
        <v>#REF!</v>
      </c>
      <c r="K22" s="49" t="e">
        <f t="shared" si="12"/>
        <v>#REF!</v>
      </c>
      <c r="L22" s="86" t="e">
        <f>#REF!+#REF!</f>
        <v>#REF!</v>
      </c>
      <c r="M22" s="71" t="e">
        <f>#REF!+#REF!</f>
        <v>#REF!</v>
      </c>
      <c r="N22" s="67" t="e">
        <f t="shared" si="13"/>
        <v>#REF!</v>
      </c>
      <c r="O22" s="68" t="e">
        <f t="shared" si="14"/>
        <v>#REF!</v>
      </c>
      <c r="P22" s="69" t="e">
        <f t="shared" si="15"/>
        <v>#REF!</v>
      </c>
      <c r="Q22" s="70" t="e">
        <f t="shared" si="16"/>
        <v>#REF!</v>
      </c>
      <c r="R22" s="70" t="e">
        <f t="shared" si="17"/>
        <v>#REF!</v>
      </c>
      <c r="S22" s="71" t="e">
        <f>#REF!</f>
        <v>#REF!</v>
      </c>
      <c r="T22" s="71" t="e">
        <f>#REF!</f>
        <v>#REF!</v>
      </c>
      <c r="U22" s="72" t="e">
        <f>#REF!</f>
        <v>#REF!</v>
      </c>
      <c r="V22" s="72" t="e">
        <f>#REF!</f>
        <v>#REF!</v>
      </c>
      <c r="W22" s="73" t="e">
        <f>#REF!</f>
        <v>#REF!</v>
      </c>
      <c r="X22" s="74" t="e">
        <f>#REF!</f>
        <v>#REF!</v>
      </c>
      <c r="Y22" s="217">
        <v>0</v>
      </c>
      <c r="Z22" s="217">
        <v>0</v>
      </c>
      <c r="AA22" s="74" t="e">
        <f>#REF!</f>
        <v>#REF!</v>
      </c>
      <c r="AB22" s="74" t="e">
        <f>#REF!</f>
        <v>#REF!</v>
      </c>
      <c r="AC22" s="74" t="e">
        <f>#REF!</f>
        <v>#REF!</v>
      </c>
      <c r="AD22" s="74" t="e">
        <f>#REF!</f>
        <v>#REF!</v>
      </c>
    </row>
    <row r="23" spans="1:30">
      <c r="A23">
        <f t="shared" si="7"/>
        <v>17</v>
      </c>
      <c r="B23" s="85" t="e">
        <f>#REF!</f>
        <v>#REF!</v>
      </c>
      <c r="C23" s="92" t="str">
        <f t="shared" si="8"/>
        <v>Код района</v>
      </c>
      <c r="D23" s="66" t="e">
        <f>#REF!</f>
        <v>#REF!</v>
      </c>
      <c r="E23" s="92" t="str">
        <f t="shared" si="6"/>
        <v>Код сельсовета</v>
      </c>
      <c r="F23" s="89" t="e">
        <f>#REF!</f>
        <v>#REF!</v>
      </c>
      <c r="G23" s="91" t="e">
        <f>#REF!</f>
        <v>#REF!</v>
      </c>
      <c r="H23" s="48" t="e">
        <f t="shared" si="9"/>
        <v>#REF!</v>
      </c>
      <c r="I23" s="48" t="e">
        <f t="shared" si="10"/>
        <v>#REF!</v>
      </c>
      <c r="J23" s="48" t="e">
        <f t="shared" si="11"/>
        <v>#REF!</v>
      </c>
      <c r="K23" s="49" t="e">
        <f t="shared" si="12"/>
        <v>#REF!</v>
      </c>
      <c r="L23" s="86" t="e">
        <f>#REF!+#REF!</f>
        <v>#REF!</v>
      </c>
      <c r="M23" s="71" t="e">
        <f>#REF!+#REF!</f>
        <v>#REF!</v>
      </c>
      <c r="N23" s="67" t="e">
        <f t="shared" si="13"/>
        <v>#REF!</v>
      </c>
      <c r="O23" s="68" t="e">
        <f t="shared" si="14"/>
        <v>#REF!</v>
      </c>
      <c r="P23" s="69" t="e">
        <f t="shared" si="15"/>
        <v>#REF!</v>
      </c>
      <c r="Q23" s="70" t="e">
        <f t="shared" si="16"/>
        <v>#REF!</v>
      </c>
      <c r="R23" s="70" t="e">
        <f t="shared" si="17"/>
        <v>#REF!</v>
      </c>
      <c r="S23" s="71" t="e">
        <f>#REF!</f>
        <v>#REF!</v>
      </c>
      <c r="T23" s="71" t="e">
        <f>#REF!</f>
        <v>#REF!</v>
      </c>
      <c r="U23" s="72" t="e">
        <f>#REF!</f>
        <v>#REF!</v>
      </c>
      <c r="V23" s="72" t="e">
        <f>#REF!</f>
        <v>#REF!</v>
      </c>
      <c r="W23" s="73" t="e">
        <f>#REF!</f>
        <v>#REF!</v>
      </c>
      <c r="X23" s="74" t="e">
        <f>#REF!</f>
        <v>#REF!</v>
      </c>
      <c r="Y23" s="217">
        <v>0</v>
      </c>
      <c r="Z23" s="217">
        <v>0</v>
      </c>
      <c r="AA23" s="74" t="e">
        <f>#REF!</f>
        <v>#REF!</v>
      </c>
      <c r="AB23" s="74" t="e">
        <f>#REF!</f>
        <v>#REF!</v>
      </c>
      <c r="AC23" s="74" t="e">
        <f>#REF!</f>
        <v>#REF!</v>
      </c>
      <c r="AD23" s="74" t="e">
        <f>#REF!</f>
        <v>#REF!</v>
      </c>
    </row>
    <row r="24" spans="1:30">
      <c r="A24">
        <f t="shared" si="7"/>
        <v>18</v>
      </c>
      <c r="B24" s="85" t="e">
        <f>#REF!</f>
        <v>#REF!</v>
      </c>
      <c r="C24" s="92" t="str">
        <f t="shared" si="8"/>
        <v>Код района</v>
      </c>
      <c r="D24" s="66" t="e">
        <f>#REF!</f>
        <v>#REF!</v>
      </c>
      <c r="E24" s="92" t="str">
        <f t="shared" si="6"/>
        <v>Код сельсовета</v>
      </c>
      <c r="F24" s="89" t="e">
        <f>#REF!</f>
        <v>#REF!</v>
      </c>
      <c r="G24" s="91" t="e">
        <f>#REF!</f>
        <v>#REF!</v>
      </c>
      <c r="H24" s="48" t="e">
        <f t="shared" si="9"/>
        <v>#REF!</v>
      </c>
      <c r="I24" s="48" t="e">
        <f t="shared" si="10"/>
        <v>#REF!</v>
      </c>
      <c r="J24" s="48" t="e">
        <f t="shared" si="11"/>
        <v>#REF!</v>
      </c>
      <c r="K24" s="49" t="e">
        <f t="shared" si="12"/>
        <v>#REF!</v>
      </c>
      <c r="L24" s="86" t="e">
        <f>#REF!+#REF!</f>
        <v>#REF!</v>
      </c>
      <c r="M24" s="71" t="e">
        <f>#REF!+#REF!</f>
        <v>#REF!</v>
      </c>
      <c r="N24" s="67" t="e">
        <f t="shared" si="13"/>
        <v>#REF!</v>
      </c>
      <c r="O24" s="68" t="e">
        <f t="shared" si="14"/>
        <v>#REF!</v>
      </c>
      <c r="P24" s="69" t="e">
        <f t="shared" si="15"/>
        <v>#REF!</v>
      </c>
      <c r="Q24" s="70" t="e">
        <f t="shared" si="16"/>
        <v>#REF!</v>
      </c>
      <c r="R24" s="70" t="e">
        <f t="shared" si="17"/>
        <v>#REF!</v>
      </c>
      <c r="S24" s="71" t="e">
        <f>#REF!</f>
        <v>#REF!</v>
      </c>
      <c r="T24" s="71" t="e">
        <f>#REF!</f>
        <v>#REF!</v>
      </c>
      <c r="U24" s="72" t="e">
        <f>#REF!</f>
        <v>#REF!</v>
      </c>
      <c r="V24" s="72" t="e">
        <f>#REF!</f>
        <v>#REF!</v>
      </c>
      <c r="W24" s="73" t="e">
        <f>#REF!</f>
        <v>#REF!</v>
      </c>
      <c r="X24" s="74" t="e">
        <f>#REF!</f>
        <v>#REF!</v>
      </c>
      <c r="Y24" s="217">
        <v>0</v>
      </c>
      <c r="Z24" s="217">
        <v>0</v>
      </c>
      <c r="AA24" s="74" t="e">
        <f>#REF!</f>
        <v>#REF!</v>
      </c>
      <c r="AB24" s="74" t="e">
        <f>#REF!</f>
        <v>#REF!</v>
      </c>
      <c r="AC24" s="74" t="e">
        <f>#REF!</f>
        <v>#REF!</v>
      </c>
      <c r="AD24" s="74" t="e">
        <f>#REF!</f>
        <v>#REF!</v>
      </c>
    </row>
    <row r="25" spans="1:30">
      <c r="A25">
        <f t="shared" si="7"/>
        <v>19</v>
      </c>
      <c r="B25" s="85" t="e">
        <f>#REF!</f>
        <v>#REF!</v>
      </c>
      <c r="C25" s="92" t="str">
        <f t="shared" si="8"/>
        <v>Код района</v>
      </c>
      <c r="D25" s="66" t="e">
        <f>#REF!</f>
        <v>#REF!</v>
      </c>
      <c r="E25" s="92" t="str">
        <f t="shared" si="6"/>
        <v>Код сельсовета</v>
      </c>
      <c r="F25" s="89" t="e">
        <f>#REF!</f>
        <v>#REF!</v>
      </c>
      <c r="G25" s="91" t="e">
        <f>#REF!</f>
        <v>#REF!</v>
      </c>
      <c r="H25" s="48" t="e">
        <f t="shared" si="9"/>
        <v>#REF!</v>
      </c>
      <c r="I25" s="48" t="e">
        <f t="shared" si="10"/>
        <v>#REF!</v>
      </c>
      <c r="J25" s="48" t="e">
        <f t="shared" si="11"/>
        <v>#REF!</v>
      </c>
      <c r="K25" s="49" t="e">
        <f t="shared" si="12"/>
        <v>#REF!</v>
      </c>
      <c r="L25" s="86" t="e">
        <f>#REF!+#REF!</f>
        <v>#REF!</v>
      </c>
      <c r="M25" s="71" t="e">
        <f>#REF!+#REF!</f>
        <v>#REF!</v>
      </c>
      <c r="N25" s="67" t="e">
        <f t="shared" si="13"/>
        <v>#REF!</v>
      </c>
      <c r="O25" s="68" t="e">
        <f t="shared" si="14"/>
        <v>#REF!</v>
      </c>
      <c r="P25" s="69" t="e">
        <f t="shared" si="15"/>
        <v>#REF!</v>
      </c>
      <c r="Q25" s="70" t="e">
        <f t="shared" si="16"/>
        <v>#REF!</v>
      </c>
      <c r="R25" s="70" t="e">
        <f t="shared" si="17"/>
        <v>#REF!</v>
      </c>
      <c r="S25" s="71" t="e">
        <f>#REF!</f>
        <v>#REF!</v>
      </c>
      <c r="T25" s="71" t="e">
        <f>#REF!</f>
        <v>#REF!</v>
      </c>
      <c r="U25" s="72" t="e">
        <f>#REF!</f>
        <v>#REF!</v>
      </c>
      <c r="V25" s="72" t="e">
        <f>#REF!</f>
        <v>#REF!</v>
      </c>
      <c r="W25" s="73" t="e">
        <f>#REF!</f>
        <v>#REF!</v>
      </c>
      <c r="X25" s="74" t="e">
        <f>#REF!</f>
        <v>#REF!</v>
      </c>
      <c r="Y25" s="217">
        <v>0</v>
      </c>
      <c r="Z25" s="217">
        <v>0</v>
      </c>
      <c r="AA25" s="74" t="e">
        <f>#REF!</f>
        <v>#REF!</v>
      </c>
      <c r="AB25" s="74" t="e">
        <f>#REF!</f>
        <v>#REF!</v>
      </c>
      <c r="AC25" s="74" t="e">
        <f>#REF!</f>
        <v>#REF!</v>
      </c>
      <c r="AD25" s="74" t="e">
        <f>#REF!</f>
        <v>#REF!</v>
      </c>
    </row>
    <row r="26" spans="1:30">
      <c r="A26">
        <f t="shared" si="7"/>
        <v>20</v>
      </c>
      <c r="B26" s="85" t="e">
        <f>#REF!</f>
        <v>#REF!</v>
      </c>
      <c r="C26" s="92" t="str">
        <f t="shared" si="8"/>
        <v>Код района</v>
      </c>
      <c r="D26" s="66" t="e">
        <f>#REF!</f>
        <v>#REF!</v>
      </c>
      <c r="E26" s="92" t="str">
        <f t="shared" si="6"/>
        <v>Код сельсовета</v>
      </c>
      <c r="F26" s="89" t="e">
        <f>#REF!</f>
        <v>#REF!</v>
      </c>
      <c r="G26" s="91" t="e">
        <f>#REF!</f>
        <v>#REF!</v>
      </c>
      <c r="H26" s="48" t="e">
        <f t="shared" si="9"/>
        <v>#REF!</v>
      </c>
      <c r="I26" s="48" t="e">
        <f t="shared" si="10"/>
        <v>#REF!</v>
      </c>
      <c r="J26" s="48" t="e">
        <f t="shared" si="11"/>
        <v>#REF!</v>
      </c>
      <c r="K26" s="49" t="e">
        <f t="shared" si="12"/>
        <v>#REF!</v>
      </c>
      <c r="L26" s="86" t="e">
        <f>#REF!+#REF!</f>
        <v>#REF!</v>
      </c>
      <c r="M26" s="71" t="e">
        <f>#REF!+#REF!</f>
        <v>#REF!</v>
      </c>
      <c r="N26" s="67" t="e">
        <f t="shared" si="13"/>
        <v>#REF!</v>
      </c>
      <c r="O26" s="68" t="e">
        <f t="shared" si="14"/>
        <v>#REF!</v>
      </c>
      <c r="P26" s="69" t="e">
        <f t="shared" si="15"/>
        <v>#REF!</v>
      </c>
      <c r="Q26" s="70" t="e">
        <f t="shared" si="16"/>
        <v>#REF!</v>
      </c>
      <c r="R26" s="70" t="e">
        <f t="shared" si="17"/>
        <v>#REF!</v>
      </c>
      <c r="S26" s="71" t="e">
        <f>#REF!</f>
        <v>#REF!</v>
      </c>
      <c r="T26" s="71" t="e">
        <f>#REF!</f>
        <v>#REF!</v>
      </c>
      <c r="U26" s="72" t="e">
        <f>#REF!</f>
        <v>#REF!</v>
      </c>
      <c r="V26" s="72" t="e">
        <f>#REF!</f>
        <v>#REF!</v>
      </c>
      <c r="W26" s="73" t="e">
        <f>#REF!</f>
        <v>#REF!</v>
      </c>
      <c r="X26" s="74" t="e">
        <f>#REF!</f>
        <v>#REF!</v>
      </c>
      <c r="Y26" s="217">
        <v>0</v>
      </c>
      <c r="Z26" s="217">
        <v>0</v>
      </c>
      <c r="AA26" s="74" t="e">
        <f>#REF!</f>
        <v>#REF!</v>
      </c>
      <c r="AB26" s="74" t="e">
        <f>#REF!</f>
        <v>#REF!</v>
      </c>
      <c r="AC26" s="74" t="e">
        <f>#REF!</f>
        <v>#REF!</v>
      </c>
      <c r="AD26" s="74" t="e">
        <f>#REF!</f>
        <v>#REF!</v>
      </c>
    </row>
    <row r="27" spans="1:30">
      <c r="A27">
        <f t="shared" si="7"/>
        <v>21</v>
      </c>
      <c r="B27" s="85" t="e">
        <f>#REF!</f>
        <v>#REF!</v>
      </c>
      <c r="C27" s="92" t="str">
        <f t="shared" si="8"/>
        <v>Код района</v>
      </c>
      <c r="D27" s="66" t="e">
        <f>#REF!</f>
        <v>#REF!</v>
      </c>
      <c r="E27" s="92" t="str">
        <f t="shared" si="6"/>
        <v>Код сельсовета</v>
      </c>
      <c r="F27" s="89" t="e">
        <f>#REF!</f>
        <v>#REF!</v>
      </c>
      <c r="G27" s="91" t="e">
        <f>#REF!</f>
        <v>#REF!</v>
      </c>
      <c r="H27" s="48" t="e">
        <f t="shared" si="9"/>
        <v>#REF!</v>
      </c>
      <c r="I27" s="48" t="e">
        <f t="shared" si="10"/>
        <v>#REF!</v>
      </c>
      <c r="J27" s="48" t="e">
        <f t="shared" si="11"/>
        <v>#REF!</v>
      </c>
      <c r="K27" s="49" t="e">
        <f t="shared" si="12"/>
        <v>#REF!</v>
      </c>
      <c r="L27" s="86" t="e">
        <f>#REF!+#REF!</f>
        <v>#REF!</v>
      </c>
      <c r="M27" s="71" t="e">
        <f>#REF!+#REF!</f>
        <v>#REF!</v>
      </c>
      <c r="N27" s="67" t="e">
        <f t="shared" si="13"/>
        <v>#REF!</v>
      </c>
      <c r="O27" s="68" t="e">
        <f t="shared" si="14"/>
        <v>#REF!</v>
      </c>
      <c r="P27" s="69" t="e">
        <f t="shared" si="15"/>
        <v>#REF!</v>
      </c>
      <c r="Q27" s="70" t="e">
        <f t="shared" si="16"/>
        <v>#REF!</v>
      </c>
      <c r="R27" s="70" t="e">
        <f t="shared" si="17"/>
        <v>#REF!</v>
      </c>
      <c r="S27" s="71" t="e">
        <f>#REF!</f>
        <v>#REF!</v>
      </c>
      <c r="T27" s="71" t="e">
        <f>#REF!</f>
        <v>#REF!</v>
      </c>
      <c r="U27" s="72" t="e">
        <f>#REF!</f>
        <v>#REF!</v>
      </c>
      <c r="V27" s="72" t="e">
        <f>#REF!</f>
        <v>#REF!</v>
      </c>
      <c r="W27" s="73" t="e">
        <f>#REF!</f>
        <v>#REF!</v>
      </c>
      <c r="X27" s="74" t="e">
        <f>#REF!</f>
        <v>#REF!</v>
      </c>
      <c r="Y27" s="217">
        <v>0</v>
      </c>
      <c r="Z27" s="217">
        <v>0</v>
      </c>
      <c r="AA27" s="74" t="e">
        <f>#REF!</f>
        <v>#REF!</v>
      </c>
      <c r="AB27" s="74" t="e">
        <f>#REF!</f>
        <v>#REF!</v>
      </c>
      <c r="AC27" s="74" t="e">
        <f>#REF!</f>
        <v>#REF!</v>
      </c>
      <c r="AD27" s="74" t="e">
        <f>#REF!</f>
        <v>#REF!</v>
      </c>
    </row>
    <row r="28" spans="1:30">
      <c r="A28">
        <f t="shared" si="7"/>
        <v>22</v>
      </c>
      <c r="B28" s="85" t="e">
        <f>#REF!</f>
        <v>#REF!</v>
      </c>
      <c r="C28" s="92" t="str">
        <f t="shared" si="8"/>
        <v>Код района</v>
      </c>
      <c r="D28" s="66" t="e">
        <f>#REF!</f>
        <v>#REF!</v>
      </c>
      <c r="E28" s="92" t="str">
        <f t="shared" si="6"/>
        <v>Код сельсовета</v>
      </c>
      <c r="F28" s="89" t="e">
        <f>#REF!</f>
        <v>#REF!</v>
      </c>
      <c r="G28" s="91" t="e">
        <f>#REF!</f>
        <v>#REF!</v>
      </c>
      <c r="H28" s="48" t="e">
        <f t="shared" si="9"/>
        <v>#REF!</v>
      </c>
      <c r="I28" s="48" t="e">
        <f t="shared" si="10"/>
        <v>#REF!</v>
      </c>
      <c r="J28" s="48" t="e">
        <f t="shared" si="11"/>
        <v>#REF!</v>
      </c>
      <c r="K28" s="49" t="e">
        <f t="shared" si="12"/>
        <v>#REF!</v>
      </c>
      <c r="L28" s="86" t="e">
        <f>#REF!+#REF!</f>
        <v>#REF!</v>
      </c>
      <c r="M28" s="71" t="e">
        <f>#REF!+#REF!</f>
        <v>#REF!</v>
      </c>
      <c r="N28" s="67" t="e">
        <f t="shared" si="13"/>
        <v>#REF!</v>
      </c>
      <c r="O28" s="68" t="e">
        <f t="shared" si="14"/>
        <v>#REF!</v>
      </c>
      <c r="P28" s="69" t="e">
        <f t="shared" si="15"/>
        <v>#REF!</v>
      </c>
      <c r="Q28" s="70" t="e">
        <f t="shared" si="16"/>
        <v>#REF!</v>
      </c>
      <c r="R28" s="70" t="e">
        <f t="shared" si="17"/>
        <v>#REF!</v>
      </c>
      <c r="S28" s="71" t="e">
        <f>#REF!</f>
        <v>#REF!</v>
      </c>
      <c r="T28" s="71" t="e">
        <f>#REF!</f>
        <v>#REF!</v>
      </c>
      <c r="U28" s="72" t="e">
        <f>#REF!</f>
        <v>#REF!</v>
      </c>
      <c r="V28" s="72" t="e">
        <f>#REF!</f>
        <v>#REF!</v>
      </c>
      <c r="W28" s="73" t="e">
        <f>#REF!</f>
        <v>#REF!</v>
      </c>
      <c r="X28" s="74" t="e">
        <f>#REF!</f>
        <v>#REF!</v>
      </c>
      <c r="Y28" s="217">
        <v>0</v>
      </c>
      <c r="Z28" s="217">
        <v>0</v>
      </c>
      <c r="AA28" s="74" t="e">
        <f>#REF!</f>
        <v>#REF!</v>
      </c>
      <c r="AB28" s="74" t="e">
        <f>#REF!</f>
        <v>#REF!</v>
      </c>
      <c r="AC28" s="74" t="e">
        <f>#REF!</f>
        <v>#REF!</v>
      </c>
      <c r="AD28" s="74" t="e">
        <f>#REF!</f>
        <v>#REF!</v>
      </c>
    </row>
    <row r="29" spans="1:30">
      <c r="A29">
        <f t="shared" si="7"/>
        <v>23</v>
      </c>
      <c r="B29" s="85" t="e">
        <f>#REF!</f>
        <v>#REF!</v>
      </c>
      <c r="C29" s="92" t="str">
        <f t="shared" si="8"/>
        <v>Код района</v>
      </c>
      <c r="D29" s="66" t="e">
        <f>#REF!</f>
        <v>#REF!</v>
      </c>
      <c r="E29" s="92" t="str">
        <f t="shared" si="6"/>
        <v>Код сельсовета</v>
      </c>
      <c r="F29" s="89" t="e">
        <f>#REF!</f>
        <v>#REF!</v>
      </c>
      <c r="G29" s="91" t="e">
        <f>#REF!</f>
        <v>#REF!</v>
      </c>
      <c r="H29" s="48" t="e">
        <f t="shared" si="9"/>
        <v>#REF!</v>
      </c>
      <c r="I29" s="48" t="e">
        <f t="shared" si="10"/>
        <v>#REF!</v>
      </c>
      <c r="J29" s="48" t="e">
        <f t="shared" si="11"/>
        <v>#REF!</v>
      </c>
      <c r="K29" s="49" t="e">
        <f t="shared" si="12"/>
        <v>#REF!</v>
      </c>
      <c r="L29" s="86" t="e">
        <f>#REF!+#REF!</f>
        <v>#REF!</v>
      </c>
      <c r="M29" s="71" t="e">
        <f>#REF!+#REF!</f>
        <v>#REF!</v>
      </c>
      <c r="N29" s="67" t="e">
        <f t="shared" si="13"/>
        <v>#REF!</v>
      </c>
      <c r="O29" s="68" t="e">
        <f t="shared" si="14"/>
        <v>#REF!</v>
      </c>
      <c r="P29" s="69" t="e">
        <f t="shared" si="15"/>
        <v>#REF!</v>
      </c>
      <c r="Q29" s="70" t="e">
        <f t="shared" si="16"/>
        <v>#REF!</v>
      </c>
      <c r="R29" s="70" t="e">
        <f t="shared" si="17"/>
        <v>#REF!</v>
      </c>
      <c r="S29" s="71" t="e">
        <f>#REF!</f>
        <v>#REF!</v>
      </c>
      <c r="T29" s="71" t="e">
        <f>#REF!</f>
        <v>#REF!</v>
      </c>
      <c r="U29" s="72" t="e">
        <f>#REF!</f>
        <v>#REF!</v>
      </c>
      <c r="V29" s="72" t="e">
        <f>#REF!</f>
        <v>#REF!</v>
      </c>
      <c r="W29" s="73" t="e">
        <f>#REF!</f>
        <v>#REF!</v>
      </c>
      <c r="X29" s="74" t="e">
        <f>#REF!</f>
        <v>#REF!</v>
      </c>
      <c r="Y29" s="217">
        <v>0</v>
      </c>
      <c r="Z29" s="217">
        <v>0</v>
      </c>
      <c r="AA29" s="74" t="e">
        <f>#REF!</f>
        <v>#REF!</v>
      </c>
      <c r="AB29" s="74" t="e">
        <f>#REF!</f>
        <v>#REF!</v>
      </c>
      <c r="AC29" s="74" t="e">
        <f>#REF!</f>
        <v>#REF!</v>
      </c>
      <c r="AD29" s="74" t="e">
        <f>#REF!</f>
        <v>#REF!</v>
      </c>
    </row>
    <row r="30" spans="1:30">
      <c r="A30">
        <f t="shared" si="7"/>
        <v>24</v>
      </c>
      <c r="B30" s="85" t="e">
        <f>#REF!</f>
        <v>#REF!</v>
      </c>
      <c r="C30" s="92" t="str">
        <f t="shared" si="8"/>
        <v>Код района</v>
      </c>
      <c r="D30" s="66" t="e">
        <f>#REF!</f>
        <v>#REF!</v>
      </c>
      <c r="E30" s="92" t="str">
        <f t="shared" si="6"/>
        <v>Код сельсовета</v>
      </c>
      <c r="F30" s="89" t="e">
        <f>#REF!</f>
        <v>#REF!</v>
      </c>
      <c r="G30" s="91" t="e">
        <f>#REF!</f>
        <v>#REF!</v>
      </c>
      <c r="H30" s="48" t="e">
        <f t="shared" si="9"/>
        <v>#REF!</v>
      </c>
      <c r="I30" s="48" t="e">
        <f t="shared" si="10"/>
        <v>#REF!</v>
      </c>
      <c r="J30" s="48" t="e">
        <f t="shared" si="11"/>
        <v>#REF!</v>
      </c>
      <c r="K30" s="49" t="e">
        <f t="shared" si="12"/>
        <v>#REF!</v>
      </c>
      <c r="L30" s="86" t="e">
        <f>#REF!+#REF!</f>
        <v>#REF!</v>
      </c>
      <c r="M30" s="71" t="e">
        <f>#REF!+#REF!</f>
        <v>#REF!</v>
      </c>
      <c r="N30" s="67" t="e">
        <f t="shared" si="13"/>
        <v>#REF!</v>
      </c>
      <c r="O30" s="68" t="e">
        <f t="shared" si="14"/>
        <v>#REF!</v>
      </c>
      <c r="P30" s="69" t="e">
        <f t="shared" si="15"/>
        <v>#REF!</v>
      </c>
      <c r="Q30" s="70" t="e">
        <f t="shared" si="16"/>
        <v>#REF!</v>
      </c>
      <c r="R30" s="70" t="e">
        <f t="shared" si="17"/>
        <v>#REF!</v>
      </c>
      <c r="S30" s="71" t="e">
        <f>#REF!</f>
        <v>#REF!</v>
      </c>
      <c r="T30" s="71" t="e">
        <f>#REF!</f>
        <v>#REF!</v>
      </c>
      <c r="U30" s="72" t="e">
        <f>#REF!</f>
        <v>#REF!</v>
      </c>
      <c r="V30" s="72" t="e">
        <f>#REF!</f>
        <v>#REF!</v>
      </c>
      <c r="W30" s="73" t="e">
        <f>#REF!</f>
        <v>#REF!</v>
      </c>
      <c r="X30" s="74" t="e">
        <f>#REF!</f>
        <v>#REF!</v>
      </c>
      <c r="Y30" s="217">
        <v>0</v>
      </c>
      <c r="Z30" s="217">
        <v>0</v>
      </c>
      <c r="AA30" s="74" t="e">
        <f>#REF!</f>
        <v>#REF!</v>
      </c>
      <c r="AB30" s="74" t="e">
        <f>#REF!</f>
        <v>#REF!</v>
      </c>
      <c r="AC30" s="74" t="e">
        <f>#REF!</f>
        <v>#REF!</v>
      </c>
      <c r="AD30" s="74" t="e">
        <f>#REF!</f>
        <v>#REF!</v>
      </c>
    </row>
    <row r="31" spans="1:30">
      <c r="A31">
        <f t="shared" si="7"/>
        <v>25</v>
      </c>
      <c r="B31" s="85" t="e">
        <f>#REF!</f>
        <v>#REF!</v>
      </c>
      <c r="C31" s="92" t="str">
        <f t="shared" si="8"/>
        <v>Код района</v>
      </c>
      <c r="D31" s="66" t="e">
        <f>#REF!</f>
        <v>#REF!</v>
      </c>
      <c r="E31" s="92" t="str">
        <f t="shared" si="6"/>
        <v>Код сельсовета</v>
      </c>
      <c r="F31" s="89" t="e">
        <f>#REF!</f>
        <v>#REF!</v>
      </c>
      <c r="G31" s="91" t="e">
        <f>#REF!</f>
        <v>#REF!</v>
      </c>
      <c r="H31" s="48" t="e">
        <f t="shared" si="9"/>
        <v>#REF!</v>
      </c>
      <c r="I31" s="48" t="e">
        <f t="shared" si="10"/>
        <v>#REF!</v>
      </c>
      <c r="J31" s="48" t="e">
        <f t="shared" si="11"/>
        <v>#REF!</v>
      </c>
      <c r="K31" s="49" t="e">
        <f t="shared" si="12"/>
        <v>#REF!</v>
      </c>
      <c r="L31" s="86" t="e">
        <f>#REF!+#REF!</f>
        <v>#REF!</v>
      </c>
      <c r="M31" s="71" t="e">
        <f>#REF!+#REF!</f>
        <v>#REF!</v>
      </c>
      <c r="N31" s="67" t="e">
        <f t="shared" si="13"/>
        <v>#REF!</v>
      </c>
      <c r="O31" s="68" t="e">
        <f t="shared" si="14"/>
        <v>#REF!</v>
      </c>
      <c r="P31" s="69" t="e">
        <f t="shared" si="15"/>
        <v>#REF!</v>
      </c>
      <c r="Q31" s="70" t="e">
        <f t="shared" si="16"/>
        <v>#REF!</v>
      </c>
      <c r="R31" s="70" t="e">
        <f t="shared" si="17"/>
        <v>#REF!</v>
      </c>
      <c r="S31" s="71" t="e">
        <f>#REF!</f>
        <v>#REF!</v>
      </c>
      <c r="T31" s="71" t="e">
        <f>#REF!</f>
        <v>#REF!</v>
      </c>
      <c r="U31" s="72" t="e">
        <f>#REF!</f>
        <v>#REF!</v>
      </c>
      <c r="V31" s="72" t="e">
        <f>#REF!</f>
        <v>#REF!</v>
      </c>
      <c r="W31" s="73" t="e">
        <f>#REF!</f>
        <v>#REF!</v>
      </c>
      <c r="X31" s="74" t="e">
        <f>#REF!</f>
        <v>#REF!</v>
      </c>
      <c r="Y31" s="217">
        <v>0</v>
      </c>
      <c r="Z31" s="217">
        <v>0</v>
      </c>
      <c r="AA31" s="74" t="e">
        <f>#REF!</f>
        <v>#REF!</v>
      </c>
      <c r="AB31" s="74" t="e">
        <f>#REF!</f>
        <v>#REF!</v>
      </c>
      <c r="AC31" s="74" t="e">
        <f>#REF!</f>
        <v>#REF!</v>
      </c>
      <c r="AD31" s="74" t="e">
        <f>#REF!</f>
        <v>#REF!</v>
      </c>
    </row>
    <row r="32" spans="1:30">
      <c r="A32">
        <f t="shared" si="7"/>
        <v>26</v>
      </c>
      <c r="B32" s="85" t="e">
        <f>#REF!</f>
        <v>#REF!</v>
      </c>
      <c r="C32" s="92" t="str">
        <f t="shared" si="8"/>
        <v>Код района</v>
      </c>
      <c r="D32" s="66" t="e">
        <f>#REF!</f>
        <v>#REF!</v>
      </c>
      <c r="E32" s="92" t="str">
        <f t="shared" si="6"/>
        <v>Код сельсовета</v>
      </c>
      <c r="F32" s="89" t="e">
        <f>#REF!</f>
        <v>#REF!</v>
      </c>
      <c r="G32" s="91" t="e">
        <f>#REF!</f>
        <v>#REF!</v>
      </c>
      <c r="H32" s="48" t="e">
        <f t="shared" si="9"/>
        <v>#REF!</v>
      </c>
      <c r="I32" s="48" t="e">
        <f t="shared" si="10"/>
        <v>#REF!</v>
      </c>
      <c r="J32" s="48" t="e">
        <f t="shared" si="11"/>
        <v>#REF!</v>
      </c>
      <c r="K32" s="49" t="e">
        <f t="shared" si="12"/>
        <v>#REF!</v>
      </c>
      <c r="L32" s="86" t="e">
        <f>#REF!+#REF!</f>
        <v>#REF!</v>
      </c>
      <c r="M32" s="71" t="e">
        <f>#REF!+#REF!</f>
        <v>#REF!</v>
      </c>
      <c r="N32" s="67" t="e">
        <f t="shared" si="13"/>
        <v>#REF!</v>
      </c>
      <c r="O32" s="68" t="e">
        <f t="shared" si="14"/>
        <v>#REF!</v>
      </c>
      <c r="P32" s="69" t="e">
        <f t="shared" si="15"/>
        <v>#REF!</v>
      </c>
      <c r="Q32" s="70" t="e">
        <f t="shared" si="16"/>
        <v>#REF!</v>
      </c>
      <c r="R32" s="70" t="e">
        <f t="shared" si="17"/>
        <v>#REF!</v>
      </c>
      <c r="S32" s="71" t="e">
        <f>#REF!</f>
        <v>#REF!</v>
      </c>
      <c r="T32" s="71" t="e">
        <f>#REF!</f>
        <v>#REF!</v>
      </c>
      <c r="U32" s="72" t="e">
        <f>#REF!</f>
        <v>#REF!</v>
      </c>
      <c r="V32" s="72" t="e">
        <f>#REF!</f>
        <v>#REF!</v>
      </c>
      <c r="W32" s="73" t="e">
        <f>#REF!</f>
        <v>#REF!</v>
      </c>
      <c r="X32" s="74" t="e">
        <f>#REF!</f>
        <v>#REF!</v>
      </c>
      <c r="Y32" s="217">
        <v>0</v>
      </c>
      <c r="Z32" s="217">
        <v>0</v>
      </c>
      <c r="AA32" s="74" t="e">
        <f>#REF!</f>
        <v>#REF!</v>
      </c>
      <c r="AB32" s="74" t="e">
        <f>#REF!</f>
        <v>#REF!</v>
      </c>
      <c r="AC32" s="74" t="e">
        <f>#REF!</f>
        <v>#REF!</v>
      </c>
      <c r="AD32" s="74" t="e">
        <f>#REF!</f>
        <v>#REF!</v>
      </c>
    </row>
    <row r="33" spans="1:30">
      <c r="A33">
        <f t="shared" si="7"/>
        <v>27</v>
      </c>
      <c r="B33" s="85" t="e">
        <f>#REF!</f>
        <v>#REF!</v>
      </c>
      <c r="C33" s="92" t="str">
        <f t="shared" si="8"/>
        <v>Код района</v>
      </c>
      <c r="D33" s="66" t="e">
        <f>#REF!</f>
        <v>#REF!</v>
      </c>
      <c r="E33" s="92" t="str">
        <f t="shared" si="6"/>
        <v>Код сельсовета</v>
      </c>
      <c r="F33" s="89" t="e">
        <f>#REF!</f>
        <v>#REF!</v>
      </c>
      <c r="G33" s="91" t="e">
        <f>#REF!</f>
        <v>#REF!</v>
      </c>
      <c r="H33" s="48" t="e">
        <f t="shared" si="9"/>
        <v>#REF!</v>
      </c>
      <c r="I33" s="48" t="e">
        <f t="shared" si="10"/>
        <v>#REF!</v>
      </c>
      <c r="J33" s="48" t="e">
        <f t="shared" si="11"/>
        <v>#REF!</v>
      </c>
      <c r="K33" s="49" t="e">
        <f t="shared" si="12"/>
        <v>#REF!</v>
      </c>
      <c r="L33" s="86" t="e">
        <f>#REF!+#REF!</f>
        <v>#REF!</v>
      </c>
      <c r="M33" s="71" t="e">
        <f>#REF!+#REF!</f>
        <v>#REF!</v>
      </c>
      <c r="N33" s="67" t="e">
        <f t="shared" si="13"/>
        <v>#REF!</v>
      </c>
      <c r="O33" s="68" t="e">
        <f t="shared" si="14"/>
        <v>#REF!</v>
      </c>
      <c r="P33" s="69" t="e">
        <f t="shared" si="15"/>
        <v>#REF!</v>
      </c>
      <c r="Q33" s="70" t="e">
        <f t="shared" si="16"/>
        <v>#REF!</v>
      </c>
      <c r="R33" s="70" t="e">
        <f t="shared" si="17"/>
        <v>#REF!</v>
      </c>
      <c r="S33" s="71" t="e">
        <f>#REF!</f>
        <v>#REF!</v>
      </c>
      <c r="T33" s="71" t="e">
        <f>#REF!</f>
        <v>#REF!</v>
      </c>
      <c r="U33" s="72" t="e">
        <f>#REF!</f>
        <v>#REF!</v>
      </c>
      <c r="V33" s="72" t="e">
        <f>#REF!</f>
        <v>#REF!</v>
      </c>
      <c r="W33" s="73" t="e">
        <f>#REF!</f>
        <v>#REF!</v>
      </c>
      <c r="X33" s="74" t="e">
        <f>#REF!</f>
        <v>#REF!</v>
      </c>
      <c r="Y33" s="217">
        <v>0</v>
      </c>
      <c r="Z33" s="217">
        <v>0</v>
      </c>
      <c r="AA33" s="74" t="e">
        <f>#REF!</f>
        <v>#REF!</v>
      </c>
      <c r="AB33" s="74" t="e">
        <f>#REF!</f>
        <v>#REF!</v>
      </c>
      <c r="AC33" s="74" t="e">
        <f>#REF!</f>
        <v>#REF!</v>
      </c>
      <c r="AD33" s="74" t="e">
        <f>#REF!</f>
        <v>#REF!</v>
      </c>
    </row>
    <row r="34" spans="1:30">
      <c r="A34">
        <f t="shared" si="7"/>
        <v>28</v>
      </c>
      <c r="B34" s="85" t="e">
        <f>#REF!</f>
        <v>#REF!</v>
      </c>
      <c r="C34" s="92" t="str">
        <f t="shared" si="8"/>
        <v>Код района</v>
      </c>
      <c r="D34" s="66" t="e">
        <f>#REF!</f>
        <v>#REF!</v>
      </c>
      <c r="E34" s="92" t="str">
        <f t="shared" si="6"/>
        <v>Код сельсовета</v>
      </c>
      <c r="F34" s="89" t="e">
        <f>#REF!</f>
        <v>#REF!</v>
      </c>
      <c r="G34" s="91" t="e">
        <f>#REF!</f>
        <v>#REF!</v>
      </c>
      <c r="H34" s="48" t="e">
        <f t="shared" si="9"/>
        <v>#REF!</v>
      </c>
      <c r="I34" s="48" t="e">
        <f t="shared" si="10"/>
        <v>#REF!</v>
      </c>
      <c r="J34" s="48" t="e">
        <f t="shared" si="11"/>
        <v>#REF!</v>
      </c>
      <c r="K34" s="49" t="e">
        <f t="shared" si="12"/>
        <v>#REF!</v>
      </c>
      <c r="L34" s="86" t="e">
        <f>#REF!+#REF!</f>
        <v>#REF!</v>
      </c>
      <c r="M34" s="71" t="e">
        <f>#REF!+#REF!</f>
        <v>#REF!</v>
      </c>
      <c r="N34" s="67" t="e">
        <f t="shared" si="13"/>
        <v>#REF!</v>
      </c>
      <c r="O34" s="68" t="e">
        <f t="shared" si="14"/>
        <v>#REF!</v>
      </c>
      <c r="P34" s="69" t="e">
        <f t="shared" si="15"/>
        <v>#REF!</v>
      </c>
      <c r="Q34" s="70" t="e">
        <f t="shared" si="16"/>
        <v>#REF!</v>
      </c>
      <c r="R34" s="70" t="e">
        <f t="shared" si="17"/>
        <v>#REF!</v>
      </c>
      <c r="S34" s="71" t="e">
        <f>#REF!</f>
        <v>#REF!</v>
      </c>
      <c r="T34" s="71" t="e">
        <f>#REF!</f>
        <v>#REF!</v>
      </c>
      <c r="U34" s="72" t="e">
        <f>#REF!</f>
        <v>#REF!</v>
      </c>
      <c r="V34" s="72" t="e">
        <f>#REF!</f>
        <v>#REF!</v>
      </c>
      <c r="W34" s="73" t="e">
        <f>#REF!</f>
        <v>#REF!</v>
      </c>
      <c r="X34" s="74" t="e">
        <f>#REF!</f>
        <v>#REF!</v>
      </c>
      <c r="Y34" s="217">
        <v>0</v>
      </c>
      <c r="Z34" s="217">
        <v>0</v>
      </c>
      <c r="AA34" s="74" t="e">
        <f>#REF!</f>
        <v>#REF!</v>
      </c>
      <c r="AB34" s="74" t="e">
        <f>#REF!</f>
        <v>#REF!</v>
      </c>
      <c r="AC34" s="74" t="e">
        <f>#REF!</f>
        <v>#REF!</v>
      </c>
      <c r="AD34" s="74" t="e">
        <f>#REF!</f>
        <v>#REF!</v>
      </c>
    </row>
    <row r="35" spans="1:30">
      <c r="A35">
        <f t="shared" si="7"/>
        <v>29</v>
      </c>
      <c r="B35" s="85" t="e">
        <f>#REF!</f>
        <v>#REF!</v>
      </c>
      <c r="C35" s="92" t="str">
        <f t="shared" si="8"/>
        <v>Код района</v>
      </c>
      <c r="D35" s="66" t="e">
        <f>#REF!</f>
        <v>#REF!</v>
      </c>
      <c r="E35" s="92" t="str">
        <f t="shared" si="6"/>
        <v>Код сельсовета</v>
      </c>
      <c r="F35" s="89" t="e">
        <f>#REF!</f>
        <v>#REF!</v>
      </c>
      <c r="G35" s="91" t="e">
        <f>#REF!</f>
        <v>#REF!</v>
      </c>
      <c r="H35" s="48" t="e">
        <f t="shared" si="9"/>
        <v>#REF!</v>
      </c>
      <c r="I35" s="48" t="e">
        <f t="shared" si="10"/>
        <v>#REF!</v>
      </c>
      <c r="J35" s="48" t="e">
        <f t="shared" si="11"/>
        <v>#REF!</v>
      </c>
      <c r="K35" s="49" t="e">
        <f t="shared" si="12"/>
        <v>#REF!</v>
      </c>
      <c r="L35" s="86" t="e">
        <f>#REF!+#REF!</f>
        <v>#REF!</v>
      </c>
      <c r="M35" s="71" t="e">
        <f>#REF!+#REF!</f>
        <v>#REF!</v>
      </c>
      <c r="N35" s="67" t="e">
        <f t="shared" si="13"/>
        <v>#REF!</v>
      </c>
      <c r="O35" s="68" t="e">
        <f t="shared" si="14"/>
        <v>#REF!</v>
      </c>
      <c r="P35" s="69" t="e">
        <f t="shared" si="15"/>
        <v>#REF!</v>
      </c>
      <c r="Q35" s="70" t="e">
        <f t="shared" si="16"/>
        <v>#REF!</v>
      </c>
      <c r="R35" s="70" t="e">
        <f t="shared" si="17"/>
        <v>#REF!</v>
      </c>
      <c r="S35" s="71" t="e">
        <f>#REF!</f>
        <v>#REF!</v>
      </c>
      <c r="T35" s="71" t="e">
        <f>#REF!</f>
        <v>#REF!</v>
      </c>
      <c r="U35" s="72" t="e">
        <f>#REF!</f>
        <v>#REF!</v>
      </c>
      <c r="V35" s="72" t="e">
        <f>#REF!</f>
        <v>#REF!</v>
      </c>
      <c r="W35" s="73" t="e">
        <f>#REF!</f>
        <v>#REF!</v>
      </c>
      <c r="X35" s="74" t="e">
        <f>#REF!</f>
        <v>#REF!</v>
      </c>
      <c r="Y35" s="217">
        <v>0</v>
      </c>
      <c r="Z35" s="217">
        <v>0</v>
      </c>
      <c r="AA35" s="74" t="e">
        <f>#REF!</f>
        <v>#REF!</v>
      </c>
      <c r="AB35" s="74" t="e">
        <f>#REF!</f>
        <v>#REF!</v>
      </c>
      <c r="AC35" s="74" t="e">
        <f>#REF!</f>
        <v>#REF!</v>
      </c>
      <c r="AD35" s="74" t="e">
        <f>#REF!</f>
        <v>#REF!</v>
      </c>
    </row>
    <row r="36" spans="1:30">
      <c r="A36">
        <f t="shared" si="7"/>
        <v>30</v>
      </c>
      <c r="B36" s="85" t="e">
        <f>#REF!</f>
        <v>#REF!</v>
      </c>
      <c r="C36" s="92" t="str">
        <f t="shared" si="8"/>
        <v>Код района</v>
      </c>
      <c r="D36" s="66" t="e">
        <f>#REF!</f>
        <v>#REF!</v>
      </c>
      <c r="E36" s="92" t="str">
        <f t="shared" si="6"/>
        <v>Код сельсовета</v>
      </c>
      <c r="F36" s="89" t="e">
        <f>#REF!</f>
        <v>#REF!</v>
      </c>
      <c r="G36" s="91" t="e">
        <f>#REF!</f>
        <v>#REF!</v>
      </c>
      <c r="H36" s="48" t="e">
        <f t="shared" si="9"/>
        <v>#REF!</v>
      </c>
      <c r="I36" s="48" t="e">
        <f t="shared" si="10"/>
        <v>#REF!</v>
      </c>
      <c r="J36" s="48" t="e">
        <f t="shared" si="11"/>
        <v>#REF!</v>
      </c>
      <c r="K36" s="49" t="e">
        <f t="shared" si="12"/>
        <v>#REF!</v>
      </c>
      <c r="L36" s="86" t="e">
        <f>#REF!+#REF!</f>
        <v>#REF!</v>
      </c>
      <c r="M36" s="71" t="e">
        <f>#REF!+#REF!</f>
        <v>#REF!</v>
      </c>
      <c r="N36" s="67" t="e">
        <f t="shared" si="13"/>
        <v>#REF!</v>
      </c>
      <c r="O36" s="68" t="e">
        <f t="shared" si="14"/>
        <v>#REF!</v>
      </c>
      <c r="P36" s="69" t="e">
        <f t="shared" si="15"/>
        <v>#REF!</v>
      </c>
      <c r="Q36" s="70" t="e">
        <f t="shared" si="16"/>
        <v>#REF!</v>
      </c>
      <c r="R36" s="70" t="e">
        <f t="shared" si="17"/>
        <v>#REF!</v>
      </c>
      <c r="S36" s="71" t="e">
        <f>#REF!</f>
        <v>#REF!</v>
      </c>
      <c r="T36" s="71" t="e">
        <f>#REF!</f>
        <v>#REF!</v>
      </c>
      <c r="U36" s="72" t="e">
        <f>#REF!</f>
        <v>#REF!</v>
      </c>
      <c r="V36" s="72" t="e">
        <f>#REF!</f>
        <v>#REF!</v>
      </c>
      <c r="W36" s="73" t="e">
        <f>#REF!</f>
        <v>#REF!</v>
      </c>
      <c r="X36" s="74" t="e">
        <f>#REF!</f>
        <v>#REF!</v>
      </c>
      <c r="Y36" s="217">
        <v>0</v>
      </c>
      <c r="Z36" s="217">
        <v>0</v>
      </c>
      <c r="AA36" s="74" t="e">
        <f>#REF!</f>
        <v>#REF!</v>
      </c>
      <c r="AB36" s="74" t="e">
        <f>#REF!</f>
        <v>#REF!</v>
      </c>
      <c r="AC36" s="74" t="e">
        <f>#REF!</f>
        <v>#REF!</v>
      </c>
      <c r="AD36" s="74" t="e">
        <f>#REF!</f>
        <v>#REF!</v>
      </c>
    </row>
    <row r="37" spans="1:30" s="79" customFormat="1">
      <c r="A37">
        <f t="shared" si="7"/>
        <v>31</v>
      </c>
      <c r="B37" s="85" t="e">
        <f>#REF!</f>
        <v>#REF!</v>
      </c>
      <c r="C37" s="92" t="str">
        <f t="shared" si="8"/>
        <v>Код района</v>
      </c>
      <c r="D37" s="66" t="e">
        <f>#REF!</f>
        <v>#REF!</v>
      </c>
      <c r="E37" s="92" t="str">
        <f t="shared" si="6"/>
        <v>Код сельсовета</v>
      </c>
      <c r="F37" s="89" t="e">
        <f>#REF!</f>
        <v>#REF!</v>
      </c>
      <c r="G37" s="91" t="e">
        <f>#REF!</f>
        <v>#REF!</v>
      </c>
      <c r="H37" s="48" t="e">
        <f t="shared" si="9"/>
        <v>#REF!</v>
      </c>
      <c r="I37" s="48" t="e">
        <f t="shared" si="10"/>
        <v>#REF!</v>
      </c>
      <c r="J37" s="48" t="e">
        <f t="shared" si="11"/>
        <v>#REF!</v>
      </c>
      <c r="K37" s="49" t="e">
        <f t="shared" si="12"/>
        <v>#REF!</v>
      </c>
      <c r="L37" s="86" t="e">
        <f>#REF!+#REF!</f>
        <v>#REF!</v>
      </c>
      <c r="M37" s="71" t="e">
        <f>#REF!+#REF!</f>
        <v>#REF!</v>
      </c>
      <c r="N37" s="67" t="e">
        <f t="shared" si="13"/>
        <v>#REF!</v>
      </c>
      <c r="O37" s="68" t="e">
        <f t="shared" si="14"/>
        <v>#REF!</v>
      </c>
      <c r="P37" s="69" t="e">
        <f t="shared" si="15"/>
        <v>#REF!</v>
      </c>
      <c r="Q37" s="70" t="e">
        <f t="shared" si="16"/>
        <v>#REF!</v>
      </c>
      <c r="R37" s="70" t="e">
        <f t="shared" si="17"/>
        <v>#REF!</v>
      </c>
      <c r="S37" s="71" t="e">
        <f>#REF!</f>
        <v>#REF!</v>
      </c>
      <c r="T37" s="71" t="e">
        <f>#REF!</f>
        <v>#REF!</v>
      </c>
      <c r="U37" s="72" t="e">
        <f>#REF!</f>
        <v>#REF!</v>
      </c>
      <c r="V37" s="72" t="e">
        <f>#REF!</f>
        <v>#REF!</v>
      </c>
      <c r="W37" s="73" t="e">
        <f>#REF!</f>
        <v>#REF!</v>
      </c>
      <c r="X37" s="74" t="e">
        <f>#REF!</f>
        <v>#REF!</v>
      </c>
      <c r="Y37" s="217">
        <v>0</v>
      </c>
      <c r="Z37" s="217">
        <v>0</v>
      </c>
      <c r="AA37" s="74" t="e">
        <f>#REF!</f>
        <v>#REF!</v>
      </c>
      <c r="AB37" s="74" t="e">
        <f>#REF!</f>
        <v>#REF!</v>
      </c>
      <c r="AC37" s="74" t="e">
        <f>#REF!</f>
        <v>#REF!</v>
      </c>
      <c r="AD37" s="74" t="e">
        <f>#REF!</f>
        <v>#REF!</v>
      </c>
    </row>
    <row r="38" spans="1:30">
      <c r="A38">
        <f t="shared" si="7"/>
        <v>32</v>
      </c>
      <c r="B38" s="85" t="e">
        <f>#REF!</f>
        <v>#REF!</v>
      </c>
      <c r="C38" s="92" t="str">
        <f t="shared" si="8"/>
        <v>Код района</v>
      </c>
      <c r="D38" s="66" t="e">
        <f>#REF!</f>
        <v>#REF!</v>
      </c>
      <c r="E38" s="92" t="str">
        <f t="shared" si="6"/>
        <v>Код сельсовета</v>
      </c>
      <c r="F38" s="89" t="e">
        <f>#REF!</f>
        <v>#REF!</v>
      </c>
      <c r="G38" s="91" t="e">
        <f>#REF!</f>
        <v>#REF!</v>
      </c>
      <c r="H38" s="48" t="e">
        <f t="shared" si="9"/>
        <v>#REF!</v>
      </c>
      <c r="I38" s="48" t="e">
        <f t="shared" si="10"/>
        <v>#REF!</v>
      </c>
      <c r="J38" s="48" t="e">
        <f t="shared" si="11"/>
        <v>#REF!</v>
      </c>
      <c r="K38" s="49" t="e">
        <f t="shared" si="12"/>
        <v>#REF!</v>
      </c>
      <c r="L38" s="86" t="e">
        <f>#REF!+#REF!</f>
        <v>#REF!</v>
      </c>
      <c r="M38" s="71" t="e">
        <f>#REF!+#REF!</f>
        <v>#REF!</v>
      </c>
      <c r="N38" s="67" t="e">
        <f t="shared" si="13"/>
        <v>#REF!</v>
      </c>
      <c r="O38" s="68" t="e">
        <f t="shared" si="14"/>
        <v>#REF!</v>
      </c>
      <c r="P38" s="69" t="e">
        <f t="shared" si="15"/>
        <v>#REF!</v>
      </c>
      <c r="Q38" s="70" t="e">
        <f t="shared" si="16"/>
        <v>#REF!</v>
      </c>
      <c r="R38" s="70" t="e">
        <f t="shared" si="17"/>
        <v>#REF!</v>
      </c>
      <c r="S38" s="71" t="e">
        <f>#REF!</f>
        <v>#REF!</v>
      </c>
      <c r="T38" s="71" t="e">
        <f>#REF!</f>
        <v>#REF!</v>
      </c>
      <c r="U38" s="72" t="e">
        <f>#REF!</f>
        <v>#REF!</v>
      </c>
      <c r="V38" s="72" t="e">
        <f>#REF!</f>
        <v>#REF!</v>
      </c>
      <c r="W38" s="73" t="e">
        <f>#REF!</f>
        <v>#REF!</v>
      </c>
      <c r="X38" s="74" t="e">
        <f>#REF!</f>
        <v>#REF!</v>
      </c>
      <c r="Y38" s="217">
        <v>0</v>
      </c>
      <c r="Z38" s="217">
        <v>0</v>
      </c>
      <c r="AA38" s="74" t="e">
        <f>#REF!</f>
        <v>#REF!</v>
      </c>
      <c r="AB38" s="74" t="e">
        <f>#REF!</f>
        <v>#REF!</v>
      </c>
      <c r="AC38" s="74" t="e">
        <f>#REF!</f>
        <v>#REF!</v>
      </c>
      <c r="AD38" s="74" t="e">
        <f>#REF!</f>
        <v>#REF!</v>
      </c>
    </row>
    <row r="39" spans="1:30">
      <c r="A39">
        <f t="shared" si="7"/>
        <v>33</v>
      </c>
      <c r="B39" s="85" t="e">
        <f>#REF!</f>
        <v>#REF!</v>
      </c>
      <c r="C39" s="92" t="str">
        <f t="shared" si="8"/>
        <v>Код района</v>
      </c>
      <c r="D39" s="66" t="e">
        <f>#REF!</f>
        <v>#REF!</v>
      </c>
      <c r="E39" s="92" t="str">
        <f t="shared" si="6"/>
        <v>Код сельсовета</v>
      </c>
      <c r="F39" s="89" t="e">
        <f>#REF!</f>
        <v>#REF!</v>
      </c>
      <c r="G39" s="91" t="e">
        <f>#REF!</f>
        <v>#REF!</v>
      </c>
      <c r="H39" s="48" t="e">
        <f t="shared" si="9"/>
        <v>#REF!</v>
      </c>
      <c r="I39" s="48" t="e">
        <f t="shared" si="10"/>
        <v>#REF!</v>
      </c>
      <c r="J39" s="48" t="e">
        <f t="shared" si="11"/>
        <v>#REF!</v>
      </c>
      <c r="K39" s="49" t="e">
        <f t="shared" si="12"/>
        <v>#REF!</v>
      </c>
      <c r="L39" s="86" t="e">
        <f>#REF!+#REF!</f>
        <v>#REF!</v>
      </c>
      <c r="M39" s="71" t="e">
        <f>#REF!+#REF!</f>
        <v>#REF!</v>
      </c>
      <c r="N39" s="67" t="e">
        <f t="shared" si="13"/>
        <v>#REF!</v>
      </c>
      <c r="O39" s="68" t="e">
        <f t="shared" si="14"/>
        <v>#REF!</v>
      </c>
      <c r="P39" s="69" t="e">
        <f t="shared" si="15"/>
        <v>#REF!</v>
      </c>
      <c r="Q39" s="70" t="e">
        <f t="shared" si="16"/>
        <v>#REF!</v>
      </c>
      <c r="R39" s="70" t="e">
        <f t="shared" si="17"/>
        <v>#REF!</v>
      </c>
      <c r="S39" s="71" t="e">
        <f>#REF!</f>
        <v>#REF!</v>
      </c>
      <c r="T39" s="71" t="e">
        <f>#REF!</f>
        <v>#REF!</v>
      </c>
      <c r="U39" s="72" t="e">
        <f>#REF!</f>
        <v>#REF!</v>
      </c>
      <c r="V39" s="72" t="e">
        <f>#REF!</f>
        <v>#REF!</v>
      </c>
      <c r="W39" s="73" t="e">
        <f>#REF!</f>
        <v>#REF!</v>
      </c>
      <c r="X39" s="74" t="e">
        <f>#REF!</f>
        <v>#REF!</v>
      </c>
      <c r="Y39" s="217">
        <v>0</v>
      </c>
      <c r="Z39" s="217">
        <v>0</v>
      </c>
      <c r="AA39" s="74" t="e">
        <f>#REF!</f>
        <v>#REF!</v>
      </c>
      <c r="AB39" s="74" t="e">
        <f>#REF!</f>
        <v>#REF!</v>
      </c>
      <c r="AC39" s="74" t="e">
        <f>#REF!</f>
        <v>#REF!</v>
      </c>
      <c r="AD39" s="74" t="e">
        <f>#REF!</f>
        <v>#REF!</v>
      </c>
    </row>
    <row r="40" spans="1:30">
      <c r="A40">
        <f t="shared" si="7"/>
        <v>34</v>
      </c>
      <c r="B40" s="85" t="e">
        <f>#REF!</f>
        <v>#REF!</v>
      </c>
      <c r="C40" s="92" t="str">
        <f t="shared" si="8"/>
        <v>Код района</v>
      </c>
      <c r="D40" s="66" t="e">
        <f>#REF!</f>
        <v>#REF!</v>
      </c>
      <c r="E40" s="92" t="str">
        <f t="shared" si="6"/>
        <v>Код сельсовета</v>
      </c>
      <c r="F40" s="89" t="e">
        <f>#REF!</f>
        <v>#REF!</v>
      </c>
      <c r="G40" s="91" t="e">
        <f>#REF!</f>
        <v>#REF!</v>
      </c>
      <c r="H40" s="48" t="e">
        <f t="shared" si="9"/>
        <v>#REF!</v>
      </c>
      <c r="I40" s="48" t="e">
        <f t="shared" si="10"/>
        <v>#REF!</v>
      </c>
      <c r="J40" s="48" t="e">
        <f t="shared" si="11"/>
        <v>#REF!</v>
      </c>
      <c r="K40" s="49" t="e">
        <f t="shared" si="12"/>
        <v>#REF!</v>
      </c>
      <c r="L40" s="86" t="e">
        <f>#REF!+#REF!</f>
        <v>#REF!</v>
      </c>
      <c r="M40" s="71" t="e">
        <f>#REF!+#REF!</f>
        <v>#REF!</v>
      </c>
      <c r="N40" s="67" t="e">
        <f t="shared" si="13"/>
        <v>#REF!</v>
      </c>
      <c r="O40" s="68" t="e">
        <f t="shared" si="14"/>
        <v>#REF!</v>
      </c>
      <c r="P40" s="69" t="e">
        <f t="shared" si="15"/>
        <v>#REF!</v>
      </c>
      <c r="Q40" s="70" t="e">
        <f t="shared" si="16"/>
        <v>#REF!</v>
      </c>
      <c r="R40" s="70" t="e">
        <f t="shared" si="17"/>
        <v>#REF!</v>
      </c>
      <c r="S40" s="71" t="e">
        <f>#REF!</f>
        <v>#REF!</v>
      </c>
      <c r="T40" s="71" t="e">
        <f>#REF!</f>
        <v>#REF!</v>
      </c>
      <c r="U40" s="72" t="e">
        <f>#REF!</f>
        <v>#REF!</v>
      </c>
      <c r="V40" s="72" t="e">
        <f>#REF!</f>
        <v>#REF!</v>
      </c>
      <c r="W40" s="73" t="e">
        <f>#REF!</f>
        <v>#REF!</v>
      </c>
      <c r="X40" s="74" t="e">
        <f>#REF!</f>
        <v>#REF!</v>
      </c>
      <c r="Y40" s="217">
        <v>0</v>
      </c>
      <c r="Z40" s="217">
        <v>0</v>
      </c>
      <c r="AA40" s="74" t="e">
        <f>#REF!</f>
        <v>#REF!</v>
      </c>
      <c r="AB40" s="74" t="e">
        <f>#REF!</f>
        <v>#REF!</v>
      </c>
      <c r="AC40" s="74" t="e">
        <f>#REF!</f>
        <v>#REF!</v>
      </c>
      <c r="AD40" s="74" t="e">
        <f>#REF!</f>
        <v>#REF!</v>
      </c>
    </row>
    <row r="41" spans="1:30">
      <c r="A41">
        <f t="shared" si="7"/>
        <v>35</v>
      </c>
      <c r="B41" s="85" t="e">
        <f>#REF!</f>
        <v>#REF!</v>
      </c>
      <c r="C41" s="92" t="str">
        <f t="shared" si="8"/>
        <v>Код района</v>
      </c>
      <c r="D41" s="66" t="e">
        <f>#REF!</f>
        <v>#REF!</v>
      </c>
      <c r="E41" s="92" t="str">
        <f t="shared" si="6"/>
        <v>Код сельсовета</v>
      </c>
      <c r="F41" s="89" t="e">
        <f>#REF!</f>
        <v>#REF!</v>
      </c>
      <c r="G41" s="91" t="e">
        <f>#REF!</f>
        <v>#REF!</v>
      </c>
      <c r="H41" s="48" t="e">
        <f t="shared" si="9"/>
        <v>#REF!</v>
      </c>
      <c r="I41" s="48" t="e">
        <f t="shared" si="10"/>
        <v>#REF!</v>
      </c>
      <c r="J41" s="48" t="e">
        <f t="shared" si="11"/>
        <v>#REF!</v>
      </c>
      <c r="K41" s="49" t="e">
        <f t="shared" si="12"/>
        <v>#REF!</v>
      </c>
      <c r="L41" s="86" t="e">
        <f>#REF!+#REF!</f>
        <v>#REF!</v>
      </c>
      <c r="M41" s="71" t="e">
        <f>#REF!+#REF!</f>
        <v>#REF!</v>
      </c>
      <c r="N41" s="67" t="e">
        <f t="shared" si="13"/>
        <v>#REF!</v>
      </c>
      <c r="O41" s="68" t="e">
        <f t="shared" si="14"/>
        <v>#REF!</v>
      </c>
      <c r="P41" s="69" t="e">
        <f t="shared" si="15"/>
        <v>#REF!</v>
      </c>
      <c r="Q41" s="70" t="e">
        <f t="shared" si="16"/>
        <v>#REF!</v>
      </c>
      <c r="R41" s="70" t="e">
        <f t="shared" si="17"/>
        <v>#REF!</v>
      </c>
      <c r="S41" s="71" t="e">
        <f>#REF!</f>
        <v>#REF!</v>
      </c>
      <c r="T41" s="71" t="e">
        <f>#REF!</f>
        <v>#REF!</v>
      </c>
      <c r="U41" s="72" t="e">
        <f>#REF!</f>
        <v>#REF!</v>
      </c>
      <c r="V41" s="72" t="e">
        <f>#REF!</f>
        <v>#REF!</v>
      </c>
      <c r="W41" s="73" t="e">
        <f>#REF!</f>
        <v>#REF!</v>
      </c>
      <c r="X41" s="74" t="e">
        <f>#REF!</f>
        <v>#REF!</v>
      </c>
      <c r="Y41" s="217">
        <v>0</v>
      </c>
      <c r="Z41" s="217">
        <v>0</v>
      </c>
      <c r="AA41" s="74" t="e">
        <f>#REF!</f>
        <v>#REF!</v>
      </c>
      <c r="AB41" s="74" t="e">
        <f>#REF!</f>
        <v>#REF!</v>
      </c>
      <c r="AC41" s="74" t="e">
        <f>#REF!</f>
        <v>#REF!</v>
      </c>
      <c r="AD41" s="74" t="e">
        <f>#REF!</f>
        <v>#REF!</v>
      </c>
    </row>
    <row r="42" spans="1:30" s="1462" customFormat="1">
      <c r="A42" s="1462">
        <f t="shared" si="7"/>
        <v>36</v>
      </c>
      <c r="B42" s="85" t="e">
        <f>#REF!</f>
        <v>#REF!</v>
      </c>
      <c r="C42" s="1463" t="str">
        <f t="shared" si="8"/>
        <v>Код района</v>
      </c>
      <c r="D42" s="85" t="e">
        <f>#REF!</f>
        <v>#REF!</v>
      </c>
      <c r="E42" s="1463" t="str">
        <f t="shared" si="6"/>
        <v>Код сельсовета</v>
      </c>
      <c r="F42" s="1464" t="e">
        <f>#REF!</f>
        <v>#REF!</v>
      </c>
      <c r="G42" s="1465" t="e">
        <f>#REF!</f>
        <v>#REF!</v>
      </c>
      <c r="H42" s="1466" t="e">
        <f t="shared" ref="H42:H43" si="18">K42+N42</f>
        <v>#REF!</v>
      </c>
      <c r="I42" s="1466" t="e">
        <f t="shared" ref="I42:I43" si="19">L42+Q42</f>
        <v>#REF!</v>
      </c>
      <c r="J42" s="1466" t="e">
        <f t="shared" ref="J42:J43" si="20">M42+R42</f>
        <v>#REF!</v>
      </c>
      <c r="K42" s="1467" t="e">
        <f t="shared" ref="K42:K43" si="21">L42+M42</f>
        <v>#REF!</v>
      </c>
      <c r="L42" s="1468" t="e">
        <f>#REF!+#REF!</f>
        <v>#REF!</v>
      </c>
      <c r="M42" s="1469" t="e">
        <f>#REF!+#REF!</f>
        <v>#REF!</v>
      </c>
      <c r="N42" s="1470" t="e">
        <f t="shared" ref="N42:N43" si="22">Q42+R42</f>
        <v>#REF!</v>
      </c>
      <c r="O42" s="1471" t="e">
        <f t="shared" ref="O42:O43" si="23">S42+T42</f>
        <v>#REF!</v>
      </c>
      <c r="P42" s="1467" t="e">
        <f t="shared" ref="P42:P43" si="24">U42+V42</f>
        <v>#REF!</v>
      </c>
      <c r="Q42" s="1472" t="e">
        <f t="shared" ref="Q42:Q43" si="25">S42+U42</f>
        <v>#REF!</v>
      </c>
      <c r="R42" s="1472" t="e">
        <f t="shared" ref="R42:R43" si="26">T42+V42</f>
        <v>#REF!</v>
      </c>
      <c r="S42" s="1469" t="e">
        <f>#REF!</f>
        <v>#REF!</v>
      </c>
      <c r="T42" s="1469" t="e">
        <f>#REF!</f>
        <v>#REF!</v>
      </c>
      <c r="U42" s="1473" t="e">
        <f>#REF!</f>
        <v>#REF!</v>
      </c>
      <c r="V42" s="1473" t="e">
        <f>#REF!</f>
        <v>#REF!</v>
      </c>
      <c r="W42" s="1474" t="e">
        <f>#REF!</f>
        <v>#REF!</v>
      </c>
      <c r="X42" s="1475" t="e">
        <f>#REF!</f>
        <v>#REF!</v>
      </c>
      <c r="Y42" s="1476">
        <v>0</v>
      </c>
      <c r="Z42" s="1476">
        <v>0</v>
      </c>
      <c r="AA42" s="1475" t="e">
        <f>#REF!</f>
        <v>#REF!</v>
      </c>
      <c r="AB42" s="1475" t="e">
        <f>#REF!</f>
        <v>#REF!</v>
      </c>
      <c r="AC42" s="1475" t="e">
        <f>#REF!</f>
        <v>#REF!</v>
      </c>
      <c r="AD42" s="1475" t="e">
        <f>#REF!</f>
        <v>#REF!</v>
      </c>
    </row>
    <row r="43" spans="1:30">
      <c r="A43">
        <f t="shared" si="7"/>
        <v>37</v>
      </c>
      <c r="B43" s="85" t="e">
        <f>#REF!</f>
        <v>#REF!</v>
      </c>
      <c r="C43" s="92" t="str">
        <f t="shared" si="8"/>
        <v>Код района</v>
      </c>
      <c r="D43" s="66" t="e">
        <f>#REF!</f>
        <v>#REF!</v>
      </c>
      <c r="E43" s="92" t="str">
        <f t="shared" si="6"/>
        <v>Код сельсовета</v>
      </c>
      <c r="F43" s="89" t="e">
        <f>#REF!</f>
        <v>#REF!</v>
      </c>
      <c r="G43" s="91" t="e">
        <f>#REF!</f>
        <v>#REF!</v>
      </c>
      <c r="H43" s="48" t="e">
        <f t="shared" si="18"/>
        <v>#REF!</v>
      </c>
      <c r="I43" s="48" t="e">
        <f t="shared" si="19"/>
        <v>#REF!</v>
      </c>
      <c r="J43" s="48" t="e">
        <f t="shared" si="20"/>
        <v>#REF!</v>
      </c>
      <c r="K43" s="49" t="e">
        <f t="shared" si="21"/>
        <v>#REF!</v>
      </c>
      <c r="L43" s="86" t="e">
        <f>#REF!+#REF!</f>
        <v>#REF!</v>
      </c>
      <c r="M43" s="71" t="e">
        <f>#REF!+#REF!</f>
        <v>#REF!</v>
      </c>
      <c r="N43" s="67" t="e">
        <f t="shared" si="22"/>
        <v>#REF!</v>
      </c>
      <c r="O43" s="68" t="e">
        <f t="shared" si="23"/>
        <v>#REF!</v>
      </c>
      <c r="P43" s="69" t="e">
        <f t="shared" si="24"/>
        <v>#REF!</v>
      </c>
      <c r="Q43" s="70" t="e">
        <f t="shared" si="25"/>
        <v>#REF!</v>
      </c>
      <c r="R43" s="70" t="e">
        <f t="shared" si="26"/>
        <v>#REF!</v>
      </c>
      <c r="S43" s="71" t="e">
        <f>#REF!</f>
        <v>#REF!</v>
      </c>
      <c r="T43" s="71" t="e">
        <f>#REF!</f>
        <v>#REF!</v>
      </c>
      <c r="U43" s="72" t="e">
        <f>#REF!</f>
        <v>#REF!</v>
      </c>
      <c r="V43" s="72" t="e">
        <f>#REF!</f>
        <v>#REF!</v>
      </c>
      <c r="W43" s="73" t="e">
        <f>#REF!</f>
        <v>#REF!</v>
      </c>
      <c r="X43" s="74" t="e">
        <f>#REF!</f>
        <v>#REF!</v>
      </c>
      <c r="Y43" s="217">
        <v>0</v>
      </c>
      <c r="Z43" s="217">
        <v>0</v>
      </c>
      <c r="AA43" s="74" t="e">
        <f>#REF!</f>
        <v>#REF!</v>
      </c>
      <c r="AB43" s="74" t="e">
        <f>#REF!</f>
        <v>#REF!</v>
      </c>
      <c r="AC43" s="74" t="e">
        <f>#REF!</f>
        <v>#REF!</v>
      </c>
      <c r="AD43" s="74" t="e">
        <f>#REF!</f>
        <v>#REF!</v>
      </c>
    </row>
    <row r="44" spans="1:30">
      <c r="A44">
        <f t="shared" si="7"/>
        <v>38</v>
      </c>
      <c r="B44" s="85" t="e">
        <f>#REF!</f>
        <v>#REF!</v>
      </c>
      <c r="C44" s="92" t="str">
        <f t="shared" si="8"/>
        <v>Код района</v>
      </c>
      <c r="D44" s="66" t="e">
        <f>#REF!</f>
        <v>#REF!</v>
      </c>
      <c r="E44" s="92" t="str">
        <f t="shared" si="6"/>
        <v>Код сельсовета</v>
      </c>
      <c r="F44" s="89" t="e">
        <f>#REF!</f>
        <v>#REF!</v>
      </c>
      <c r="G44" s="91" t="e">
        <f>#REF!</f>
        <v>#REF!</v>
      </c>
      <c r="H44" s="48" t="e">
        <f t="shared" si="9"/>
        <v>#REF!</v>
      </c>
      <c r="I44" s="48" t="e">
        <f t="shared" si="10"/>
        <v>#REF!</v>
      </c>
      <c r="J44" s="48" t="e">
        <f t="shared" si="11"/>
        <v>#REF!</v>
      </c>
      <c r="K44" s="49" t="e">
        <f t="shared" si="12"/>
        <v>#REF!</v>
      </c>
      <c r="L44" s="86" t="e">
        <f>#REF!+#REF!</f>
        <v>#REF!</v>
      </c>
      <c r="M44" s="71" t="e">
        <f>#REF!+#REF!</f>
        <v>#REF!</v>
      </c>
      <c r="N44" s="67" t="e">
        <f t="shared" si="13"/>
        <v>#REF!</v>
      </c>
      <c r="O44" s="68" t="e">
        <f t="shared" si="14"/>
        <v>#REF!</v>
      </c>
      <c r="P44" s="69" t="e">
        <f t="shared" si="15"/>
        <v>#REF!</v>
      </c>
      <c r="Q44" s="70" t="e">
        <f t="shared" si="16"/>
        <v>#REF!</v>
      </c>
      <c r="R44" s="70" t="e">
        <f t="shared" si="17"/>
        <v>#REF!</v>
      </c>
      <c r="S44" s="71" t="e">
        <f>#REF!</f>
        <v>#REF!</v>
      </c>
      <c r="T44" s="71" t="e">
        <f>#REF!</f>
        <v>#REF!</v>
      </c>
      <c r="U44" s="72" t="e">
        <f>#REF!</f>
        <v>#REF!</v>
      </c>
      <c r="V44" s="72" t="e">
        <f>#REF!</f>
        <v>#REF!</v>
      </c>
      <c r="W44" s="73" t="e">
        <f>#REF!</f>
        <v>#REF!</v>
      </c>
      <c r="X44" s="74" t="e">
        <f>#REF!</f>
        <v>#REF!</v>
      </c>
      <c r="Y44" s="217">
        <v>0</v>
      </c>
      <c r="Z44" s="217">
        <v>0</v>
      </c>
      <c r="AA44" s="74" t="e">
        <f>#REF!</f>
        <v>#REF!</v>
      </c>
      <c r="AB44" s="74" t="e">
        <f>#REF!</f>
        <v>#REF!</v>
      </c>
      <c r="AC44" s="74" t="e">
        <f>#REF!</f>
        <v>#REF!</v>
      </c>
      <c r="AD44" s="74" t="e">
        <f>#REF!</f>
        <v>#REF!</v>
      </c>
    </row>
    <row r="45" spans="1:30">
      <c r="A45">
        <f t="shared" si="7"/>
        <v>39</v>
      </c>
      <c r="B45" s="85" t="e">
        <f>#REF!</f>
        <v>#REF!</v>
      </c>
      <c r="C45" s="92" t="str">
        <f t="shared" si="8"/>
        <v>Код района</v>
      </c>
      <c r="D45" s="66" t="e">
        <f>#REF!</f>
        <v>#REF!</v>
      </c>
      <c r="E45" s="92" t="str">
        <f t="shared" si="6"/>
        <v>Код сельсовета</v>
      </c>
      <c r="F45" s="89" t="e">
        <f>#REF!</f>
        <v>#REF!</v>
      </c>
      <c r="G45" s="91" t="e">
        <f>#REF!</f>
        <v>#REF!</v>
      </c>
      <c r="H45" s="48" t="e">
        <f t="shared" si="9"/>
        <v>#REF!</v>
      </c>
      <c r="I45" s="48" t="e">
        <f t="shared" si="10"/>
        <v>#REF!</v>
      </c>
      <c r="J45" s="48" t="e">
        <f t="shared" si="11"/>
        <v>#REF!</v>
      </c>
      <c r="K45" s="49" t="e">
        <f t="shared" si="12"/>
        <v>#REF!</v>
      </c>
      <c r="L45" s="86" t="e">
        <f>#REF!+#REF!</f>
        <v>#REF!</v>
      </c>
      <c r="M45" s="71" t="e">
        <f>#REF!+#REF!</f>
        <v>#REF!</v>
      </c>
      <c r="N45" s="67" t="e">
        <f t="shared" si="13"/>
        <v>#REF!</v>
      </c>
      <c r="O45" s="68" t="e">
        <f t="shared" si="14"/>
        <v>#REF!</v>
      </c>
      <c r="P45" s="69" t="e">
        <f t="shared" si="15"/>
        <v>#REF!</v>
      </c>
      <c r="Q45" s="70" t="e">
        <f t="shared" si="16"/>
        <v>#REF!</v>
      </c>
      <c r="R45" s="70" t="e">
        <f t="shared" si="17"/>
        <v>#REF!</v>
      </c>
      <c r="S45" s="71" t="e">
        <f>#REF!</f>
        <v>#REF!</v>
      </c>
      <c r="T45" s="71" t="e">
        <f>#REF!</f>
        <v>#REF!</v>
      </c>
      <c r="U45" s="72" t="e">
        <f>#REF!</f>
        <v>#REF!</v>
      </c>
      <c r="V45" s="72" t="e">
        <f>#REF!</f>
        <v>#REF!</v>
      </c>
      <c r="W45" s="73" t="e">
        <f>#REF!</f>
        <v>#REF!</v>
      </c>
      <c r="X45" s="74" t="e">
        <f>#REF!</f>
        <v>#REF!</v>
      </c>
      <c r="Y45" s="217">
        <v>0</v>
      </c>
      <c r="Z45" s="217">
        <v>0</v>
      </c>
      <c r="AA45" s="74" t="e">
        <f>#REF!</f>
        <v>#REF!</v>
      </c>
      <c r="AB45" s="74" t="e">
        <f>#REF!</f>
        <v>#REF!</v>
      </c>
      <c r="AC45" s="74" t="e">
        <f>#REF!</f>
        <v>#REF!</v>
      </c>
      <c r="AD45" s="74" t="e">
        <f>#REF!</f>
        <v>#REF!</v>
      </c>
    </row>
    <row r="46" spans="1:30">
      <c r="A46">
        <f t="shared" si="7"/>
        <v>40</v>
      </c>
      <c r="B46" s="85" t="e">
        <f>#REF!</f>
        <v>#REF!</v>
      </c>
      <c r="C46" s="92" t="str">
        <f t="shared" si="8"/>
        <v>Код района</v>
      </c>
      <c r="D46" s="66" t="e">
        <f>#REF!</f>
        <v>#REF!</v>
      </c>
      <c r="E46" s="92" t="str">
        <f t="shared" si="6"/>
        <v>Код сельсовета</v>
      </c>
      <c r="F46" s="89" t="e">
        <f>#REF!</f>
        <v>#REF!</v>
      </c>
      <c r="G46" s="91" t="e">
        <f>#REF!</f>
        <v>#REF!</v>
      </c>
      <c r="H46" s="48" t="e">
        <f t="shared" si="9"/>
        <v>#REF!</v>
      </c>
      <c r="I46" s="48" t="e">
        <f t="shared" si="10"/>
        <v>#REF!</v>
      </c>
      <c r="J46" s="48" t="e">
        <f t="shared" si="11"/>
        <v>#REF!</v>
      </c>
      <c r="K46" s="49" t="e">
        <f t="shared" si="12"/>
        <v>#REF!</v>
      </c>
      <c r="L46" s="86" t="e">
        <f>#REF!+#REF!</f>
        <v>#REF!</v>
      </c>
      <c r="M46" s="71" t="e">
        <f>#REF!+#REF!</f>
        <v>#REF!</v>
      </c>
      <c r="N46" s="67" t="e">
        <f t="shared" si="13"/>
        <v>#REF!</v>
      </c>
      <c r="O46" s="68" t="e">
        <f t="shared" si="14"/>
        <v>#REF!</v>
      </c>
      <c r="P46" s="69" t="e">
        <f t="shared" si="15"/>
        <v>#REF!</v>
      </c>
      <c r="Q46" s="70" t="e">
        <f t="shared" si="16"/>
        <v>#REF!</v>
      </c>
      <c r="R46" s="70" t="e">
        <f t="shared" si="17"/>
        <v>#REF!</v>
      </c>
      <c r="S46" s="71" t="e">
        <f>#REF!</f>
        <v>#REF!</v>
      </c>
      <c r="T46" s="71" t="e">
        <f>#REF!</f>
        <v>#REF!</v>
      </c>
      <c r="U46" s="72" t="e">
        <f>#REF!</f>
        <v>#REF!</v>
      </c>
      <c r="V46" s="72" t="e">
        <f>#REF!</f>
        <v>#REF!</v>
      </c>
      <c r="W46" s="73" t="e">
        <f>#REF!</f>
        <v>#REF!</v>
      </c>
      <c r="X46" s="74" t="e">
        <f>#REF!</f>
        <v>#REF!</v>
      </c>
      <c r="Y46" s="217">
        <v>0</v>
      </c>
      <c r="Z46" s="217">
        <v>0</v>
      </c>
      <c r="AA46" s="74" t="e">
        <f>#REF!</f>
        <v>#REF!</v>
      </c>
      <c r="AB46" s="74" t="e">
        <f>#REF!</f>
        <v>#REF!</v>
      </c>
      <c r="AC46" s="74" t="e">
        <f>#REF!</f>
        <v>#REF!</v>
      </c>
      <c r="AD46" s="74" t="e">
        <f>#REF!</f>
        <v>#REF!</v>
      </c>
    </row>
    <row r="47" spans="1:30">
      <c r="A47">
        <f t="shared" si="7"/>
        <v>41</v>
      </c>
      <c r="B47" s="85" t="e">
        <f>#REF!</f>
        <v>#REF!</v>
      </c>
      <c r="C47" s="92" t="str">
        <f t="shared" si="8"/>
        <v>Код района</v>
      </c>
      <c r="D47" s="66" t="e">
        <f>#REF!</f>
        <v>#REF!</v>
      </c>
      <c r="E47" s="92" t="str">
        <f t="shared" si="6"/>
        <v>Код сельсовета</v>
      </c>
      <c r="F47" s="89" t="e">
        <f>#REF!</f>
        <v>#REF!</v>
      </c>
      <c r="G47" s="91" t="e">
        <f>#REF!</f>
        <v>#REF!</v>
      </c>
      <c r="H47" s="48" t="e">
        <f t="shared" si="9"/>
        <v>#REF!</v>
      </c>
      <c r="I47" s="48" t="e">
        <f t="shared" si="10"/>
        <v>#REF!</v>
      </c>
      <c r="J47" s="48" t="e">
        <f t="shared" si="11"/>
        <v>#REF!</v>
      </c>
      <c r="K47" s="49" t="e">
        <f t="shared" si="12"/>
        <v>#REF!</v>
      </c>
      <c r="L47" s="86" t="e">
        <f>#REF!+#REF!</f>
        <v>#REF!</v>
      </c>
      <c r="M47" s="71" t="e">
        <f>#REF!+#REF!</f>
        <v>#REF!</v>
      </c>
      <c r="N47" s="67" t="e">
        <f t="shared" si="13"/>
        <v>#REF!</v>
      </c>
      <c r="O47" s="68" t="e">
        <f t="shared" si="14"/>
        <v>#REF!</v>
      </c>
      <c r="P47" s="69" t="e">
        <f t="shared" si="15"/>
        <v>#REF!</v>
      </c>
      <c r="Q47" s="70" t="e">
        <f t="shared" si="16"/>
        <v>#REF!</v>
      </c>
      <c r="R47" s="70" t="e">
        <f t="shared" si="17"/>
        <v>#REF!</v>
      </c>
      <c r="S47" s="71" t="e">
        <f>#REF!</f>
        <v>#REF!</v>
      </c>
      <c r="T47" s="71" t="e">
        <f>#REF!</f>
        <v>#REF!</v>
      </c>
      <c r="U47" s="72" t="e">
        <f>#REF!</f>
        <v>#REF!</v>
      </c>
      <c r="V47" s="72" t="e">
        <f>#REF!</f>
        <v>#REF!</v>
      </c>
      <c r="W47" s="73" t="e">
        <f>#REF!</f>
        <v>#REF!</v>
      </c>
      <c r="X47" s="74" t="e">
        <f>#REF!</f>
        <v>#REF!</v>
      </c>
      <c r="Y47" s="217">
        <v>0</v>
      </c>
      <c r="Z47" s="217">
        <v>0</v>
      </c>
      <c r="AA47" s="74" t="e">
        <f>#REF!</f>
        <v>#REF!</v>
      </c>
      <c r="AB47" s="74" t="e">
        <f>#REF!</f>
        <v>#REF!</v>
      </c>
      <c r="AC47" s="74" t="e">
        <f>#REF!</f>
        <v>#REF!</v>
      </c>
      <c r="AD47" s="74" t="e">
        <f>#REF!</f>
        <v>#REF!</v>
      </c>
    </row>
    <row r="48" spans="1:30">
      <c r="A48">
        <f t="shared" si="7"/>
        <v>42</v>
      </c>
      <c r="B48" s="85" t="e">
        <f>#REF!</f>
        <v>#REF!</v>
      </c>
      <c r="C48" s="92" t="str">
        <f t="shared" si="8"/>
        <v>Код района</v>
      </c>
      <c r="D48" s="66" t="e">
        <f>#REF!</f>
        <v>#REF!</v>
      </c>
      <c r="E48" s="92" t="str">
        <f t="shared" si="6"/>
        <v>Код сельсовета</v>
      </c>
      <c r="F48" s="89" t="e">
        <f>#REF!</f>
        <v>#REF!</v>
      </c>
      <c r="G48" s="91" t="e">
        <f>#REF!</f>
        <v>#REF!</v>
      </c>
      <c r="H48" s="48" t="e">
        <f t="shared" si="9"/>
        <v>#REF!</v>
      </c>
      <c r="I48" s="48" t="e">
        <f t="shared" si="10"/>
        <v>#REF!</v>
      </c>
      <c r="J48" s="48" t="e">
        <f t="shared" si="11"/>
        <v>#REF!</v>
      </c>
      <c r="K48" s="49" t="e">
        <f t="shared" si="12"/>
        <v>#REF!</v>
      </c>
      <c r="L48" s="86" t="e">
        <f>#REF!+#REF!</f>
        <v>#REF!</v>
      </c>
      <c r="M48" s="71" t="e">
        <f>#REF!+#REF!</f>
        <v>#REF!</v>
      </c>
      <c r="N48" s="67" t="e">
        <f t="shared" si="13"/>
        <v>#REF!</v>
      </c>
      <c r="O48" s="68" t="e">
        <f t="shared" si="14"/>
        <v>#REF!</v>
      </c>
      <c r="P48" s="69" t="e">
        <f t="shared" si="15"/>
        <v>#REF!</v>
      </c>
      <c r="Q48" s="70" t="e">
        <f t="shared" si="16"/>
        <v>#REF!</v>
      </c>
      <c r="R48" s="70" t="e">
        <f t="shared" si="17"/>
        <v>#REF!</v>
      </c>
      <c r="S48" s="71" t="e">
        <f>#REF!</f>
        <v>#REF!</v>
      </c>
      <c r="T48" s="71" t="e">
        <f>#REF!</f>
        <v>#REF!</v>
      </c>
      <c r="U48" s="72" t="e">
        <f>#REF!</f>
        <v>#REF!</v>
      </c>
      <c r="V48" s="72" t="e">
        <f>#REF!</f>
        <v>#REF!</v>
      </c>
      <c r="W48" s="73" t="e">
        <f>#REF!</f>
        <v>#REF!</v>
      </c>
      <c r="X48" s="74" t="e">
        <f>#REF!</f>
        <v>#REF!</v>
      </c>
      <c r="Y48" s="217">
        <v>0</v>
      </c>
      <c r="Z48" s="217">
        <v>0</v>
      </c>
      <c r="AA48" s="74" t="e">
        <f>#REF!</f>
        <v>#REF!</v>
      </c>
      <c r="AB48" s="74" t="e">
        <f>#REF!</f>
        <v>#REF!</v>
      </c>
      <c r="AC48" s="74" t="e">
        <f>#REF!</f>
        <v>#REF!</v>
      </c>
      <c r="AD48" s="74" t="e">
        <f>#REF!</f>
        <v>#REF!</v>
      </c>
    </row>
    <row r="49" spans="1:30">
      <c r="A49">
        <f t="shared" si="7"/>
        <v>43</v>
      </c>
      <c r="B49" s="85" t="e">
        <f>#REF!</f>
        <v>#REF!</v>
      </c>
      <c r="C49" s="92" t="str">
        <f t="shared" si="8"/>
        <v>Код района</v>
      </c>
      <c r="D49" s="66" t="e">
        <f>#REF!</f>
        <v>#REF!</v>
      </c>
      <c r="E49" s="92" t="str">
        <f t="shared" si="6"/>
        <v>Код сельсовета</v>
      </c>
      <c r="F49" s="89" t="e">
        <f>#REF!</f>
        <v>#REF!</v>
      </c>
      <c r="G49" s="91" t="e">
        <f>#REF!</f>
        <v>#REF!</v>
      </c>
      <c r="H49" s="48" t="e">
        <f t="shared" si="9"/>
        <v>#REF!</v>
      </c>
      <c r="I49" s="48" t="e">
        <f t="shared" si="10"/>
        <v>#REF!</v>
      </c>
      <c r="J49" s="48" t="e">
        <f t="shared" si="11"/>
        <v>#REF!</v>
      </c>
      <c r="K49" s="49" t="e">
        <f t="shared" si="12"/>
        <v>#REF!</v>
      </c>
      <c r="L49" s="86" t="e">
        <f>#REF!+#REF!</f>
        <v>#REF!</v>
      </c>
      <c r="M49" s="71" t="e">
        <f>#REF!+#REF!</f>
        <v>#REF!</v>
      </c>
      <c r="N49" s="67" t="e">
        <f t="shared" si="13"/>
        <v>#REF!</v>
      </c>
      <c r="O49" s="68" t="e">
        <f t="shared" si="14"/>
        <v>#REF!</v>
      </c>
      <c r="P49" s="69" t="e">
        <f t="shared" si="15"/>
        <v>#REF!</v>
      </c>
      <c r="Q49" s="70" t="e">
        <f t="shared" si="16"/>
        <v>#REF!</v>
      </c>
      <c r="R49" s="70" t="e">
        <f t="shared" si="17"/>
        <v>#REF!</v>
      </c>
      <c r="S49" s="71" t="e">
        <f>#REF!</f>
        <v>#REF!</v>
      </c>
      <c r="T49" s="71" t="e">
        <f>#REF!</f>
        <v>#REF!</v>
      </c>
      <c r="U49" s="72" t="e">
        <f>#REF!</f>
        <v>#REF!</v>
      </c>
      <c r="V49" s="72" t="e">
        <f>#REF!</f>
        <v>#REF!</v>
      </c>
      <c r="W49" s="73" t="e">
        <f>#REF!</f>
        <v>#REF!</v>
      </c>
      <c r="X49" s="74" t="e">
        <f>#REF!</f>
        <v>#REF!</v>
      </c>
      <c r="Y49" s="217">
        <v>0</v>
      </c>
      <c r="Z49" s="217">
        <v>0</v>
      </c>
      <c r="AA49" s="74" t="e">
        <f>#REF!</f>
        <v>#REF!</v>
      </c>
      <c r="AB49" s="74" t="e">
        <f>#REF!</f>
        <v>#REF!</v>
      </c>
      <c r="AC49" s="74" t="e">
        <f>#REF!</f>
        <v>#REF!</v>
      </c>
      <c r="AD49" s="74" t="e">
        <f>#REF!</f>
        <v>#REF!</v>
      </c>
    </row>
    <row r="50" spans="1:30">
      <c r="A50">
        <f t="shared" si="7"/>
        <v>44</v>
      </c>
      <c r="B50" s="85" t="e">
        <f>#REF!</f>
        <v>#REF!</v>
      </c>
      <c r="C50" s="92" t="str">
        <f t="shared" si="8"/>
        <v>Код района</v>
      </c>
      <c r="D50" s="66" t="e">
        <f>#REF!</f>
        <v>#REF!</v>
      </c>
      <c r="E50" s="92" t="str">
        <f t="shared" si="6"/>
        <v>Код сельсовета</v>
      </c>
      <c r="F50" s="89" t="e">
        <f>#REF!</f>
        <v>#REF!</v>
      </c>
      <c r="G50" s="91" t="e">
        <f>#REF!</f>
        <v>#REF!</v>
      </c>
      <c r="H50" s="48" t="e">
        <f t="shared" si="9"/>
        <v>#REF!</v>
      </c>
      <c r="I50" s="48" t="e">
        <f t="shared" si="10"/>
        <v>#REF!</v>
      </c>
      <c r="J50" s="48" t="e">
        <f t="shared" si="11"/>
        <v>#REF!</v>
      </c>
      <c r="K50" s="49" t="e">
        <f t="shared" si="12"/>
        <v>#REF!</v>
      </c>
      <c r="L50" s="86" t="e">
        <f>#REF!+#REF!</f>
        <v>#REF!</v>
      </c>
      <c r="M50" s="71" t="e">
        <f>#REF!+#REF!</f>
        <v>#REF!</v>
      </c>
      <c r="N50" s="67" t="e">
        <f t="shared" si="13"/>
        <v>#REF!</v>
      </c>
      <c r="O50" s="68" t="e">
        <f t="shared" si="14"/>
        <v>#REF!</v>
      </c>
      <c r="P50" s="69" t="e">
        <f t="shared" si="15"/>
        <v>#REF!</v>
      </c>
      <c r="Q50" s="70" t="e">
        <f t="shared" si="16"/>
        <v>#REF!</v>
      </c>
      <c r="R50" s="70" t="e">
        <f t="shared" si="17"/>
        <v>#REF!</v>
      </c>
      <c r="S50" s="71" t="e">
        <f>#REF!</f>
        <v>#REF!</v>
      </c>
      <c r="T50" s="71" t="e">
        <f>#REF!</f>
        <v>#REF!</v>
      </c>
      <c r="U50" s="72" t="e">
        <f>#REF!</f>
        <v>#REF!</v>
      </c>
      <c r="V50" s="72" t="e">
        <f>#REF!</f>
        <v>#REF!</v>
      </c>
      <c r="W50" s="73" t="e">
        <f>#REF!</f>
        <v>#REF!</v>
      </c>
      <c r="X50" s="74" t="e">
        <f>#REF!</f>
        <v>#REF!</v>
      </c>
      <c r="Y50" s="217">
        <v>0</v>
      </c>
      <c r="Z50" s="217">
        <v>0</v>
      </c>
      <c r="AA50" s="74" t="e">
        <f>#REF!</f>
        <v>#REF!</v>
      </c>
      <c r="AB50" s="74" t="e">
        <f>#REF!</f>
        <v>#REF!</v>
      </c>
      <c r="AC50" s="74" t="e">
        <f>#REF!</f>
        <v>#REF!</v>
      </c>
      <c r="AD50" s="74" t="e">
        <f>#REF!</f>
        <v>#REF!</v>
      </c>
    </row>
    <row r="51" spans="1:30">
      <c r="A51">
        <f t="shared" si="7"/>
        <v>45</v>
      </c>
      <c r="B51" s="85" t="e">
        <f>#REF!</f>
        <v>#REF!</v>
      </c>
      <c r="C51" s="92" t="str">
        <f t="shared" si="8"/>
        <v>Код района</v>
      </c>
      <c r="D51" s="66" t="e">
        <f>#REF!</f>
        <v>#REF!</v>
      </c>
      <c r="E51" s="92" t="str">
        <f t="shared" si="6"/>
        <v>Код сельсовета</v>
      </c>
      <c r="F51" s="89" t="e">
        <f>#REF!</f>
        <v>#REF!</v>
      </c>
      <c r="G51" s="91" t="e">
        <f>#REF!</f>
        <v>#REF!</v>
      </c>
      <c r="H51" s="48" t="e">
        <f t="shared" si="9"/>
        <v>#REF!</v>
      </c>
      <c r="I51" s="48" t="e">
        <f t="shared" si="10"/>
        <v>#REF!</v>
      </c>
      <c r="J51" s="48" t="e">
        <f t="shared" si="11"/>
        <v>#REF!</v>
      </c>
      <c r="K51" s="49" t="e">
        <f t="shared" si="12"/>
        <v>#REF!</v>
      </c>
      <c r="L51" s="86" t="e">
        <f>#REF!+#REF!</f>
        <v>#REF!</v>
      </c>
      <c r="M51" s="71" t="e">
        <f>#REF!+#REF!</f>
        <v>#REF!</v>
      </c>
      <c r="N51" s="67" t="e">
        <f t="shared" si="13"/>
        <v>#REF!</v>
      </c>
      <c r="O51" s="68" t="e">
        <f t="shared" si="14"/>
        <v>#REF!</v>
      </c>
      <c r="P51" s="69" t="e">
        <f t="shared" si="15"/>
        <v>#REF!</v>
      </c>
      <c r="Q51" s="70" t="e">
        <f t="shared" si="16"/>
        <v>#REF!</v>
      </c>
      <c r="R51" s="70" t="e">
        <f t="shared" si="17"/>
        <v>#REF!</v>
      </c>
      <c r="S51" s="71" t="e">
        <f>#REF!</f>
        <v>#REF!</v>
      </c>
      <c r="T51" s="71" t="e">
        <f>#REF!</f>
        <v>#REF!</v>
      </c>
      <c r="U51" s="72" t="e">
        <f>#REF!</f>
        <v>#REF!</v>
      </c>
      <c r="V51" s="72" t="e">
        <f>#REF!</f>
        <v>#REF!</v>
      </c>
      <c r="W51" s="73" t="e">
        <f>#REF!</f>
        <v>#REF!</v>
      </c>
      <c r="X51" s="74" t="e">
        <f>#REF!</f>
        <v>#REF!</v>
      </c>
      <c r="Y51" s="217">
        <v>0</v>
      </c>
      <c r="Z51" s="217">
        <v>0</v>
      </c>
      <c r="AA51" s="74" t="e">
        <f>#REF!</f>
        <v>#REF!</v>
      </c>
      <c r="AB51" s="74" t="e">
        <f>#REF!</f>
        <v>#REF!</v>
      </c>
      <c r="AC51" s="74" t="e">
        <f>#REF!</f>
        <v>#REF!</v>
      </c>
      <c r="AD51" s="74" t="e">
        <f>#REF!</f>
        <v>#REF!</v>
      </c>
    </row>
    <row r="52" spans="1:30">
      <c r="A52">
        <f t="shared" si="7"/>
        <v>46</v>
      </c>
      <c r="B52" s="85" t="e">
        <f>#REF!</f>
        <v>#REF!</v>
      </c>
      <c r="C52" s="92" t="str">
        <f t="shared" si="8"/>
        <v>Код района</v>
      </c>
      <c r="D52" s="66" t="e">
        <f>#REF!</f>
        <v>#REF!</v>
      </c>
      <c r="E52" s="92" t="str">
        <f t="shared" si="6"/>
        <v>Код сельсовета</v>
      </c>
      <c r="F52" s="89" t="e">
        <f>#REF!</f>
        <v>#REF!</v>
      </c>
      <c r="G52" s="91" t="e">
        <f>#REF!</f>
        <v>#REF!</v>
      </c>
      <c r="H52" s="48" t="e">
        <f t="shared" si="9"/>
        <v>#REF!</v>
      </c>
      <c r="I52" s="48" t="e">
        <f t="shared" si="10"/>
        <v>#REF!</v>
      </c>
      <c r="J52" s="48" t="e">
        <f t="shared" si="11"/>
        <v>#REF!</v>
      </c>
      <c r="K52" s="49" t="e">
        <f t="shared" si="12"/>
        <v>#REF!</v>
      </c>
      <c r="L52" s="86" t="e">
        <f>#REF!+#REF!</f>
        <v>#REF!</v>
      </c>
      <c r="M52" s="71" t="e">
        <f>#REF!+#REF!</f>
        <v>#REF!</v>
      </c>
      <c r="N52" s="67" t="e">
        <f t="shared" si="13"/>
        <v>#REF!</v>
      </c>
      <c r="O52" s="68" t="e">
        <f t="shared" si="14"/>
        <v>#REF!</v>
      </c>
      <c r="P52" s="69" t="e">
        <f t="shared" si="15"/>
        <v>#REF!</v>
      </c>
      <c r="Q52" s="70" t="e">
        <f t="shared" si="16"/>
        <v>#REF!</v>
      </c>
      <c r="R52" s="70" t="e">
        <f t="shared" si="17"/>
        <v>#REF!</v>
      </c>
      <c r="S52" s="71" t="e">
        <f>#REF!</f>
        <v>#REF!</v>
      </c>
      <c r="T52" s="71" t="e">
        <f>#REF!</f>
        <v>#REF!</v>
      </c>
      <c r="U52" s="72" t="e">
        <f>#REF!</f>
        <v>#REF!</v>
      </c>
      <c r="V52" s="72" t="e">
        <f>#REF!</f>
        <v>#REF!</v>
      </c>
      <c r="W52" s="73" t="e">
        <f>#REF!</f>
        <v>#REF!</v>
      </c>
      <c r="X52" s="74" t="e">
        <f>#REF!</f>
        <v>#REF!</v>
      </c>
      <c r="Y52" s="217">
        <v>0</v>
      </c>
      <c r="Z52" s="217">
        <v>0</v>
      </c>
      <c r="AA52" s="74" t="e">
        <f>#REF!</f>
        <v>#REF!</v>
      </c>
      <c r="AB52" s="74" t="e">
        <f>#REF!</f>
        <v>#REF!</v>
      </c>
      <c r="AC52" s="74" t="e">
        <f>#REF!</f>
        <v>#REF!</v>
      </c>
      <c r="AD52" s="74" t="e">
        <f>#REF!</f>
        <v>#REF!</v>
      </c>
    </row>
    <row r="53" spans="1:30">
      <c r="A53">
        <f t="shared" si="7"/>
        <v>47</v>
      </c>
      <c r="B53" s="85" t="e">
        <f>#REF!</f>
        <v>#REF!</v>
      </c>
      <c r="C53" s="92" t="str">
        <f t="shared" si="8"/>
        <v>Код района</v>
      </c>
      <c r="D53" s="66" t="e">
        <f>#REF!</f>
        <v>#REF!</v>
      </c>
      <c r="E53" s="92" t="str">
        <f t="shared" si="6"/>
        <v>Код сельсовета</v>
      </c>
      <c r="F53" s="89" t="e">
        <f>#REF!</f>
        <v>#REF!</v>
      </c>
      <c r="G53" s="91" t="e">
        <f>#REF!</f>
        <v>#REF!</v>
      </c>
      <c r="H53" s="48" t="e">
        <f t="shared" si="9"/>
        <v>#REF!</v>
      </c>
      <c r="I53" s="48" t="e">
        <f t="shared" si="10"/>
        <v>#REF!</v>
      </c>
      <c r="J53" s="48" t="e">
        <f t="shared" si="11"/>
        <v>#REF!</v>
      </c>
      <c r="K53" s="49" t="e">
        <f t="shared" si="12"/>
        <v>#REF!</v>
      </c>
      <c r="L53" s="86" t="e">
        <f>#REF!+#REF!</f>
        <v>#REF!</v>
      </c>
      <c r="M53" s="71" t="e">
        <f>#REF!+#REF!</f>
        <v>#REF!</v>
      </c>
      <c r="N53" s="67" t="e">
        <f t="shared" si="13"/>
        <v>#REF!</v>
      </c>
      <c r="O53" s="68" t="e">
        <f t="shared" si="14"/>
        <v>#REF!</v>
      </c>
      <c r="P53" s="69" t="e">
        <f t="shared" si="15"/>
        <v>#REF!</v>
      </c>
      <c r="Q53" s="70" t="e">
        <f t="shared" si="16"/>
        <v>#REF!</v>
      </c>
      <c r="R53" s="70" t="e">
        <f t="shared" si="17"/>
        <v>#REF!</v>
      </c>
      <c r="S53" s="71" t="e">
        <f>#REF!</f>
        <v>#REF!</v>
      </c>
      <c r="T53" s="71" t="e">
        <f>#REF!</f>
        <v>#REF!</v>
      </c>
      <c r="U53" s="72" t="e">
        <f>#REF!</f>
        <v>#REF!</v>
      </c>
      <c r="V53" s="72" t="e">
        <f>#REF!</f>
        <v>#REF!</v>
      </c>
      <c r="W53" s="73" t="e">
        <f>#REF!</f>
        <v>#REF!</v>
      </c>
      <c r="X53" s="74" t="e">
        <f>#REF!</f>
        <v>#REF!</v>
      </c>
      <c r="Y53" s="217">
        <v>0</v>
      </c>
      <c r="Z53" s="217">
        <v>0</v>
      </c>
      <c r="AA53" s="74" t="e">
        <f>#REF!</f>
        <v>#REF!</v>
      </c>
      <c r="AB53" s="74" t="e">
        <f>#REF!</f>
        <v>#REF!</v>
      </c>
      <c r="AC53" s="74" t="e">
        <f>#REF!</f>
        <v>#REF!</v>
      </c>
      <c r="AD53" s="74" t="e">
        <f>#REF!</f>
        <v>#REF!</v>
      </c>
    </row>
    <row r="54" spans="1:30">
      <c r="A54">
        <f t="shared" si="7"/>
        <v>48</v>
      </c>
      <c r="B54" s="85" t="e">
        <f>#REF!</f>
        <v>#REF!</v>
      </c>
      <c r="C54" s="92" t="str">
        <f t="shared" si="8"/>
        <v>Код района</v>
      </c>
      <c r="D54" s="66" t="e">
        <f>#REF!</f>
        <v>#REF!</v>
      </c>
      <c r="E54" s="92" t="str">
        <f t="shared" si="6"/>
        <v>Код сельсовета</v>
      </c>
      <c r="F54" s="89" t="e">
        <f>#REF!</f>
        <v>#REF!</v>
      </c>
      <c r="G54" s="91" t="e">
        <f>#REF!</f>
        <v>#REF!</v>
      </c>
      <c r="H54" s="48" t="e">
        <f t="shared" si="9"/>
        <v>#REF!</v>
      </c>
      <c r="I54" s="48" t="e">
        <f t="shared" si="10"/>
        <v>#REF!</v>
      </c>
      <c r="J54" s="48" t="e">
        <f t="shared" si="11"/>
        <v>#REF!</v>
      </c>
      <c r="K54" s="49" t="e">
        <f t="shared" si="12"/>
        <v>#REF!</v>
      </c>
      <c r="L54" s="86" t="e">
        <f>#REF!+#REF!</f>
        <v>#REF!</v>
      </c>
      <c r="M54" s="71" t="e">
        <f>#REF!+#REF!</f>
        <v>#REF!</v>
      </c>
      <c r="N54" s="67" t="e">
        <f t="shared" si="13"/>
        <v>#REF!</v>
      </c>
      <c r="O54" s="68" t="e">
        <f t="shared" si="14"/>
        <v>#REF!</v>
      </c>
      <c r="P54" s="69" t="e">
        <f t="shared" si="15"/>
        <v>#REF!</v>
      </c>
      <c r="Q54" s="70" t="e">
        <f t="shared" si="16"/>
        <v>#REF!</v>
      </c>
      <c r="R54" s="70" t="e">
        <f t="shared" si="17"/>
        <v>#REF!</v>
      </c>
      <c r="S54" s="71" t="e">
        <f>#REF!</f>
        <v>#REF!</v>
      </c>
      <c r="T54" s="71" t="e">
        <f>#REF!</f>
        <v>#REF!</v>
      </c>
      <c r="U54" s="72" t="e">
        <f>#REF!</f>
        <v>#REF!</v>
      </c>
      <c r="V54" s="72" t="e">
        <f>#REF!</f>
        <v>#REF!</v>
      </c>
      <c r="W54" s="73" t="e">
        <f>#REF!</f>
        <v>#REF!</v>
      </c>
      <c r="X54" s="74" t="e">
        <f>#REF!</f>
        <v>#REF!</v>
      </c>
      <c r="Y54" s="217">
        <v>0</v>
      </c>
      <c r="Z54" s="217">
        <v>0</v>
      </c>
      <c r="AA54" s="74" t="e">
        <f>#REF!</f>
        <v>#REF!</v>
      </c>
      <c r="AB54" s="74" t="e">
        <f>#REF!</f>
        <v>#REF!</v>
      </c>
      <c r="AC54" s="74" t="e">
        <f>#REF!</f>
        <v>#REF!</v>
      </c>
      <c r="AD54" s="74" t="e">
        <f>#REF!</f>
        <v>#REF!</v>
      </c>
    </row>
    <row r="55" spans="1:30">
      <c r="A55">
        <f t="shared" si="7"/>
        <v>49</v>
      </c>
      <c r="B55" s="85" t="e">
        <f>#REF!</f>
        <v>#REF!</v>
      </c>
      <c r="C55" s="92" t="str">
        <f t="shared" si="8"/>
        <v>Код района</v>
      </c>
      <c r="D55" s="66" t="e">
        <f>#REF!</f>
        <v>#REF!</v>
      </c>
      <c r="E55" s="92" t="str">
        <f t="shared" si="6"/>
        <v>Код сельсовета</v>
      </c>
      <c r="F55" s="89" t="e">
        <f>#REF!</f>
        <v>#REF!</v>
      </c>
      <c r="G55" s="91" t="e">
        <f>#REF!</f>
        <v>#REF!</v>
      </c>
      <c r="H55" s="48" t="e">
        <f t="shared" si="9"/>
        <v>#REF!</v>
      </c>
      <c r="I55" s="48" t="e">
        <f t="shared" si="10"/>
        <v>#REF!</v>
      </c>
      <c r="J55" s="48" t="e">
        <f t="shared" si="11"/>
        <v>#REF!</v>
      </c>
      <c r="K55" s="49" t="e">
        <f t="shared" si="12"/>
        <v>#REF!</v>
      </c>
      <c r="L55" s="86" t="e">
        <f>#REF!+#REF!</f>
        <v>#REF!</v>
      </c>
      <c r="M55" s="71" t="e">
        <f>#REF!+#REF!</f>
        <v>#REF!</v>
      </c>
      <c r="N55" s="67" t="e">
        <f t="shared" si="13"/>
        <v>#REF!</v>
      </c>
      <c r="O55" s="68" t="e">
        <f t="shared" si="14"/>
        <v>#REF!</v>
      </c>
      <c r="P55" s="69" t="e">
        <f t="shared" si="15"/>
        <v>#REF!</v>
      </c>
      <c r="Q55" s="70" t="e">
        <f t="shared" si="16"/>
        <v>#REF!</v>
      </c>
      <c r="R55" s="70" t="e">
        <f t="shared" si="17"/>
        <v>#REF!</v>
      </c>
      <c r="S55" s="71" t="e">
        <f>#REF!</f>
        <v>#REF!</v>
      </c>
      <c r="T55" s="71" t="e">
        <f>#REF!</f>
        <v>#REF!</v>
      </c>
      <c r="U55" s="72" t="e">
        <f>#REF!</f>
        <v>#REF!</v>
      </c>
      <c r="V55" s="72" t="e">
        <f>#REF!</f>
        <v>#REF!</v>
      </c>
      <c r="W55" s="73" t="e">
        <f>#REF!</f>
        <v>#REF!</v>
      </c>
      <c r="X55" s="74" t="e">
        <f>#REF!</f>
        <v>#REF!</v>
      </c>
      <c r="Y55" s="217">
        <v>0</v>
      </c>
      <c r="Z55" s="217">
        <v>0</v>
      </c>
      <c r="AA55" s="74" t="e">
        <f>#REF!</f>
        <v>#REF!</v>
      </c>
      <c r="AB55" s="74" t="e">
        <f>#REF!</f>
        <v>#REF!</v>
      </c>
      <c r="AC55" s="74" t="e">
        <f>#REF!</f>
        <v>#REF!</v>
      </c>
      <c r="AD55" s="74" t="e">
        <f>#REF!</f>
        <v>#REF!</v>
      </c>
    </row>
    <row r="56" spans="1:30">
      <c r="A56">
        <f t="shared" si="7"/>
        <v>50</v>
      </c>
      <c r="B56" s="85" t="e">
        <f>#REF!</f>
        <v>#REF!</v>
      </c>
      <c r="C56" s="92" t="str">
        <f t="shared" si="8"/>
        <v>Код района</v>
      </c>
      <c r="D56" s="66" t="e">
        <f>#REF!</f>
        <v>#REF!</v>
      </c>
      <c r="E56" s="92" t="str">
        <f t="shared" si="6"/>
        <v>Код сельсовета</v>
      </c>
      <c r="F56" s="89" t="e">
        <f>#REF!</f>
        <v>#REF!</v>
      </c>
      <c r="G56" s="91" t="e">
        <f>#REF!</f>
        <v>#REF!</v>
      </c>
      <c r="H56" s="48" t="e">
        <f t="shared" si="9"/>
        <v>#REF!</v>
      </c>
      <c r="I56" s="48" t="e">
        <f t="shared" si="10"/>
        <v>#REF!</v>
      </c>
      <c r="J56" s="48" t="e">
        <f t="shared" si="11"/>
        <v>#REF!</v>
      </c>
      <c r="K56" s="49" t="e">
        <f t="shared" si="12"/>
        <v>#REF!</v>
      </c>
      <c r="L56" s="86" t="e">
        <f>#REF!+#REF!</f>
        <v>#REF!</v>
      </c>
      <c r="M56" s="71" t="e">
        <f>#REF!+#REF!</f>
        <v>#REF!</v>
      </c>
      <c r="N56" s="67" t="e">
        <f t="shared" si="13"/>
        <v>#REF!</v>
      </c>
      <c r="O56" s="68" t="e">
        <f t="shared" si="14"/>
        <v>#REF!</v>
      </c>
      <c r="P56" s="69" t="e">
        <f t="shared" si="15"/>
        <v>#REF!</v>
      </c>
      <c r="Q56" s="70" t="e">
        <f t="shared" si="16"/>
        <v>#REF!</v>
      </c>
      <c r="R56" s="70" t="e">
        <f t="shared" si="17"/>
        <v>#REF!</v>
      </c>
      <c r="S56" s="71" t="e">
        <f>#REF!</f>
        <v>#REF!</v>
      </c>
      <c r="T56" s="71" t="e">
        <f>#REF!</f>
        <v>#REF!</v>
      </c>
      <c r="U56" s="72" t="e">
        <f>#REF!</f>
        <v>#REF!</v>
      </c>
      <c r="V56" s="72" t="e">
        <f>#REF!</f>
        <v>#REF!</v>
      </c>
      <c r="W56" s="73" t="e">
        <f>#REF!</f>
        <v>#REF!</v>
      </c>
      <c r="X56" s="74" t="e">
        <f>#REF!</f>
        <v>#REF!</v>
      </c>
      <c r="Y56" s="217">
        <v>0</v>
      </c>
      <c r="Z56" s="217">
        <v>0</v>
      </c>
      <c r="AA56" s="74" t="e">
        <f>#REF!</f>
        <v>#REF!</v>
      </c>
      <c r="AB56" s="74" t="e">
        <f>#REF!</f>
        <v>#REF!</v>
      </c>
      <c r="AC56" s="74" t="e">
        <f>#REF!</f>
        <v>#REF!</v>
      </c>
      <c r="AD56" s="74" t="e">
        <f>#REF!</f>
        <v>#REF!</v>
      </c>
    </row>
    <row r="57" spans="1:30">
      <c r="A57">
        <f t="shared" si="7"/>
        <v>51</v>
      </c>
      <c r="B57" s="85" t="e">
        <f>#REF!</f>
        <v>#REF!</v>
      </c>
      <c r="C57" s="92" t="str">
        <f t="shared" si="8"/>
        <v>Код района</v>
      </c>
      <c r="D57" s="66" t="e">
        <f>#REF!</f>
        <v>#REF!</v>
      </c>
      <c r="E57" s="92" t="str">
        <f t="shared" si="6"/>
        <v>Код сельсовета</v>
      </c>
      <c r="F57" s="89" t="e">
        <f>#REF!</f>
        <v>#REF!</v>
      </c>
      <c r="G57" s="91" t="e">
        <f>#REF!</f>
        <v>#REF!</v>
      </c>
      <c r="H57" s="48" t="e">
        <f t="shared" si="9"/>
        <v>#REF!</v>
      </c>
      <c r="I57" s="48" t="e">
        <f t="shared" si="10"/>
        <v>#REF!</v>
      </c>
      <c r="J57" s="48" t="e">
        <f t="shared" si="11"/>
        <v>#REF!</v>
      </c>
      <c r="K57" s="49" t="e">
        <f t="shared" si="12"/>
        <v>#REF!</v>
      </c>
      <c r="L57" s="86" t="e">
        <f>#REF!+#REF!</f>
        <v>#REF!</v>
      </c>
      <c r="M57" s="71" t="e">
        <f>#REF!+#REF!</f>
        <v>#REF!</v>
      </c>
      <c r="N57" s="67" t="e">
        <f t="shared" si="13"/>
        <v>#REF!</v>
      </c>
      <c r="O57" s="68" t="e">
        <f t="shared" si="14"/>
        <v>#REF!</v>
      </c>
      <c r="P57" s="69" t="e">
        <f t="shared" si="15"/>
        <v>#REF!</v>
      </c>
      <c r="Q57" s="70" t="e">
        <f t="shared" si="16"/>
        <v>#REF!</v>
      </c>
      <c r="R57" s="70" t="e">
        <f t="shared" si="17"/>
        <v>#REF!</v>
      </c>
      <c r="S57" s="71" t="e">
        <f>#REF!</f>
        <v>#REF!</v>
      </c>
      <c r="T57" s="71" t="e">
        <f>#REF!</f>
        <v>#REF!</v>
      </c>
      <c r="U57" s="72" t="e">
        <f>#REF!</f>
        <v>#REF!</v>
      </c>
      <c r="V57" s="72" t="e">
        <f>#REF!</f>
        <v>#REF!</v>
      </c>
      <c r="W57" s="73" t="e">
        <f>#REF!</f>
        <v>#REF!</v>
      </c>
      <c r="X57" s="74" t="e">
        <f>#REF!</f>
        <v>#REF!</v>
      </c>
      <c r="Y57" s="217">
        <v>0</v>
      </c>
      <c r="Z57" s="217">
        <v>0</v>
      </c>
      <c r="AA57" s="74" t="e">
        <f>#REF!</f>
        <v>#REF!</v>
      </c>
      <c r="AB57" s="74" t="e">
        <f>#REF!</f>
        <v>#REF!</v>
      </c>
      <c r="AC57" s="74" t="e">
        <f>#REF!</f>
        <v>#REF!</v>
      </c>
      <c r="AD57" s="74" t="e">
        <f>#REF!</f>
        <v>#REF!</v>
      </c>
    </row>
    <row r="58" spans="1:30">
      <c r="A58">
        <f t="shared" si="7"/>
        <v>52</v>
      </c>
      <c r="B58" s="85" t="e">
        <f>#REF!</f>
        <v>#REF!</v>
      </c>
      <c r="C58" s="92" t="str">
        <f t="shared" si="8"/>
        <v>Код района</v>
      </c>
      <c r="D58" s="66" t="e">
        <f>#REF!</f>
        <v>#REF!</v>
      </c>
      <c r="E58" s="92" t="str">
        <f t="shared" si="6"/>
        <v>Код сельсовета</v>
      </c>
      <c r="F58" s="89" t="e">
        <f>#REF!</f>
        <v>#REF!</v>
      </c>
      <c r="G58" s="91" t="e">
        <f>#REF!</f>
        <v>#REF!</v>
      </c>
      <c r="H58" s="48" t="e">
        <f t="shared" si="9"/>
        <v>#REF!</v>
      </c>
      <c r="I58" s="48" t="e">
        <f t="shared" si="10"/>
        <v>#REF!</v>
      </c>
      <c r="J58" s="48" t="e">
        <f t="shared" si="11"/>
        <v>#REF!</v>
      </c>
      <c r="K58" s="49" t="e">
        <f t="shared" si="12"/>
        <v>#REF!</v>
      </c>
      <c r="L58" s="86" t="e">
        <f>#REF!+#REF!</f>
        <v>#REF!</v>
      </c>
      <c r="M58" s="71" t="e">
        <f>#REF!+#REF!</f>
        <v>#REF!</v>
      </c>
      <c r="N58" s="67" t="e">
        <f t="shared" si="13"/>
        <v>#REF!</v>
      </c>
      <c r="O58" s="68" t="e">
        <f t="shared" si="14"/>
        <v>#REF!</v>
      </c>
      <c r="P58" s="69" t="e">
        <f t="shared" si="15"/>
        <v>#REF!</v>
      </c>
      <c r="Q58" s="70" t="e">
        <f t="shared" si="16"/>
        <v>#REF!</v>
      </c>
      <c r="R58" s="70" t="e">
        <f t="shared" si="17"/>
        <v>#REF!</v>
      </c>
      <c r="S58" s="71" t="e">
        <f>#REF!</f>
        <v>#REF!</v>
      </c>
      <c r="T58" s="71" t="e">
        <f>#REF!</f>
        <v>#REF!</v>
      </c>
      <c r="U58" s="72" t="e">
        <f>#REF!</f>
        <v>#REF!</v>
      </c>
      <c r="V58" s="72" t="e">
        <f>#REF!</f>
        <v>#REF!</v>
      </c>
      <c r="W58" s="73" t="e">
        <f>#REF!</f>
        <v>#REF!</v>
      </c>
      <c r="X58" s="74" t="e">
        <f>#REF!</f>
        <v>#REF!</v>
      </c>
      <c r="Y58" s="217">
        <v>0</v>
      </c>
      <c r="Z58" s="217">
        <v>0</v>
      </c>
      <c r="AA58" s="74" t="e">
        <f>#REF!</f>
        <v>#REF!</v>
      </c>
      <c r="AB58" s="74" t="e">
        <f>#REF!</f>
        <v>#REF!</v>
      </c>
      <c r="AC58" s="74" t="e">
        <f>#REF!</f>
        <v>#REF!</v>
      </c>
      <c r="AD58" s="74" t="e">
        <f>#REF!</f>
        <v>#REF!</v>
      </c>
    </row>
    <row r="59" spans="1:30">
      <c r="A59">
        <f t="shared" si="7"/>
        <v>53</v>
      </c>
      <c r="B59" s="85" t="e">
        <f>#REF!</f>
        <v>#REF!</v>
      </c>
      <c r="C59" s="92" t="str">
        <f t="shared" si="8"/>
        <v>Код района</v>
      </c>
      <c r="D59" s="66" t="e">
        <f>#REF!</f>
        <v>#REF!</v>
      </c>
      <c r="E59" s="92" t="str">
        <f t="shared" si="6"/>
        <v>Код сельсовета</v>
      </c>
      <c r="F59" s="89" t="e">
        <f>#REF!</f>
        <v>#REF!</v>
      </c>
      <c r="G59" s="91" t="e">
        <f>#REF!</f>
        <v>#REF!</v>
      </c>
      <c r="H59" s="48" t="e">
        <f t="shared" si="9"/>
        <v>#REF!</v>
      </c>
      <c r="I59" s="48" t="e">
        <f t="shared" si="10"/>
        <v>#REF!</v>
      </c>
      <c r="J59" s="48" t="e">
        <f t="shared" si="11"/>
        <v>#REF!</v>
      </c>
      <c r="K59" s="49" t="e">
        <f t="shared" si="12"/>
        <v>#REF!</v>
      </c>
      <c r="L59" s="86" t="e">
        <f>#REF!+#REF!</f>
        <v>#REF!</v>
      </c>
      <c r="M59" s="71" t="e">
        <f>#REF!+#REF!</f>
        <v>#REF!</v>
      </c>
      <c r="N59" s="67" t="e">
        <f t="shared" si="13"/>
        <v>#REF!</v>
      </c>
      <c r="O59" s="68" t="e">
        <f t="shared" si="14"/>
        <v>#REF!</v>
      </c>
      <c r="P59" s="69" t="e">
        <f t="shared" si="15"/>
        <v>#REF!</v>
      </c>
      <c r="Q59" s="70" t="e">
        <f t="shared" si="16"/>
        <v>#REF!</v>
      </c>
      <c r="R59" s="70" t="e">
        <f t="shared" si="17"/>
        <v>#REF!</v>
      </c>
      <c r="S59" s="71" t="e">
        <f>#REF!</f>
        <v>#REF!</v>
      </c>
      <c r="T59" s="71" t="e">
        <f>#REF!</f>
        <v>#REF!</v>
      </c>
      <c r="U59" s="72" t="e">
        <f>#REF!</f>
        <v>#REF!</v>
      </c>
      <c r="V59" s="72" t="e">
        <f>#REF!</f>
        <v>#REF!</v>
      </c>
      <c r="W59" s="73" t="e">
        <f>#REF!</f>
        <v>#REF!</v>
      </c>
      <c r="X59" s="74" t="e">
        <f>#REF!</f>
        <v>#REF!</v>
      </c>
      <c r="Y59" s="217">
        <v>0</v>
      </c>
      <c r="Z59" s="217">
        <v>0</v>
      </c>
      <c r="AA59" s="74" t="e">
        <f>#REF!</f>
        <v>#REF!</v>
      </c>
      <c r="AB59" s="74" t="e">
        <f>#REF!</f>
        <v>#REF!</v>
      </c>
      <c r="AC59" s="74" t="e">
        <f>#REF!</f>
        <v>#REF!</v>
      </c>
      <c r="AD59" s="74" t="e">
        <f>#REF!</f>
        <v>#REF!</v>
      </c>
    </row>
    <row r="60" spans="1:30">
      <c r="A60">
        <f t="shared" si="7"/>
        <v>54</v>
      </c>
      <c r="B60" s="85" t="e">
        <f>#REF!</f>
        <v>#REF!</v>
      </c>
      <c r="C60" s="92" t="str">
        <f t="shared" si="8"/>
        <v>Код района</v>
      </c>
      <c r="D60" s="66" t="e">
        <f>#REF!</f>
        <v>#REF!</v>
      </c>
      <c r="E60" s="92" t="str">
        <f t="shared" si="6"/>
        <v>Код сельсовета</v>
      </c>
      <c r="F60" s="89" t="e">
        <f>#REF!</f>
        <v>#REF!</v>
      </c>
      <c r="G60" s="91" t="e">
        <f>#REF!</f>
        <v>#REF!</v>
      </c>
      <c r="H60" s="48" t="e">
        <f t="shared" si="9"/>
        <v>#REF!</v>
      </c>
      <c r="I60" s="48" t="e">
        <f t="shared" si="10"/>
        <v>#REF!</v>
      </c>
      <c r="J60" s="48" t="e">
        <f t="shared" si="11"/>
        <v>#REF!</v>
      </c>
      <c r="K60" s="49" t="e">
        <f t="shared" si="12"/>
        <v>#REF!</v>
      </c>
      <c r="L60" s="86" t="e">
        <f>#REF!+#REF!</f>
        <v>#REF!</v>
      </c>
      <c r="M60" s="71" t="e">
        <f>#REF!+#REF!</f>
        <v>#REF!</v>
      </c>
      <c r="N60" s="67" t="e">
        <f t="shared" si="13"/>
        <v>#REF!</v>
      </c>
      <c r="O60" s="68" t="e">
        <f t="shared" si="14"/>
        <v>#REF!</v>
      </c>
      <c r="P60" s="69" t="e">
        <f t="shared" si="15"/>
        <v>#REF!</v>
      </c>
      <c r="Q60" s="70" t="e">
        <f t="shared" si="16"/>
        <v>#REF!</v>
      </c>
      <c r="R60" s="70" t="e">
        <f t="shared" si="17"/>
        <v>#REF!</v>
      </c>
      <c r="S60" s="71" t="e">
        <f>#REF!</f>
        <v>#REF!</v>
      </c>
      <c r="T60" s="71" t="e">
        <f>#REF!</f>
        <v>#REF!</v>
      </c>
      <c r="U60" s="72" t="e">
        <f>#REF!</f>
        <v>#REF!</v>
      </c>
      <c r="V60" s="72" t="e">
        <f>#REF!</f>
        <v>#REF!</v>
      </c>
      <c r="W60" s="73" t="e">
        <f>#REF!</f>
        <v>#REF!</v>
      </c>
      <c r="X60" s="74" t="e">
        <f>#REF!</f>
        <v>#REF!</v>
      </c>
      <c r="Y60" s="217">
        <v>0</v>
      </c>
      <c r="Z60" s="217">
        <v>0</v>
      </c>
      <c r="AA60" s="74" t="e">
        <f>#REF!</f>
        <v>#REF!</v>
      </c>
      <c r="AB60" s="74" t="e">
        <f>#REF!</f>
        <v>#REF!</v>
      </c>
      <c r="AC60" s="74" t="e">
        <f>#REF!</f>
        <v>#REF!</v>
      </c>
      <c r="AD60" s="74" t="e">
        <f>#REF!</f>
        <v>#REF!</v>
      </c>
    </row>
    <row r="61" spans="1:30">
      <c r="A61">
        <f t="shared" si="7"/>
        <v>55</v>
      </c>
      <c r="B61" s="85" t="e">
        <f>#REF!</f>
        <v>#REF!</v>
      </c>
      <c r="C61" s="92" t="str">
        <f t="shared" si="8"/>
        <v>Код района</v>
      </c>
      <c r="D61" s="66" t="e">
        <f>#REF!</f>
        <v>#REF!</v>
      </c>
      <c r="E61" s="92" t="str">
        <f t="shared" si="6"/>
        <v>Код сельсовета</v>
      </c>
      <c r="F61" s="89" t="e">
        <f>#REF!</f>
        <v>#REF!</v>
      </c>
      <c r="G61" s="91" t="e">
        <f>#REF!</f>
        <v>#REF!</v>
      </c>
      <c r="H61" s="48" t="e">
        <f t="shared" si="9"/>
        <v>#REF!</v>
      </c>
      <c r="I61" s="48" t="e">
        <f t="shared" si="10"/>
        <v>#REF!</v>
      </c>
      <c r="J61" s="48" t="e">
        <f t="shared" si="11"/>
        <v>#REF!</v>
      </c>
      <c r="K61" s="49" t="e">
        <f t="shared" si="12"/>
        <v>#REF!</v>
      </c>
      <c r="L61" s="86" t="e">
        <f>#REF!+#REF!</f>
        <v>#REF!</v>
      </c>
      <c r="M61" s="71" t="e">
        <f>#REF!+#REF!</f>
        <v>#REF!</v>
      </c>
      <c r="N61" s="67" t="e">
        <f t="shared" si="13"/>
        <v>#REF!</v>
      </c>
      <c r="O61" s="68" t="e">
        <f t="shared" si="14"/>
        <v>#REF!</v>
      </c>
      <c r="P61" s="69" t="e">
        <f t="shared" si="15"/>
        <v>#REF!</v>
      </c>
      <c r="Q61" s="70" t="e">
        <f t="shared" si="16"/>
        <v>#REF!</v>
      </c>
      <c r="R61" s="70" t="e">
        <f t="shared" si="17"/>
        <v>#REF!</v>
      </c>
      <c r="S61" s="71" t="e">
        <f>#REF!</f>
        <v>#REF!</v>
      </c>
      <c r="T61" s="71" t="e">
        <f>#REF!</f>
        <v>#REF!</v>
      </c>
      <c r="U61" s="72" t="e">
        <f>#REF!</f>
        <v>#REF!</v>
      </c>
      <c r="V61" s="72" t="e">
        <f>#REF!</f>
        <v>#REF!</v>
      </c>
      <c r="W61" s="73" t="e">
        <f>#REF!</f>
        <v>#REF!</v>
      </c>
      <c r="X61" s="74" t="e">
        <f>#REF!</f>
        <v>#REF!</v>
      </c>
      <c r="Y61" s="217">
        <v>0</v>
      </c>
      <c r="Z61" s="217">
        <v>0</v>
      </c>
      <c r="AA61" s="74" t="e">
        <f>#REF!</f>
        <v>#REF!</v>
      </c>
      <c r="AB61" s="74" t="e">
        <f>#REF!</f>
        <v>#REF!</v>
      </c>
      <c r="AC61" s="74" t="e">
        <f>#REF!</f>
        <v>#REF!</v>
      </c>
      <c r="AD61" s="74" t="e">
        <f>#REF!</f>
        <v>#REF!</v>
      </c>
    </row>
    <row r="62" spans="1:30">
      <c r="A62">
        <f t="shared" si="7"/>
        <v>56</v>
      </c>
      <c r="B62" s="85" t="e">
        <f>#REF!</f>
        <v>#REF!</v>
      </c>
      <c r="C62" s="92" t="str">
        <f t="shared" si="8"/>
        <v>Код района</v>
      </c>
      <c r="D62" s="66" t="e">
        <f>#REF!</f>
        <v>#REF!</v>
      </c>
      <c r="E62" s="92" t="str">
        <f t="shared" si="6"/>
        <v>Код сельсовета</v>
      </c>
      <c r="F62" s="89" t="e">
        <f>#REF!</f>
        <v>#REF!</v>
      </c>
      <c r="G62" s="91" t="e">
        <f>#REF!</f>
        <v>#REF!</v>
      </c>
      <c r="H62" s="48" t="e">
        <f t="shared" si="9"/>
        <v>#REF!</v>
      </c>
      <c r="I62" s="48" t="e">
        <f t="shared" si="10"/>
        <v>#REF!</v>
      </c>
      <c r="J62" s="48" t="e">
        <f t="shared" si="11"/>
        <v>#REF!</v>
      </c>
      <c r="K62" s="49" t="e">
        <f t="shared" si="12"/>
        <v>#REF!</v>
      </c>
      <c r="L62" s="86" t="e">
        <f>#REF!+#REF!</f>
        <v>#REF!</v>
      </c>
      <c r="M62" s="71" t="e">
        <f>#REF!+#REF!</f>
        <v>#REF!</v>
      </c>
      <c r="N62" s="67" t="e">
        <f t="shared" si="13"/>
        <v>#REF!</v>
      </c>
      <c r="O62" s="68" t="e">
        <f t="shared" si="14"/>
        <v>#REF!</v>
      </c>
      <c r="P62" s="69" t="e">
        <f t="shared" si="15"/>
        <v>#REF!</v>
      </c>
      <c r="Q62" s="70" t="e">
        <f t="shared" si="16"/>
        <v>#REF!</v>
      </c>
      <c r="R62" s="70" t="e">
        <f t="shared" si="17"/>
        <v>#REF!</v>
      </c>
      <c r="S62" s="71" t="e">
        <f>#REF!</f>
        <v>#REF!</v>
      </c>
      <c r="T62" s="71" t="e">
        <f>#REF!</f>
        <v>#REF!</v>
      </c>
      <c r="U62" s="72" t="e">
        <f>#REF!</f>
        <v>#REF!</v>
      </c>
      <c r="V62" s="72" t="e">
        <f>#REF!</f>
        <v>#REF!</v>
      </c>
      <c r="W62" s="73" t="e">
        <f>#REF!</f>
        <v>#REF!</v>
      </c>
      <c r="X62" s="74" t="e">
        <f>#REF!</f>
        <v>#REF!</v>
      </c>
      <c r="Y62" s="217">
        <v>0</v>
      </c>
      <c r="Z62" s="217">
        <v>0</v>
      </c>
      <c r="AA62" s="74" t="e">
        <f>#REF!</f>
        <v>#REF!</v>
      </c>
      <c r="AB62" s="74" t="e">
        <f>#REF!</f>
        <v>#REF!</v>
      </c>
      <c r="AC62" s="74" t="e">
        <f>#REF!</f>
        <v>#REF!</v>
      </c>
      <c r="AD62" s="74" t="e">
        <f>#REF!</f>
        <v>#REF!</v>
      </c>
    </row>
    <row r="63" spans="1:30">
      <c r="A63">
        <f t="shared" si="7"/>
        <v>57</v>
      </c>
      <c r="B63" s="85" t="e">
        <f>#REF!</f>
        <v>#REF!</v>
      </c>
      <c r="C63" s="92" t="str">
        <f t="shared" si="8"/>
        <v>Код района</v>
      </c>
      <c r="D63" s="66" t="e">
        <f>#REF!</f>
        <v>#REF!</v>
      </c>
      <c r="E63" s="92" t="str">
        <f t="shared" si="6"/>
        <v>Код сельсовета</v>
      </c>
      <c r="F63" s="89" t="e">
        <f>#REF!</f>
        <v>#REF!</v>
      </c>
      <c r="G63" s="91" t="e">
        <f>#REF!</f>
        <v>#REF!</v>
      </c>
      <c r="H63" s="48" t="e">
        <f t="shared" si="9"/>
        <v>#REF!</v>
      </c>
      <c r="I63" s="48" t="e">
        <f t="shared" si="10"/>
        <v>#REF!</v>
      </c>
      <c r="J63" s="48" t="e">
        <f t="shared" si="11"/>
        <v>#REF!</v>
      </c>
      <c r="K63" s="49" t="e">
        <f t="shared" si="12"/>
        <v>#REF!</v>
      </c>
      <c r="L63" s="86" t="e">
        <f>#REF!+#REF!</f>
        <v>#REF!</v>
      </c>
      <c r="M63" s="71" t="e">
        <f>#REF!+#REF!</f>
        <v>#REF!</v>
      </c>
      <c r="N63" s="67" t="e">
        <f t="shared" si="13"/>
        <v>#REF!</v>
      </c>
      <c r="O63" s="68" t="e">
        <f t="shared" si="14"/>
        <v>#REF!</v>
      </c>
      <c r="P63" s="69" t="e">
        <f t="shared" si="15"/>
        <v>#REF!</v>
      </c>
      <c r="Q63" s="70" t="e">
        <f t="shared" si="16"/>
        <v>#REF!</v>
      </c>
      <c r="R63" s="70" t="e">
        <f t="shared" si="17"/>
        <v>#REF!</v>
      </c>
      <c r="S63" s="71" t="e">
        <f>#REF!</f>
        <v>#REF!</v>
      </c>
      <c r="T63" s="71" t="e">
        <f>#REF!</f>
        <v>#REF!</v>
      </c>
      <c r="U63" s="72" t="e">
        <f>#REF!</f>
        <v>#REF!</v>
      </c>
      <c r="V63" s="72" t="e">
        <f>#REF!</f>
        <v>#REF!</v>
      </c>
      <c r="W63" s="73" t="e">
        <f>#REF!</f>
        <v>#REF!</v>
      </c>
      <c r="X63" s="74" t="e">
        <f>#REF!</f>
        <v>#REF!</v>
      </c>
      <c r="Y63" s="217">
        <v>0</v>
      </c>
      <c r="Z63" s="217">
        <v>0</v>
      </c>
      <c r="AA63" s="74" t="e">
        <f>#REF!</f>
        <v>#REF!</v>
      </c>
      <c r="AB63" s="74" t="e">
        <f>#REF!</f>
        <v>#REF!</v>
      </c>
      <c r="AC63" s="74" t="e">
        <f>#REF!</f>
        <v>#REF!</v>
      </c>
      <c r="AD63" s="74" t="e">
        <f>#REF!</f>
        <v>#REF!</v>
      </c>
    </row>
    <row r="64" spans="1:30">
      <c r="A64">
        <f t="shared" si="7"/>
        <v>58</v>
      </c>
      <c r="B64" s="85" t="e">
        <f>#REF!</f>
        <v>#REF!</v>
      </c>
      <c r="C64" s="92" t="str">
        <f t="shared" si="8"/>
        <v>Код района</v>
      </c>
      <c r="D64" s="66" t="e">
        <f>#REF!</f>
        <v>#REF!</v>
      </c>
      <c r="E64" s="92" t="str">
        <f t="shared" si="6"/>
        <v>Код сельсовета</v>
      </c>
      <c r="F64" s="89" t="e">
        <f>#REF!</f>
        <v>#REF!</v>
      </c>
      <c r="G64" s="91" t="e">
        <f>#REF!</f>
        <v>#REF!</v>
      </c>
      <c r="H64" s="48" t="e">
        <f t="shared" si="9"/>
        <v>#REF!</v>
      </c>
      <c r="I64" s="48" t="e">
        <f t="shared" si="10"/>
        <v>#REF!</v>
      </c>
      <c r="J64" s="48" t="e">
        <f t="shared" si="11"/>
        <v>#REF!</v>
      </c>
      <c r="K64" s="49" t="e">
        <f t="shared" si="12"/>
        <v>#REF!</v>
      </c>
      <c r="L64" s="86" t="e">
        <f>#REF!+#REF!</f>
        <v>#REF!</v>
      </c>
      <c r="M64" s="71" t="e">
        <f>#REF!+#REF!</f>
        <v>#REF!</v>
      </c>
      <c r="N64" s="67" t="e">
        <f t="shared" si="13"/>
        <v>#REF!</v>
      </c>
      <c r="O64" s="68" t="e">
        <f t="shared" si="14"/>
        <v>#REF!</v>
      </c>
      <c r="P64" s="69" t="e">
        <f t="shared" si="15"/>
        <v>#REF!</v>
      </c>
      <c r="Q64" s="70" t="e">
        <f t="shared" si="16"/>
        <v>#REF!</v>
      </c>
      <c r="R64" s="70" t="e">
        <f t="shared" si="17"/>
        <v>#REF!</v>
      </c>
      <c r="S64" s="71" t="e">
        <f>#REF!</f>
        <v>#REF!</v>
      </c>
      <c r="T64" s="71" t="e">
        <f>#REF!</f>
        <v>#REF!</v>
      </c>
      <c r="U64" s="72" t="e">
        <f>#REF!</f>
        <v>#REF!</v>
      </c>
      <c r="V64" s="72" t="e">
        <f>#REF!</f>
        <v>#REF!</v>
      </c>
      <c r="W64" s="73" t="e">
        <f>#REF!</f>
        <v>#REF!</v>
      </c>
      <c r="X64" s="74" t="e">
        <f>#REF!</f>
        <v>#REF!</v>
      </c>
      <c r="Y64" s="217">
        <v>0</v>
      </c>
      <c r="Z64" s="217">
        <v>0</v>
      </c>
      <c r="AA64" s="74" t="e">
        <f>#REF!</f>
        <v>#REF!</v>
      </c>
      <c r="AB64" s="74" t="e">
        <f>#REF!</f>
        <v>#REF!</v>
      </c>
      <c r="AC64" s="74" t="e">
        <f>#REF!</f>
        <v>#REF!</v>
      </c>
      <c r="AD64" s="74" t="e">
        <f>#REF!</f>
        <v>#REF!</v>
      </c>
    </row>
    <row r="65" spans="1:30">
      <c r="A65">
        <f t="shared" si="7"/>
        <v>59</v>
      </c>
      <c r="B65" s="85" t="e">
        <f>#REF!</f>
        <v>#REF!</v>
      </c>
      <c r="C65" s="92" t="str">
        <f t="shared" si="8"/>
        <v>Код района</v>
      </c>
      <c r="D65" s="66" t="e">
        <f>#REF!</f>
        <v>#REF!</v>
      </c>
      <c r="E65" s="92" t="str">
        <f t="shared" si="6"/>
        <v>Код сельсовета</v>
      </c>
      <c r="F65" s="89" t="e">
        <f>#REF!</f>
        <v>#REF!</v>
      </c>
      <c r="G65" s="91" t="e">
        <f>#REF!</f>
        <v>#REF!</v>
      </c>
      <c r="H65" s="48" t="e">
        <f t="shared" si="9"/>
        <v>#REF!</v>
      </c>
      <c r="I65" s="48" t="e">
        <f t="shared" si="10"/>
        <v>#REF!</v>
      </c>
      <c r="J65" s="48" t="e">
        <f t="shared" si="11"/>
        <v>#REF!</v>
      </c>
      <c r="K65" s="49" t="e">
        <f t="shared" si="12"/>
        <v>#REF!</v>
      </c>
      <c r="L65" s="86" t="e">
        <f>#REF!+#REF!</f>
        <v>#REF!</v>
      </c>
      <c r="M65" s="71" t="e">
        <f>#REF!+#REF!</f>
        <v>#REF!</v>
      </c>
      <c r="N65" s="67" t="e">
        <f t="shared" si="13"/>
        <v>#REF!</v>
      </c>
      <c r="O65" s="68" t="e">
        <f t="shared" si="14"/>
        <v>#REF!</v>
      </c>
      <c r="P65" s="69" t="e">
        <f t="shared" si="15"/>
        <v>#REF!</v>
      </c>
      <c r="Q65" s="70" t="e">
        <f t="shared" si="16"/>
        <v>#REF!</v>
      </c>
      <c r="R65" s="70" t="e">
        <f t="shared" si="17"/>
        <v>#REF!</v>
      </c>
      <c r="S65" s="71" t="e">
        <f>#REF!</f>
        <v>#REF!</v>
      </c>
      <c r="T65" s="71" t="e">
        <f>#REF!</f>
        <v>#REF!</v>
      </c>
      <c r="U65" s="72" t="e">
        <f>#REF!</f>
        <v>#REF!</v>
      </c>
      <c r="V65" s="72" t="e">
        <f>#REF!</f>
        <v>#REF!</v>
      </c>
      <c r="W65" s="73" t="e">
        <f>#REF!</f>
        <v>#REF!</v>
      </c>
      <c r="X65" s="74" t="e">
        <f>#REF!</f>
        <v>#REF!</v>
      </c>
      <c r="Y65" s="217">
        <v>0</v>
      </c>
      <c r="Z65" s="217">
        <v>0</v>
      </c>
      <c r="AA65" s="74" t="e">
        <f>#REF!</f>
        <v>#REF!</v>
      </c>
      <c r="AB65" s="74" t="e">
        <f>#REF!</f>
        <v>#REF!</v>
      </c>
      <c r="AC65" s="74" t="e">
        <f>#REF!</f>
        <v>#REF!</v>
      </c>
      <c r="AD65" s="74" t="e">
        <f>#REF!</f>
        <v>#REF!</v>
      </c>
    </row>
    <row r="66" spans="1:30">
      <c r="A66">
        <f t="shared" si="7"/>
        <v>60</v>
      </c>
      <c r="B66" s="85" t="e">
        <f>#REF!</f>
        <v>#REF!</v>
      </c>
      <c r="C66" s="92" t="str">
        <f t="shared" si="8"/>
        <v>Код района</v>
      </c>
      <c r="D66" s="66" t="e">
        <f>#REF!</f>
        <v>#REF!</v>
      </c>
      <c r="E66" s="92" t="str">
        <f t="shared" si="6"/>
        <v>Код сельсовета</v>
      </c>
      <c r="F66" s="89" t="e">
        <f>#REF!</f>
        <v>#REF!</v>
      </c>
      <c r="G66" s="91" t="e">
        <f>#REF!</f>
        <v>#REF!</v>
      </c>
      <c r="H66" s="48" t="e">
        <f t="shared" si="9"/>
        <v>#REF!</v>
      </c>
      <c r="I66" s="48" t="e">
        <f t="shared" si="10"/>
        <v>#REF!</v>
      </c>
      <c r="J66" s="48" t="e">
        <f t="shared" si="11"/>
        <v>#REF!</v>
      </c>
      <c r="K66" s="49" t="e">
        <f t="shared" si="12"/>
        <v>#REF!</v>
      </c>
      <c r="L66" s="86" t="e">
        <f>#REF!+#REF!</f>
        <v>#REF!</v>
      </c>
      <c r="M66" s="71" t="e">
        <f>#REF!+#REF!</f>
        <v>#REF!</v>
      </c>
      <c r="N66" s="67" t="e">
        <f t="shared" si="13"/>
        <v>#REF!</v>
      </c>
      <c r="O66" s="68" t="e">
        <f t="shared" si="14"/>
        <v>#REF!</v>
      </c>
      <c r="P66" s="69" t="e">
        <f t="shared" si="15"/>
        <v>#REF!</v>
      </c>
      <c r="Q66" s="70" t="e">
        <f t="shared" si="16"/>
        <v>#REF!</v>
      </c>
      <c r="R66" s="70" t="e">
        <f t="shared" si="17"/>
        <v>#REF!</v>
      </c>
      <c r="S66" s="71" t="e">
        <f>#REF!</f>
        <v>#REF!</v>
      </c>
      <c r="T66" s="71" t="e">
        <f>#REF!</f>
        <v>#REF!</v>
      </c>
      <c r="U66" s="72" t="e">
        <f>#REF!</f>
        <v>#REF!</v>
      </c>
      <c r="V66" s="72" t="e">
        <f>#REF!</f>
        <v>#REF!</v>
      </c>
      <c r="W66" s="73" t="e">
        <f>#REF!</f>
        <v>#REF!</v>
      </c>
      <c r="X66" s="74" t="e">
        <f>#REF!</f>
        <v>#REF!</v>
      </c>
      <c r="Y66" s="217">
        <v>0</v>
      </c>
      <c r="Z66" s="217">
        <v>0</v>
      </c>
      <c r="AA66" s="74" t="e">
        <f>#REF!</f>
        <v>#REF!</v>
      </c>
      <c r="AB66" s="74" t="e">
        <f>#REF!</f>
        <v>#REF!</v>
      </c>
      <c r="AC66" s="74" t="e">
        <f>#REF!</f>
        <v>#REF!</v>
      </c>
      <c r="AD66" s="74" t="e">
        <f>#REF!</f>
        <v>#REF!</v>
      </c>
    </row>
    <row r="67" spans="1:30">
      <c r="A67">
        <f t="shared" si="7"/>
        <v>61</v>
      </c>
      <c r="B67" s="85" t="e">
        <f>#REF!</f>
        <v>#REF!</v>
      </c>
      <c r="C67" s="92" t="str">
        <f t="shared" si="8"/>
        <v>Код района</v>
      </c>
      <c r="D67" s="66" t="e">
        <f>#REF!</f>
        <v>#REF!</v>
      </c>
      <c r="E67" s="92" t="str">
        <f t="shared" si="6"/>
        <v>Код сельсовета</v>
      </c>
      <c r="F67" s="89" t="e">
        <f>#REF!</f>
        <v>#REF!</v>
      </c>
      <c r="G67" s="91" t="e">
        <f>#REF!</f>
        <v>#REF!</v>
      </c>
      <c r="H67" s="48" t="e">
        <f t="shared" si="9"/>
        <v>#REF!</v>
      </c>
      <c r="I67" s="48" t="e">
        <f t="shared" si="10"/>
        <v>#REF!</v>
      </c>
      <c r="J67" s="48" t="e">
        <f t="shared" si="11"/>
        <v>#REF!</v>
      </c>
      <c r="K67" s="49" t="e">
        <f t="shared" si="12"/>
        <v>#REF!</v>
      </c>
      <c r="L67" s="86" t="e">
        <f>#REF!+#REF!</f>
        <v>#REF!</v>
      </c>
      <c r="M67" s="71" t="e">
        <f>#REF!+#REF!</f>
        <v>#REF!</v>
      </c>
      <c r="N67" s="67" t="e">
        <f t="shared" si="13"/>
        <v>#REF!</v>
      </c>
      <c r="O67" s="68" t="e">
        <f t="shared" si="14"/>
        <v>#REF!</v>
      </c>
      <c r="P67" s="69" t="e">
        <f t="shared" si="15"/>
        <v>#REF!</v>
      </c>
      <c r="Q67" s="70" t="e">
        <f t="shared" si="16"/>
        <v>#REF!</v>
      </c>
      <c r="R67" s="70" t="e">
        <f t="shared" si="17"/>
        <v>#REF!</v>
      </c>
      <c r="S67" s="71" t="e">
        <f>#REF!</f>
        <v>#REF!</v>
      </c>
      <c r="T67" s="71" t="e">
        <f>#REF!</f>
        <v>#REF!</v>
      </c>
      <c r="U67" s="72" t="e">
        <f>#REF!</f>
        <v>#REF!</v>
      </c>
      <c r="V67" s="72" t="e">
        <f>#REF!</f>
        <v>#REF!</v>
      </c>
      <c r="W67" s="73" t="e">
        <f>#REF!</f>
        <v>#REF!</v>
      </c>
      <c r="X67" s="74" t="e">
        <f>#REF!</f>
        <v>#REF!</v>
      </c>
      <c r="Y67" s="217">
        <v>0</v>
      </c>
      <c r="Z67" s="217">
        <v>0</v>
      </c>
      <c r="AA67" s="74" t="e">
        <f>#REF!</f>
        <v>#REF!</v>
      </c>
      <c r="AB67" s="74" t="e">
        <f>#REF!</f>
        <v>#REF!</v>
      </c>
      <c r="AC67" s="74" t="e">
        <f>#REF!</f>
        <v>#REF!</v>
      </c>
      <c r="AD67" s="74" t="e">
        <f>#REF!</f>
        <v>#REF!</v>
      </c>
    </row>
    <row r="68" spans="1:30">
      <c r="A68">
        <f t="shared" si="7"/>
        <v>62</v>
      </c>
      <c r="B68" s="85" t="e">
        <f>#REF!</f>
        <v>#REF!</v>
      </c>
      <c r="C68" s="92" t="str">
        <f t="shared" si="8"/>
        <v>Код района</v>
      </c>
      <c r="D68" s="66" t="e">
        <f>#REF!</f>
        <v>#REF!</v>
      </c>
      <c r="E68" s="92" t="str">
        <f t="shared" si="6"/>
        <v>Код сельсовета</v>
      </c>
      <c r="F68" s="89" t="e">
        <f>#REF!</f>
        <v>#REF!</v>
      </c>
      <c r="G68" s="91" t="e">
        <f>#REF!</f>
        <v>#REF!</v>
      </c>
      <c r="H68" s="48" t="e">
        <f t="shared" si="9"/>
        <v>#REF!</v>
      </c>
      <c r="I68" s="48" t="e">
        <f t="shared" si="10"/>
        <v>#REF!</v>
      </c>
      <c r="J68" s="48" t="e">
        <f t="shared" si="11"/>
        <v>#REF!</v>
      </c>
      <c r="K68" s="49" t="e">
        <f t="shared" si="12"/>
        <v>#REF!</v>
      </c>
      <c r="L68" s="86" t="e">
        <f>#REF!+#REF!</f>
        <v>#REF!</v>
      </c>
      <c r="M68" s="71" t="e">
        <f>#REF!+#REF!</f>
        <v>#REF!</v>
      </c>
      <c r="N68" s="67" t="e">
        <f t="shared" si="13"/>
        <v>#REF!</v>
      </c>
      <c r="O68" s="68" t="e">
        <f t="shared" si="14"/>
        <v>#REF!</v>
      </c>
      <c r="P68" s="69" t="e">
        <f t="shared" si="15"/>
        <v>#REF!</v>
      </c>
      <c r="Q68" s="70" t="e">
        <f t="shared" si="16"/>
        <v>#REF!</v>
      </c>
      <c r="R68" s="70" t="e">
        <f t="shared" si="17"/>
        <v>#REF!</v>
      </c>
      <c r="S68" s="71" t="e">
        <f>#REF!</f>
        <v>#REF!</v>
      </c>
      <c r="T68" s="71" t="e">
        <f>#REF!</f>
        <v>#REF!</v>
      </c>
      <c r="U68" s="72" t="e">
        <f>#REF!</f>
        <v>#REF!</v>
      </c>
      <c r="V68" s="72" t="e">
        <f>#REF!</f>
        <v>#REF!</v>
      </c>
      <c r="W68" s="73" t="e">
        <f>#REF!</f>
        <v>#REF!</v>
      </c>
      <c r="X68" s="74" t="e">
        <f>#REF!</f>
        <v>#REF!</v>
      </c>
      <c r="Y68" s="217">
        <v>0</v>
      </c>
      <c r="Z68" s="217">
        <v>0</v>
      </c>
      <c r="AA68" s="74" t="e">
        <f>#REF!</f>
        <v>#REF!</v>
      </c>
      <c r="AB68" s="74" t="e">
        <f>#REF!</f>
        <v>#REF!</v>
      </c>
      <c r="AC68" s="74" t="e">
        <f>#REF!</f>
        <v>#REF!</v>
      </c>
      <c r="AD68" s="74" t="e">
        <f>#REF!</f>
        <v>#REF!</v>
      </c>
    </row>
    <row r="69" spans="1:30">
      <c r="A69">
        <f t="shared" si="7"/>
        <v>63</v>
      </c>
      <c r="B69" s="85" t="e">
        <f>#REF!</f>
        <v>#REF!</v>
      </c>
      <c r="C69" s="92" t="str">
        <f t="shared" si="8"/>
        <v>Код района</v>
      </c>
      <c r="D69" s="66" t="e">
        <f>#REF!</f>
        <v>#REF!</v>
      </c>
      <c r="E69" s="92" t="str">
        <f t="shared" si="6"/>
        <v>Код сельсовета</v>
      </c>
      <c r="F69" s="89" t="e">
        <f>#REF!</f>
        <v>#REF!</v>
      </c>
      <c r="G69" s="91" t="e">
        <f>#REF!</f>
        <v>#REF!</v>
      </c>
      <c r="H69" s="48" t="e">
        <f t="shared" si="9"/>
        <v>#REF!</v>
      </c>
      <c r="I69" s="48" t="e">
        <f t="shared" si="10"/>
        <v>#REF!</v>
      </c>
      <c r="J69" s="48" t="e">
        <f t="shared" si="11"/>
        <v>#REF!</v>
      </c>
      <c r="K69" s="49" t="e">
        <f t="shared" si="12"/>
        <v>#REF!</v>
      </c>
      <c r="L69" s="86" t="e">
        <f>#REF!+#REF!</f>
        <v>#REF!</v>
      </c>
      <c r="M69" s="71" t="e">
        <f>#REF!+#REF!</f>
        <v>#REF!</v>
      </c>
      <c r="N69" s="67" t="e">
        <f t="shared" si="13"/>
        <v>#REF!</v>
      </c>
      <c r="O69" s="68" t="e">
        <f t="shared" si="14"/>
        <v>#REF!</v>
      </c>
      <c r="P69" s="69" t="e">
        <f t="shared" si="15"/>
        <v>#REF!</v>
      </c>
      <c r="Q69" s="70" t="e">
        <f t="shared" si="16"/>
        <v>#REF!</v>
      </c>
      <c r="R69" s="70" t="e">
        <f t="shared" si="17"/>
        <v>#REF!</v>
      </c>
      <c r="S69" s="71" t="e">
        <f>#REF!</f>
        <v>#REF!</v>
      </c>
      <c r="T69" s="71" t="e">
        <f>#REF!</f>
        <v>#REF!</v>
      </c>
      <c r="U69" s="72" t="e">
        <f>#REF!</f>
        <v>#REF!</v>
      </c>
      <c r="V69" s="72" t="e">
        <f>#REF!</f>
        <v>#REF!</v>
      </c>
      <c r="W69" s="73" t="e">
        <f>#REF!</f>
        <v>#REF!</v>
      </c>
      <c r="X69" s="74" t="e">
        <f>#REF!</f>
        <v>#REF!</v>
      </c>
      <c r="Y69" s="217">
        <v>0</v>
      </c>
      <c r="Z69" s="217">
        <v>0</v>
      </c>
      <c r="AA69" s="74" t="e">
        <f>#REF!</f>
        <v>#REF!</v>
      </c>
      <c r="AB69" s="74" t="e">
        <f>#REF!</f>
        <v>#REF!</v>
      </c>
      <c r="AC69" s="74" t="e">
        <f>#REF!</f>
        <v>#REF!</v>
      </c>
      <c r="AD69" s="74" t="e">
        <f>#REF!</f>
        <v>#REF!</v>
      </c>
    </row>
    <row r="70" spans="1:30">
      <c r="A70">
        <f t="shared" si="7"/>
        <v>64</v>
      </c>
      <c r="B70" s="85" t="e">
        <f>#REF!</f>
        <v>#REF!</v>
      </c>
      <c r="C70" s="92" t="str">
        <f t="shared" si="8"/>
        <v>Код района</v>
      </c>
      <c r="D70" s="66" t="e">
        <f>#REF!</f>
        <v>#REF!</v>
      </c>
      <c r="E70" s="92" t="str">
        <f t="shared" si="6"/>
        <v>Код сельсовета</v>
      </c>
      <c r="F70" s="89" t="e">
        <f>#REF!</f>
        <v>#REF!</v>
      </c>
      <c r="G70" s="91" t="e">
        <f>#REF!</f>
        <v>#REF!</v>
      </c>
      <c r="H70" s="48" t="e">
        <f t="shared" si="9"/>
        <v>#REF!</v>
      </c>
      <c r="I70" s="48" t="e">
        <f t="shared" si="10"/>
        <v>#REF!</v>
      </c>
      <c r="J70" s="48" t="e">
        <f t="shared" si="11"/>
        <v>#REF!</v>
      </c>
      <c r="K70" s="49" t="e">
        <f t="shared" si="12"/>
        <v>#REF!</v>
      </c>
      <c r="L70" s="86" t="e">
        <f>#REF!+#REF!</f>
        <v>#REF!</v>
      </c>
      <c r="M70" s="71" t="e">
        <f>#REF!+#REF!</f>
        <v>#REF!</v>
      </c>
      <c r="N70" s="67" t="e">
        <f t="shared" si="13"/>
        <v>#REF!</v>
      </c>
      <c r="O70" s="68" t="e">
        <f t="shared" si="14"/>
        <v>#REF!</v>
      </c>
      <c r="P70" s="69" t="e">
        <f t="shared" si="15"/>
        <v>#REF!</v>
      </c>
      <c r="Q70" s="70" t="e">
        <f t="shared" si="16"/>
        <v>#REF!</v>
      </c>
      <c r="R70" s="70" t="e">
        <f t="shared" si="17"/>
        <v>#REF!</v>
      </c>
      <c r="S70" s="71" t="e">
        <f>#REF!</f>
        <v>#REF!</v>
      </c>
      <c r="T70" s="71" t="e">
        <f>#REF!</f>
        <v>#REF!</v>
      </c>
      <c r="U70" s="72" t="e">
        <f>#REF!</f>
        <v>#REF!</v>
      </c>
      <c r="V70" s="72" t="e">
        <f>#REF!</f>
        <v>#REF!</v>
      </c>
      <c r="W70" s="73" t="e">
        <f>#REF!</f>
        <v>#REF!</v>
      </c>
      <c r="X70" s="74" t="e">
        <f>#REF!</f>
        <v>#REF!</v>
      </c>
      <c r="Y70" s="217">
        <v>0</v>
      </c>
      <c r="Z70" s="217">
        <v>0</v>
      </c>
      <c r="AA70" s="74" t="e">
        <f>#REF!</f>
        <v>#REF!</v>
      </c>
      <c r="AB70" s="74" t="e">
        <f>#REF!</f>
        <v>#REF!</v>
      </c>
      <c r="AC70" s="74" t="e">
        <f>#REF!</f>
        <v>#REF!</v>
      </c>
      <c r="AD70" s="74" t="e">
        <f>#REF!</f>
        <v>#REF!</v>
      </c>
    </row>
    <row r="71" spans="1:30">
      <c r="A71">
        <f t="shared" si="7"/>
        <v>65</v>
      </c>
      <c r="B71" s="85" t="e">
        <f>#REF!</f>
        <v>#REF!</v>
      </c>
      <c r="C71" s="92" t="str">
        <f t="shared" si="8"/>
        <v>Код района</v>
      </c>
      <c r="D71" s="66" t="e">
        <f>#REF!</f>
        <v>#REF!</v>
      </c>
      <c r="E71" s="92" t="str">
        <f t="shared" ref="E71:E134" si="27">E70</f>
        <v>Код сельсовета</v>
      </c>
      <c r="F71" s="89" t="e">
        <f>#REF!</f>
        <v>#REF!</v>
      </c>
      <c r="G71" s="91" t="e">
        <f>#REF!</f>
        <v>#REF!</v>
      </c>
      <c r="H71" s="48" t="e">
        <f t="shared" si="9"/>
        <v>#REF!</v>
      </c>
      <c r="I71" s="48" t="e">
        <f t="shared" si="10"/>
        <v>#REF!</v>
      </c>
      <c r="J71" s="48" t="e">
        <f t="shared" si="11"/>
        <v>#REF!</v>
      </c>
      <c r="K71" s="49" t="e">
        <f t="shared" si="12"/>
        <v>#REF!</v>
      </c>
      <c r="L71" s="86" t="e">
        <f>#REF!+#REF!</f>
        <v>#REF!</v>
      </c>
      <c r="M71" s="71" t="e">
        <f>#REF!+#REF!</f>
        <v>#REF!</v>
      </c>
      <c r="N71" s="67" t="e">
        <f t="shared" si="13"/>
        <v>#REF!</v>
      </c>
      <c r="O71" s="68" t="e">
        <f t="shared" si="14"/>
        <v>#REF!</v>
      </c>
      <c r="P71" s="69" t="e">
        <f t="shared" si="15"/>
        <v>#REF!</v>
      </c>
      <c r="Q71" s="70" t="e">
        <f t="shared" si="16"/>
        <v>#REF!</v>
      </c>
      <c r="R71" s="70" t="e">
        <f t="shared" si="17"/>
        <v>#REF!</v>
      </c>
      <c r="S71" s="71" t="e">
        <f>#REF!</f>
        <v>#REF!</v>
      </c>
      <c r="T71" s="71" t="e">
        <f>#REF!</f>
        <v>#REF!</v>
      </c>
      <c r="U71" s="72" t="e">
        <f>#REF!</f>
        <v>#REF!</v>
      </c>
      <c r="V71" s="72" t="e">
        <f>#REF!</f>
        <v>#REF!</v>
      </c>
      <c r="W71" s="73" t="e">
        <f>#REF!</f>
        <v>#REF!</v>
      </c>
      <c r="X71" s="74" t="e">
        <f>#REF!</f>
        <v>#REF!</v>
      </c>
      <c r="Y71" s="217">
        <v>0</v>
      </c>
      <c r="Z71" s="217">
        <v>0</v>
      </c>
      <c r="AA71" s="74" t="e">
        <f>#REF!</f>
        <v>#REF!</v>
      </c>
      <c r="AB71" s="74" t="e">
        <f>#REF!</f>
        <v>#REF!</v>
      </c>
      <c r="AC71" s="74" t="e">
        <f>#REF!</f>
        <v>#REF!</v>
      </c>
      <c r="AD71" s="74" t="e">
        <f>#REF!</f>
        <v>#REF!</v>
      </c>
    </row>
    <row r="72" spans="1:30">
      <c r="A72">
        <f t="shared" si="7"/>
        <v>66</v>
      </c>
      <c r="B72" s="85" t="e">
        <f>#REF!</f>
        <v>#REF!</v>
      </c>
      <c r="C72" s="92" t="str">
        <f t="shared" ref="C72:C134" si="28">C71</f>
        <v>Код района</v>
      </c>
      <c r="D72" s="66" t="e">
        <f>#REF!</f>
        <v>#REF!</v>
      </c>
      <c r="E72" s="92" t="str">
        <f t="shared" si="27"/>
        <v>Код сельсовета</v>
      </c>
      <c r="F72" s="89" t="e">
        <f>#REF!</f>
        <v>#REF!</v>
      </c>
      <c r="G72" s="91" t="e">
        <f>#REF!</f>
        <v>#REF!</v>
      </c>
      <c r="H72" s="48" t="e">
        <f t="shared" ref="H72:H134" si="29">K72+N72</f>
        <v>#REF!</v>
      </c>
      <c r="I72" s="48" t="e">
        <f t="shared" ref="I72:I134" si="30">L72+Q72</f>
        <v>#REF!</v>
      </c>
      <c r="J72" s="48" t="e">
        <f t="shared" ref="J72:J134" si="31">M72+R72</f>
        <v>#REF!</v>
      </c>
      <c r="K72" s="49" t="e">
        <f t="shared" ref="K72:K134" si="32">L72+M72</f>
        <v>#REF!</v>
      </c>
      <c r="L72" s="86" t="e">
        <f>#REF!+#REF!</f>
        <v>#REF!</v>
      </c>
      <c r="M72" s="71" t="e">
        <f>#REF!+#REF!</f>
        <v>#REF!</v>
      </c>
      <c r="N72" s="67" t="e">
        <f t="shared" ref="N72:N134" si="33">Q72+R72</f>
        <v>#REF!</v>
      </c>
      <c r="O72" s="68" t="e">
        <f t="shared" ref="O72:O134" si="34">S72+T72</f>
        <v>#REF!</v>
      </c>
      <c r="P72" s="69" t="e">
        <f t="shared" ref="P72:P134" si="35">U72+V72</f>
        <v>#REF!</v>
      </c>
      <c r="Q72" s="70" t="e">
        <f t="shared" ref="Q72:Q134" si="36">S72+U72</f>
        <v>#REF!</v>
      </c>
      <c r="R72" s="70" t="e">
        <f t="shared" ref="R72:R134" si="37">T72+V72</f>
        <v>#REF!</v>
      </c>
      <c r="S72" s="71" t="e">
        <f>#REF!</f>
        <v>#REF!</v>
      </c>
      <c r="T72" s="71" t="e">
        <f>#REF!</f>
        <v>#REF!</v>
      </c>
      <c r="U72" s="72" t="e">
        <f>#REF!</f>
        <v>#REF!</v>
      </c>
      <c r="V72" s="72" t="e">
        <f>#REF!</f>
        <v>#REF!</v>
      </c>
      <c r="W72" s="73" t="e">
        <f>#REF!</f>
        <v>#REF!</v>
      </c>
      <c r="X72" s="74" t="e">
        <f>#REF!</f>
        <v>#REF!</v>
      </c>
      <c r="Y72" s="217">
        <v>0</v>
      </c>
      <c r="Z72" s="217">
        <v>0</v>
      </c>
      <c r="AA72" s="74" t="e">
        <f>#REF!</f>
        <v>#REF!</v>
      </c>
      <c r="AB72" s="74" t="e">
        <f>#REF!</f>
        <v>#REF!</v>
      </c>
      <c r="AC72" s="74" t="e">
        <f>#REF!</f>
        <v>#REF!</v>
      </c>
      <c r="AD72" s="74" t="e">
        <f>#REF!</f>
        <v>#REF!</v>
      </c>
    </row>
    <row r="73" spans="1:30">
      <c r="A73">
        <f t="shared" ref="A73:A136" si="38">A72+1</f>
        <v>67</v>
      </c>
      <c r="B73" s="85" t="e">
        <f>#REF!</f>
        <v>#REF!</v>
      </c>
      <c r="C73" s="92" t="str">
        <f t="shared" si="28"/>
        <v>Код района</v>
      </c>
      <c r="D73" s="66" t="e">
        <f>#REF!</f>
        <v>#REF!</v>
      </c>
      <c r="E73" s="92" t="str">
        <f t="shared" si="27"/>
        <v>Код сельсовета</v>
      </c>
      <c r="F73" s="89" t="e">
        <f>#REF!</f>
        <v>#REF!</v>
      </c>
      <c r="G73" s="91" t="e">
        <f>#REF!</f>
        <v>#REF!</v>
      </c>
      <c r="H73" s="48" t="e">
        <f t="shared" si="29"/>
        <v>#REF!</v>
      </c>
      <c r="I73" s="48" t="e">
        <f t="shared" si="30"/>
        <v>#REF!</v>
      </c>
      <c r="J73" s="48" t="e">
        <f t="shared" si="31"/>
        <v>#REF!</v>
      </c>
      <c r="K73" s="49" t="e">
        <f t="shared" si="32"/>
        <v>#REF!</v>
      </c>
      <c r="L73" s="86" t="e">
        <f>#REF!+#REF!</f>
        <v>#REF!</v>
      </c>
      <c r="M73" s="71" t="e">
        <f>#REF!+#REF!</f>
        <v>#REF!</v>
      </c>
      <c r="N73" s="67" t="e">
        <f t="shared" si="33"/>
        <v>#REF!</v>
      </c>
      <c r="O73" s="68" t="e">
        <f t="shared" si="34"/>
        <v>#REF!</v>
      </c>
      <c r="P73" s="69" t="e">
        <f t="shared" si="35"/>
        <v>#REF!</v>
      </c>
      <c r="Q73" s="70" t="e">
        <f t="shared" si="36"/>
        <v>#REF!</v>
      </c>
      <c r="R73" s="70" t="e">
        <f t="shared" si="37"/>
        <v>#REF!</v>
      </c>
      <c r="S73" s="71" t="e">
        <f>#REF!</f>
        <v>#REF!</v>
      </c>
      <c r="T73" s="71" t="e">
        <f>#REF!</f>
        <v>#REF!</v>
      </c>
      <c r="U73" s="72" t="e">
        <f>#REF!</f>
        <v>#REF!</v>
      </c>
      <c r="V73" s="72" t="e">
        <f>#REF!</f>
        <v>#REF!</v>
      </c>
      <c r="W73" s="73" t="e">
        <f>#REF!</f>
        <v>#REF!</v>
      </c>
      <c r="X73" s="74" t="e">
        <f>#REF!</f>
        <v>#REF!</v>
      </c>
      <c r="Y73" s="217">
        <v>0</v>
      </c>
      <c r="Z73" s="217">
        <v>0</v>
      </c>
      <c r="AA73" s="74" t="e">
        <f>#REF!</f>
        <v>#REF!</v>
      </c>
      <c r="AB73" s="74" t="e">
        <f>#REF!</f>
        <v>#REF!</v>
      </c>
      <c r="AC73" s="74" t="e">
        <f>#REF!</f>
        <v>#REF!</v>
      </c>
      <c r="AD73" s="74" t="e">
        <f>#REF!</f>
        <v>#REF!</v>
      </c>
    </row>
    <row r="74" spans="1:30">
      <c r="A74">
        <f t="shared" si="38"/>
        <v>68</v>
      </c>
      <c r="B74" s="85" t="e">
        <f>#REF!</f>
        <v>#REF!</v>
      </c>
      <c r="C74" s="92" t="str">
        <f t="shared" si="28"/>
        <v>Код района</v>
      </c>
      <c r="D74" s="66" t="e">
        <f>#REF!</f>
        <v>#REF!</v>
      </c>
      <c r="E74" s="92" t="str">
        <f t="shared" si="27"/>
        <v>Код сельсовета</v>
      </c>
      <c r="F74" s="89" t="e">
        <f>#REF!</f>
        <v>#REF!</v>
      </c>
      <c r="G74" s="91" t="e">
        <f>#REF!</f>
        <v>#REF!</v>
      </c>
      <c r="H74" s="48" t="e">
        <f t="shared" si="29"/>
        <v>#REF!</v>
      </c>
      <c r="I74" s="48" t="e">
        <f t="shared" si="30"/>
        <v>#REF!</v>
      </c>
      <c r="J74" s="48" t="e">
        <f t="shared" si="31"/>
        <v>#REF!</v>
      </c>
      <c r="K74" s="49" t="e">
        <f t="shared" si="32"/>
        <v>#REF!</v>
      </c>
      <c r="L74" s="86" t="e">
        <f>#REF!+#REF!</f>
        <v>#REF!</v>
      </c>
      <c r="M74" s="71" t="e">
        <f>#REF!+#REF!</f>
        <v>#REF!</v>
      </c>
      <c r="N74" s="67" t="e">
        <f t="shared" si="33"/>
        <v>#REF!</v>
      </c>
      <c r="O74" s="68" t="e">
        <f t="shared" si="34"/>
        <v>#REF!</v>
      </c>
      <c r="P74" s="69" t="e">
        <f t="shared" si="35"/>
        <v>#REF!</v>
      </c>
      <c r="Q74" s="70" t="e">
        <f t="shared" si="36"/>
        <v>#REF!</v>
      </c>
      <c r="R74" s="70" t="e">
        <f t="shared" si="37"/>
        <v>#REF!</v>
      </c>
      <c r="S74" s="71" t="e">
        <f>#REF!</f>
        <v>#REF!</v>
      </c>
      <c r="T74" s="71" t="e">
        <f>#REF!</f>
        <v>#REF!</v>
      </c>
      <c r="U74" s="72" t="e">
        <f>#REF!</f>
        <v>#REF!</v>
      </c>
      <c r="V74" s="72" t="e">
        <f>#REF!</f>
        <v>#REF!</v>
      </c>
      <c r="W74" s="73" t="e">
        <f>#REF!</f>
        <v>#REF!</v>
      </c>
      <c r="X74" s="74" t="e">
        <f>#REF!</f>
        <v>#REF!</v>
      </c>
      <c r="Y74" s="217">
        <v>0</v>
      </c>
      <c r="Z74" s="217">
        <v>0</v>
      </c>
      <c r="AA74" s="74" t="e">
        <f>#REF!</f>
        <v>#REF!</v>
      </c>
      <c r="AB74" s="74" t="e">
        <f>#REF!</f>
        <v>#REF!</v>
      </c>
      <c r="AC74" s="74" t="e">
        <f>#REF!</f>
        <v>#REF!</v>
      </c>
      <c r="AD74" s="74" t="e">
        <f>#REF!</f>
        <v>#REF!</v>
      </c>
    </row>
    <row r="75" spans="1:30">
      <c r="A75">
        <f t="shared" si="38"/>
        <v>69</v>
      </c>
      <c r="B75" s="85" t="e">
        <f>#REF!</f>
        <v>#REF!</v>
      </c>
      <c r="C75" s="92" t="str">
        <f t="shared" si="28"/>
        <v>Код района</v>
      </c>
      <c r="D75" s="66" t="e">
        <f>#REF!</f>
        <v>#REF!</v>
      </c>
      <c r="E75" s="92" t="str">
        <f t="shared" si="27"/>
        <v>Код сельсовета</v>
      </c>
      <c r="F75" s="89" t="e">
        <f>#REF!</f>
        <v>#REF!</v>
      </c>
      <c r="G75" s="91" t="e">
        <f>#REF!</f>
        <v>#REF!</v>
      </c>
      <c r="H75" s="48" t="e">
        <f t="shared" si="29"/>
        <v>#REF!</v>
      </c>
      <c r="I75" s="48" t="e">
        <f t="shared" si="30"/>
        <v>#REF!</v>
      </c>
      <c r="J75" s="48" t="e">
        <f t="shared" si="31"/>
        <v>#REF!</v>
      </c>
      <c r="K75" s="49" t="e">
        <f t="shared" si="32"/>
        <v>#REF!</v>
      </c>
      <c r="L75" s="86" t="e">
        <f>#REF!+#REF!</f>
        <v>#REF!</v>
      </c>
      <c r="M75" s="71" t="e">
        <f>#REF!+#REF!</f>
        <v>#REF!</v>
      </c>
      <c r="N75" s="67" t="e">
        <f t="shared" si="33"/>
        <v>#REF!</v>
      </c>
      <c r="O75" s="68" t="e">
        <f t="shared" si="34"/>
        <v>#REF!</v>
      </c>
      <c r="P75" s="69" t="e">
        <f t="shared" si="35"/>
        <v>#REF!</v>
      </c>
      <c r="Q75" s="70" t="e">
        <f t="shared" si="36"/>
        <v>#REF!</v>
      </c>
      <c r="R75" s="70" t="e">
        <f t="shared" si="37"/>
        <v>#REF!</v>
      </c>
      <c r="S75" s="71" t="e">
        <f>#REF!</f>
        <v>#REF!</v>
      </c>
      <c r="T75" s="71" t="e">
        <f>#REF!</f>
        <v>#REF!</v>
      </c>
      <c r="U75" s="72" t="e">
        <f>#REF!</f>
        <v>#REF!</v>
      </c>
      <c r="V75" s="72" t="e">
        <f>#REF!</f>
        <v>#REF!</v>
      </c>
      <c r="W75" s="73" t="e">
        <f>#REF!</f>
        <v>#REF!</v>
      </c>
      <c r="X75" s="74" t="e">
        <f>#REF!</f>
        <v>#REF!</v>
      </c>
      <c r="Y75" s="217">
        <v>0</v>
      </c>
      <c r="Z75" s="217">
        <v>0</v>
      </c>
      <c r="AA75" s="74" t="e">
        <f>#REF!</f>
        <v>#REF!</v>
      </c>
      <c r="AB75" s="74" t="e">
        <f>#REF!</f>
        <v>#REF!</v>
      </c>
      <c r="AC75" s="74" t="e">
        <f>#REF!</f>
        <v>#REF!</v>
      </c>
      <c r="AD75" s="74" t="e">
        <f>#REF!</f>
        <v>#REF!</v>
      </c>
    </row>
    <row r="76" spans="1:30">
      <c r="A76">
        <f t="shared" si="38"/>
        <v>70</v>
      </c>
      <c r="B76" s="85" t="e">
        <f>#REF!</f>
        <v>#REF!</v>
      </c>
      <c r="C76" s="92" t="str">
        <f t="shared" si="28"/>
        <v>Код района</v>
      </c>
      <c r="D76" s="66" t="e">
        <f>#REF!</f>
        <v>#REF!</v>
      </c>
      <c r="E76" s="92" t="str">
        <f t="shared" si="27"/>
        <v>Код сельсовета</v>
      </c>
      <c r="F76" s="89" t="e">
        <f>#REF!</f>
        <v>#REF!</v>
      </c>
      <c r="G76" s="91" t="e">
        <f>#REF!</f>
        <v>#REF!</v>
      </c>
      <c r="H76" s="48" t="e">
        <f t="shared" si="29"/>
        <v>#REF!</v>
      </c>
      <c r="I76" s="48" t="e">
        <f t="shared" si="30"/>
        <v>#REF!</v>
      </c>
      <c r="J76" s="48" t="e">
        <f t="shared" si="31"/>
        <v>#REF!</v>
      </c>
      <c r="K76" s="49" t="e">
        <f t="shared" si="32"/>
        <v>#REF!</v>
      </c>
      <c r="L76" s="86" t="e">
        <f>#REF!+#REF!</f>
        <v>#REF!</v>
      </c>
      <c r="M76" s="71" t="e">
        <f>#REF!+#REF!</f>
        <v>#REF!</v>
      </c>
      <c r="N76" s="67" t="e">
        <f t="shared" si="33"/>
        <v>#REF!</v>
      </c>
      <c r="O76" s="68" t="e">
        <f t="shared" si="34"/>
        <v>#REF!</v>
      </c>
      <c r="P76" s="69" t="e">
        <f t="shared" si="35"/>
        <v>#REF!</v>
      </c>
      <c r="Q76" s="70" t="e">
        <f t="shared" si="36"/>
        <v>#REF!</v>
      </c>
      <c r="R76" s="70" t="e">
        <f t="shared" si="37"/>
        <v>#REF!</v>
      </c>
      <c r="S76" s="71" t="e">
        <f>#REF!</f>
        <v>#REF!</v>
      </c>
      <c r="T76" s="71" t="e">
        <f>#REF!</f>
        <v>#REF!</v>
      </c>
      <c r="U76" s="72" t="e">
        <f>#REF!</f>
        <v>#REF!</v>
      </c>
      <c r="V76" s="72" t="e">
        <f>#REF!</f>
        <v>#REF!</v>
      </c>
      <c r="W76" s="73" t="e">
        <f>#REF!</f>
        <v>#REF!</v>
      </c>
      <c r="X76" s="74" t="e">
        <f>#REF!</f>
        <v>#REF!</v>
      </c>
      <c r="Y76" s="217">
        <v>0</v>
      </c>
      <c r="Z76" s="217">
        <v>0</v>
      </c>
      <c r="AA76" s="74" t="e">
        <f>#REF!</f>
        <v>#REF!</v>
      </c>
      <c r="AB76" s="74" t="e">
        <f>#REF!</f>
        <v>#REF!</v>
      </c>
      <c r="AC76" s="74" t="e">
        <f>#REF!</f>
        <v>#REF!</v>
      </c>
      <c r="AD76" s="74" t="e">
        <f>#REF!</f>
        <v>#REF!</v>
      </c>
    </row>
    <row r="77" spans="1:30">
      <c r="A77">
        <f t="shared" si="38"/>
        <v>71</v>
      </c>
      <c r="B77" s="85" t="e">
        <f>#REF!</f>
        <v>#REF!</v>
      </c>
      <c r="C77" s="92" t="str">
        <f t="shared" si="28"/>
        <v>Код района</v>
      </c>
      <c r="D77" s="66" t="e">
        <f>#REF!</f>
        <v>#REF!</v>
      </c>
      <c r="E77" s="92" t="str">
        <f t="shared" si="27"/>
        <v>Код сельсовета</v>
      </c>
      <c r="F77" s="89" t="e">
        <f>#REF!</f>
        <v>#REF!</v>
      </c>
      <c r="G77" s="91" t="e">
        <f>#REF!</f>
        <v>#REF!</v>
      </c>
      <c r="H77" s="48" t="e">
        <f t="shared" si="29"/>
        <v>#REF!</v>
      </c>
      <c r="I77" s="48" t="e">
        <f t="shared" si="30"/>
        <v>#REF!</v>
      </c>
      <c r="J77" s="48" t="e">
        <f t="shared" si="31"/>
        <v>#REF!</v>
      </c>
      <c r="K77" s="49" t="e">
        <f t="shared" si="32"/>
        <v>#REF!</v>
      </c>
      <c r="L77" s="86" t="e">
        <f>#REF!+#REF!</f>
        <v>#REF!</v>
      </c>
      <c r="M77" s="71" t="e">
        <f>#REF!+#REF!</f>
        <v>#REF!</v>
      </c>
      <c r="N77" s="67" t="e">
        <f t="shared" si="33"/>
        <v>#REF!</v>
      </c>
      <c r="O77" s="68" t="e">
        <f t="shared" si="34"/>
        <v>#REF!</v>
      </c>
      <c r="P77" s="69" t="e">
        <f t="shared" si="35"/>
        <v>#REF!</v>
      </c>
      <c r="Q77" s="70" t="e">
        <f t="shared" si="36"/>
        <v>#REF!</v>
      </c>
      <c r="R77" s="70" t="e">
        <f t="shared" si="37"/>
        <v>#REF!</v>
      </c>
      <c r="S77" s="71" t="e">
        <f>#REF!</f>
        <v>#REF!</v>
      </c>
      <c r="T77" s="71" t="e">
        <f>#REF!</f>
        <v>#REF!</v>
      </c>
      <c r="U77" s="72" t="e">
        <f>#REF!</f>
        <v>#REF!</v>
      </c>
      <c r="V77" s="72" t="e">
        <f>#REF!</f>
        <v>#REF!</v>
      </c>
      <c r="W77" s="73" t="e">
        <f>#REF!</f>
        <v>#REF!</v>
      </c>
      <c r="X77" s="74" t="e">
        <f>#REF!</f>
        <v>#REF!</v>
      </c>
      <c r="Y77" s="217">
        <v>0</v>
      </c>
      <c r="Z77" s="217">
        <v>0</v>
      </c>
      <c r="AA77" s="74" t="e">
        <f>#REF!</f>
        <v>#REF!</v>
      </c>
      <c r="AB77" s="74" t="e">
        <f>#REF!</f>
        <v>#REF!</v>
      </c>
      <c r="AC77" s="74" t="e">
        <f>#REF!</f>
        <v>#REF!</v>
      </c>
      <c r="AD77" s="74" t="e">
        <f>#REF!</f>
        <v>#REF!</v>
      </c>
    </row>
    <row r="78" spans="1:30">
      <c r="A78">
        <f t="shared" si="38"/>
        <v>72</v>
      </c>
      <c r="B78" s="85" t="e">
        <f>#REF!</f>
        <v>#REF!</v>
      </c>
      <c r="C78" s="92" t="str">
        <f t="shared" si="28"/>
        <v>Код района</v>
      </c>
      <c r="D78" s="66" t="e">
        <f>#REF!</f>
        <v>#REF!</v>
      </c>
      <c r="E78" s="92" t="str">
        <f t="shared" si="27"/>
        <v>Код сельсовета</v>
      </c>
      <c r="F78" s="89" t="e">
        <f>#REF!</f>
        <v>#REF!</v>
      </c>
      <c r="G78" s="91" t="e">
        <f>#REF!</f>
        <v>#REF!</v>
      </c>
      <c r="H78" s="48" t="e">
        <f t="shared" si="29"/>
        <v>#REF!</v>
      </c>
      <c r="I78" s="48" t="e">
        <f t="shared" si="30"/>
        <v>#REF!</v>
      </c>
      <c r="J78" s="48" t="e">
        <f t="shared" si="31"/>
        <v>#REF!</v>
      </c>
      <c r="K78" s="49" t="e">
        <f t="shared" si="32"/>
        <v>#REF!</v>
      </c>
      <c r="L78" s="86" t="e">
        <f>#REF!+#REF!</f>
        <v>#REF!</v>
      </c>
      <c r="M78" s="71" t="e">
        <f>#REF!+#REF!</f>
        <v>#REF!</v>
      </c>
      <c r="N78" s="67" t="e">
        <f t="shared" si="33"/>
        <v>#REF!</v>
      </c>
      <c r="O78" s="68" t="e">
        <f t="shared" si="34"/>
        <v>#REF!</v>
      </c>
      <c r="P78" s="69" t="e">
        <f t="shared" si="35"/>
        <v>#REF!</v>
      </c>
      <c r="Q78" s="70" t="e">
        <f t="shared" si="36"/>
        <v>#REF!</v>
      </c>
      <c r="R78" s="70" t="e">
        <f t="shared" si="37"/>
        <v>#REF!</v>
      </c>
      <c r="S78" s="71" t="e">
        <f>#REF!</f>
        <v>#REF!</v>
      </c>
      <c r="T78" s="71" t="e">
        <f>#REF!</f>
        <v>#REF!</v>
      </c>
      <c r="U78" s="72" t="e">
        <f>#REF!</f>
        <v>#REF!</v>
      </c>
      <c r="V78" s="72" t="e">
        <f>#REF!</f>
        <v>#REF!</v>
      </c>
      <c r="W78" s="73" t="e">
        <f>#REF!</f>
        <v>#REF!</v>
      </c>
      <c r="X78" s="74" t="e">
        <f>#REF!</f>
        <v>#REF!</v>
      </c>
      <c r="Y78" s="217">
        <v>0</v>
      </c>
      <c r="Z78" s="217">
        <v>0</v>
      </c>
      <c r="AA78" s="74" t="e">
        <f>#REF!</f>
        <v>#REF!</v>
      </c>
      <c r="AB78" s="74" t="e">
        <f>#REF!</f>
        <v>#REF!</v>
      </c>
      <c r="AC78" s="74" t="e">
        <f>#REF!</f>
        <v>#REF!</v>
      </c>
      <c r="AD78" s="74" t="e">
        <f>#REF!</f>
        <v>#REF!</v>
      </c>
    </row>
    <row r="79" spans="1:30">
      <c r="A79">
        <f t="shared" si="38"/>
        <v>73</v>
      </c>
      <c r="B79" s="85" t="e">
        <f>#REF!</f>
        <v>#REF!</v>
      </c>
      <c r="C79" s="92" t="str">
        <f t="shared" si="28"/>
        <v>Код района</v>
      </c>
      <c r="D79" s="66" t="e">
        <f>#REF!</f>
        <v>#REF!</v>
      </c>
      <c r="E79" s="92" t="str">
        <f t="shared" si="27"/>
        <v>Код сельсовета</v>
      </c>
      <c r="F79" s="89" t="e">
        <f>#REF!</f>
        <v>#REF!</v>
      </c>
      <c r="G79" s="91" t="e">
        <f>#REF!</f>
        <v>#REF!</v>
      </c>
      <c r="H79" s="48" t="e">
        <f t="shared" si="29"/>
        <v>#REF!</v>
      </c>
      <c r="I79" s="48" t="e">
        <f t="shared" si="30"/>
        <v>#REF!</v>
      </c>
      <c r="J79" s="48" t="e">
        <f t="shared" si="31"/>
        <v>#REF!</v>
      </c>
      <c r="K79" s="49" t="e">
        <f t="shared" si="32"/>
        <v>#REF!</v>
      </c>
      <c r="L79" s="86" t="e">
        <f>#REF!+#REF!</f>
        <v>#REF!</v>
      </c>
      <c r="M79" s="71" t="e">
        <f>#REF!+#REF!</f>
        <v>#REF!</v>
      </c>
      <c r="N79" s="67" t="e">
        <f t="shared" si="33"/>
        <v>#REF!</v>
      </c>
      <c r="O79" s="68" t="e">
        <f t="shared" si="34"/>
        <v>#REF!</v>
      </c>
      <c r="P79" s="69" t="e">
        <f t="shared" si="35"/>
        <v>#REF!</v>
      </c>
      <c r="Q79" s="70" t="e">
        <f t="shared" si="36"/>
        <v>#REF!</v>
      </c>
      <c r="R79" s="70" t="e">
        <f t="shared" si="37"/>
        <v>#REF!</v>
      </c>
      <c r="S79" s="71" t="e">
        <f>#REF!</f>
        <v>#REF!</v>
      </c>
      <c r="T79" s="71" t="e">
        <f>#REF!</f>
        <v>#REF!</v>
      </c>
      <c r="U79" s="72" t="e">
        <f>#REF!</f>
        <v>#REF!</v>
      </c>
      <c r="V79" s="72" t="e">
        <f>#REF!</f>
        <v>#REF!</v>
      </c>
      <c r="W79" s="73" t="e">
        <f>#REF!</f>
        <v>#REF!</v>
      </c>
      <c r="X79" s="74" t="e">
        <f>#REF!</f>
        <v>#REF!</v>
      </c>
      <c r="Y79" s="217">
        <v>0</v>
      </c>
      <c r="Z79" s="217">
        <v>0</v>
      </c>
      <c r="AA79" s="74" t="e">
        <f>#REF!</f>
        <v>#REF!</v>
      </c>
      <c r="AB79" s="74" t="e">
        <f>#REF!</f>
        <v>#REF!</v>
      </c>
      <c r="AC79" s="74" t="e">
        <f>#REF!</f>
        <v>#REF!</v>
      </c>
      <c r="AD79" s="74" t="e">
        <f>#REF!</f>
        <v>#REF!</v>
      </c>
    </row>
    <row r="80" spans="1:30">
      <c r="A80">
        <f t="shared" si="38"/>
        <v>74</v>
      </c>
      <c r="B80" s="85" t="e">
        <f>#REF!</f>
        <v>#REF!</v>
      </c>
      <c r="C80" s="92" t="str">
        <f t="shared" si="28"/>
        <v>Код района</v>
      </c>
      <c r="D80" s="66" t="e">
        <f>#REF!</f>
        <v>#REF!</v>
      </c>
      <c r="E80" s="92" t="str">
        <f t="shared" si="27"/>
        <v>Код сельсовета</v>
      </c>
      <c r="F80" s="89" t="e">
        <f>#REF!</f>
        <v>#REF!</v>
      </c>
      <c r="G80" s="91" t="e">
        <f>#REF!</f>
        <v>#REF!</v>
      </c>
      <c r="H80" s="48" t="e">
        <f t="shared" si="29"/>
        <v>#REF!</v>
      </c>
      <c r="I80" s="48" t="e">
        <f t="shared" si="30"/>
        <v>#REF!</v>
      </c>
      <c r="J80" s="48" t="e">
        <f t="shared" si="31"/>
        <v>#REF!</v>
      </c>
      <c r="K80" s="49" t="e">
        <f t="shared" si="32"/>
        <v>#REF!</v>
      </c>
      <c r="L80" s="86" t="e">
        <f>#REF!+#REF!</f>
        <v>#REF!</v>
      </c>
      <c r="M80" s="71" t="e">
        <f>#REF!+#REF!</f>
        <v>#REF!</v>
      </c>
      <c r="N80" s="67" t="e">
        <f t="shared" si="33"/>
        <v>#REF!</v>
      </c>
      <c r="O80" s="68" t="e">
        <f t="shared" si="34"/>
        <v>#REF!</v>
      </c>
      <c r="P80" s="69" t="e">
        <f t="shared" si="35"/>
        <v>#REF!</v>
      </c>
      <c r="Q80" s="70" t="e">
        <f t="shared" si="36"/>
        <v>#REF!</v>
      </c>
      <c r="R80" s="70" t="e">
        <f t="shared" si="37"/>
        <v>#REF!</v>
      </c>
      <c r="S80" s="71" t="e">
        <f>#REF!</f>
        <v>#REF!</v>
      </c>
      <c r="T80" s="71" t="e">
        <f>#REF!</f>
        <v>#REF!</v>
      </c>
      <c r="U80" s="72" t="e">
        <f>#REF!</f>
        <v>#REF!</v>
      </c>
      <c r="V80" s="72" t="e">
        <f>#REF!</f>
        <v>#REF!</v>
      </c>
      <c r="W80" s="73" t="e">
        <f>#REF!</f>
        <v>#REF!</v>
      </c>
      <c r="X80" s="74" t="e">
        <f>#REF!</f>
        <v>#REF!</v>
      </c>
      <c r="Y80" s="217">
        <v>0</v>
      </c>
      <c r="Z80" s="217">
        <v>0</v>
      </c>
      <c r="AA80" s="74" t="e">
        <f>#REF!</f>
        <v>#REF!</v>
      </c>
      <c r="AB80" s="74" t="e">
        <f>#REF!</f>
        <v>#REF!</v>
      </c>
      <c r="AC80" s="74" t="e">
        <f>#REF!</f>
        <v>#REF!</v>
      </c>
      <c r="AD80" s="74" t="e">
        <f>#REF!</f>
        <v>#REF!</v>
      </c>
    </row>
    <row r="81" spans="1:31">
      <c r="A81">
        <f t="shared" si="38"/>
        <v>75</v>
      </c>
      <c r="B81" s="85" t="e">
        <f>#REF!</f>
        <v>#REF!</v>
      </c>
      <c r="C81" s="92" t="str">
        <f t="shared" si="28"/>
        <v>Код района</v>
      </c>
      <c r="D81" s="66" t="e">
        <f>#REF!</f>
        <v>#REF!</v>
      </c>
      <c r="E81" s="92" t="str">
        <f t="shared" si="27"/>
        <v>Код сельсовета</v>
      </c>
      <c r="F81" s="89" t="e">
        <f>#REF!</f>
        <v>#REF!</v>
      </c>
      <c r="G81" s="91" t="e">
        <f>#REF!</f>
        <v>#REF!</v>
      </c>
      <c r="H81" s="48" t="e">
        <f t="shared" si="29"/>
        <v>#REF!</v>
      </c>
      <c r="I81" s="48" t="e">
        <f t="shared" si="30"/>
        <v>#REF!</v>
      </c>
      <c r="J81" s="48" t="e">
        <f t="shared" si="31"/>
        <v>#REF!</v>
      </c>
      <c r="K81" s="49" t="e">
        <f t="shared" si="32"/>
        <v>#REF!</v>
      </c>
      <c r="L81" s="86" t="e">
        <f>#REF!+#REF!</f>
        <v>#REF!</v>
      </c>
      <c r="M81" s="71" t="e">
        <f>#REF!+#REF!</f>
        <v>#REF!</v>
      </c>
      <c r="N81" s="67" t="e">
        <f t="shared" si="33"/>
        <v>#REF!</v>
      </c>
      <c r="O81" s="68" t="e">
        <f t="shared" si="34"/>
        <v>#REF!</v>
      </c>
      <c r="P81" s="69" t="e">
        <f t="shared" si="35"/>
        <v>#REF!</v>
      </c>
      <c r="Q81" s="70" t="e">
        <f t="shared" si="36"/>
        <v>#REF!</v>
      </c>
      <c r="R81" s="70" t="e">
        <f t="shared" si="37"/>
        <v>#REF!</v>
      </c>
      <c r="S81" s="71" t="e">
        <f>#REF!</f>
        <v>#REF!</v>
      </c>
      <c r="T81" s="71" t="e">
        <f>#REF!</f>
        <v>#REF!</v>
      </c>
      <c r="U81" s="72" t="e">
        <f>#REF!</f>
        <v>#REF!</v>
      </c>
      <c r="V81" s="72" t="e">
        <f>#REF!</f>
        <v>#REF!</v>
      </c>
      <c r="W81" s="73" t="e">
        <f>#REF!</f>
        <v>#REF!</v>
      </c>
      <c r="X81" s="74" t="e">
        <f>#REF!</f>
        <v>#REF!</v>
      </c>
      <c r="Y81" s="217">
        <v>0</v>
      </c>
      <c r="Z81" s="217">
        <v>0</v>
      </c>
      <c r="AA81" s="74" t="e">
        <f>#REF!</f>
        <v>#REF!</v>
      </c>
      <c r="AB81" s="74" t="e">
        <f>#REF!</f>
        <v>#REF!</v>
      </c>
      <c r="AC81" s="74" t="e">
        <f>#REF!</f>
        <v>#REF!</v>
      </c>
      <c r="AD81" s="74" t="e">
        <f>#REF!</f>
        <v>#REF!</v>
      </c>
    </row>
    <row r="82" spans="1:31" s="832" customFormat="1">
      <c r="A82">
        <f t="shared" si="38"/>
        <v>76</v>
      </c>
      <c r="B82" s="85" t="e">
        <f>#REF!</f>
        <v>#REF!</v>
      </c>
      <c r="C82" s="92" t="str">
        <f t="shared" si="28"/>
        <v>Код района</v>
      </c>
      <c r="D82" s="66" t="e">
        <f>#REF!</f>
        <v>#REF!</v>
      </c>
      <c r="E82" s="92" t="str">
        <f t="shared" si="27"/>
        <v>Код сельсовета</v>
      </c>
      <c r="F82" s="89" t="e">
        <f>#REF!</f>
        <v>#REF!</v>
      </c>
      <c r="G82" s="91" t="e">
        <f>#REF!</f>
        <v>#REF!</v>
      </c>
      <c r="H82" s="48" t="e">
        <f t="shared" si="29"/>
        <v>#REF!</v>
      </c>
      <c r="I82" s="48" t="e">
        <f t="shared" si="30"/>
        <v>#REF!</v>
      </c>
      <c r="J82" s="48" t="e">
        <f t="shared" si="31"/>
        <v>#REF!</v>
      </c>
      <c r="K82" s="49" t="e">
        <f t="shared" si="32"/>
        <v>#REF!</v>
      </c>
      <c r="L82" s="86" t="e">
        <f>#REF!+#REF!</f>
        <v>#REF!</v>
      </c>
      <c r="M82" s="71" t="e">
        <f>#REF!+#REF!</f>
        <v>#REF!</v>
      </c>
      <c r="N82" s="67" t="e">
        <f t="shared" si="33"/>
        <v>#REF!</v>
      </c>
      <c r="O82" s="68" t="e">
        <f t="shared" si="34"/>
        <v>#REF!</v>
      </c>
      <c r="P82" s="69" t="e">
        <f t="shared" si="35"/>
        <v>#REF!</v>
      </c>
      <c r="Q82" s="70" t="e">
        <f t="shared" si="36"/>
        <v>#REF!</v>
      </c>
      <c r="R82" s="70" t="e">
        <f t="shared" si="37"/>
        <v>#REF!</v>
      </c>
      <c r="S82" s="71" t="e">
        <f>#REF!</f>
        <v>#REF!</v>
      </c>
      <c r="T82" s="71" t="e">
        <f>#REF!</f>
        <v>#REF!</v>
      </c>
      <c r="U82" s="72" t="e">
        <f>#REF!</f>
        <v>#REF!</v>
      </c>
      <c r="V82" s="72" t="e">
        <f>#REF!</f>
        <v>#REF!</v>
      </c>
      <c r="W82" s="73" t="e">
        <f>#REF!</f>
        <v>#REF!</v>
      </c>
      <c r="X82" s="74" t="e">
        <f>#REF!</f>
        <v>#REF!</v>
      </c>
      <c r="Y82" s="217">
        <v>0</v>
      </c>
      <c r="Z82" s="217">
        <v>0</v>
      </c>
      <c r="AA82" s="74" t="e">
        <f>#REF!</f>
        <v>#REF!</v>
      </c>
      <c r="AB82" s="74" t="e">
        <f>#REF!</f>
        <v>#REF!</v>
      </c>
      <c r="AC82" s="74" t="e">
        <f>#REF!</f>
        <v>#REF!</v>
      </c>
      <c r="AD82" s="74" t="e">
        <f>#REF!</f>
        <v>#REF!</v>
      </c>
      <c r="AE82" s="75"/>
    </row>
    <row r="83" spans="1:31">
      <c r="A83">
        <f t="shared" si="38"/>
        <v>77</v>
      </c>
      <c r="B83" s="85" t="e">
        <f>#REF!</f>
        <v>#REF!</v>
      </c>
      <c r="C83" s="92" t="str">
        <f t="shared" si="28"/>
        <v>Код района</v>
      </c>
      <c r="D83" s="66" t="e">
        <f>#REF!</f>
        <v>#REF!</v>
      </c>
      <c r="E83" s="92" t="str">
        <f t="shared" si="27"/>
        <v>Код сельсовета</v>
      </c>
      <c r="F83" s="89" t="e">
        <f>#REF!</f>
        <v>#REF!</v>
      </c>
      <c r="G83" s="91" t="e">
        <f>#REF!</f>
        <v>#REF!</v>
      </c>
      <c r="H83" s="48" t="e">
        <f t="shared" si="29"/>
        <v>#REF!</v>
      </c>
      <c r="I83" s="48" t="e">
        <f t="shared" si="30"/>
        <v>#REF!</v>
      </c>
      <c r="J83" s="48" t="e">
        <f t="shared" si="31"/>
        <v>#REF!</v>
      </c>
      <c r="K83" s="49" t="e">
        <f t="shared" si="32"/>
        <v>#REF!</v>
      </c>
      <c r="L83" s="86" t="e">
        <f>#REF!+#REF!</f>
        <v>#REF!</v>
      </c>
      <c r="M83" s="71" t="e">
        <f>#REF!+#REF!</f>
        <v>#REF!</v>
      </c>
      <c r="N83" s="67" t="e">
        <f t="shared" si="33"/>
        <v>#REF!</v>
      </c>
      <c r="O83" s="68" t="e">
        <f t="shared" si="34"/>
        <v>#REF!</v>
      </c>
      <c r="P83" s="69" t="e">
        <f t="shared" si="35"/>
        <v>#REF!</v>
      </c>
      <c r="Q83" s="70" t="e">
        <f t="shared" si="36"/>
        <v>#REF!</v>
      </c>
      <c r="R83" s="70" t="e">
        <f t="shared" si="37"/>
        <v>#REF!</v>
      </c>
      <c r="S83" s="71" t="e">
        <f>#REF!</f>
        <v>#REF!</v>
      </c>
      <c r="T83" s="71" t="e">
        <f>#REF!</f>
        <v>#REF!</v>
      </c>
      <c r="U83" s="72" t="e">
        <f>#REF!</f>
        <v>#REF!</v>
      </c>
      <c r="V83" s="72" t="e">
        <f>#REF!</f>
        <v>#REF!</v>
      </c>
      <c r="W83" s="73" t="e">
        <f>#REF!</f>
        <v>#REF!</v>
      </c>
      <c r="X83" s="74" t="e">
        <f>#REF!</f>
        <v>#REF!</v>
      </c>
      <c r="Y83" s="217">
        <v>0</v>
      </c>
      <c r="Z83" s="217">
        <v>0</v>
      </c>
      <c r="AA83" s="74" t="e">
        <f>#REF!</f>
        <v>#REF!</v>
      </c>
      <c r="AB83" s="74" t="e">
        <f>#REF!</f>
        <v>#REF!</v>
      </c>
      <c r="AC83" s="74" t="e">
        <f>#REF!</f>
        <v>#REF!</v>
      </c>
      <c r="AD83" s="74" t="e">
        <f>#REF!</f>
        <v>#REF!</v>
      </c>
    </row>
    <row r="84" spans="1:31">
      <c r="A84">
        <f t="shared" si="38"/>
        <v>78</v>
      </c>
      <c r="B84" s="85" t="e">
        <f>#REF!</f>
        <v>#REF!</v>
      </c>
      <c r="C84" s="92" t="str">
        <f t="shared" si="28"/>
        <v>Код района</v>
      </c>
      <c r="D84" s="66" t="e">
        <f>#REF!</f>
        <v>#REF!</v>
      </c>
      <c r="E84" s="92" t="str">
        <f t="shared" si="27"/>
        <v>Код сельсовета</v>
      </c>
      <c r="F84" s="89" t="e">
        <f>#REF!</f>
        <v>#REF!</v>
      </c>
      <c r="G84" s="91" t="e">
        <f>#REF!</f>
        <v>#REF!</v>
      </c>
      <c r="H84" s="48" t="e">
        <f t="shared" si="29"/>
        <v>#REF!</v>
      </c>
      <c r="I84" s="48" t="e">
        <f t="shared" si="30"/>
        <v>#REF!</v>
      </c>
      <c r="J84" s="48" t="e">
        <f t="shared" si="31"/>
        <v>#REF!</v>
      </c>
      <c r="K84" s="49" t="e">
        <f t="shared" si="32"/>
        <v>#REF!</v>
      </c>
      <c r="L84" s="86" t="e">
        <f>#REF!+#REF!</f>
        <v>#REF!</v>
      </c>
      <c r="M84" s="71" t="e">
        <f>#REF!+#REF!</f>
        <v>#REF!</v>
      </c>
      <c r="N84" s="67" t="e">
        <f t="shared" si="33"/>
        <v>#REF!</v>
      </c>
      <c r="O84" s="68" t="e">
        <f t="shared" si="34"/>
        <v>#REF!</v>
      </c>
      <c r="P84" s="69" t="e">
        <f t="shared" si="35"/>
        <v>#REF!</v>
      </c>
      <c r="Q84" s="70" t="e">
        <f t="shared" si="36"/>
        <v>#REF!</v>
      </c>
      <c r="R84" s="70" t="e">
        <f t="shared" si="37"/>
        <v>#REF!</v>
      </c>
      <c r="S84" s="71" t="e">
        <f>#REF!</f>
        <v>#REF!</v>
      </c>
      <c r="T84" s="71" t="e">
        <f>#REF!</f>
        <v>#REF!</v>
      </c>
      <c r="U84" s="72" t="e">
        <f>#REF!</f>
        <v>#REF!</v>
      </c>
      <c r="V84" s="72" t="e">
        <f>#REF!</f>
        <v>#REF!</v>
      </c>
      <c r="W84" s="73" t="e">
        <f>#REF!</f>
        <v>#REF!</v>
      </c>
      <c r="X84" s="74" t="e">
        <f>#REF!</f>
        <v>#REF!</v>
      </c>
      <c r="Y84" s="217">
        <v>0</v>
      </c>
      <c r="Z84" s="217">
        <v>0</v>
      </c>
      <c r="AA84" s="74" t="e">
        <f>#REF!</f>
        <v>#REF!</v>
      </c>
      <c r="AB84" s="74" t="e">
        <f>#REF!</f>
        <v>#REF!</v>
      </c>
      <c r="AC84" s="74" t="e">
        <f>#REF!</f>
        <v>#REF!</v>
      </c>
      <c r="AD84" s="74" t="e">
        <f>#REF!</f>
        <v>#REF!</v>
      </c>
    </row>
    <row r="85" spans="1:31">
      <c r="A85">
        <f t="shared" si="38"/>
        <v>79</v>
      </c>
      <c r="B85" s="85" t="e">
        <f>#REF!</f>
        <v>#REF!</v>
      </c>
      <c r="C85" s="92" t="str">
        <f t="shared" si="28"/>
        <v>Код района</v>
      </c>
      <c r="D85" s="66" t="e">
        <f>#REF!</f>
        <v>#REF!</v>
      </c>
      <c r="E85" s="92" t="str">
        <f t="shared" si="27"/>
        <v>Код сельсовета</v>
      </c>
      <c r="F85" s="89" t="e">
        <f>#REF!</f>
        <v>#REF!</v>
      </c>
      <c r="G85" s="91" t="e">
        <f>#REF!</f>
        <v>#REF!</v>
      </c>
      <c r="H85" s="48" t="e">
        <f t="shared" si="29"/>
        <v>#REF!</v>
      </c>
      <c r="I85" s="48" t="e">
        <f t="shared" si="30"/>
        <v>#REF!</v>
      </c>
      <c r="J85" s="48" t="e">
        <f t="shared" si="31"/>
        <v>#REF!</v>
      </c>
      <c r="K85" s="49" t="e">
        <f t="shared" si="32"/>
        <v>#REF!</v>
      </c>
      <c r="L85" s="86" t="e">
        <f>#REF!+#REF!</f>
        <v>#REF!</v>
      </c>
      <c r="M85" s="71" t="e">
        <f>#REF!+#REF!</f>
        <v>#REF!</v>
      </c>
      <c r="N85" s="67" t="e">
        <f t="shared" si="33"/>
        <v>#REF!</v>
      </c>
      <c r="O85" s="68" t="e">
        <f t="shared" si="34"/>
        <v>#REF!</v>
      </c>
      <c r="P85" s="69" t="e">
        <f t="shared" si="35"/>
        <v>#REF!</v>
      </c>
      <c r="Q85" s="70" t="e">
        <f t="shared" si="36"/>
        <v>#REF!</v>
      </c>
      <c r="R85" s="70" t="e">
        <f t="shared" si="37"/>
        <v>#REF!</v>
      </c>
      <c r="S85" s="71" t="e">
        <f>#REF!</f>
        <v>#REF!</v>
      </c>
      <c r="T85" s="71" t="e">
        <f>#REF!</f>
        <v>#REF!</v>
      </c>
      <c r="U85" s="72" t="e">
        <f>#REF!</f>
        <v>#REF!</v>
      </c>
      <c r="V85" s="72" t="e">
        <f>#REF!</f>
        <v>#REF!</v>
      </c>
      <c r="W85" s="73" t="e">
        <f>#REF!</f>
        <v>#REF!</v>
      </c>
      <c r="X85" s="74" t="e">
        <f>#REF!</f>
        <v>#REF!</v>
      </c>
      <c r="Y85" s="217">
        <v>0</v>
      </c>
      <c r="Z85" s="217">
        <v>0</v>
      </c>
      <c r="AA85" s="74" t="e">
        <f>#REF!</f>
        <v>#REF!</v>
      </c>
      <c r="AB85" s="74" t="e">
        <f>#REF!</f>
        <v>#REF!</v>
      </c>
      <c r="AC85" s="74" t="e">
        <f>#REF!</f>
        <v>#REF!</v>
      </c>
      <c r="AD85" s="74" t="e">
        <f>#REF!</f>
        <v>#REF!</v>
      </c>
    </row>
    <row r="86" spans="1:31">
      <c r="A86">
        <f t="shared" si="38"/>
        <v>80</v>
      </c>
      <c r="B86" s="85" t="e">
        <f>#REF!</f>
        <v>#REF!</v>
      </c>
      <c r="C86" s="92" t="str">
        <f t="shared" si="28"/>
        <v>Код района</v>
      </c>
      <c r="D86" s="66" t="e">
        <f>#REF!</f>
        <v>#REF!</v>
      </c>
      <c r="E86" s="92" t="str">
        <f t="shared" si="27"/>
        <v>Код сельсовета</v>
      </c>
      <c r="F86" s="89" t="e">
        <f>#REF!</f>
        <v>#REF!</v>
      </c>
      <c r="G86" s="91" t="e">
        <f>#REF!</f>
        <v>#REF!</v>
      </c>
      <c r="H86" s="48" t="e">
        <f t="shared" si="29"/>
        <v>#REF!</v>
      </c>
      <c r="I86" s="48" t="e">
        <f t="shared" si="30"/>
        <v>#REF!</v>
      </c>
      <c r="J86" s="48" t="e">
        <f t="shared" si="31"/>
        <v>#REF!</v>
      </c>
      <c r="K86" s="49" t="e">
        <f t="shared" si="32"/>
        <v>#REF!</v>
      </c>
      <c r="L86" s="86" t="e">
        <f>#REF!+#REF!</f>
        <v>#REF!</v>
      </c>
      <c r="M86" s="71" t="e">
        <f>#REF!+#REF!</f>
        <v>#REF!</v>
      </c>
      <c r="N86" s="67" t="e">
        <f t="shared" si="33"/>
        <v>#REF!</v>
      </c>
      <c r="O86" s="68" t="e">
        <f t="shared" si="34"/>
        <v>#REF!</v>
      </c>
      <c r="P86" s="69" t="e">
        <f t="shared" si="35"/>
        <v>#REF!</v>
      </c>
      <c r="Q86" s="70" t="e">
        <f t="shared" si="36"/>
        <v>#REF!</v>
      </c>
      <c r="R86" s="70" t="e">
        <f t="shared" si="37"/>
        <v>#REF!</v>
      </c>
      <c r="S86" s="71" t="e">
        <f>#REF!</f>
        <v>#REF!</v>
      </c>
      <c r="T86" s="71" t="e">
        <f>#REF!</f>
        <v>#REF!</v>
      </c>
      <c r="U86" s="72" t="e">
        <f>#REF!</f>
        <v>#REF!</v>
      </c>
      <c r="V86" s="72" t="e">
        <f>#REF!</f>
        <v>#REF!</v>
      </c>
      <c r="W86" s="73" t="e">
        <f>#REF!</f>
        <v>#REF!</v>
      </c>
      <c r="X86" s="74" t="e">
        <f>#REF!</f>
        <v>#REF!</v>
      </c>
      <c r="Y86" s="217">
        <v>0</v>
      </c>
      <c r="Z86" s="217">
        <v>0</v>
      </c>
      <c r="AA86" s="74" t="e">
        <f>#REF!</f>
        <v>#REF!</v>
      </c>
      <c r="AB86" s="74" t="e">
        <f>#REF!</f>
        <v>#REF!</v>
      </c>
      <c r="AC86" s="74" t="e">
        <f>#REF!</f>
        <v>#REF!</v>
      </c>
      <c r="AD86" s="74" t="e">
        <f>#REF!</f>
        <v>#REF!</v>
      </c>
    </row>
    <row r="87" spans="1:31">
      <c r="A87">
        <f t="shared" si="38"/>
        <v>81</v>
      </c>
      <c r="B87" s="85" t="e">
        <f>#REF!</f>
        <v>#REF!</v>
      </c>
      <c r="C87" s="92" t="str">
        <f t="shared" si="28"/>
        <v>Код района</v>
      </c>
      <c r="D87" s="66" t="e">
        <f>#REF!</f>
        <v>#REF!</v>
      </c>
      <c r="E87" s="92" t="str">
        <f t="shared" si="27"/>
        <v>Код сельсовета</v>
      </c>
      <c r="F87" s="89" t="e">
        <f>#REF!</f>
        <v>#REF!</v>
      </c>
      <c r="G87" s="91" t="e">
        <f>#REF!</f>
        <v>#REF!</v>
      </c>
      <c r="H87" s="48" t="e">
        <f t="shared" si="29"/>
        <v>#REF!</v>
      </c>
      <c r="I87" s="48" t="e">
        <f t="shared" si="30"/>
        <v>#REF!</v>
      </c>
      <c r="J87" s="48" t="e">
        <f t="shared" si="31"/>
        <v>#REF!</v>
      </c>
      <c r="K87" s="49" t="e">
        <f t="shared" si="32"/>
        <v>#REF!</v>
      </c>
      <c r="L87" s="86" t="e">
        <f>#REF!+#REF!</f>
        <v>#REF!</v>
      </c>
      <c r="M87" s="71" t="e">
        <f>#REF!+#REF!</f>
        <v>#REF!</v>
      </c>
      <c r="N87" s="67" t="e">
        <f t="shared" si="33"/>
        <v>#REF!</v>
      </c>
      <c r="O87" s="68" t="e">
        <f t="shared" si="34"/>
        <v>#REF!</v>
      </c>
      <c r="P87" s="69" t="e">
        <f t="shared" si="35"/>
        <v>#REF!</v>
      </c>
      <c r="Q87" s="70" t="e">
        <f t="shared" si="36"/>
        <v>#REF!</v>
      </c>
      <c r="R87" s="70" t="e">
        <f t="shared" si="37"/>
        <v>#REF!</v>
      </c>
      <c r="S87" s="71" t="e">
        <f>#REF!</f>
        <v>#REF!</v>
      </c>
      <c r="T87" s="71" t="e">
        <f>#REF!</f>
        <v>#REF!</v>
      </c>
      <c r="U87" s="72" t="e">
        <f>#REF!</f>
        <v>#REF!</v>
      </c>
      <c r="V87" s="72" t="e">
        <f>#REF!</f>
        <v>#REF!</v>
      </c>
      <c r="W87" s="73" t="e">
        <f>#REF!</f>
        <v>#REF!</v>
      </c>
      <c r="X87" s="74" t="e">
        <f>#REF!</f>
        <v>#REF!</v>
      </c>
      <c r="Y87" s="217">
        <v>0</v>
      </c>
      <c r="Z87" s="217">
        <v>0</v>
      </c>
      <c r="AA87" s="74" t="e">
        <f>#REF!</f>
        <v>#REF!</v>
      </c>
      <c r="AB87" s="74" t="e">
        <f>#REF!</f>
        <v>#REF!</v>
      </c>
      <c r="AC87" s="74" t="e">
        <f>#REF!</f>
        <v>#REF!</v>
      </c>
      <c r="AD87" s="74" t="e">
        <f>#REF!</f>
        <v>#REF!</v>
      </c>
    </row>
    <row r="88" spans="1:31">
      <c r="A88">
        <f t="shared" si="38"/>
        <v>82</v>
      </c>
      <c r="B88" s="85" t="e">
        <f>#REF!</f>
        <v>#REF!</v>
      </c>
      <c r="C88" s="92" t="str">
        <f t="shared" si="28"/>
        <v>Код района</v>
      </c>
      <c r="D88" s="66" t="e">
        <f>#REF!</f>
        <v>#REF!</v>
      </c>
      <c r="E88" s="92" t="str">
        <f t="shared" si="27"/>
        <v>Код сельсовета</v>
      </c>
      <c r="F88" s="89" t="e">
        <f>#REF!</f>
        <v>#REF!</v>
      </c>
      <c r="G88" s="91" t="e">
        <f>#REF!</f>
        <v>#REF!</v>
      </c>
      <c r="H88" s="48" t="e">
        <f t="shared" si="29"/>
        <v>#REF!</v>
      </c>
      <c r="I88" s="48" t="e">
        <f t="shared" si="30"/>
        <v>#REF!</v>
      </c>
      <c r="J88" s="48" t="e">
        <f t="shared" si="31"/>
        <v>#REF!</v>
      </c>
      <c r="K88" s="49" t="e">
        <f t="shared" si="32"/>
        <v>#REF!</v>
      </c>
      <c r="L88" s="86" t="e">
        <f>#REF!+#REF!</f>
        <v>#REF!</v>
      </c>
      <c r="M88" s="71" t="e">
        <f>#REF!+#REF!</f>
        <v>#REF!</v>
      </c>
      <c r="N88" s="67" t="e">
        <f t="shared" si="33"/>
        <v>#REF!</v>
      </c>
      <c r="O88" s="68" t="e">
        <f t="shared" si="34"/>
        <v>#REF!</v>
      </c>
      <c r="P88" s="69" t="e">
        <f t="shared" si="35"/>
        <v>#REF!</v>
      </c>
      <c r="Q88" s="70" t="e">
        <f t="shared" si="36"/>
        <v>#REF!</v>
      </c>
      <c r="R88" s="70" t="e">
        <f t="shared" si="37"/>
        <v>#REF!</v>
      </c>
      <c r="S88" s="71" t="e">
        <f>#REF!</f>
        <v>#REF!</v>
      </c>
      <c r="T88" s="71" t="e">
        <f>#REF!</f>
        <v>#REF!</v>
      </c>
      <c r="U88" s="72" t="e">
        <f>#REF!</f>
        <v>#REF!</v>
      </c>
      <c r="V88" s="72" t="e">
        <f>#REF!</f>
        <v>#REF!</v>
      </c>
      <c r="W88" s="73" t="e">
        <f>#REF!</f>
        <v>#REF!</v>
      </c>
      <c r="X88" s="74" t="e">
        <f>#REF!</f>
        <v>#REF!</v>
      </c>
      <c r="Y88" s="217">
        <v>0</v>
      </c>
      <c r="Z88" s="217">
        <v>0</v>
      </c>
      <c r="AA88" s="74" t="e">
        <f>#REF!</f>
        <v>#REF!</v>
      </c>
      <c r="AB88" s="74" t="e">
        <f>#REF!</f>
        <v>#REF!</v>
      </c>
      <c r="AC88" s="74" t="e">
        <f>#REF!</f>
        <v>#REF!</v>
      </c>
      <c r="AD88" s="74" t="e">
        <f>#REF!</f>
        <v>#REF!</v>
      </c>
    </row>
    <row r="89" spans="1:31">
      <c r="A89">
        <f t="shared" si="38"/>
        <v>83</v>
      </c>
      <c r="B89" s="85" t="e">
        <f>#REF!</f>
        <v>#REF!</v>
      </c>
      <c r="C89" s="92" t="str">
        <f t="shared" si="28"/>
        <v>Код района</v>
      </c>
      <c r="D89" s="66" t="e">
        <f>#REF!</f>
        <v>#REF!</v>
      </c>
      <c r="E89" s="92" t="str">
        <f t="shared" si="27"/>
        <v>Код сельсовета</v>
      </c>
      <c r="F89" s="89" t="e">
        <f>#REF!</f>
        <v>#REF!</v>
      </c>
      <c r="G89" s="91" t="e">
        <f>#REF!</f>
        <v>#REF!</v>
      </c>
      <c r="H89" s="48" t="e">
        <f t="shared" si="29"/>
        <v>#REF!</v>
      </c>
      <c r="I89" s="48" t="e">
        <f t="shared" si="30"/>
        <v>#REF!</v>
      </c>
      <c r="J89" s="48" t="e">
        <f t="shared" si="31"/>
        <v>#REF!</v>
      </c>
      <c r="K89" s="49" t="e">
        <f t="shared" si="32"/>
        <v>#REF!</v>
      </c>
      <c r="L89" s="86" t="e">
        <f>#REF!+#REF!</f>
        <v>#REF!</v>
      </c>
      <c r="M89" s="71" t="e">
        <f>#REF!+#REF!</f>
        <v>#REF!</v>
      </c>
      <c r="N89" s="67" t="e">
        <f t="shared" si="33"/>
        <v>#REF!</v>
      </c>
      <c r="O89" s="68" t="e">
        <f t="shared" si="34"/>
        <v>#REF!</v>
      </c>
      <c r="P89" s="69" t="e">
        <f t="shared" si="35"/>
        <v>#REF!</v>
      </c>
      <c r="Q89" s="70" t="e">
        <f t="shared" si="36"/>
        <v>#REF!</v>
      </c>
      <c r="R89" s="70" t="e">
        <f t="shared" si="37"/>
        <v>#REF!</v>
      </c>
      <c r="S89" s="71" t="e">
        <f>#REF!</f>
        <v>#REF!</v>
      </c>
      <c r="T89" s="71" t="e">
        <f>#REF!</f>
        <v>#REF!</v>
      </c>
      <c r="U89" s="72" t="e">
        <f>#REF!</f>
        <v>#REF!</v>
      </c>
      <c r="V89" s="72" t="e">
        <f>#REF!</f>
        <v>#REF!</v>
      </c>
      <c r="W89" s="73" t="e">
        <f>#REF!</f>
        <v>#REF!</v>
      </c>
      <c r="X89" s="74" t="e">
        <f>#REF!</f>
        <v>#REF!</v>
      </c>
      <c r="Y89" s="217">
        <v>0</v>
      </c>
      <c r="Z89" s="217">
        <v>0</v>
      </c>
      <c r="AA89" s="74" t="e">
        <f>#REF!</f>
        <v>#REF!</v>
      </c>
      <c r="AB89" s="74" t="e">
        <f>#REF!</f>
        <v>#REF!</v>
      </c>
      <c r="AC89" s="74" t="e">
        <f>#REF!</f>
        <v>#REF!</v>
      </c>
      <c r="AD89" s="74" t="e">
        <f>#REF!</f>
        <v>#REF!</v>
      </c>
    </row>
    <row r="90" spans="1:31">
      <c r="A90">
        <f t="shared" si="38"/>
        <v>84</v>
      </c>
      <c r="B90" s="85" t="e">
        <f>#REF!</f>
        <v>#REF!</v>
      </c>
      <c r="C90" s="92" t="str">
        <f t="shared" si="28"/>
        <v>Код района</v>
      </c>
      <c r="D90" s="66" t="e">
        <f>#REF!</f>
        <v>#REF!</v>
      </c>
      <c r="E90" s="92" t="str">
        <f t="shared" si="27"/>
        <v>Код сельсовета</v>
      </c>
      <c r="F90" s="89" t="e">
        <f>#REF!</f>
        <v>#REF!</v>
      </c>
      <c r="G90" s="91" t="e">
        <f>#REF!</f>
        <v>#REF!</v>
      </c>
      <c r="H90" s="48" t="e">
        <f t="shared" si="29"/>
        <v>#REF!</v>
      </c>
      <c r="I90" s="48" t="e">
        <f t="shared" si="30"/>
        <v>#REF!</v>
      </c>
      <c r="J90" s="48" t="e">
        <f t="shared" si="31"/>
        <v>#REF!</v>
      </c>
      <c r="K90" s="49" t="e">
        <f t="shared" si="32"/>
        <v>#REF!</v>
      </c>
      <c r="L90" s="86" t="e">
        <f>#REF!+#REF!</f>
        <v>#REF!</v>
      </c>
      <c r="M90" s="71" t="e">
        <f>#REF!+#REF!</f>
        <v>#REF!</v>
      </c>
      <c r="N90" s="67" t="e">
        <f t="shared" si="33"/>
        <v>#REF!</v>
      </c>
      <c r="O90" s="68" t="e">
        <f t="shared" si="34"/>
        <v>#REF!</v>
      </c>
      <c r="P90" s="69" t="e">
        <f t="shared" si="35"/>
        <v>#REF!</v>
      </c>
      <c r="Q90" s="70" t="e">
        <f t="shared" si="36"/>
        <v>#REF!</v>
      </c>
      <c r="R90" s="70" t="e">
        <f t="shared" si="37"/>
        <v>#REF!</v>
      </c>
      <c r="S90" s="71" t="e">
        <f>#REF!</f>
        <v>#REF!</v>
      </c>
      <c r="T90" s="71" t="e">
        <f>#REF!</f>
        <v>#REF!</v>
      </c>
      <c r="U90" s="72" t="e">
        <f>#REF!</f>
        <v>#REF!</v>
      </c>
      <c r="V90" s="72" t="e">
        <f>#REF!</f>
        <v>#REF!</v>
      </c>
      <c r="W90" s="73" t="e">
        <f>#REF!</f>
        <v>#REF!</v>
      </c>
      <c r="X90" s="74" t="e">
        <f>#REF!</f>
        <v>#REF!</v>
      </c>
      <c r="Y90" s="217">
        <v>0</v>
      </c>
      <c r="Z90" s="217">
        <v>0</v>
      </c>
      <c r="AA90" s="74" t="e">
        <f>#REF!</f>
        <v>#REF!</v>
      </c>
      <c r="AB90" s="74" t="e">
        <f>#REF!</f>
        <v>#REF!</v>
      </c>
      <c r="AC90" s="74" t="e">
        <f>#REF!</f>
        <v>#REF!</v>
      </c>
      <c r="AD90" s="74" t="e">
        <f>#REF!</f>
        <v>#REF!</v>
      </c>
    </row>
    <row r="91" spans="1:31">
      <c r="A91">
        <f t="shared" si="38"/>
        <v>85</v>
      </c>
      <c r="B91" s="85" t="e">
        <f>#REF!</f>
        <v>#REF!</v>
      </c>
      <c r="C91" s="92" t="str">
        <f t="shared" si="28"/>
        <v>Код района</v>
      </c>
      <c r="D91" s="66" t="e">
        <f>#REF!</f>
        <v>#REF!</v>
      </c>
      <c r="E91" s="92" t="str">
        <f t="shared" si="27"/>
        <v>Код сельсовета</v>
      </c>
      <c r="F91" s="89" t="e">
        <f>#REF!</f>
        <v>#REF!</v>
      </c>
      <c r="G91" s="91" t="e">
        <f>#REF!</f>
        <v>#REF!</v>
      </c>
      <c r="H91" s="48" t="e">
        <f t="shared" si="29"/>
        <v>#REF!</v>
      </c>
      <c r="I91" s="48" t="e">
        <f t="shared" si="30"/>
        <v>#REF!</v>
      </c>
      <c r="J91" s="48" t="e">
        <f t="shared" si="31"/>
        <v>#REF!</v>
      </c>
      <c r="K91" s="49" t="e">
        <f t="shared" si="32"/>
        <v>#REF!</v>
      </c>
      <c r="L91" s="86" t="e">
        <f>#REF!+#REF!</f>
        <v>#REF!</v>
      </c>
      <c r="M91" s="71" t="e">
        <f>#REF!+#REF!</f>
        <v>#REF!</v>
      </c>
      <c r="N91" s="67" t="e">
        <f t="shared" si="33"/>
        <v>#REF!</v>
      </c>
      <c r="O91" s="68" t="e">
        <f t="shared" si="34"/>
        <v>#REF!</v>
      </c>
      <c r="P91" s="69" t="e">
        <f t="shared" si="35"/>
        <v>#REF!</v>
      </c>
      <c r="Q91" s="70" t="e">
        <f t="shared" si="36"/>
        <v>#REF!</v>
      </c>
      <c r="R91" s="70" t="e">
        <f t="shared" si="37"/>
        <v>#REF!</v>
      </c>
      <c r="S91" s="71" t="e">
        <f>#REF!</f>
        <v>#REF!</v>
      </c>
      <c r="T91" s="71" t="e">
        <f>#REF!</f>
        <v>#REF!</v>
      </c>
      <c r="U91" s="72" t="e">
        <f>#REF!</f>
        <v>#REF!</v>
      </c>
      <c r="V91" s="72" t="e">
        <f>#REF!</f>
        <v>#REF!</v>
      </c>
      <c r="W91" s="73" t="e">
        <f>#REF!</f>
        <v>#REF!</v>
      </c>
      <c r="X91" s="74" t="e">
        <f>#REF!</f>
        <v>#REF!</v>
      </c>
      <c r="Y91" s="217">
        <v>0</v>
      </c>
      <c r="Z91" s="217">
        <v>0</v>
      </c>
      <c r="AA91" s="74" t="e">
        <f>#REF!</f>
        <v>#REF!</v>
      </c>
      <c r="AB91" s="74" t="e">
        <f>#REF!</f>
        <v>#REF!</v>
      </c>
      <c r="AC91" s="74" t="e">
        <f>#REF!</f>
        <v>#REF!</v>
      </c>
      <c r="AD91" s="74" t="e">
        <f>#REF!</f>
        <v>#REF!</v>
      </c>
    </row>
    <row r="92" spans="1:31">
      <c r="A92">
        <f t="shared" si="38"/>
        <v>86</v>
      </c>
      <c r="B92" s="85" t="e">
        <f>#REF!</f>
        <v>#REF!</v>
      </c>
      <c r="C92" s="92" t="str">
        <f t="shared" si="28"/>
        <v>Код района</v>
      </c>
      <c r="D92" s="66" t="e">
        <f>#REF!</f>
        <v>#REF!</v>
      </c>
      <c r="E92" s="92" t="str">
        <f t="shared" si="27"/>
        <v>Код сельсовета</v>
      </c>
      <c r="F92" s="89" t="e">
        <f>#REF!</f>
        <v>#REF!</v>
      </c>
      <c r="G92" s="91" t="e">
        <f>#REF!</f>
        <v>#REF!</v>
      </c>
      <c r="H92" s="48" t="e">
        <f t="shared" si="29"/>
        <v>#REF!</v>
      </c>
      <c r="I92" s="48" t="e">
        <f t="shared" si="30"/>
        <v>#REF!</v>
      </c>
      <c r="J92" s="48" t="e">
        <f t="shared" si="31"/>
        <v>#REF!</v>
      </c>
      <c r="K92" s="49" t="e">
        <f t="shared" si="32"/>
        <v>#REF!</v>
      </c>
      <c r="L92" s="86" t="e">
        <f>#REF!+#REF!</f>
        <v>#REF!</v>
      </c>
      <c r="M92" s="71" t="e">
        <f>#REF!+#REF!</f>
        <v>#REF!</v>
      </c>
      <c r="N92" s="67" t="e">
        <f t="shared" si="33"/>
        <v>#REF!</v>
      </c>
      <c r="O92" s="68" t="e">
        <f t="shared" si="34"/>
        <v>#REF!</v>
      </c>
      <c r="P92" s="69" t="e">
        <f t="shared" si="35"/>
        <v>#REF!</v>
      </c>
      <c r="Q92" s="70" t="e">
        <f t="shared" si="36"/>
        <v>#REF!</v>
      </c>
      <c r="R92" s="70" t="e">
        <f t="shared" si="37"/>
        <v>#REF!</v>
      </c>
      <c r="S92" s="71" t="e">
        <f>#REF!</f>
        <v>#REF!</v>
      </c>
      <c r="T92" s="71" t="e">
        <f>#REF!</f>
        <v>#REF!</v>
      </c>
      <c r="U92" s="72" t="e">
        <f>#REF!</f>
        <v>#REF!</v>
      </c>
      <c r="V92" s="72" t="e">
        <f>#REF!</f>
        <v>#REF!</v>
      </c>
      <c r="W92" s="73" t="e">
        <f>#REF!</f>
        <v>#REF!</v>
      </c>
      <c r="X92" s="74" t="e">
        <f>#REF!</f>
        <v>#REF!</v>
      </c>
      <c r="Y92" s="217">
        <v>0</v>
      </c>
      <c r="Z92" s="217">
        <v>0</v>
      </c>
      <c r="AA92" s="74" t="e">
        <f>#REF!</f>
        <v>#REF!</v>
      </c>
      <c r="AB92" s="74" t="e">
        <f>#REF!</f>
        <v>#REF!</v>
      </c>
      <c r="AC92" s="74" t="e">
        <f>#REF!</f>
        <v>#REF!</v>
      </c>
      <c r="AD92" s="74" t="e">
        <f>#REF!</f>
        <v>#REF!</v>
      </c>
    </row>
    <row r="93" spans="1:31" s="797" customFormat="1">
      <c r="A93">
        <f t="shared" si="38"/>
        <v>87</v>
      </c>
      <c r="B93" s="85" t="e">
        <f>#REF!</f>
        <v>#REF!</v>
      </c>
      <c r="C93" s="92" t="str">
        <f t="shared" si="28"/>
        <v>Код района</v>
      </c>
      <c r="D93" s="66" t="e">
        <f>#REF!</f>
        <v>#REF!</v>
      </c>
      <c r="E93" s="92" t="str">
        <f t="shared" si="27"/>
        <v>Код сельсовета</v>
      </c>
      <c r="F93" s="89" t="e">
        <f>#REF!</f>
        <v>#REF!</v>
      </c>
      <c r="G93" s="91" t="e">
        <f>#REF!</f>
        <v>#REF!</v>
      </c>
      <c r="H93" s="48" t="e">
        <f t="shared" si="29"/>
        <v>#REF!</v>
      </c>
      <c r="I93" s="48" t="e">
        <f t="shared" si="30"/>
        <v>#REF!</v>
      </c>
      <c r="J93" s="48" t="e">
        <f t="shared" si="31"/>
        <v>#REF!</v>
      </c>
      <c r="K93" s="49" t="e">
        <f t="shared" si="32"/>
        <v>#REF!</v>
      </c>
      <c r="L93" s="86" t="e">
        <f>#REF!+#REF!</f>
        <v>#REF!</v>
      </c>
      <c r="M93" s="71" t="e">
        <f>#REF!+#REF!</f>
        <v>#REF!</v>
      </c>
      <c r="N93" s="67" t="e">
        <f t="shared" si="33"/>
        <v>#REF!</v>
      </c>
      <c r="O93" s="68" t="e">
        <f t="shared" si="34"/>
        <v>#REF!</v>
      </c>
      <c r="P93" s="69" t="e">
        <f t="shared" si="35"/>
        <v>#REF!</v>
      </c>
      <c r="Q93" s="70" t="e">
        <f t="shared" si="36"/>
        <v>#REF!</v>
      </c>
      <c r="R93" s="70" t="e">
        <f t="shared" si="37"/>
        <v>#REF!</v>
      </c>
      <c r="S93" s="71" t="e">
        <f>#REF!</f>
        <v>#REF!</v>
      </c>
      <c r="T93" s="71" t="e">
        <f>#REF!</f>
        <v>#REF!</v>
      </c>
      <c r="U93" s="72" t="e">
        <f>#REF!</f>
        <v>#REF!</v>
      </c>
      <c r="V93" s="72" t="e">
        <f>#REF!</f>
        <v>#REF!</v>
      </c>
      <c r="W93" s="73" t="e">
        <f>#REF!</f>
        <v>#REF!</v>
      </c>
      <c r="X93" s="74" t="e">
        <f>#REF!</f>
        <v>#REF!</v>
      </c>
      <c r="Y93" s="217">
        <v>0</v>
      </c>
      <c r="Z93" s="217">
        <v>0</v>
      </c>
      <c r="AA93" s="74" t="e">
        <f>#REF!</f>
        <v>#REF!</v>
      </c>
      <c r="AB93" s="74" t="e">
        <f>#REF!</f>
        <v>#REF!</v>
      </c>
      <c r="AC93" s="74" t="e">
        <f>#REF!</f>
        <v>#REF!</v>
      </c>
      <c r="AD93" s="74" t="e">
        <f>#REF!</f>
        <v>#REF!</v>
      </c>
      <c r="AE93" s="798">
        <v>4926.6000000000004</v>
      </c>
    </row>
    <row r="94" spans="1:31" s="797" customFormat="1">
      <c r="A94">
        <f t="shared" si="38"/>
        <v>88</v>
      </c>
      <c r="B94" s="85" t="e">
        <f>#REF!</f>
        <v>#REF!</v>
      </c>
      <c r="C94" s="92" t="str">
        <f t="shared" si="28"/>
        <v>Код района</v>
      </c>
      <c r="D94" s="66" t="e">
        <f>#REF!</f>
        <v>#REF!</v>
      </c>
      <c r="E94" s="92" t="str">
        <f t="shared" si="27"/>
        <v>Код сельсовета</v>
      </c>
      <c r="F94" s="89" t="e">
        <f>#REF!</f>
        <v>#REF!</v>
      </c>
      <c r="G94" s="91" t="e">
        <f>#REF!</f>
        <v>#REF!</v>
      </c>
      <c r="H94" s="48" t="e">
        <f t="shared" si="29"/>
        <v>#REF!</v>
      </c>
      <c r="I94" s="48" t="e">
        <f t="shared" si="30"/>
        <v>#REF!</v>
      </c>
      <c r="J94" s="48" t="e">
        <f t="shared" si="31"/>
        <v>#REF!</v>
      </c>
      <c r="K94" s="49" t="e">
        <f t="shared" si="32"/>
        <v>#REF!</v>
      </c>
      <c r="L94" s="86" t="e">
        <f>#REF!+#REF!</f>
        <v>#REF!</v>
      </c>
      <c r="M94" s="71" t="e">
        <f>#REF!+#REF!</f>
        <v>#REF!</v>
      </c>
      <c r="N94" s="67" t="e">
        <f t="shared" si="33"/>
        <v>#REF!</v>
      </c>
      <c r="O94" s="68" t="e">
        <f t="shared" si="34"/>
        <v>#REF!</v>
      </c>
      <c r="P94" s="69" t="e">
        <f t="shared" si="35"/>
        <v>#REF!</v>
      </c>
      <c r="Q94" s="70" t="e">
        <f t="shared" si="36"/>
        <v>#REF!</v>
      </c>
      <c r="R94" s="70" t="e">
        <f t="shared" si="37"/>
        <v>#REF!</v>
      </c>
      <c r="S94" s="71" t="e">
        <f>#REF!</f>
        <v>#REF!</v>
      </c>
      <c r="T94" s="71" t="e">
        <f>#REF!</f>
        <v>#REF!</v>
      </c>
      <c r="U94" s="72" t="e">
        <f>#REF!</f>
        <v>#REF!</v>
      </c>
      <c r="V94" s="72" t="e">
        <f>#REF!</f>
        <v>#REF!</v>
      </c>
      <c r="W94" s="73" t="e">
        <f>#REF!</f>
        <v>#REF!</v>
      </c>
      <c r="X94" s="74" t="e">
        <f>#REF!</f>
        <v>#REF!</v>
      </c>
      <c r="Y94" s="217">
        <v>0</v>
      </c>
      <c r="Z94" s="217">
        <v>0</v>
      </c>
      <c r="AA94" s="74" t="e">
        <f>#REF!</f>
        <v>#REF!</v>
      </c>
      <c r="AB94" s="74" t="e">
        <f>#REF!</f>
        <v>#REF!</v>
      </c>
      <c r="AC94" s="74" t="e">
        <f>#REF!</f>
        <v>#REF!</v>
      </c>
      <c r="AD94" s="74" t="e">
        <f>#REF!</f>
        <v>#REF!</v>
      </c>
      <c r="AE94" s="798">
        <v>2901.7</v>
      </c>
    </row>
    <row r="95" spans="1:31" s="797" customFormat="1">
      <c r="A95">
        <f t="shared" si="38"/>
        <v>89</v>
      </c>
      <c r="B95" s="85" t="e">
        <f>#REF!</f>
        <v>#REF!</v>
      </c>
      <c r="C95" s="92" t="str">
        <f t="shared" si="28"/>
        <v>Код района</v>
      </c>
      <c r="D95" s="66" t="e">
        <f>#REF!</f>
        <v>#REF!</v>
      </c>
      <c r="E95" s="92" t="str">
        <f t="shared" si="27"/>
        <v>Код сельсовета</v>
      </c>
      <c r="F95" s="89" t="e">
        <f>#REF!</f>
        <v>#REF!</v>
      </c>
      <c r="G95" s="91" t="e">
        <f>#REF!</f>
        <v>#REF!</v>
      </c>
      <c r="H95" s="48" t="e">
        <f t="shared" si="29"/>
        <v>#REF!</v>
      </c>
      <c r="I95" s="48" t="e">
        <f t="shared" si="30"/>
        <v>#REF!</v>
      </c>
      <c r="J95" s="48" t="e">
        <f t="shared" si="31"/>
        <v>#REF!</v>
      </c>
      <c r="K95" s="49" t="e">
        <f t="shared" si="32"/>
        <v>#REF!</v>
      </c>
      <c r="L95" s="86" t="e">
        <f>#REF!+#REF!</f>
        <v>#REF!</v>
      </c>
      <c r="M95" s="71" t="e">
        <f>#REF!+#REF!</f>
        <v>#REF!</v>
      </c>
      <c r="N95" s="67" t="e">
        <f t="shared" si="33"/>
        <v>#REF!</v>
      </c>
      <c r="O95" s="68" t="e">
        <f t="shared" si="34"/>
        <v>#REF!</v>
      </c>
      <c r="P95" s="69" t="e">
        <f t="shared" si="35"/>
        <v>#REF!</v>
      </c>
      <c r="Q95" s="70" t="e">
        <f t="shared" si="36"/>
        <v>#REF!</v>
      </c>
      <c r="R95" s="70" t="e">
        <f t="shared" si="37"/>
        <v>#REF!</v>
      </c>
      <c r="S95" s="71" t="e">
        <f>#REF!</f>
        <v>#REF!</v>
      </c>
      <c r="T95" s="71" t="e">
        <f>#REF!</f>
        <v>#REF!</v>
      </c>
      <c r="U95" s="72" t="e">
        <f>#REF!</f>
        <v>#REF!</v>
      </c>
      <c r="V95" s="72" t="e">
        <f>#REF!</f>
        <v>#REF!</v>
      </c>
      <c r="W95" s="73" t="e">
        <f>#REF!</f>
        <v>#REF!</v>
      </c>
      <c r="X95" s="74" t="e">
        <f>#REF!</f>
        <v>#REF!</v>
      </c>
      <c r="Y95" s="217">
        <v>0</v>
      </c>
      <c r="Z95" s="217">
        <v>0</v>
      </c>
      <c r="AA95" s="74" t="e">
        <f>#REF!</f>
        <v>#REF!</v>
      </c>
      <c r="AB95" s="74" t="e">
        <f>#REF!</f>
        <v>#REF!</v>
      </c>
      <c r="AC95" s="74" t="e">
        <f>#REF!</f>
        <v>#REF!</v>
      </c>
      <c r="AD95" s="74" t="e">
        <f>#REF!</f>
        <v>#REF!</v>
      </c>
      <c r="AE95" s="798">
        <v>1278.5999999999999</v>
      </c>
    </row>
    <row r="96" spans="1:31" customFormat="1">
      <c r="A96">
        <f t="shared" si="38"/>
        <v>90</v>
      </c>
      <c r="B96" s="85" t="e">
        <f>#REF!</f>
        <v>#REF!</v>
      </c>
      <c r="C96" s="92" t="str">
        <f t="shared" si="28"/>
        <v>Код района</v>
      </c>
      <c r="D96" s="66" t="e">
        <f>#REF!</f>
        <v>#REF!</v>
      </c>
      <c r="E96" s="92" t="str">
        <f t="shared" si="27"/>
        <v>Код сельсовета</v>
      </c>
      <c r="F96" s="89" t="e">
        <f>#REF!</f>
        <v>#REF!</v>
      </c>
      <c r="G96" s="91" t="e">
        <f>#REF!</f>
        <v>#REF!</v>
      </c>
      <c r="H96" s="48" t="e">
        <f t="shared" si="29"/>
        <v>#REF!</v>
      </c>
      <c r="I96" s="48" t="e">
        <f t="shared" si="30"/>
        <v>#REF!</v>
      </c>
      <c r="J96" s="48" t="e">
        <f t="shared" si="31"/>
        <v>#REF!</v>
      </c>
      <c r="K96" s="49" t="e">
        <f t="shared" si="32"/>
        <v>#REF!</v>
      </c>
      <c r="L96" s="86" t="e">
        <f>#REF!+#REF!</f>
        <v>#REF!</v>
      </c>
      <c r="M96" s="71" t="e">
        <f>#REF!+#REF!</f>
        <v>#REF!</v>
      </c>
      <c r="N96" s="67" t="e">
        <f t="shared" si="33"/>
        <v>#REF!</v>
      </c>
      <c r="O96" s="68" t="e">
        <f t="shared" si="34"/>
        <v>#REF!</v>
      </c>
      <c r="P96" s="69" t="e">
        <f t="shared" si="35"/>
        <v>#REF!</v>
      </c>
      <c r="Q96" s="70" t="e">
        <f t="shared" si="36"/>
        <v>#REF!</v>
      </c>
      <c r="R96" s="70" t="e">
        <f t="shared" si="37"/>
        <v>#REF!</v>
      </c>
      <c r="S96" s="71" t="e">
        <f>#REF!</f>
        <v>#REF!</v>
      </c>
      <c r="T96" s="71" t="e">
        <f>#REF!</f>
        <v>#REF!</v>
      </c>
      <c r="U96" s="72" t="e">
        <f>#REF!</f>
        <v>#REF!</v>
      </c>
      <c r="V96" s="72" t="e">
        <f>#REF!</f>
        <v>#REF!</v>
      </c>
      <c r="W96" s="73" t="e">
        <f>#REF!</f>
        <v>#REF!</v>
      </c>
      <c r="X96" s="74" t="e">
        <f>#REF!</f>
        <v>#REF!</v>
      </c>
      <c r="Y96" s="217">
        <v>0</v>
      </c>
      <c r="Z96" s="217">
        <v>0</v>
      </c>
      <c r="AA96" s="74" t="e">
        <f>#REF!</f>
        <v>#REF!</v>
      </c>
      <c r="AB96" s="74" t="e">
        <f>#REF!</f>
        <v>#REF!</v>
      </c>
      <c r="AC96" s="74" t="e">
        <f>#REF!</f>
        <v>#REF!</v>
      </c>
      <c r="AD96" s="74" t="e">
        <f>#REF!</f>
        <v>#REF!</v>
      </c>
      <c r="AE96">
        <f>SUM(AE93:AE95)</f>
        <v>9106.9</v>
      </c>
    </row>
    <row r="97" spans="1:31" customFormat="1">
      <c r="A97">
        <f t="shared" si="38"/>
        <v>91</v>
      </c>
      <c r="B97" s="85" t="e">
        <f>#REF!</f>
        <v>#REF!</v>
      </c>
      <c r="C97" s="92" t="str">
        <f t="shared" si="28"/>
        <v>Код района</v>
      </c>
      <c r="D97" s="66" t="e">
        <f>#REF!</f>
        <v>#REF!</v>
      </c>
      <c r="E97" s="92" t="str">
        <f t="shared" si="27"/>
        <v>Код сельсовета</v>
      </c>
      <c r="F97" s="89" t="e">
        <f>#REF!</f>
        <v>#REF!</v>
      </c>
      <c r="G97" s="91" t="e">
        <f>#REF!</f>
        <v>#REF!</v>
      </c>
      <c r="H97" s="48" t="e">
        <f t="shared" si="29"/>
        <v>#REF!</v>
      </c>
      <c r="I97" s="48" t="e">
        <f t="shared" si="30"/>
        <v>#REF!</v>
      </c>
      <c r="J97" s="48" t="e">
        <f t="shared" si="31"/>
        <v>#REF!</v>
      </c>
      <c r="K97" s="49" t="e">
        <f t="shared" si="32"/>
        <v>#REF!</v>
      </c>
      <c r="L97" s="86" t="e">
        <f>#REF!+#REF!</f>
        <v>#REF!</v>
      </c>
      <c r="M97" s="71" t="e">
        <f>#REF!+#REF!</f>
        <v>#REF!</v>
      </c>
      <c r="N97" s="67" t="e">
        <f t="shared" si="33"/>
        <v>#REF!</v>
      </c>
      <c r="O97" s="68" t="e">
        <f t="shared" si="34"/>
        <v>#REF!</v>
      </c>
      <c r="P97" s="69" t="e">
        <f t="shared" si="35"/>
        <v>#REF!</v>
      </c>
      <c r="Q97" s="70" t="e">
        <f t="shared" si="36"/>
        <v>#REF!</v>
      </c>
      <c r="R97" s="70" t="e">
        <f t="shared" si="37"/>
        <v>#REF!</v>
      </c>
      <c r="S97" s="71" t="e">
        <f>#REF!</f>
        <v>#REF!</v>
      </c>
      <c r="T97" s="71" t="e">
        <f>#REF!</f>
        <v>#REF!</v>
      </c>
      <c r="U97" s="72" t="e">
        <f>#REF!</f>
        <v>#REF!</v>
      </c>
      <c r="V97" s="72" t="e">
        <f>#REF!</f>
        <v>#REF!</v>
      </c>
      <c r="W97" s="73" t="e">
        <f>#REF!</f>
        <v>#REF!</v>
      </c>
      <c r="X97" s="74" t="e">
        <f>#REF!</f>
        <v>#REF!</v>
      </c>
      <c r="Y97" s="217">
        <v>0</v>
      </c>
      <c r="Z97" s="217">
        <v>0</v>
      </c>
      <c r="AA97" s="74" t="e">
        <f>#REF!</f>
        <v>#REF!</v>
      </c>
      <c r="AB97" s="74" t="e">
        <f>#REF!</f>
        <v>#REF!</v>
      </c>
      <c r="AC97" s="74" t="e">
        <f>#REF!</f>
        <v>#REF!</v>
      </c>
      <c r="AD97" s="74" t="e">
        <f>#REF!</f>
        <v>#REF!</v>
      </c>
    </row>
    <row r="98" spans="1:31" customFormat="1">
      <c r="A98">
        <f t="shared" si="38"/>
        <v>92</v>
      </c>
      <c r="B98" s="85" t="e">
        <f>#REF!</f>
        <v>#REF!</v>
      </c>
      <c r="C98" s="92" t="str">
        <f t="shared" si="28"/>
        <v>Код района</v>
      </c>
      <c r="D98" s="66" t="e">
        <f>#REF!</f>
        <v>#REF!</v>
      </c>
      <c r="E98" s="92" t="str">
        <f t="shared" si="27"/>
        <v>Код сельсовета</v>
      </c>
      <c r="F98" s="89" t="e">
        <f>#REF!</f>
        <v>#REF!</v>
      </c>
      <c r="G98" s="91" t="e">
        <f>#REF!</f>
        <v>#REF!</v>
      </c>
      <c r="H98" s="48" t="e">
        <f t="shared" si="29"/>
        <v>#REF!</v>
      </c>
      <c r="I98" s="48" t="e">
        <f t="shared" si="30"/>
        <v>#REF!</v>
      </c>
      <c r="J98" s="48" t="e">
        <f t="shared" si="31"/>
        <v>#REF!</v>
      </c>
      <c r="K98" s="49" t="e">
        <f t="shared" si="32"/>
        <v>#REF!</v>
      </c>
      <c r="L98" s="86" t="e">
        <f>#REF!+#REF!</f>
        <v>#REF!</v>
      </c>
      <c r="M98" s="71" t="e">
        <f>#REF!+#REF!</f>
        <v>#REF!</v>
      </c>
      <c r="N98" s="67" t="e">
        <f t="shared" si="33"/>
        <v>#REF!</v>
      </c>
      <c r="O98" s="68" t="e">
        <f t="shared" si="34"/>
        <v>#REF!</v>
      </c>
      <c r="P98" s="69" t="e">
        <f t="shared" si="35"/>
        <v>#REF!</v>
      </c>
      <c r="Q98" s="70" t="e">
        <f t="shared" si="36"/>
        <v>#REF!</v>
      </c>
      <c r="R98" s="70" t="e">
        <f t="shared" si="37"/>
        <v>#REF!</v>
      </c>
      <c r="S98" s="71" t="e">
        <f>#REF!</f>
        <v>#REF!</v>
      </c>
      <c r="T98" s="71" t="e">
        <f>#REF!</f>
        <v>#REF!</v>
      </c>
      <c r="U98" s="72" t="e">
        <f>#REF!</f>
        <v>#REF!</v>
      </c>
      <c r="V98" s="72" t="e">
        <f>#REF!</f>
        <v>#REF!</v>
      </c>
      <c r="W98" s="73" t="e">
        <f>#REF!</f>
        <v>#REF!</v>
      </c>
      <c r="X98" s="74" t="e">
        <f>#REF!</f>
        <v>#REF!</v>
      </c>
      <c r="Y98" s="217">
        <v>0</v>
      </c>
      <c r="Z98" s="217">
        <v>0</v>
      </c>
      <c r="AA98" s="74" t="e">
        <f>#REF!</f>
        <v>#REF!</v>
      </c>
      <c r="AB98" s="74" t="e">
        <f>#REF!</f>
        <v>#REF!</v>
      </c>
      <c r="AC98" s="74" t="e">
        <f>#REF!</f>
        <v>#REF!</v>
      </c>
      <c r="AD98" s="74" t="e">
        <f>#REF!</f>
        <v>#REF!</v>
      </c>
    </row>
    <row r="99" spans="1:31" customFormat="1">
      <c r="A99">
        <f t="shared" si="38"/>
        <v>93</v>
      </c>
      <c r="B99" s="85" t="e">
        <f>#REF!</f>
        <v>#REF!</v>
      </c>
      <c r="C99" s="92" t="str">
        <f t="shared" si="28"/>
        <v>Код района</v>
      </c>
      <c r="D99" s="66" t="e">
        <f>#REF!</f>
        <v>#REF!</v>
      </c>
      <c r="E99" s="92" t="str">
        <f t="shared" si="27"/>
        <v>Код сельсовета</v>
      </c>
      <c r="F99" s="89" t="e">
        <f>#REF!</f>
        <v>#REF!</v>
      </c>
      <c r="G99" s="91" t="e">
        <f>#REF!</f>
        <v>#REF!</v>
      </c>
      <c r="H99" s="48" t="e">
        <f t="shared" si="29"/>
        <v>#REF!</v>
      </c>
      <c r="I99" s="48" t="e">
        <f t="shared" si="30"/>
        <v>#REF!</v>
      </c>
      <c r="J99" s="48" t="e">
        <f t="shared" si="31"/>
        <v>#REF!</v>
      </c>
      <c r="K99" s="49" t="e">
        <f t="shared" si="32"/>
        <v>#REF!</v>
      </c>
      <c r="L99" s="86" t="e">
        <f>#REF!+#REF!</f>
        <v>#REF!</v>
      </c>
      <c r="M99" s="71" t="e">
        <f>#REF!+#REF!</f>
        <v>#REF!</v>
      </c>
      <c r="N99" s="67" t="e">
        <f t="shared" si="33"/>
        <v>#REF!</v>
      </c>
      <c r="O99" s="68" t="e">
        <f t="shared" si="34"/>
        <v>#REF!</v>
      </c>
      <c r="P99" s="69" t="e">
        <f t="shared" si="35"/>
        <v>#REF!</v>
      </c>
      <c r="Q99" s="70" t="e">
        <f t="shared" si="36"/>
        <v>#REF!</v>
      </c>
      <c r="R99" s="70" t="e">
        <f t="shared" si="37"/>
        <v>#REF!</v>
      </c>
      <c r="S99" s="71" t="e">
        <f>#REF!</f>
        <v>#REF!</v>
      </c>
      <c r="T99" s="71" t="e">
        <f>#REF!</f>
        <v>#REF!</v>
      </c>
      <c r="U99" s="72" t="e">
        <f>#REF!</f>
        <v>#REF!</v>
      </c>
      <c r="V99" s="72" t="e">
        <f>#REF!</f>
        <v>#REF!</v>
      </c>
      <c r="W99" s="73" t="e">
        <f>#REF!</f>
        <v>#REF!</v>
      </c>
      <c r="X99" s="74" t="e">
        <f>#REF!</f>
        <v>#REF!</v>
      </c>
      <c r="Y99" s="217">
        <v>0</v>
      </c>
      <c r="Z99" s="217">
        <v>0</v>
      </c>
      <c r="AA99" s="74" t="e">
        <f>#REF!</f>
        <v>#REF!</v>
      </c>
      <c r="AB99" s="74" t="e">
        <f>#REF!</f>
        <v>#REF!</v>
      </c>
      <c r="AC99" s="74" t="e">
        <f>#REF!</f>
        <v>#REF!</v>
      </c>
      <c r="AD99" s="74" t="e">
        <f>#REF!</f>
        <v>#REF!</v>
      </c>
    </row>
    <row r="100" spans="1:31" s="853" customFormat="1">
      <c r="A100">
        <f t="shared" si="38"/>
        <v>94</v>
      </c>
      <c r="B100" s="85" t="e">
        <f>#REF!</f>
        <v>#REF!</v>
      </c>
      <c r="C100" s="92" t="str">
        <f t="shared" si="28"/>
        <v>Код района</v>
      </c>
      <c r="D100" s="66" t="e">
        <f>#REF!</f>
        <v>#REF!</v>
      </c>
      <c r="E100" s="92" t="str">
        <f t="shared" si="27"/>
        <v>Код сельсовета</v>
      </c>
      <c r="F100" s="89" t="e">
        <f>#REF!</f>
        <v>#REF!</v>
      </c>
      <c r="G100" s="91" t="e">
        <f>#REF!</f>
        <v>#REF!</v>
      </c>
      <c r="H100" s="48" t="e">
        <f t="shared" si="29"/>
        <v>#REF!</v>
      </c>
      <c r="I100" s="48" t="e">
        <f t="shared" si="30"/>
        <v>#REF!</v>
      </c>
      <c r="J100" s="48" t="e">
        <f t="shared" si="31"/>
        <v>#REF!</v>
      </c>
      <c r="K100" s="49" t="e">
        <f t="shared" si="32"/>
        <v>#REF!</v>
      </c>
      <c r="L100" s="86" t="e">
        <f>#REF!+#REF!</f>
        <v>#REF!</v>
      </c>
      <c r="M100" s="71" t="e">
        <f>#REF!+#REF!</f>
        <v>#REF!</v>
      </c>
      <c r="N100" s="67" t="e">
        <f t="shared" si="33"/>
        <v>#REF!</v>
      </c>
      <c r="O100" s="68" t="e">
        <f t="shared" si="34"/>
        <v>#REF!</v>
      </c>
      <c r="P100" s="69" t="e">
        <f t="shared" si="35"/>
        <v>#REF!</v>
      </c>
      <c r="Q100" s="70" t="e">
        <f t="shared" si="36"/>
        <v>#REF!</v>
      </c>
      <c r="R100" s="70" t="e">
        <f t="shared" si="37"/>
        <v>#REF!</v>
      </c>
      <c r="S100" s="71" t="e">
        <f>#REF!</f>
        <v>#REF!</v>
      </c>
      <c r="T100" s="71" t="e">
        <f>#REF!</f>
        <v>#REF!</v>
      </c>
      <c r="U100" s="72" t="e">
        <f>#REF!</f>
        <v>#REF!</v>
      </c>
      <c r="V100" s="72" t="e">
        <f>#REF!</f>
        <v>#REF!</v>
      </c>
      <c r="W100" s="73" t="e">
        <f>#REF!</f>
        <v>#REF!</v>
      </c>
      <c r="X100" s="74" t="e">
        <f>#REF!</f>
        <v>#REF!</v>
      </c>
      <c r="Y100" s="217">
        <v>0</v>
      </c>
      <c r="Z100" s="217">
        <v>0</v>
      </c>
      <c r="AA100" s="74" t="e">
        <f>#REF!</f>
        <v>#REF!</v>
      </c>
      <c r="AB100" s="74" t="e">
        <f>#REF!</f>
        <v>#REF!</v>
      </c>
      <c r="AC100" s="74" t="e">
        <f>#REF!</f>
        <v>#REF!</v>
      </c>
      <c r="AD100" s="74" t="e">
        <f>#REF!</f>
        <v>#REF!</v>
      </c>
    </row>
    <row r="101" spans="1:31" customFormat="1">
      <c r="A101">
        <f t="shared" si="38"/>
        <v>95</v>
      </c>
      <c r="B101" s="85" t="e">
        <f>#REF!</f>
        <v>#REF!</v>
      </c>
      <c r="C101" s="92" t="str">
        <f t="shared" si="28"/>
        <v>Код района</v>
      </c>
      <c r="D101" s="66" t="e">
        <f>#REF!</f>
        <v>#REF!</v>
      </c>
      <c r="E101" s="92" t="str">
        <f t="shared" si="27"/>
        <v>Код сельсовета</v>
      </c>
      <c r="F101" s="89" t="e">
        <f>#REF!</f>
        <v>#REF!</v>
      </c>
      <c r="G101" s="91" t="e">
        <f>#REF!</f>
        <v>#REF!</v>
      </c>
      <c r="H101" s="48" t="e">
        <f t="shared" si="29"/>
        <v>#REF!</v>
      </c>
      <c r="I101" s="48" t="e">
        <f t="shared" si="30"/>
        <v>#REF!</v>
      </c>
      <c r="J101" s="48" t="e">
        <f t="shared" si="31"/>
        <v>#REF!</v>
      </c>
      <c r="K101" s="49" t="e">
        <f t="shared" si="32"/>
        <v>#REF!</v>
      </c>
      <c r="L101" s="86" t="e">
        <f>#REF!+#REF!</f>
        <v>#REF!</v>
      </c>
      <c r="M101" s="71" t="e">
        <f>#REF!+#REF!</f>
        <v>#REF!</v>
      </c>
      <c r="N101" s="67" t="e">
        <f t="shared" si="33"/>
        <v>#REF!</v>
      </c>
      <c r="O101" s="68" t="e">
        <f t="shared" si="34"/>
        <v>#REF!</v>
      </c>
      <c r="P101" s="69" t="e">
        <f t="shared" si="35"/>
        <v>#REF!</v>
      </c>
      <c r="Q101" s="70" t="e">
        <f t="shared" si="36"/>
        <v>#REF!</v>
      </c>
      <c r="R101" s="70" t="e">
        <f t="shared" si="37"/>
        <v>#REF!</v>
      </c>
      <c r="S101" s="71" t="e">
        <f>#REF!</f>
        <v>#REF!</v>
      </c>
      <c r="T101" s="71" t="e">
        <f>#REF!</f>
        <v>#REF!</v>
      </c>
      <c r="U101" s="72" t="e">
        <f>#REF!</f>
        <v>#REF!</v>
      </c>
      <c r="V101" s="72" t="e">
        <f>#REF!</f>
        <v>#REF!</v>
      </c>
      <c r="W101" s="73" t="e">
        <f>#REF!</f>
        <v>#REF!</v>
      </c>
      <c r="X101" s="74" t="e">
        <f>#REF!</f>
        <v>#REF!</v>
      </c>
      <c r="Y101" s="217">
        <v>0</v>
      </c>
      <c r="Z101" s="217">
        <v>0</v>
      </c>
      <c r="AA101" s="74" t="e">
        <f>#REF!</f>
        <v>#REF!</v>
      </c>
      <c r="AB101" s="74" t="e">
        <f>#REF!</f>
        <v>#REF!</v>
      </c>
      <c r="AC101" s="74" t="e">
        <f>#REF!</f>
        <v>#REF!</v>
      </c>
      <c r="AD101" s="74" t="e">
        <f>#REF!</f>
        <v>#REF!</v>
      </c>
    </row>
    <row r="102" spans="1:31" customFormat="1">
      <c r="A102">
        <f t="shared" si="38"/>
        <v>96</v>
      </c>
      <c r="B102" s="85" t="e">
        <f>#REF!</f>
        <v>#REF!</v>
      </c>
      <c r="C102" s="92" t="str">
        <f t="shared" si="28"/>
        <v>Код района</v>
      </c>
      <c r="D102" s="66" t="e">
        <f>#REF!</f>
        <v>#REF!</v>
      </c>
      <c r="E102" s="92" t="str">
        <f t="shared" si="27"/>
        <v>Код сельсовета</v>
      </c>
      <c r="F102" s="89" t="e">
        <f>#REF!</f>
        <v>#REF!</v>
      </c>
      <c r="G102" s="91" t="e">
        <f>#REF!</f>
        <v>#REF!</v>
      </c>
      <c r="H102" s="48" t="e">
        <f t="shared" si="29"/>
        <v>#REF!</v>
      </c>
      <c r="I102" s="48" t="e">
        <f t="shared" si="30"/>
        <v>#REF!</v>
      </c>
      <c r="J102" s="48" t="e">
        <f t="shared" si="31"/>
        <v>#REF!</v>
      </c>
      <c r="K102" s="49" t="e">
        <f t="shared" si="32"/>
        <v>#REF!</v>
      </c>
      <c r="L102" s="86" t="e">
        <f>#REF!+#REF!</f>
        <v>#REF!</v>
      </c>
      <c r="M102" s="71" t="e">
        <f>#REF!+#REF!</f>
        <v>#REF!</v>
      </c>
      <c r="N102" s="67" t="e">
        <f t="shared" si="33"/>
        <v>#REF!</v>
      </c>
      <c r="O102" s="68" t="e">
        <f t="shared" si="34"/>
        <v>#REF!</v>
      </c>
      <c r="P102" s="69" t="e">
        <f t="shared" si="35"/>
        <v>#REF!</v>
      </c>
      <c r="Q102" s="70" t="e">
        <f t="shared" si="36"/>
        <v>#REF!</v>
      </c>
      <c r="R102" s="70" t="e">
        <f t="shared" si="37"/>
        <v>#REF!</v>
      </c>
      <c r="S102" s="71" t="e">
        <f>#REF!</f>
        <v>#REF!</v>
      </c>
      <c r="T102" s="71" t="e">
        <f>#REF!</f>
        <v>#REF!</v>
      </c>
      <c r="U102" s="72" t="e">
        <f>#REF!</f>
        <v>#REF!</v>
      </c>
      <c r="V102" s="72" t="e">
        <f>#REF!</f>
        <v>#REF!</v>
      </c>
      <c r="W102" s="73" t="e">
        <f>#REF!</f>
        <v>#REF!</v>
      </c>
      <c r="X102" s="74" t="e">
        <f>#REF!</f>
        <v>#REF!</v>
      </c>
      <c r="Y102" s="217">
        <v>0</v>
      </c>
      <c r="Z102" s="217">
        <v>0</v>
      </c>
      <c r="AA102" s="74" t="e">
        <f>#REF!</f>
        <v>#REF!</v>
      </c>
      <c r="AB102" s="74" t="e">
        <f>#REF!</f>
        <v>#REF!</v>
      </c>
      <c r="AC102" s="74" t="e">
        <f>#REF!</f>
        <v>#REF!</v>
      </c>
      <c r="AD102" s="74" t="e">
        <f>#REF!</f>
        <v>#REF!</v>
      </c>
    </row>
    <row r="103" spans="1:31" customFormat="1">
      <c r="A103">
        <f t="shared" si="38"/>
        <v>97</v>
      </c>
      <c r="B103" s="85" t="e">
        <f>#REF!</f>
        <v>#REF!</v>
      </c>
      <c r="C103" s="92" t="str">
        <f t="shared" si="28"/>
        <v>Код района</v>
      </c>
      <c r="D103" s="66" t="e">
        <f>#REF!</f>
        <v>#REF!</v>
      </c>
      <c r="E103" s="92" t="str">
        <f t="shared" si="27"/>
        <v>Код сельсовета</v>
      </c>
      <c r="F103" s="89" t="e">
        <f>#REF!</f>
        <v>#REF!</v>
      </c>
      <c r="G103" s="91" t="e">
        <f>#REF!</f>
        <v>#REF!</v>
      </c>
      <c r="H103" s="48" t="e">
        <f t="shared" si="29"/>
        <v>#REF!</v>
      </c>
      <c r="I103" s="48" t="e">
        <f t="shared" si="30"/>
        <v>#REF!</v>
      </c>
      <c r="J103" s="48" t="e">
        <f t="shared" si="31"/>
        <v>#REF!</v>
      </c>
      <c r="K103" s="49" t="e">
        <f t="shared" si="32"/>
        <v>#REF!</v>
      </c>
      <c r="L103" s="86" t="e">
        <f>#REF!+#REF!</f>
        <v>#REF!</v>
      </c>
      <c r="M103" s="71" t="e">
        <f>#REF!+#REF!</f>
        <v>#REF!</v>
      </c>
      <c r="N103" s="67" t="e">
        <f t="shared" si="33"/>
        <v>#REF!</v>
      </c>
      <c r="O103" s="68" t="e">
        <f t="shared" si="34"/>
        <v>#REF!</v>
      </c>
      <c r="P103" s="69" t="e">
        <f t="shared" si="35"/>
        <v>#REF!</v>
      </c>
      <c r="Q103" s="70" t="e">
        <f t="shared" si="36"/>
        <v>#REF!</v>
      </c>
      <c r="R103" s="70" t="e">
        <f t="shared" si="37"/>
        <v>#REF!</v>
      </c>
      <c r="S103" s="71" t="e">
        <f>#REF!</f>
        <v>#REF!</v>
      </c>
      <c r="T103" s="71" t="e">
        <f>#REF!</f>
        <v>#REF!</v>
      </c>
      <c r="U103" s="72" t="e">
        <f>#REF!</f>
        <v>#REF!</v>
      </c>
      <c r="V103" s="72" t="e">
        <f>#REF!</f>
        <v>#REF!</v>
      </c>
      <c r="W103" s="73" t="e">
        <f>#REF!</f>
        <v>#REF!</v>
      </c>
      <c r="X103" s="74" t="e">
        <f>#REF!</f>
        <v>#REF!</v>
      </c>
      <c r="Y103" s="217">
        <v>0</v>
      </c>
      <c r="Z103" s="217">
        <v>0</v>
      </c>
      <c r="AA103" s="74" t="e">
        <f>#REF!</f>
        <v>#REF!</v>
      </c>
      <c r="AB103" s="74" t="e">
        <f>#REF!</f>
        <v>#REF!</v>
      </c>
      <c r="AC103" s="74" t="e">
        <f>#REF!</f>
        <v>#REF!</v>
      </c>
      <c r="AD103" s="74" t="e">
        <f>#REF!</f>
        <v>#REF!</v>
      </c>
    </row>
    <row r="104" spans="1:31" customFormat="1">
      <c r="A104">
        <f t="shared" si="38"/>
        <v>98</v>
      </c>
      <c r="B104" s="85" t="e">
        <f>#REF!</f>
        <v>#REF!</v>
      </c>
      <c r="C104" s="92" t="str">
        <f t="shared" si="28"/>
        <v>Код района</v>
      </c>
      <c r="D104" s="66" t="e">
        <f>#REF!</f>
        <v>#REF!</v>
      </c>
      <c r="E104" s="92" t="str">
        <f t="shared" si="27"/>
        <v>Код сельсовета</v>
      </c>
      <c r="F104" s="89" t="e">
        <f>#REF!</f>
        <v>#REF!</v>
      </c>
      <c r="G104" s="91" t="e">
        <f>#REF!</f>
        <v>#REF!</v>
      </c>
      <c r="H104" s="48" t="e">
        <f t="shared" si="29"/>
        <v>#REF!</v>
      </c>
      <c r="I104" s="48" t="e">
        <f t="shared" si="30"/>
        <v>#REF!</v>
      </c>
      <c r="J104" s="48" t="e">
        <f t="shared" si="31"/>
        <v>#REF!</v>
      </c>
      <c r="K104" s="49" t="e">
        <f t="shared" si="32"/>
        <v>#REF!</v>
      </c>
      <c r="L104" s="86" t="e">
        <f>#REF!+#REF!</f>
        <v>#REF!</v>
      </c>
      <c r="M104" s="71" t="e">
        <f>#REF!+#REF!</f>
        <v>#REF!</v>
      </c>
      <c r="N104" s="67" t="e">
        <f t="shared" si="33"/>
        <v>#REF!</v>
      </c>
      <c r="O104" s="68" t="e">
        <f t="shared" si="34"/>
        <v>#REF!</v>
      </c>
      <c r="P104" s="69" t="e">
        <f t="shared" si="35"/>
        <v>#REF!</v>
      </c>
      <c r="Q104" s="70" t="e">
        <f t="shared" si="36"/>
        <v>#REF!</v>
      </c>
      <c r="R104" s="70" t="e">
        <f t="shared" si="37"/>
        <v>#REF!</v>
      </c>
      <c r="S104" s="71" t="e">
        <f>#REF!</f>
        <v>#REF!</v>
      </c>
      <c r="T104" s="71" t="e">
        <f>#REF!</f>
        <v>#REF!</v>
      </c>
      <c r="U104" s="72" t="e">
        <f>#REF!</f>
        <v>#REF!</v>
      </c>
      <c r="V104" s="72" t="e">
        <f>#REF!</f>
        <v>#REF!</v>
      </c>
      <c r="W104" s="73" t="e">
        <f>#REF!</f>
        <v>#REF!</v>
      </c>
      <c r="X104" s="74" t="e">
        <f>#REF!</f>
        <v>#REF!</v>
      </c>
      <c r="Y104" s="217">
        <v>0</v>
      </c>
      <c r="Z104" s="217">
        <v>0</v>
      </c>
      <c r="AA104" s="74" t="e">
        <f>#REF!</f>
        <v>#REF!</v>
      </c>
      <c r="AB104" s="74" t="e">
        <f>#REF!</f>
        <v>#REF!</v>
      </c>
      <c r="AC104" s="74" t="e">
        <f>#REF!</f>
        <v>#REF!</v>
      </c>
      <c r="AD104" s="74" t="e">
        <f>#REF!</f>
        <v>#REF!</v>
      </c>
    </row>
    <row r="105" spans="1:31" customFormat="1">
      <c r="A105">
        <f t="shared" si="38"/>
        <v>99</v>
      </c>
      <c r="B105" s="85" t="e">
        <f>#REF!</f>
        <v>#REF!</v>
      </c>
      <c r="C105" s="92" t="str">
        <f t="shared" si="28"/>
        <v>Код района</v>
      </c>
      <c r="D105" s="66" t="e">
        <f>#REF!</f>
        <v>#REF!</v>
      </c>
      <c r="E105" s="92" t="str">
        <f t="shared" si="27"/>
        <v>Код сельсовета</v>
      </c>
      <c r="F105" s="89" t="e">
        <f>#REF!</f>
        <v>#REF!</v>
      </c>
      <c r="G105" s="91" t="e">
        <f>#REF!</f>
        <v>#REF!</v>
      </c>
      <c r="H105" s="48" t="e">
        <f t="shared" si="29"/>
        <v>#REF!</v>
      </c>
      <c r="I105" s="48" t="e">
        <f t="shared" si="30"/>
        <v>#REF!</v>
      </c>
      <c r="J105" s="48" t="e">
        <f t="shared" si="31"/>
        <v>#REF!</v>
      </c>
      <c r="K105" s="49" t="e">
        <f t="shared" si="32"/>
        <v>#REF!</v>
      </c>
      <c r="L105" s="86" t="e">
        <f>#REF!+#REF!</f>
        <v>#REF!</v>
      </c>
      <c r="M105" s="71" t="e">
        <f>#REF!+#REF!</f>
        <v>#REF!</v>
      </c>
      <c r="N105" s="67" t="e">
        <f t="shared" si="33"/>
        <v>#REF!</v>
      </c>
      <c r="O105" s="68" t="e">
        <f t="shared" si="34"/>
        <v>#REF!</v>
      </c>
      <c r="P105" s="69" t="e">
        <f t="shared" si="35"/>
        <v>#REF!</v>
      </c>
      <c r="Q105" s="70" t="e">
        <f t="shared" si="36"/>
        <v>#REF!</v>
      </c>
      <c r="R105" s="70" t="e">
        <f t="shared" si="37"/>
        <v>#REF!</v>
      </c>
      <c r="S105" s="71" t="e">
        <f>#REF!</f>
        <v>#REF!</v>
      </c>
      <c r="T105" s="71" t="e">
        <f>#REF!</f>
        <v>#REF!</v>
      </c>
      <c r="U105" s="72" t="e">
        <f>#REF!</f>
        <v>#REF!</v>
      </c>
      <c r="V105" s="72" t="e">
        <f>#REF!</f>
        <v>#REF!</v>
      </c>
      <c r="W105" s="73" t="e">
        <f>#REF!</f>
        <v>#REF!</v>
      </c>
      <c r="X105" s="74" t="e">
        <f>#REF!</f>
        <v>#REF!</v>
      </c>
      <c r="Y105" s="217">
        <v>0</v>
      </c>
      <c r="Z105" s="217">
        <v>0</v>
      </c>
      <c r="AA105" s="74" t="e">
        <f>#REF!</f>
        <v>#REF!</v>
      </c>
      <c r="AB105" s="74" t="e">
        <f>#REF!</f>
        <v>#REF!</v>
      </c>
      <c r="AC105" s="74" t="e">
        <f>#REF!</f>
        <v>#REF!</v>
      </c>
      <c r="AD105" s="74" t="e">
        <f>#REF!</f>
        <v>#REF!</v>
      </c>
      <c r="AE105" s="211"/>
    </row>
    <row r="106" spans="1:31" customFormat="1">
      <c r="A106">
        <f t="shared" si="38"/>
        <v>100</v>
      </c>
      <c r="B106" s="85" t="e">
        <f>#REF!</f>
        <v>#REF!</v>
      </c>
      <c r="C106" s="92" t="str">
        <f t="shared" si="28"/>
        <v>Код района</v>
      </c>
      <c r="D106" s="66" t="e">
        <f>#REF!</f>
        <v>#REF!</v>
      </c>
      <c r="E106" s="92" t="str">
        <f t="shared" si="27"/>
        <v>Код сельсовета</v>
      </c>
      <c r="F106" s="89" t="e">
        <f>#REF!</f>
        <v>#REF!</v>
      </c>
      <c r="G106" s="91" t="e">
        <f>#REF!</f>
        <v>#REF!</v>
      </c>
      <c r="H106" s="48" t="e">
        <f t="shared" si="29"/>
        <v>#REF!</v>
      </c>
      <c r="I106" s="48" t="e">
        <f t="shared" si="30"/>
        <v>#REF!</v>
      </c>
      <c r="J106" s="48" t="e">
        <f t="shared" si="31"/>
        <v>#REF!</v>
      </c>
      <c r="K106" s="49" t="e">
        <f t="shared" si="32"/>
        <v>#REF!</v>
      </c>
      <c r="L106" s="86" t="e">
        <f>#REF!+#REF!</f>
        <v>#REF!</v>
      </c>
      <c r="M106" s="71" t="e">
        <f>#REF!+#REF!</f>
        <v>#REF!</v>
      </c>
      <c r="N106" s="67" t="e">
        <f t="shared" si="33"/>
        <v>#REF!</v>
      </c>
      <c r="O106" s="68" t="e">
        <f t="shared" si="34"/>
        <v>#REF!</v>
      </c>
      <c r="P106" s="69" t="e">
        <f t="shared" si="35"/>
        <v>#REF!</v>
      </c>
      <c r="Q106" s="70" t="e">
        <f t="shared" si="36"/>
        <v>#REF!</v>
      </c>
      <c r="R106" s="70" t="e">
        <f t="shared" si="37"/>
        <v>#REF!</v>
      </c>
      <c r="S106" s="71" t="e">
        <f>#REF!</f>
        <v>#REF!</v>
      </c>
      <c r="T106" s="71" t="e">
        <f>#REF!</f>
        <v>#REF!</v>
      </c>
      <c r="U106" s="72" t="e">
        <f>#REF!</f>
        <v>#REF!</v>
      </c>
      <c r="V106" s="72" t="e">
        <f>#REF!</f>
        <v>#REF!</v>
      </c>
      <c r="W106" s="73" t="e">
        <f>#REF!</f>
        <v>#REF!</v>
      </c>
      <c r="X106" s="74" t="e">
        <f>#REF!</f>
        <v>#REF!</v>
      </c>
      <c r="Y106" s="217">
        <v>0</v>
      </c>
      <c r="Z106" s="217">
        <v>0</v>
      </c>
      <c r="AA106" s="74" t="e">
        <f>#REF!</f>
        <v>#REF!</v>
      </c>
      <c r="AB106" s="74" t="e">
        <f>#REF!</f>
        <v>#REF!</v>
      </c>
      <c r="AC106" s="74" t="e">
        <f>#REF!</f>
        <v>#REF!</v>
      </c>
      <c r="AD106" s="74" t="e">
        <f>#REF!</f>
        <v>#REF!</v>
      </c>
    </row>
    <row r="107" spans="1:31" customFormat="1">
      <c r="A107">
        <f t="shared" si="38"/>
        <v>101</v>
      </c>
      <c r="B107" s="85" t="e">
        <f>#REF!</f>
        <v>#REF!</v>
      </c>
      <c r="C107" s="92" t="str">
        <f t="shared" si="28"/>
        <v>Код района</v>
      </c>
      <c r="D107" s="66" t="e">
        <f>#REF!</f>
        <v>#REF!</v>
      </c>
      <c r="E107" s="92" t="str">
        <f t="shared" si="27"/>
        <v>Код сельсовета</v>
      </c>
      <c r="F107" s="89" t="e">
        <f>#REF!</f>
        <v>#REF!</v>
      </c>
      <c r="G107" s="91" t="e">
        <f>#REF!</f>
        <v>#REF!</v>
      </c>
      <c r="H107" s="48" t="e">
        <f t="shared" si="29"/>
        <v>#REF!</v>
      </c>
      <c r="I107" s="48" t="e">
        <f t="shared" si="30"/>
        <v>#REF!</v>
      </c>
      <c r="J107" s="48" t="e">
        <f t="shared" si="31"/>
        <v>#REF!</v>
      </c>
      <c r="K107" s="49" t="e">
        <f t="shared" si="32"/>
        <v>#REF!</v>
      </c>
      <c r="L107" s="86" t="e">
        <f>#REF!+#REF!</f>
        <v>#REF!</v>
      </c>
      <c r="M107" s="71" t="e">
        <f>#REF!+#REF!</f>
        <v>#REF!</v>
      </c>
      <c r="N107" s="67" t="e">
        <f t="shared" si="33"/>
        <v>#REF!</v>
      </c>
      <c r="O107" s="68" t="e">
        <f t="shared" si="34"/>
        <v>#REF!</v>
      </c>
      <c r="P107" s="69" t="e">
        <f t="shared" si="35"/>
        <v>#REF!</v>
      </c>
      <c r="Q107" s="70" t="e">
        <f t="shared" si="36"/>
        <v>#REF!</v>
      </c>
      <c r="R107" s="70" t="e">
        <f t="shared" si="37"/>
        <v>#REF!</v>
      </c>
      <c r="S107" s="71" t="e">
        <f>#REF!</f>
        <v>#REF!</v>
      </c>
      <c r="T107" s="71" t="e">
        <f>#REF!</f>
        <v>#REF!</v>
      </c>
      <c r="U107" s="72" t="e">
        <f>#REF!</f>
        <v>#REF!</v>
      </c>
      <c r="V107" s="72" t="e">
        <f>#REF!</f>
        <v>#REF!</v>
      </c>
      <c r="W107" s="73" t="e">
        <f>#REF!</f>
        <v>#REF!</v>
      </c>
      <c r="X107" s="74" t="e">
        <f>#REF!</f>
        <v>#REF!</v>
      </c>
      <c r="Y107" s="217">
        <v>0</v>
      </c>
      <c r="Z107" s="217">
        <v>0</v>
      </c>
      <c r="AA107" s="74" t="e">
        <f>#REF!</f>
        <v>#REF!</v>
      </c>
      <c r="AB107" s="74" t="e">
        <f>#REF!</f>
        <v>#REF!</v>
      </c>
      <c r="AC107" s="74" t="e">
        <f>#REF!</f>
        <v>#REF!</v>
      </c>
      <c r="AD107" s="74" t="e">
        <f>#REF!</f>
        <v>#REF!</v>
      </c>
    </row>
    <row r="108" spans="1:31" customFormat="1">
      <c r="A108">
        <f t="shared" si="38"/>
        <v>102</v>
      </c>
      <c r="B108" s="85" t="e">
        <f>#REF!</f>
        <v>#REF!</v>
      </c>
      <c r="C108" s="92" t="str">
        <f t="shared" si="28"/>
        <v>Код района</v>
      </c>
      <c r="D108" s="66" t="e">
        <f>#REF!</f>
        <v>#REF!</v>
      </c>
      <c r="E108" s="92" t="str">
        <f t="shared" si="27"/>
        <v>Код сельсовета</v>
      </c>
      <c r="F108" s="89" t="e">
        <f>#REF!</f>
        <v>#REF!</v>
      </c>
      <c r="G108" s="91" t="e">
        <f>#REF!</f>
        <v>#REF!</v>
      </c>
      <c r="H108" s="48" t="e">
        <f t="shared" si="29"/>
        <v>#REF!</v>
      </c>
      <c r="I108" s="48" t="e">
        <f t="shared" si="30"/>
        <v>#REF!</v>
      </c>
      <c r="J108" s="48" t="e">
        <f t="shared" si="31"/>
        <v>#REF!</v>
      </c>
      <c r="K108" s="49" t="e">
        <f t="shared" si="32"/>
        <v>#REF!</v>
      </c>
      <c r="L108" s="86" t="e">
        <f>#REF!+#REF!</f>
        <v>#REF!</v>
      </c>
      <c r="M108" s="71" t="e">
        <f>#REF!+#REF!</f>
        <v>#REF!</v>
      </c>
      <c r="N108" s="67" t="e">
        <f t="shared" si="33"/>
        <v>#REF!</v>
      </c>
      <c r="O108" s="68" t="e">
        <f t="shared" si="34"/>
        <v>#REF!</v>
      </c>
      <c r="P108" s="69" t="e">
        <f t="shared" si="35"/>
        <v>#REF!</v>
      </c>
      <c r="Q108" s="70" t="e">
        <f t="shared" si="36"/>
        <v>#REF!</v>
      </c>
      <c r="R108" s="70" t="e">
        <f t="shared" si="37"/>
        <v>#REF!</v>
      </c>
      <c r="S108" s="71" t="e">
        <f>#REF!</f>
        <v>#REF!</v>
      </c>
      <c r="T108" s="71" t="e">
        <f>#REF!</f>
        <v>#REF!</v>
      </c>
      <c r="U108" s="72" t="e">
        <f>#REF!</f>
        <v>#REF!</v>
      </c>
      <c r="V108" s="72" t="e">
        <f>#REF!</f>
        <v>#REF!</v>
      </c>
      <c r="W108" s="73" t="e">
        <f>#REF!</f>
        <v>#REF!</v>
      </c>
      <c r="X108" s="74" t="e">
        <f>#REF!</f>
        <v>#REF!</v>
      </c>
      <c r="Y108" s="217">
        <v>0</v>
      </c>
      <c r="Z108" s="217">
        <v>0</v>
      </c>
      <c r="AA108" s="74" t="e">
        <f>#REF!</f>
        <v>#REF!</v>
      </c>
      <c r="AB108" s="74" t="e">
        <f>#REF!</f>
        <v>#REF!</v>
      </c>
      <c r="AC108" s="74" t="e">
        <f>#REF!</f>
        <v>#REF!</v>
      </c>
      <c r="AD108" s="74" t="e">
        <f>#REF!</f>
        <v>#REF!</v>
      </c>
    </row>
    <row r="109" spans="1:31" customFormat="1">
      <c r="A109">
        <f t="shared" si="38"/>
        <v>103</v>
      </c>
      <c r="B109" s="85" t="e">
        <f>#REF!</f>
        <v>#REF!</v>
      </c>
      <c r="C109" s="92" t="str">
        <f t="shared" si="28"/>
        <v>Код района</v>
      </c>
      <c r="D109" s="66" t="e">
        <f>#REF!</f>
        <v>#REF!</v>
      </c>
      <c r="E109" s="92" t="str">
        <f t="shared" si="27"/>
        <v>Код сельсовета</v>
      </c>
      <c r="F109" s="89" t="e">
        <f>#REF!</f>
        <v>#REF!</v>
      </c>
      <c r="G109" s="91" t="e">
        <f>#REF!</f>
        <v>#REF!</v>
      </c>
      <c r="H109" s="48" t="e">
        <f t="shared" si="29"/>
        <v>#REF!</v>
      </c>
      <c r="I109" s="48" t="e">
        <f t="shared" si="30"/>
        <v>#REF!</v>
      </c>
      <c r="J109" s="48" t="e">
        <f t="shared" si="31"/>
        <v>#REF!</v>
      </c>
      <c r="K109" s="49" t="e">
        <f t="shared" si="32"/>
        <v>#REF!</v>
      </c>
      <c r="L109" s="86" t="e">
        <f>#REF!+#REF!</f>
        <v>#REF!</v>
      </c>
      <c r="M109" s="71" t="e">
        <f>#REF!+#REF!</f>
        <v>#REF!</v>
      </c>
      <c r="N109" s="67" t="e">
        <f t="shared" si="33"/>
        <v>#REF!</v>
      </c>
      <c r="O109" s="68" t="e">
        <f t="shared" si="34"/>
        <v>#REF!</v>
      </c>
      <c r="P109" s="69" t="e">
        <f t="shared" si="35"/>
        <v>#REF!</v>
      </c>
      <c r="Q109" s="70" t="e">
        <f t="shared" si="36"/>
        <v>#REF!</v>
      </c>
      <c r="R109" s="70" t="e">
        <f t="shared" si="37"/>
        <v>#REF!</v>
      </c>
      <c r="S109" s="71" t="e">
        <f>#REF!</f>
        <v>#REF!</v>
      </c>
      <c r="T109" s="71" t="e">
        <f>#REF!</f>
        <v>#REF!</v>
      </c>
      <c r="U109" s="72" t="e">
        <f>#REF!</f>
        <v>#REF!</v>
      </c>
      <c r="V109" s="72" t="e">
        <f>#REF!</f>
        <v>#REF!</v>
      </c>
      <c r="W109" s="73" t="e">
        <f>#REF!</f>
        <v>#REF!</v>
      </c>
      <c r="X109" s="74" t="e">
        <f>#REF!</f>
        <v>#REF!</v>
      </c>
      <c r="Y109" s="217">
        <v>0</v>
      </c>
      <c r="Z109" s="217">
        <v>0</v>
      </c>
      <c r="AA109" s="74" t="e">
        <f>#REF!</f>
        <v>#REF!</v>
      </c>
      <c r="AB109" s="74" t="e">
        <f>#REF!</f>
        <v>#REF!</v>
      </c>
      <c r="AC109" s="74" t="e">
        <f>#REF!</f>
        <v>#REF!</v>
      </c>
      <c r="AD109" s="74" t="e">
        <f>#REF!</f>
        <v>#REF!</v>
      </c>
    </row>
    <row r="110" spans="1:31" customFormat="1">
      <c r="A110">
        <f t="shared" si="38"/>
        <v>104</v>
      </c>
      <c r="B110" s="85" t="e">
        <f>#REF!</f>
        <v>#REF!</v>
      </c>
      <c r="C110" s="92" t="str">
        <f t="shared" si="28"/>
        <v>Код района</v>
      </c>
      <c r="D110" s="66" t="e">
        <f>#REF!</f>
        <v>#REF!</v>
      </c>
      <c r="E110" s="92" t="str">
        <f t="shared" si="27"/>
        <v>Код сельсовета</v>
      </c>
      <c r="F110" s="89" t="e">
        <f>#REF!</f>
        <v>#REF!</v>
      </c>
      <c r="G110" s="91" t="e">
        <f>#REF!</f>
        <v>#REF!</v>
      </c>
      <c r="H110" s="48" t="e">
        <f t="shared" si="29"/>
        <v>#REF!</v>
      </c>
      <c r="I110" s="48" t="e">
        <f t="shared" si="30"/>
        <v>#REF!</v>
      </c>
      <c r="J110" s="48" t="e">
        <f t="shared" si="31"/>
        <v>#REF!</v>
      </c>
      <c r="K110" s="49" t="e">
        <f t="shared" si="32"/>
        <v>#REF!</v>
      </c>
      <c r="L110" s="86" t="e">
        <f>#REF!+#REF!</f>
        <v>#REF!</v>
      </c>
      <c r="M110" s="71" t="e">
        <f>#REF!+#REF!</f>
        <v>#REF!</v>
      </c>
      <c r="N110" s="67" t="e">
        <f t="shared" si="33"/>
        <v>#REF!</v>
      </c>
      <c r="O110" s="68" t="e">
        <f t="shared" si="34"/>
        <v>#REF!</v>
      </c>
      <c r="P110" s="69" t="e">
        <f t="shared" si="35"/>
        <v>#REF!</v>
      </c>
      <c r="Q110" s="70" t="e">
        <f t="shared" si="36"/>
        <v>#REF!</v>
      </c>
      <c r="R110" s="70" t="e">
        <f t="shared" si="37"/>
        <v>#REF!</v>
      </c>
      <c r="S110" s="71" t="e">
        <f>#REF!</f>
        <v>#REF!</v>
      </c>
      <c r="T110" s="71" t="e">
        <f>#REF!</f>
        <v>#REF!</v>
      </c>
      <c r="U110" s="72" t="e">
        <f>#REF!</f>
        <v>#REF!</v>
      </c>
      <c r="V110" s="72" t="e">
        <f>#REF!</f>
        <v>#REF!</v>
      </c>
      <c r="W110" s="73" t="e">
        <f>#REF!</f>
        <v>#REF!</v>
      </c>
      <c r="X110" s="74" t="e">
        <f>#REF!</f>
        <v>#REF!</v>
      </c>
      <c r="Y110" s="217">
        <v>0</v>
      </c>
      <c r="Z110" s="217">
        <v>0</v>
      </c>
      <c r="AA110" s="74" t="e">
        <f>#REF!</f>
        <v>#REF!</v>
      </c>
      <c r="AB110" s="74" t="e">
        <f>#REF!</f>
        <v>#REF!</v>
      </c>
      <c r="AC110" s="74" t="e">
        <f>#REF!</f>
        <v>#REF!</v>
      </c>
      <c r="AD110" s="74" t="e">
        <f>#REF!</f>
        <v>#REF!</v>
      </c>
    </row>
    <row r="111" spans="1:31" customFormat="1">
      <c r="A111">
        <f t="shared" si="38"/>
        <v>105</v>
      </c>
      <c r="B111" s="85" t="e">
        <f>#REF!</f>
        <v>#REF!</v>
      </c>
      <c r="C111" s="92" t="str">
        <f t="shared" si="28"/>
        <v>Код района</v>
      </c>
      <c r="D111" s="66" t="e">
        <f>#REF!</f>
        <v>#REF!</v>
      </c>
      <c r="E111" s="92" t="str">
        <f t="shared" si="27"/>
        <v>Код сельсовета</v>
      </c>
      <c r="F111" s="89" t="e">
        <f>#REF!</f>
        <v>#REF!</v>
      </c>
      <c r="G111" s="91" t="e">
        <f>#REF!</f>
        <v>#REF!</v>
      </c>
      <c r="H111" s="48" t="e">
        <f t="shared" si="29"/>
        <v>#REF!</v>
      </c>
      <c r="I111" s="48" t="e">
        <f t="shared" si="30"/>
        <v>#REF!</v>
      </c>
      <c r="J111" s="48" t="e">
        <f t="shared" si="31"/>
        <v>#REF!</v>
      </c>
      <c r="K111" s="49" t="e">
        <f t="shared" si="32"/>
        <v>#REF!</v>
      </c>
      <c r="L111" s="86" t="e">
        <f>#REF!+#REF!</f>
        <v>#REF!</v>
      </c>
      <c r="M111" s="71" t="e">
        <f>#REF!+#REF!</f>
        <v>#REF!</v>
      </c>
      <c r="N111" s="67" t="e">
        <f t="shared" si="33"/>
        <v>#REF!</v>
      </c>
      <c r="O111" s="68" t="e">
        <f t="shared" si="34"/>
        <v>#REF!</v>
      </c>
      <c r="P111" s="69" t="e">
        <f t="shared" si="35"/>
        <v>#REF!</v>
      </c>
      <c r="Q111" s="70" t="e">
        <f t="shared" si="36"/>
        <v>#REF!</v>
      </c>
      <c r="R111" s="70" t="e">
        <f t="shared" si="37"/>
        <v>#REF!</v>
      </c>
      <c r="S111" s="71" t="e">
        <f>#REF!</f>
        <v>#REF!</v>
      </c>
      <c r="T111" s="71" t="e">
        <f>#REF!</f>
        <v>#REF!</v>
      </c>
      <c r="U111" s="72" t="e">
        <f>#REF!</f>
        <v>#REF!</v>
      </c>
      <c r="V111" s="72" t="e">
        <f>#REF!</f>
        <v>#REF!</v>
      </c>
      <c r="W111" s="73" t="e">
        <f>#REF!</f>
        <v>#REF!</v>
      </c>
      <c r="X111" s="74" t="e">
        <f>#REF!</f>
        <v>#REF!</v>
      </c>
      <c r="Y111" s="217">
        <v>0</v>
      </c>
      <c r="Z111" s="217">
        <v>0</v>
      </c>
      <c r="AA111" s="74" t="e">
        <f>#REF!</f>
        <v>#REF!</v>
      </c>
      <c r="AB111" s="74" t="e">
        <f>#REF!</f>
        <v>#REF!</v>
      </c>
      <c r="AC111" s="74" t="e">
        <f>#REF!</f>
        <v>#REF!</v>
      </c>
      <c r="AD111" s="74" t="e">
        <f>#REF!</f>
        <v>#REF!</v>
      </c>
    </row>
    <row r="112" spans="1:31" customFormat="1">
      <c r="A112">
        <f t="shared" si="38"/>
        <v>106</v>
      </c>
      <c r="B112" s="85" t="e">
        <f>#REF!</f>
        <v>#REF!</v>
      </c>
      <c r="C112" s="92" t="str">
        <f t="shared" si="28"/>
        <v>Код района</v>
      </c>
      <c r="D112" s="66" t="e">
        <f>#REF!</f>
        <v>#REF!</v>
      </c>
      <c r="E112" s="92" t="str">
        <f t="shared" si="27"/>
        <v>Код сельсовета</v>
      </c>
      <c r="F112" s="89" t="e">
        <f>#REF!</f>
        <v>#REF!</v>
      </c>
      <c r="G112" s="91" t="e">
        <f>#REF!</f>
        <v>#REF!</v>
      </c>
      <c r="H112" s="48" t="e">
        <f t="shared" si="29"/>
        <v>#REF!</v>
      </c>
      <c r="I112" s="48" t="e">
        <f t="shared" si="30"/>
        <v>#REF!</v>
      </c>
      <c r="J112" s="48" t="e">
        <f t="shared" si="31"/>
        <v>#REF!</v>
      </c>
      <c r="K112" s="49" t="e">
        <f t="shared" si="32"/>
        <v>#REF!</v>
      </c>
      <c r="L112" s="86" t="e">
        <f>#REF!+#REF!</f>
        <v>#REF!</v>
      </c>
      <c r="M112" s="71" t="e">
        <f>#REF!+#REF!</f>
        <v>#REF!</v>
      </c>
      <c r="N112" s="67" t="e">
        <f t="shared" si="33"/>
        <v>#REF!</v>
      </c>
      <c r="O112" s="68" t="e">
        <f t="shared" si="34"/>
        <v>#REF!</v>
      </c>
      <c r="P112" s="69" t="e">
        <f t="shared" si="35"/>
        <v>#REF!</v>
      </c>
      <c r="Q112" s="70" t="e">
        <f t="shared" si="36"/>
        <v>#REF!</v>
      </c>
      <c r="R112" s="70" t="e">
        <f t="shared" si="37"/>
        <v>#REF!</v>
      </c>
      <c r="S112" s="71" t="e">
        <f>#REF!</f>
        <v>#REF!</v>
      </c>
      <c r="T112" s="71" t="e">
        <f>#REF!</f>
        <v>#REF!</v>
      </c>
      <c r="U112" s="72" t="e">
        <f>#REF!</f>
        <v>#REF!</v>
      </c>
      <c r="V112" s="72" t="e">
        <f>#REF!</f>
        <v>#REF!</v>
      </c>
      <c r="W112" s="73" t="e">
        <f>#REF!</f>
        <v>#REF!</v>
      </c>
      <c r="X112" s="74" t="e">
        <f>#REF!</f>
        <v>#REF!</v>
      </c>
      <c r="Y112" s="217">
        <v>0</v>
      </c>
      <c r="Z112" s="217">
        <v>0</v>
      </c>
      <c r="AA112" s="74" t="e">
        <f>#REF!</f>
        <v>#REF!</v>
      </c>
      <c r="AB112" s="74" t="e">
        <f>#REF!</f>
        <v>#REF!</v>
      </c>
      <c r="AC112" s="74" t="e">
        <f>#REF!</f>
        <v>#REF!</v>
      </c>
      <c r="AD112" s="74" t="e">
        <f>#REF!</f>
        <v>#REF!</v>
      </c>
    </row>
    <row r="113" spans="1:30" customFormat="1">
      <c r="A113">
        <f t="shared" si="38"/>
        <v>107</v>
      </c>
      <c r="B113" s="85" t="e">
        <f>#REF!</f>
        <v>#REF!</v>
      </c>
      <c r="C113" s="92" t="str">
        <f t="shared" si="28"/>
        <v>Код района</v>
      </c>
      <c r="D113" s="66" t="e">
        <f>#REF!</f>
        <v>#REF!</v>
      </c>
      <c r="E113" s="92" t="str">
        <f t="shared" si="27"/>
        <v>Код сельсовета</v>
      </c>
      <c r="F113" s="89" t="e">
        <f>#REF!</f>
        <v>#REF!</v>
      </c>
      <c r="G113" s="91" t="e">
        <f>#REF!</f>
        <v>#REF!</v>
      </c>
      <c r="H113" s="48" t="e">
        <f t="shared" si="29"/>
        <v>#REF!</v>
      </c>
      <c r="I113" s="48" t="e">
        <f t="shared" si="30"/>
        <v>#REF!</v>
      </c>
      <c r="J113" s="48" t="e">
        <f t="shared" si="31"/>
        <v>#REF!</v>
      </c>
      <c r="K113" s="49" t="e">
        <f t="shared" si="32"/>
        <v>#REF!</v>
      </c>
      <c r="L113" s="86" t="e">
        <f>#REF!+#REF!</f>
        <v>#REF!</v>
      </c>
      <c r="M113" s="71" t="e">
        <f>#REF!+#REF!</f>
        <v>#REF!</v>
      </c>
      <c r="N113" s="67" t="e">
        <f t="shared" si="33"/>
        <v>#REF!</v>
      </c>
      <c r="O113" s="68" t="e">
        <f t="shared" si="34"/>
        <v>#REF!</v>
      </c>
      <c r="P113" s="69" t="e">
        <f t="shared" si="35"/>
        <v>#REF!</v>
      </c>
      <c r="Q113" s="70" t="e">
        <f t="shared" si="36"/>
        <v>#REF!</v>
      </c>
      <c r="R113" s="70" t="e">
        <f t="shared" si="37"/>
        <v>#REF!</v>
      </c>
      <c r="S113" s="71" t="e">
        <f>#REF!</f>
        <v>#REF!</v>
      </c>
      <c r="T113" s="71" t="e">
        <f>#REF!</f>
        <v>#REF!</v>
      </c>
      <c r="U113" s="72" t="e">
        <f>#REF!</f>
        <v>#REF!</v>
      </c>
      <c r="V113" s="72" t="e">
        <f>#REF!</f>
        <v>#REF!</v>
      </c>
      <c r="W113" s="73" t="e">
        <f>#REF!</f>
        <v>#REF!</v>
      </c>
      <c r="X113" s="74" t="e">
        <f>#REF!</f>
        <v>#REF!</v>
      </c>
      <c r="Y113" s="217">
        <v>0</v>
      </c>
      <c r="Z113" s="217">
        <v>0</v>
      </c>
      <c r="AA113" s="74" t="e">
        <f>#REF!</f>
        <v>#REF!</v>
      </c>
      <c r="AB113" s="74" t="e">
        <f>#REF!</f>
        <v>#REF!</v>
      </c>
      <c r="AC113" s="74" t="e">
        <f>#REF!</f>
        <v>#REF!</v>
      </c>
      <c r="AD113" s="74" t="e">
        <f>#REF!</f>
        <v>#REF!</v>
      </c>
    </row>
    <row r="114" spans="1:30" customFormat="1">
      <c r="A114">
        <f t="shared" si="38"/>
        <v>108</v>
      </c>
      <c r="B114" s="85" t="e">
        <f>#REF!</f>
        <v>#REF!</v>
      </c>
      <c r="C114" s="92" t="str">
        <f t="shared" si="28"/>
        <v>Код района</v>
      </c>
      <c r="D114" s="66" t="e">
        <f>#REF!</f>
        <v>#REF!</v>
      </c>
      <c r="E114" s="92" t="str">
        <f t="shared" si="27"/>
        <v>Код сельсовета</v>
      </c>
      <c r="F114" s="89" t="e">
        <f>#REF!</f>
        <v>#REF!</v>
      </c>
      <c r="G114" s="91" t="e">
        <f>#REF!</f>
        <v>#REF!</v>
      </c>
      <c r="H114" s="48" t="e">
        <f t="shared" si="29"/>
        <v>#REF!</v>
      </c>
      <c r="I114" s="48" t="e">
        <f t="shared" si="30"/>
        <v>#REF!</v>
      </c>
      <c r="J114" s="48" t="e">
        <f t="shared" si="31"/>
        <v>#REF!</v>
      </c>
      <c r="K114" s="49" t="e">
        <f t="shared" si="32"/>
        <v>#REF!</v>
      </c>
      <c r="L114" s="86" t="e">
        <f>#REF!+#REF!</f>
        <v>#REF!</v>
      </c>
      <c r="M114" s="71" t="e">
        <f>#REF!+#REF!</f>
        <v>#REF!</v>
      </c>
      <c r="N114" s="67" t="e">
        <f t="shared" si="33"/>
        <v>#REF!</v>
      </c>
      <c r="O114" s="68" t="e">
        <f t="shared" si="34"/>
        <v>#REF!</v>
      </c>
      <c r="P114" s="69" t="e">
        <f t="shared" si="35"/>
        <v>#REF!</v>
      </c>
      <c r="Q114" s="70" t="e">
        <f t="shared" si="36"/>
        <v>#REF!</v>
      </c>
      <c r="R114" s="70" t="e">
        <f t="shared" si="37"/>
        <v>#REF!</v>
      </c>
      <c r="S114" s="71" t="e">
        <f>#REF!</f>
        <v>#REF!</v>
      </c>
      <c r="T114" s="71" t="e">
        <f>#REF!</f>
        <v>#REF!</v>
      </c>
      <c r="U114" s="72" t="e">
        <f>#REF!</f>
        <v>#REF!</v>
      </c>
      <c r="V114" s="72" t="e">
        <f>#REF!</f>
        <v>#REF!</v>
      </c>
      <c r="W114" s="73" t="e">
        <f>#REF!</f>
        <v>#REF!</v>
      </c>
      <c r="X114" s="74" t="e">
        <f>#REF!</f>
        <v>#REF!</v>
      </c>
      <c r="Y114" s="217">
        <v>0</v>
      </c>
      <c r="Z114" s="217">
        <v>0</v>
      </c>
      <c r="AA114" s="74" t="e">
        <f>#REF!</f>
        <v>#REF!</v>
      </c>
      <c r="AB114" s="74" t="e">
        <f>#REF!</f>
        <v>#REF!</v>
      </c>
      <c r="AC114" s="74" t="e">
        <f>#REF!</f>
        <v>#REF!</v>
      </c>
      <c r="AD114" s="74" t="e">
        <f>#REF!</f>
        <v>#REF!</v>
      </c>
    </row>
    <row r="115" spans="1:30" customFormat="1">
      <c r="A115">
        <f t="shared" si="38"/>
        <v>109</v>
      </c>
      <c r="B115" s="85" t="e">
        <f>#REF!</f>
        <v>#REF!</v>
      </c>
      <c r="C115" s="92" t="str">
        <f t="shared" si="28"/>
        <v>Код района</v>
      </c>
      <c r="D115" s="66" t="e">
        <f>#REF!</f>
        <v>#REF!</v>
      </c>
      <c r="E115" s="92" t="str">
        <f t="shared" si="27"/>
        <v>Код сельсовета</v>
      </c>
      <c r="F115" s="89" t="e">
        <f>#REF!</f>
        <v>#REF!</v>
      </c>
      <c r="G115" s="91" t="e">
        <f>#REF!</f>
        <v>#REF!</v>
      </c>
      <c r="H115" s="48" t="e">
        <f t="shared" si="29"/>
        <v>#REF!</v>
      </c>
      <c r="I115" s="48" t="e">
        <f t="shared" si="30"/>
        <v>#REF!</v>
      </c>
      <c r="J115" s="48" t="e">
        <f t="shared" si="31"/>
        <v>#REF!</v>
      </c>
      <c r="K115" s="49" t="e">
        <f t="shared" si="32"/>
        <v>#REF!</v>
      </c>
      <c r="L115" s="86" t="e">
        <f>#REF!+#REF!</f>
        <v>#REF!</v>
      </c>
      <c r="M115" s="71" t="e">
        <f>#REF!+#REF!</f>
        <v>#REF!</v>
      </c>
      <c r="N115" s="67" t="e">
        <f t="shared" si="33"/>
        <v>#REF!</v>
      </c>
      <c r="O115" s="68" t="e">
        <f t="shared" si="34"/>
        <v>#REF!</v>
      </c>
      <c r="P115" s="69" t="e">
        <f t="shared" si="35"/>
        <v>#REF!</v>
      </c>
      <c r="Q115" s="70" t="e">
        <f t="shared" si="36"/>
        <v>#REF!</v>
      </c>
      <c r="R115" s="70" t="e">
        <f t="shared" si="37"/>
        <v>#REF!</v>
      </c>
      <c r="S115" s="71" t="e">
        <f>#REF!</f>
        <v>#REF!</v>
      </c>
      <c r="T115" s="71" t="e">
        <f>#REF!</f>
        <v>#REF!</v>
      </c>
      <c r="U115" s="72" t="e">
        <f>#REF!</f>
        <v>#REF!</v>
      </c>
      <c r="V115" s="72" t="e">
        <f>#REF!</f>
        <v>#REF!</v>
      </c>
      <c r="W115" s="73" t="e">
        <f>#REF!</f>
        <v>#REF!</v>
      </c>
      <c r="X115" s="74" t="e">
        <f>#REF!</f>
        <v>#REF!</v>
      </c>
      <c r="Y115" s="217">
        <v>0</v>
      </c>
      <c r="Z115" s="217">
        <v>0</v>
      </c>
      <c r="AA115" s="74" t="e">
        <f>#REF!</f>
        <v>#REF!</v>
      </c>
      <c r="AB115" s="74" t="e">
        <f>#REF!</f>
        <v>#REF!</v>
      </c>
      <c r="AC115" s="74" t="e">
        <f>#REF!</f>
        <v>#REF!</v>
      </c>
      <c r="AD115" s="74" t="e">
        <f>#REF!</f>
        <v>#REF!</v>
      </c>
    </row>
    <row r="116" spans="1:30" customFormat="1">
      <c r="A116">
        <f t="shared" si="38"/>
        <v>110</v>
      </c>
      <c r="B116" s="85" t="e">
        <f>#REF!</f>
        <v>#REF!</v>
      </c>
      <c r="C116" s="92" t="str">
        <f t="shared" si="28"/>
        <v>Код района</v>
      </c>
      <c r="D116" s="66" t="e">
        <f>#REF!</f>
        <v>#REF!</v>
      </c>
      <c r="E116" s="92" t="str">
        <f t="shared" si="27"/>
        <v>Код сельсовета</v>
      </c>
      <c r="F116" s="89" t="e">
        <f>#REF!</f>
        <v>#REF!</v>
      </c>
      <c r="G116" s="91" t="e">
        <f>#REF!</f>
        <v>#REF!</v>
      </c>
      <c r="H116" s="48" t="e">
        <f t="shared" si="29"/>
        <v>#REF!</v>
      </c>
      <c r="I116" s="48" t="e">
        <f t="shared" si="30"/>
        <v>#REF!</v>
      </c>
      <c r="J116" s="48" t="e">
        <f t="shared" si="31"/>
        <v>#REF!</v>
      </c>
      <c r="K116" s="49" t="e">
        <f t="shared" si="32"/>
        <v>#REF!</v>
      </c>
      <c r="L116" s="86" t="e">
        <f>#REF!+#REF!</f>
        <v>#REF!</v>
      </c>
      <c r="M116" s="71" t="e">
        <f>#REF!+#REF!</f>
        <v>#REF!</v>
      </c>
      <c r="N116" s="67" t="e">
        <f t="shared" si="33"/>
        <v>#REF!</v>
      </c>
      <c r="O116" s="68" t="e">
        <f t="shared" si="34"/>
        <v>#REF!</v>
      </c>
      <c r="P116" s="69" t="e">
        <f t="shared" si="35"/>
        <v>#REF!</v>
      </c>
      <c r="Q116" s="70" t="e">
        <f t="shared" si="36"/>
        <v>#REF!</v>
      </c>
      <c r="R116" s="70" t="e">
        <f t="shared" si="37"/>
        <v>#REF!</v>
      </c>
      <c r="S116" s="71" t="e">
        <f>#REF!</f>
        <v>#REF!</v>
      </c>
      <c r="T116" s="71" t="e">
        <f>#REF!</f>
        <v>#REF!</v>
      </c>
      <c r="U116" s="72" t="e">
        <f>#REF!</f>
        <v>#REF!</v>
      </c>
      <c r="V116" s="72" t="e">
        <f>#REF!</f>
        <v>#REF!</v>
      </c>
      <c r="W116" s="73" t="e">
        <f>#REF!</f>
        <v>#REF!</v>
      </c>
      <c r="X116" s="74" t="e">
        <f>#REF!</f>
        <v>#REF!</v>
      </c>
      <c r="Y116" s="217">
        <v>0</v>
      </c>
      <c r="Z116" s="217">
        <v>0</v>
      </c>
      <c r="AA116" s="74" t="e">
        <f>#REF!</f>
        <v>#REF!</v>
      </c>
      <c r="AB116" s="74" t="e">
        <f>#REF!</f>
        <v>#REF!</v>
      </c>
      <c r="AC116" s="74" t="e">
        <f>#REF!</f>
        <v>#REF!</v>
      </c>
      <c r="AD116" s="74" t="e">
        <f>#REF!</f>
        <v>#REF!</v>
      </c>
    </row>
    <row r="117" spans="1:30" customFormat="1">
      <c r="A117">
        <f t="shared" si="38"/>
        <v>111</v>
      </c>
      <c r="B117" s="85" t="e">
        <f>#REF!</f>
        <v>#REF!</v>
      </c>
      <c r="C117" s="92" t="str">
        <f t="shared" si="28"/>
        <v>Код района</v>
      </c>
      <c r="D117" s="66" t="e">
        <f>#REF!</f>
        <v>#REF!</v>
      </c>
      <c r="E117" s="92" t="str">
        <f t="shared" si="27"/>
        <v>Код сельсовета</v>
      </c>
      <c r="F117" s="89" t="e">
        <f>#REF!</f>
        <v>#REF!</v>
      </c>
      <c r="G117" s="91" t="e">
        <f>#REF!</f>
        <v>#REF!</v>
      </c>
      <c r="H117" s="48" t="e">
        <f t="shared" si="29"/>
        <v>#REF!</v>
      </c>
      <c r="I117" s="48" t="e">
        <f t="shared" si="30"/>
        <v>#REF!</v>
      </c>
      <c r="J117" s="48" t="e">
        <f t="shared" si="31"/>
        <v>#REF!</v>
      </c>
      <c r="K117" s="49" t="e">
        <f t="shared" si="32"/>
        <v>#REF!</v>
      </c>
      <c r="L117" s="86" t="e">
        <f>#REF!+#REF!</f>
        <v>#REF!</v>
      </c>
      <c r="M117" s="71" t="e">
        <f>#REF!+#REF!</f>
        <v>#REF!</v>
      </c>
      <c r="N117" s="67" t="e">
        <f t="shared" si="33"/>
        <v>#REF!</v>
      </c>
      <c r="O117" s="68" t="e">
        <f t="shared" si="34"/>
        <v>#REF!</v>
      </c>
      <c r="P117" s="69" t="e">
        <f t="shared" si="35"/>
        <v>#REF!</v>
      </c>
      <c r="Q117" s="70" t="e">
        <f t="shared" si="36"/>
        <v>#REF!</v>
      </c>
      <c r="R117" s="70" t="e">
        <f t="shared" si="37"/>
        <v>#REF!</v>
      </c>
      <c r="S117" s="71" t="e">
        <f>#REF!</f>
        <v>#REF!</v>
      </c>
      <c r="T117" s="71" t="e">
        <f>#REF!</f>
        <v>#REF!</v>
      </c>
      <c r="U117" s="72" t="e">
        <f>#REF!</f>
        <v>#REF!</v>
      </c>
      <c r="V117" s="72" t="e">
        <f>#REF!</f>
        <v>#REF!</v>
      </c>
      <c r="W117" s="73" t="e">
        <f>#REF!</f>
        <v>#REF!</v>
      </c>
      <c r="X117" s="74" t="e">
        <f>#REF!</f>
        <v>#REF!</v>
      </c>
      <c r="Y117" s="217">
        <v>0</v>
      </c>
      <c r="Z117" s="217">
        <v>0</v>
      </c>
      <c r="AA117" s="74" t="e">
        <f>#REF!</f>
        <v>#REF!</v>
      </c>
      <c r="AB117" s="74" t="e">
        <f>#REF!</f>
        <v>#REF!</v>
      </c>
      <c r="AC117" s="74" t="e">
        <f>#REF!</f>
        <v>#REF!</v>
      </c>
      <c r="AD117" s="74" t="e">
        <f>#REF!</f>
        <v>#REF!</v>
      </c>
    </row>
    <row r="118" spans="1:30" customFormat="1">
      <c r="A118">
        <f t="shared" si="38"/>
        <v>112</v>
      </c>
      <c r="B118" s="85" t="e">
        <f>#REF!</f>
        <v>#REF!</v>
      </c>
      <c r="C118" s="92" t="str">
        <f t="shared" si="28"/>
        <v>Код района</v>
      </c>
      <c r="D118" s="66" t="e">
        <f>#REF!</f>
        <v>#REF!</v>
      </c>
      <c r="E118" s="92" t="str">
        <f t="shared" si="27"/>
        <v>Код сельсовета</v>
      </c>
      <c r="F118" s="89" t="e">
        <f>#REF!</f>
        <v>#REF!</v>
      </c>
      <c r="G118" s="91" t="e">
        <f>#REF!</f>
        <v>#REF!</v>
      </c>
      <c r="H118" s="48" t="e">
        <f t="shared" si="29"/>
        <v>#REF!</v>
      </c>
      <c r="I118" s="48" t="e">
        <f t="shared" si="30"/>
        <v>#REF!</v>
      </c>
      <c r="J118" s="48" t="e">
        <f t="shared" si="31"/>
        <v>#REF!</v>
      </c>
      <c r="K118" s="49" t="e">
        <f t="shared" si="32"/>
        <v>#REF!</v>
      </c>
      <c r="L118" s="86" t="e">
        <f>#REF!+#REF!</f>
        <v>#REF!</v>
      </c>
      <c r="M118" s="71" t="e">
        <f>#REF!+#REF!</f>
        <v>#REF!</v>
      </c>
      <c r="N118" s="67" t="e">
        <f t="shared" si="33"/>
        <v>#REF!</v>
      </c>
      <c r="O118" s="68" t="e">
        <f t="shared" si="34"/>
        <v>#REF!</v>
      </c>
      <c r="P118" s="69" t="e">
        <f t="shared" si="35"/>
        <v>#REF!</v>
      </c>
      <c r="Q118" s="70" t="e">
        <f t="shared" si="36"/>
        <v>#REF!</v>
      </c>
      <c r="R118" s="70" t="e">
        <f t="shared" si="37"/>
        <v>#REF!</v>
      </c>
      <c r="S118" s="71" t="e">
        <f>#REF!</f>
        <v>#REF!</v>
      </c>
      <c r="T118" s="71" t="e">
        <f>#REF!</f>
        <v>#REF!</v>
      </c>
      <c r="U118" s="72" t="e">
        <f>#REF!</f>
        <v>#REF!</v>
      </c>
      <c r="V118" s="72" t="e">
        <f>#REF!</f>
        <v>#REF!</v>
      </c>
      <c r="W118" s="73" t="e">
        <f>#REF!</f>
        <v>#REF!</v>
      </c>
      <c r="X118" s="74" t="e">
        <f>#REF!</f>
        <v>#REF!</v>
      </c>
      <c r="Y118" s="217">
        <v>0</v>
      </c>
      <c r="Z118" s="217">
        <v>0</v>
      </c>
      <c r="AA118" s="74" t="e">
        <f>#REF!</f>
        <v>#REF!</v>
      </c>
      <c r="AB118" s="74" t="e">
        <f>#REF!</f>
        <v>#REF!</v>
      </c>
      <c r="AC118" s="74" t="e">
        <f>#REF!</f>
        <v>#REF!</v>
      </c>
      <c r="AD118" s="74" t="e">
        <f>#REF!</f>
        <v>#REF!</v>
      </c>
    </row>
    <row r="119" spans="1:30" customFormat="1">
      <c r="A119">
        <f t="shared" si="38"/>
        <v>113</v>
      </c>
      <c r="B119" s="85" t="e">
        <f>#REF!</f>
        <v>#REF!</v>
      </c>
      <c r="C119" s="92" t="str">
        <f t="shared" si="28"/>
        <v>Код района</v>
      </c>
      <c r="D119" s="66" t="e">
        <f>#REF!</f>
        <v>#REF!</v>
      </c>
      <c r="E119" s="92" t="str">
        <f t="shared" si="27"/>
        <v>Код сельсовета</v>
      </c>
      <c r="F119" s="89" t="e">
        <f>#REF!</f>
        <v>#REF!</v>
      </c>
      <c r="G119" s="91" t="e">
        <f>#REF!</f>
        <v>#REF!</v>
      </c>
      <c r="H119" s="48" t="e">
        <f t="shared" si="29"/>
        <v>#REF!</v>
      </c>
      <c r="I119" s="48" t="e">
        <f t="shared" si="30"/>
        <v>#REF!</v>
      </c>
      <c r="J119" s="48" t="e">
        <f t="shared" si="31"/>
        <v>#REF!</v>
      </c>
      <c r="K119" s="49" t="e">
        <f t="shared" si="32"/>
        <v>#REF!</v>
      </c>
      <c r="L119" s="86" t="e">
        <f>#REF!+#REF!</f>
        <v>#REF!</v>
      </c>
      <c r="M119" s="71" t="e">
        <f>#REF!+#REF!</f>
        <v>#REF!</v>
      </c>
      <c r="N119" s="67" t="e">
        <f t="shared" si="33"/>
        <v>#REF!</v>
      </c>
      <c r="O119" s="68" t="e">
        <f t="shared" si="34"/>
        <v>#REF!</v>
      </c>
      <c r="P119" s="69" t="e">
        <f t="shared" si="35"/>
        <v>#REF!</v>
      </c>
      <c r="Q119" s="70" t="e">
        <f t="shared" si="36"/>
        <v>#REF!</v>
      </c>
      <c r="R119" s="70" t="e">
        <f t="shared" si="37"/>
        <v>#REF!</v>
      </c>
      <c r="S119" s="71" t="e">
        <f>#REF!</f>
        <v>#REF!</v>
      </c>
      <c r="T119" s="71" t="e">
        <f>#REF!</f>
        <v>#REF!</v>
      </c>
      <c r="U119" s="72" t="e">
        <f>#REF!</f>
        <v>#REF!</v>
      </c>
      <c r="V119" s="72" t="e">
        <f>#REF!</f>
        <v>#REF!</v>
      </c>
      <c r="W119" s="73" t="e">
        <f>#REF!</f>
        <v>#REF!</v>
      </c>
      <c r="X119" s="74" t="e">
        <f>#REF!</f>
        <v>#REF!</v>
      </c>
      <c r="Y119" s="217">
        <v>0</v>
      </c>
      <c r="Z119" s="217">
        <v>0</v>
      </c>
      <c r="AA119" s="74" t="e">
        <f>#REF!</f>
        <v>#REF!</v>
      </c>
      <c r="AB119" s="74" t="e">
        <f>#REF!</f>
        <v>#REF!</v>
      </c>
      <c r="AC119" s="74" t="e">
        <f>#REF!</f>
        <v>#REF!</v>
      </c>
      <c r="AD119" s="74" t="e">
        <f>#REF!</f>
        <v>#REF!</v>
      </c>
    </row>
    <row r="120" spans="1:30" customFormat="1">
      <c r="A120">
        <f t="shared" si="38"/>
        <v>114</v>
      </c>
      <c r="B120" s="85" t="e">
        <f>#REF!</f>
        <v>#REF!</v>
      </c>
      <c r="C120" s="92" t="str">
        <f t="shared" si="28"/>
        <v>Код района</v>
      </c>
      <c r="D120" s="66" t="e">
        <f>#REF!</f>
        <v>#REF!</v>
      </c>
      <c r="E120" s="92" t="str">
        <f t="shared" si="27"/>
        <v>Код сельсовета</v>
      </c>
      <c r="F120" s="89" t="e">
        <f>#REF!</f>
        <v>#REF!</v>
      </c>
      <c r="G120" s="91" t="e">
        <f>#REF!</f>
        <v>#REF!</v>
      </c>
      <c r="H120" s="48" t="e">
        <f t="shared" si="29"/>
        <v>#REF!</v>
      </c>
      <c r="I120" s="48" t="e">
        <f t="shared" si="30"/>
        <v>#REF!</v>
      </c>
      <c r="J120" s="48" t="e">
        <f t="shared" si="31"/>
        <v>#REF!</v>
      </c>
      <c r="K120" s="49" t="e">
        <f t="shared" si="32"/>
        <v>#REF!</v>
      </c>
      <c r="L120" s="86" t="e">
        <f>#REF!+#REF!</f>
        <v>#REF!</v>
      </c>
      <c r="M120" s="71" t="e">
        <f>#REF!+#REF!</f>
        <v>#REF!</v>
      </c>
      <c r="N120" s="67" t="e">
        <f t="shared" si="33"/>
        <v>#REF!</v>
      </c>
      <c r="O120" s="68" t="e">
        <f t="shared" si="34"/>
        <v>#REF!</v>
      </c>
      <c r="P120" s="69" t="e">
        <f t="shared" si="35"/>
        <v>#REF!</v>
      </c>
      <c r="Q120" s="70" t="e">
        <f t="shared" si="36"/>
        <v>#REF!</v>
      </c>
      <c r="R120" s="70" t="e">
        <f t="shared" si="37"/>
        <v>#REF!</v>
      </c>
      <c r="S120" s="71" t="e">
        <f>#REF!</f>
        <v>#REF!</v>
      </c>
      <c r="T120" s="71" t="e">
        <f>#REF!</f>
        <v>#REF!</v>
      </c>
      <c r="U120" s="72" t="e">
        <f>#REF!</f>
        <v>#REF!</v>
      </c>
      <c r="V120" s="72" t="e">
        <f>#REF!</f>
        <v>#REF!</v>
      </c>
      <c r="W120" s="73" t="e">
        <f>#REF!</f>
        <v>#REF!</v>
      </c>
      <c r="X120" s="74" t="e">
        <f>#REF!</f>
        <v>#REF!</v>
      </c>
      <c r="Y120" s="217">
        <v>0</v>
      </c>
      <c r="Z120" s="217">
        <v>0</v>
      </c>
      <c r="AA120" s="74" t="e">
        <f>#REF!</f>
        <v>#REF!</v>
      </c>
      <c r="AB120" s="74" t="e">
        <f>#REF!</f>
        <v>#REF!</v>
      </c>
      <c r="AC120" s="74" t="e">
        <f>#REF!</f>
        <v>#REF!</v>
      </c>
      <c r="AD120" s="74" t="e">
        <f>#REF!</f>
        <v>#REF!</v>
      </c>
    </row>
    <row r="121" spans="1:30" customFormat="1">
      <c r="A121">
        <f t="shared" si="38"/>
        <v>115</v>
      </c>
      <c r="B121" s="85" t="e">
        <f>#REF!</f>
        <v>#REF!</v>
      </c>
      <c r="C121" s="92" t="str">
        <f t="shared" si="28"/>
        <v>Код района</v>
      </c>
      <c r="D121" s="66" t="e">
        <f>#REF!</f>
        <v>#REF!</v>
      </c>
      <c r="E121" s="92" t="str">
        <f t="shared" si="27"/>
        <v>Код сельсовета</v>
      </c>
      <c r="F121" s="89" t="e">
        <f>#REF!</f>
        <v>#REF!</v>
      </c>
      <c r="G121" s="91" t="e">
        <f>#REF!</f>
        <v>#REF!</v>
      </c>
      <c r="H121" s="48" t="e">
        <f t="shared" si="29"/>
        <v>#REF!</v>
      </c>
      <c r="I121" s="48" t="e">
        <f t="shared" si="30"/>
        <v>#REF!</v>
      </c>
      <c r="J121" s="48" t="e">
        <f t="shared" si="31"/>
        <v>#REF!</v>
      </c>
      <c r="K121" s="49" t="e">
        <f t="shared" si="32"/>
        <v>#REF!</v>
      </c>
      <c r="L121" s="86" t="e">
        <f>#REF!+#REF!</f>
        <v>#REF!</v>
      </c>
      <c r="M121" s="71" t="e">
        <f>#REF!+#REF!</f>
        <v>#REF!</v>
      </c>
      <c r="N121" s="67" t="e">
        <f t="shared" si="33"/>
        <v>#REF!</v>
      </c>
      <c r="O121" s="68" t="e">
        <f t="shared" si="34"/>
        <v>#REF!</v>
      </c>
      <c r="P121" s="69" t="e">
        <f t="shared" si="35"/>
        <v>#REF!</v>
      </c>
      <c r="Q121" s="70" t="e">
        <f t="shared" si="36"/>
        <v>#REF!</v>
      </c>
      <c r="R121" s="70" t="e">
        <f t="shared" si="37"/>
        <v>#REF!</v>
      </c>
      <c r="S121" s="71" t="e">
        <f>#REF!</f>
        <v>#REF!</v>
      </c>
      <c r="T121" s="71" t="e">
        <f>#REF!</f>
        <v>#REF!</v>
      </c>
      <c r="U121" s="72" t="e">
        <f>#REF!</f>
        <v>#REF!</v>
      </c>
      <c r="V121" s="72" t="e">
        <f>#REF!</f>
        <v>#REF!</v>
      </c>
      <c r="W121" s="73" t="e">
        <f>#REF!</f>
        <v>#REF!</v>
      </c>
      <c r="X121" s="74" t="e">
        <f>#REF!</f>
        <v>#REF!</v>
      </c>
      <c r="Y121" s="217">
        <v>0</v>
      </c>
      <c r="Z121" s="217">
        <v>0</v>
      </c>
      <c r="AA121" s="74" t="e">
        <f>#REF!</f>
        <v>#REF!</v>
      </c>
      <c r="AB121" s="74" t="e">
        <f>#REF!</f>
        <v>#REF!</v>
      </c>
      <c r="AC121" s="74" t="e">
        <f>#REF!</f>
        <v>#REF!</v>
      </c>
      <c r="AD121" s="74" t="e">
        <f>#REF!</f>
        <v>#REF!</v>
      </c>
    </row>
    <row r="122" spans="1:30" customFormat="1">
      <c r="A122">
        <f t="shared" si="38"/>
        <v>116</v>
      </c>
      <c r="B122" s="85" t="e">
        <f>#REF!</f>
        <v>#REF!</v>
      </c>
      <c r="C122" s="92" t="str">
        <f t="shared" si="28"/>
        <v>Код района</v>
      </c>
      <c r="D122" s="66" t="e">
        <f>#REF!</f>
        <v>#REF!</v>
      </c>
      <c r="E122" s="92" t="str">
        <f t="shared" si="27"/>
        <v>Код сельсовета</v>
      </c>
      <c r="F122" s="89" t="e">
        <f>#REF!</f>
        <v>#REF!</v>
      </c>
      <c r="G122" s="91" t="e">
        <f>#REF!</f>
        <v>#REF!</v>
      </c>
      <c r="H122" s="48" t="e">
        <f t="shared" si="29"/>
        <v>#REF!</v>
      </c>
      <c r="I122" s="48" t="e">
        <f t="shared" si="30"/>
        <v>#REF!</v>
      </c>
      <c r="J122" s="48" t="e">
        <f t="shared" si="31"/>
        <v>#REF!</v>
      </c>
      <c r="K122" s="49" t="e">
        <f t="shared" si="32"/>
        <v>#REF!</v>
      </c>
      <c r="L122" s="86" t="e">
        <f>#REF!+#REF!</f>
        <v>#REF!</v>
      </c>
      <c r="M122" s="71" t="e">
        <f>#REF!+#REF!</f>
        <v>#REF!</v>
      </c>
      <c r="N122" s="67" t="e">
        <f t="shared" si="33"/>
        <v>#REF!</v>
      </c>
      <c r="O122" s="68" t="e">
        <f t="shared" si="34"/>
        <v>#REF!</v>
      </c>
      <c r="P122" s="69" t="e">
        <f t="shared" si="35"/>
        <v>#REF!</v>
      </c>
      <c r="Q122" s="70" t="e">
        <f t="shared" si="36"/>
        <v>#REF!</v>
      </c>
      <c r="R122" s="70" t="e">
        <f t="shared" si="37"/>
        <v>#REF!</v>
      </c>
      <c r="S122" s="71" t="e">
        <f>#REF!</f>
        <v>#REF!</v>
      </c>
      <c r="T122" s="71" t="e">
        <f>#REF!</f>
        <v>#REF!</v>
      </c>
      <c r="U122" s="72" t="e">
        <f>#REF!</f>
        <v>#REF!</v>
      </c>
      <c r="V122" s="72" t="e">
        <f>#REF!</f>
        <v>#REF!</v>
      </c>
      <c r="W122" s="73" t="e">
        <f>#REF!</f>
        <v>#REF!</v>
      </c>
      <c r="X122" s="74" t="e">
        <f>#REF!</f>
        <v>#REF!</v>
      </c>
      <c r="Y122" s="217">
        <v>0</v>
      </c>
      <c r="Z122" s="217">
        <v>0</v>
      </c>
      <c r="AA122" s="74" t="e">
        <f>#REF!</f>
        <v>#REF!</v>
      </c>
      <c r="AB122" s="74" t="e">
        <f>#REF!</f>
        <v>#REF!</v>
      </c>
      <c r="AC122" s="74" t="e">
        <f>#REF!</f>
        <v>#REF!</v>
      </c>
      <c r="AD122" s="74" t="e">
        <f>#REF!</f>
        <v>#REF!</v>
      </c>
    </row>
    <row r="123" spans="1:30" customFormat="1">
      <c r="A123">
        <f t="shared" si="38"/>
        <v>117</v>
      </c>
      <c r="B123" s="85" t="e">
        <f>#REF!</f>
        <v>#REF!</v>
      </c>
      <c r="C123" s="92" t="str">
        <f t="shared" si="28"/>
        <v>Код района</v>
      </c>
      <c r="D123" s="66" t="e">
        <f>#REF!</f>
        <v>#REF!</v>
      </c>
      <c r="E123" s="92" t="str">
        <f t="shared" si="27"/>
        <v>Код сельсовета</v>
      </c>
      <c r="F123" s="89" t="e">
        <f>#REF!</f>
        <v>#REF!</v>
      </c>
      <c r="G123" s="91" t="e">
        <f>#REF!</f>
        <v>#REF!</v>
      </c>
      <c r="H123" s="48" t="e">
        <f t="shared" si="29"/>
        <v>#REF!</v>
      </c>
      <c r="I123" s="48" t="e">
        <f t="shared" si="30"/>
        <v>#REF!</v>
      </c>
      <c r="J123" s="48" t="e">
        <f t="shared" si="31"/>
        <v>#REF!</v>
      </c>
      <c r="K123" s="49" t="e">
        <f t="shared" si="32"/>
        <v>#REF!</v>
      </c>
      <c r="L123" s="86" t="e">
        <f>#REF!+#REF!</f>
        <v>#REF!</v>
      </c>
      <c r="M123" s="71" t="e">
        <f>#REF!+#REF!</f>
        <v>#REF!</v>
      </c>
      <c r="N123" s="67" t="e">
        <f t="shared" si="33"/>
        <v>#REF!</v>
      </c>
      <c r="O123" s="68" t="e">
        <f t="shared" si="34"/>
        <v>#REF!</v>
      </c>
      <c r="P123" s="69" t="e">
        <f t="shared" si="35"/>
        <v>#REF!</v>
      </c>
      <c r="Q123" s="70" t="e">
        <f t="shared" si="36"/>
        <v>#REF!</v>
      </c>
      <c r="R123" s="70" t="e">
        <f t="shared" si="37"/>
        <v>#REF!</v>
      </c>
      <c r="S123" s="71" t="e">
        <f>#REF!</f>
        <v>#REF!</v>
      </c>
      <c r="T123" s="71" t="e">
        <f>#REF!</f>
        <v>#REF!</v>
      </c>
      <c r="U123" s="72" t="e">
        <f>#REF!</f>
        <v>#REF!</v>
      </c>
      <c r="V123" s="72" t="e">
        <f>#REF!</f>
        <v>#REF!</v>
      </c>
      <c r="W123" s="73" t="e">
        <f>#REF!</f>
        <v>#REF!</v>
      </c>
      <c r="X123" s="74" t="e">
        <f>#REF!</f>
        <v>#REF!</v>
      </c>
      <c r="Y123" s="217">
        <v>0</v>
      </c>
      <c r="Z123" s="217">
        <v>0</v>
      </c>
      <c r="AA123" s="74" t="e">
        <f>#REF!</f>
        <v>#REF!</v>
      </c>
      <c r="AB123" s="74" t="e">
        <f>#REF!</f>
        <v>#REF!</v>
      </c>
      <c r="AC123" s="74" t="e">
        <f>#REF!</f>
        <v>#REF!</v>
      </c>
      <c r="AD123" s="74" t="e">
        <f>#REF!</f>
        <v>#REF!</v>
      </c>
    </row>
    <row r="124" spans="1:30" customFormat="1">
      <c r="A124">
        <f t="shared" si="38"/>
        <v>118</v>
      </c>
      <c r="B124" s="85" t="e">
        <f>#REF!</f>
        <v>#REF!</v>
      </c>
      <c r="C124" s="92" t="str">
        <f t="shared" si="28"/>
        <v>Код района</v>
      </c>
      <c r="D124" s="66" t="e">
        <f>#REF!</f>
        <v>#REF!</v>
      </c>
      <c r="E124" s="92" t="str">
        <f t="shared" si="27"/>
        <v>Код сельсовета</v>
      </c>
      <c r="F124" s="89" t="e">
        <f>#REF!</f>
        <v>#REF!</v>
      </c>
      <c r="G124" s="91" t="e">
        <f>#REF!</f>
        <v>#REF!</v>
      </c>
      <c r="H124" s="48" t="e">
        <f t="shared" si="29"/>
        <v>#REF!</v>
      </c>
      <c r="I124" s="48" t="e">
        <f t="shared" si="30"/>
        <v>#REF!</v>
      </c>
      <c r="J124" s="48" t="e">
        <f t="shared" si="31"/>
        <v>#REF!</v>
      </c>
      <c r="K124" s="49" t="e">
        <f t="shared" si="32"/>
        <v>#REF!</v>
      </c>
      <c r="L124" s="86" t="e">
        <f>#REF!+#REF!</f>
        <v>#REF!</v>
      </c>
      <c r="M124" s="71" t="e">
        <f>#REF!+#REF!</f>
        <v>#REF!</v>
      </c>
      <c r="N124" s="67" t="e">
        <f t="shared" si="33"/>
        <v>#REF!</v>
      </c>
      <c r="O124" s="68" t="e">
        <f t="shared" si="34"/>
        <v>#REF!</v>
      </c>
      <c r="P124" s="69" t="e">
        <f t="shared" si="35"/>
        <v>#REF!</v>
      </c>
      <c r="Q124" s="70" t="e">
        <f t="shared" si="36"/>
        <v>#REF!</v>
      </c>
      <c r="R124" s="70" t="e">
        <f t="shared" si="37"/>
        <v>#REF!</v>
      </c>
      <c r="S124" s="71" t="e">
        <f>#REF!</f>
        <v>#REF!</v>
      </c>
      <c r="T124" s="71" t="e">
        <f>#REF!</f>
        <v>#REF!</v>
      </c>
      <c r="U124" s="72" t="e">
        <f>#REF!</f>
        <v>#REF!</v>
      </c>
      <c r="V124" s="72" t="e">
        <f>#REF!</f>
        <v>#REF!</v>
      </c>
      <c r="W124" s="73" t="e">
        <f>#REF!</f>
        <v>#REF!</v>
      </c>
      <c r="X124" s="74" t="e">
        <f>#REF!</f>
        <v>#REF!</v>
      </c>
      <c r="Y124" s="217">
        <v>0</v>
      </c>
      <c r="Z124" s="217">
        <v>0</v>
      </c>
      <c r="AA124" s="74" t="e">
        <f>#REF!</f>
        <v>#REF!</v>
      </c>
      <c r="AB124" s="74" t="e">
        <f>#REF!</f>
        <v>#REF!</v>
      </c>
      <c r="AC124" s="74" t="e">
        <f>#REF!</f>
        <v>#REF!</v>
      </c>
      <c r="AD124" s="74" t="e">
        <f>#REF!</f>
        <v>#REF!</v>
      </c>
    </row>
    <row r="125" spans="1:30" customFormat="1">
      <c r="A125">
        <f t="shared" si="38"/>
        <v>119</v>
      </c>
      <c r="B125" s="85" t="e">
        <f>#REF!</f>
        <v>#REF!</v>
      </c>
      <c r="C125" s="92" t="str">
        <f t="shared" si="28"/>
        <v>Код района</v>
      </c>
      <c r="D125" s="66" t="e">
        <f>#REF!</f>
        <v>#REF!</v>
      </c>
      <c r="E125" s="92" t="str">
        <f t="shared" si="27"/>
        <v>Код сельсовета</v>
      </c>
      <c r="F125" s="89" t="e">
        <f>#REF!</f>
        <v>#REF!</v>
      </c>
      <c r="G125" s="91" t="e">
        <f>#REF!</f>
        <v>#REF!</v>
      </c>
      <c r="H125" s="48" t="e">
        <f t="shared" si="29"/>
        <v>#REF!</v>
      </c>
      <c r="I125" s="48" t="e">
        <f t="shared" si="30"/>
        <v>#REF!</v>
      </c>
      <c r="J125" s="48" t="e">
        <f t="shared" si="31"/>
        <v>#REF!</v>
      </c>
      <c r="K125" s="49" t="e">
        <f t="shared" si="32"/>
        <v>#REF!</v>
      </c>
      <c r="L125" s="86" t="e">
        <f>#REF!+#REF!</f>
        <v>#REF!</v>
      </c>
      <c r="M125" s="71" t="e">
        <f>#REF!+#REF!</f>
        <v>#REF!</v>
      </c>
      <c r="N125" s="67" t="e">
        <f t="shared" si="33"/>
        <v>#REF!</v>
      </c>
      <c r="O125" s="68" t="e">
        <f t="shared" si="34"/>
        <v>#REF!</v>
      </c>
      <c r="P125" s="69" t="e">
        <f t="shared" si="35"/>
        <v>#REF!</v>
      </c>
      <c r="Q125" s="70" t="e">
        <f t="shared" si="36"/>
        <v>#REF!</v>
      </c>
      <c r="R125" s="70" t="e">
        <f t="shared" si="37"/>
        <v>#REF!</v>
      </c>
      <c r="S125" s="71" t="e">
        <f>#REF!</f>
        <v>#REF!</v>
      </c>
      <c r="T125" s="71" t="e">
        <f>#REF!</f>
        <v>#REF!</v>
      </c>
      <c r="U125" s="72" t="e">
        <f>#REF!</f>
        <v>#REF!</v>
      </c>
      <c r="V125" s="72" t="e">
        <f>#REF!</f>
        <v>#REF!</v>
      </c>
      <c r="W125" s="73" t="e">
        <f>#REF!</f>
        <v>#REF!</v>
      </c>
      <c r="X125" s="74" t="e">
        <f>#REF!</f>
        <v>#REF!</v>
      </c>
      <c r="Y125" s="217">
        <v>0</v>
      </c>
      <c r="Z125" s="217">
        <v>0</v>
      </c>
      <c r="AA125" s="74" t="e">
        <f>#REF!</f>
        <v>#REF!</v>
      </c>
      <c r="AB125" s="74" t="e">
        <f>#REF!</f>
        <v>#REF!</v>
      </c>
      <c r="AC125" s="74" t="e">
        <f>#REF!</f>
        <v>#REF!</v>
      </c>
      <c r="AD125" s="74" t="e">
        <f>#REF!</f>
        <v>#REF!</v>
      </c>
    </row>
    <row r="126" spans="1:30" customFormat="1">
      <c r="A126">
        <f t="shared" si="38"/>
        <v>120</v>
      </c>
      <c r="B126" s="85" t="e">
        <f>#REF!</f>
        <v>#REF!</v>
      </c>
      <c r="C126" s="92" t="str">
        <f t="shared" si="28"/>
        <v>Код района</v>
      </c>
      <c r="D126" s="66" t="e">
        <f>#REF!</f>
        <v>#REF!</v>
      </c>
      <c r="E126" s="92" t="str">
        <f t="shared" si="27"/>
        <v>Код сельсовета</v>
      </c>
      <c r="F126" s="89" t="e">
        <f>#REF!</f>
        <v>#REF!</v>
      </c>
      <c r="G126" s="91" t="e">
        <f>#REF!</f>
        <v>#REF!</v>
      </c>
      <c r="H126" s="48" t="e">
        <f t="shared" si="29"/>
        <v>#REF!</v>
      </c>
      <c r="I126" s="48" t="e">
        <f t="shared" si="30"/>
        <v>#REF!</v>
      </c>
      <c r="J126" s="48" t="e">
        <f t="shared" si="31"/>
        <v>#REF!</v>
      </c>
      <c r="K126" s="49" t="e">
        <f t="shared" si="32"/>
        <v>#REF!</v>
      </c>
      <c r="L126" s="86" t="e">
        <f>#REF!+#REF!</f>
        <v>#REF!</v>
      </c>
      <c r="M126" s="71" t="e">
        <f>#REF!+#REF!</f>
        <v>#REF!</v>
      </c>
      <c r="N126" s="67" t="e">
        <f t="shared" si="33"/>
        <v>#REF!</v>
      </c>
      <c r="O126" s="68" t="e">
        <f t="shared" si="34"/>
        <v>#REF!</v>
      </c>
      <c r="P126" s="69" t="e">
        <f t="shared" si="35"/>
        <v>#REF!</v>
      </c>
      <c r="Q126" s="70" t="e">
        <f t="shared" si="36"/>
        <v>#REF!</v>
      </c>
      <c r="R126" s="70" t="e">
        <f t="shared" si="37"/>
        <v>#REF!</v>
      </c>
      <c r="S126" s="71" t="e">
        <f>#REF!</f>
        <v>#REF!</v>
      </c>
      <c r="T126" s="71" t="e">
        <f>#REF!</f>
        <v>#REF!</v>
      </c>
      <c r="U126" s="72" t="e">
        <f>#REF!</f>
        <v>#REF!</v>
      </c>
      <c r="V126" s="72" t="e">
        <f>#REF!</f>
        <v>#REF!</v>
      </c>
      <c r="W126" s="73" t="e">
        <f>#REF!</f>
        <v>#REF!</v>
      </c>
      <c r="X126" s="74" t="e">
        <f>#REF!</f>
        <v>#REF!</v>
      </c>
      <c r="Y126" s="217">
        <v>0</v>
      </c>
      <c r="Z126" s="217">
        <v>0</v>
      </c>
      <c r="AA126" s="74" t="e">
        <f>#REF!</f>
        <v>#REF!</v>
      </c>
      <c r="AB126" s="74" t="e">
        <f>#REF!</f>
        <v>#REF!</v>
      </c>
      <c r="AC126" s="74" t="e">
        <f>#REF!</f>
        <v>#REF!</v>
      </c>
      <c r="AD126" s="74" t="e">
        <f>#REF!</f>
        <v>#REF!</v>
      </c>
    </row>
    <row r="127" spans="1:30" customFormat="1">
      <c r="A127">
        <f t="shared" si="38"/>
        <v>121</v>
      </c>
      <c r="B127" s="85" t="e">
        <f>#REF!</f>
        <v>#REF!</v>
      </c>
      <c r="C127" s="92" t="str">
        <f t="shared" si="28"/>
        <v>Код района</v>
      </c>
      <c r="D127" s="66" t="e">
        <f>#REF!</f>
        <v>#REF!</v>
      </c>
      <c r="E127" s="92" t="str">
        <f t="shared" si="27"/>
        <v>Код сельсовета</v>
      </c>
      <c r="F127" s="89" t="e">
        <f>#REF!</f>
        <v>#REF!</v>
      </c>
      <c r="G127" s="91" t="e">
        <f>#REF!</f>
        <v>#REF!</v>
      </c>
      <c r="H127" s="48" t="e">
        <f t="shared" si="29"/>
        <v>#REF!</v>
      </c>
      <c r="I127" s="48" t="e">
        <f t="shared" si="30"/>
        <v>#REF!</v>
      </c>
      <c r="J127" s="48" t="e">
        <f t="shared" si="31"/>
        <v>#REF!</v>
      </c>
      <c r="K127" s="49" t="e">
        <f t="shared" si="32"/>
        <v>#REF!</v>
      </c>
      <c r="L127" s="86" t="e">
        <f>#REF!+#REF!</f>
        <v>#REF!</v>
      </c>
      <c r="M127" s="71" t="e">
        <f>#REF!+#REF!</f>
        <v>#REF!</v>
      </c>
      <c r="N127" s="67" t="e">
        <f t="shared" si="33"/>
        <v>#REF!</v>
      </c>
      <c r="O127" s="68" t="e">
        <f t="shared" si="34"/>
        <v>#REF!</v>
      </c>
      <c r="P127" s="69" t="e">
        <f t="shared" si="35"/>
        <v>#REF!</v>
      </c>
      <c r="Q127" s="70" t="e">
        <f t="shared" si="36"/>
        <v>#REF!</v>
      </c>
      <c r="R127" s="70" t="e">
        <f t="shared" si="37"/>
        <v>#REF!</v>
      </c>
      <c r="S127" s="71" t="e">
        <f>#REF!</f>
        <v>#REF!</v>
      </c>
      <c r="T127" s="71" t="e">
        <f>#REF!</f>
        <v>#REF!</v>
      </c>
      <c r="U127" s="72" t="e">
        <f>#REF!</f>
        <v>#REF!</v>
      </c>
      <c r="V127" s="72" t="e">
        <f>#REF!</f>
        <v>#REF!</v>
      </c>
      <c r="W127" s="73" t="e">
        <f>#REF!</f>
        <v>#REF!</v>
      </c>
      <c r="X127" s="74" t="e">
        <f>#REF!</f>
        <v>#REF!</v>
      </c>
      <c r="Y127" s="217">
        <v>0</v>
      </c>
      <c r="Z127" s="217">
        <v>0</v>
      </c>
      <c r="AA127" s="74" t="e">
        <f>#REF!</f>
        <v>#REF!</v>
      </c>
      <c r="AB127" s="74" t="e">
        <f>#REF!</f>
        <v>#REF!</v>
      </c>
      <c r="AC127" s="74" t="e">
        <f>#REF!</f>
        <v>#REF!</v>
      </c>
      <c r="AD127" s="74" t="e">
        <f>#REF!</f>
        <v>#REF!</v>
      </c>
    </row>
    <row r="128" spans="1:30" customFormat="1">
      <c r="A128">
        <f t="shared" si="38"/>
        <v>122</v>
      </c>
      <c r="B128" s="85" t="e">
        <f>#REF!</f>
        <v>#REF!</v>
      </c>
      <c r="C128" s="92" t="str">
        <f t="shared" si="28"/>
        <v>Код района</v>
      </c>
      <c r="D128" s="66" t="e">
        <f>#REF!</f>
        <v>#REF!</v>
      </c>
      <c r="E128" s="92" t="str">
        <f t="shared" si="27"/>
        <v>Код сельсовета</v>
      </c>
      <c r="F128" s="89" t="e">
        <f>#REF!</f>
        <v>#REF!</v>
      </c>
      <c r="G128" s="91" t="e">
        <f>#REF!</f>
        <v>#REF!</v>
      </c>
      <c r="H128" s="48" t="e">
        <f t="shared" si="29"/>
        <v>#REF!</v>
      </c>
      <c r="I128" s="48" t="e">
        <f t="shared" si="30"/>
        <v>#REF!</v>
      </c>
      <c r="J128" s="48" t="e">
        <f t="shared" si="31"/>
        <v>#REF!</v>
      </c>
      <c r="K128" s="49" t="e">
        <f t="shared" si="32"/>
        <v>#REF!</v>
      </c>
      <c r="L128" s="86" t="e">
        <f>#REF!+#REF!</f>
        <v>#REF!</v>
      </c>
      <c r="M128" s="71" t="e">
        <f>#REF!+#REF!</f>
        <v>#REF!</v>
      </c>
      <c r="N128" s="67" t="e">
        <f t="shared" si="33"/>
        <v>#REF!</v>
      </c>
      <c r="O128" s="68" t="e">
        <f t="shared" si="34"/>
        <v>#REF!</v>
      </c>
      <c r="P128" s="69" t="e">
        <f t="shared" si="35"/>
        <v>#REF!</v>
      </c>
      <c r="Q128" s="70" t="e">
        <f t="shared" si="36"/>
        <v>#REF!</v>
      </c>
      <c r="R128" s="70" t="e">
        <f t="shared" si="37"/>
        <v>#REF!</v>
      </c>
      <c r="S128" s="71" t="e">
        <f>#REF!</f>
        <v>#REF!</v>
      </c>
      <c r="T128" s="71" t="e">
        <f>#REF!</f>
        <v>#REF!</v>
      </c>
      <c r="U128" s="72" t="e">
        <f>#REF!</f>
        <v>#REF!</v>
      </c>
      <c r="V128" s="72" t="e">
        <f>#REF!</f>
        <v>#REF!</v>
      </c>
      <c r="W128" s="73" t="e">
        <f>#REF!</f>
        <v>#REF!</v>
      </c>
      <c r="X128" s="74" t="e">
        <f>#REF!</f>
        <v>#REF!</v>
      </c>
      <c r="Y128" s="217">
        <v>0</v>
      </c>
      <c r="Z128" s="217">
        <v>0</v>
      </c>
      <c r="AA128" s="74" t="e">
        <f>#REF!</f>
        <v>#REF!</v>
      </c>
      <c r="AB128" s="74" t="e">
        <f>#REF!</f>
        <v>#REF!</v>
      </c>
      <c r="AC128" s="74" t="e">
        <f>#REF!</f>
        <v>#REF!</v>
      </c>
      <c r="AD128" s="74" t="e">
        <f>#REF!</f>
        <v>#REF!</v>
      </c>
    </row>
    <row r="129" spans="1:30" customFormat="1">
      <c r="A129">
        <f t="shared" si="38"/>
        <v>123</v>
      </c>
      <c r="B129" s="85" t="e">
        <f>#REF!</f>
        <v>#REF!</v>
      </c>
      <c r="C129" s="92" t="str">
        <f t="shared" si="28"/>
        <v>Код района</v>
      </c>
      <c r="D129" s="66" t="e">
        <f>#REF!</f>
        <v>#REF!</v>
      </c>
      <c r="E129" s="92" t="str">
        <f t="shared" si="27"/>
        <v>Код сельсовета</v>
      </c>
      <c r="F129" s="89" t="e">
        <f>#REF!</f>
        <v>#REF!</v>
      </c>
      <c r="G129" s="91" t="e">
        <f>#REF!</f>
        <v>#REF!</v>
      </c>
      <c r="H129" s="48" t="e">
        <f t="shared" si="29"/>
        <v>#REF!</v>
      </c>
      <c r="I129" s="48" t="e">
        <f t="shared" si="30"/>
        <v>#REF!</v>
      </c>
      <c r="J129" s="48" t="e">
        <f t="shared" si="31"/>
        <v>#REF!</v>
      </c>
      <c r="K129" s="49" t="e">
        <f t="shared" si="32"/>
        <v>#REF!</v>
      </c>
      <c r="L129" s="86" t="e">
        <f>#REF!+#REF!</f>
        <v>#REF!</v>
      </c>
      <c r="M129" s="71" t="e">
        <f>#REF!+#REF!</f>
        <v>#REF!</v>
      </c>
      <c r="N129" s="67" t="e">
        <f t="shared" si="33"/>
        <v>#REF!</v>
      </c>
      <c r="O129" s="68" t="e">
        <f t="shared" si="34"/>
        <v>#REF!</v>
      </c>
      <c r="P129" s="69" t="e">
        <f t="shared" si="35"/>
        <v>#REF!</v>
      </c>
      <c r="Q129" s="70" t="e">
        <f t="shared" si="36"/>
        <v>#REF!</v>
      </c>
      <c r="R129" s="70" t="e">
        <f t="shared" si="37"/>
        <v>#REF!</v>
      </c>
      <c r="S129" s="71" t="e">
        <f>#REF!</f>
        <v>#REF!</v>
      </c>
      <c r="T129" s="71" t="e">
        <f>#REF!</f>
        <v>#REF!</v>
      </c>
      <c r="U129" s="72" t="e">
        <f>#REF!</f>
        <v>#REF!</v>
      </c>
      <c r="V129" s="72" t="e">
        <f>#REF!</f>
        <v>#REF!</v>
      </c>
      <c r="W129" s="73" t="e">
        <f>#REF!</f>
        <v>#REF!</v>
      </c>
      <c r="X129" s="74" t="e">
        <f>#REF!</f>
        <v>#REF!</v>
      </c>
      <c r="Y129" s="217">
        <v>0</v>
      </c>
      <c r="Z129" s="217">
        <v>0</v>
      </c>
      <c r="AA129" s="74" t="e">
        <f>#REF!</f>
        <v>#REF!</v>
      </c>
      <c r="AB129" s="74" t="e">
        <f>#REF!</f>
        <v>#REF!</v>
      </c>
      <c r="AC129" s="74" t="e">
        <f>#REF!</f>
        <v>#REF!</v>
      </c>
      <c r="AD129" s="74" t="e">
        <f>#REF!</f>
        <v>#REF!</v>
      </c>
    </row>
    <row r="130" spans="1:30" customFormat="1">
      <c r="A130">
        <f t="shared" si="38"/>
        <v>124</v>
      </c>
      <c r="B130" s="85" t="e">
        <f>#REF!</f>
        <v>#REF!</v>
      </c>
      <c r="C130" s="92" t="str">
        <f t="shared" si="28"/>
        <v>Код района</v>
      </c>
      <c r="D130" s="66" t="e">
        <f>#REF!</f>
        <v>#REF!</v>
      </c>
      <c r="E130" s="92" t="str">
        <f t="shared" si="27"/>
        <v>Код сельсовета</v>
      </c>
      <c r="F130" s="89" t="e">
        <f>#REF!</f>
        <v>#REF!</v>
      </c>
      <c r="G130" s="91" t="e">
        <f>#REF!</f>
        <v>#REF!</v>
      </c>
      <c r="H130" s="48" t="e">
        <f t="shared" si="29"/>
        <v>#REF!</v>
      </c>
      <c r="I130" s="48" t="e">
        <f t="shared" si="30"/>
        <v>#REF!</v>
      </c>
      <c r="J130" s="48" t="e">
        <f t="shared" si="31"/>
        <v>#REF!</v>
      </c>
      <c r="K130" s="49" t="e">
        <f t="shared" si="32"/>
        <v>#REF!</v>
      </c>
      <c r="L130" s="86" t="e">
        <f>#REF!+#REF!</f>
        <v>#REF!</v>
      </c>
      <c r="M130" s="71" t="e">
        <f>#REF!+#REF!</f>
        <v>#REF!</v>
      </c>
      <c r="N130" s="67" t="e">
        <f t="shared" si="33"/>
        <v>#REF!</v>
      </c>
      <c r="O130" s="68" t="e">
        <f t="shared" si="34"/>
        <v>#REF!</v>
      </c>
      <c r="P130" s="69" t="e">
        <f t="shared" si="35"/>
        <v>#REF!</v>
      </c>
      <c r="Q130" s="70" t="e">
        <f t="shared" si="36"/>
        <v>#REF!</v>
      </c>
      <c r="R130" s="70" t="e">
        <f t="shared" si="37"/>
        <v>#REF!</v>
      </c>
      <c r="S130" s="71" t="e">
        <f>#REF!</f>
        <v>#REF!</v>
      </c>
      <c r="T130" s="71" t="e">
        <f>#REF!</f>
        <v>#REF!</v>
      </c>
      <c r="U130" s="72" t="e">
        <f>#REF!</f>
        <v>#REF!</v>
      </c>
      <c r="V130" s="72" t="e">
        <f>#REF!</f>
        <v>#REF!</v>
      </c>
      <c r="W130" s="73" t="e">
        <f>#REF!</f>
        <v>#REF!</v>
      </c>
      <c r="X130" s="74" t="e">
        <f>#REF!</f>
        <v>#REF!</v>
      </c>
      <c r="Y130" s="217">
        <v>0</v>
      </c>
      <c r="Z130" s="217">
        <v>0</v>
      </c>
      <c r="AA130" s="74" t="e">
        <f>#REF!</f>
        <v>#REF!</v>
      </c>
      <c r="AB130" s="74" t="e">
        <f>#REF!</f>
        <v>#REF!</v>
      </c>
      <c r="AC130" s="74" t="e">
        <f>#REF!</f>
        <v>#REF!</v>
      </c>
      <c r="AD130" s="74" t="e">
        <f>#REF!</f>
        <v>#REF!</v>
      </c>
    </row>
    <row r="131" spans="1:30" customFormat="1">
      <c r="A131">
        <f t="shared" si="38"/>
        <v>125</v>
      </c>
      <c r="B131" s="85" t="e">
        <f>#REF!</f>
        <v>#REF!</v>
      </c>
      <c r="C131" s="92" t="str">
        <f t="shared" si="28"/>
        <v>Код района</v>
      </c>
      <c r="D131" s="66" t="e">
        <f>#REF!</f>
        <v>#REF!</v>
      </c>
      <c r="E131" s="92" t="str">
        <f t="shared" si="27"/>
        <v>Код сельсовета</v>
      </c>
      <c r="F131" s="89" t="e">
        <f>#REF!</f>
        <v>#REF!</v>
      </c>
      <c r="G131" s="91" t="e">
        <f>#REF!</f>
        <v>#REF!</v>
      </c>
      <c r="H131" s="48" t="e">
        <f t="shared" si="29"/>
        <v>#REF!</v>
      </c>
      <c r="I131" s="48" t="e">
        <f t="shared" si="30"/>
        <v>#REF!</v>
      </c>
      <c r="J131" s="48" t="e">
        <f t="shared" si="31"/>
        <v>#REF!</v>
      </c>
      <c r="K131" s="49" t="e">
        <f t="shared" si="32"/>
        <v>#REF!</v>
      </c>
      <c r="L131" s="86" t="e">
        <f>#REF!+#REF!</f>
        <v>#REF!</v>
      </c>
      <c r="M131" s="71" t="e">
        <f>#REF!+#REF!</f>
        <v>#REF!</v>
      </c>
      <c r="N131" s="67" t="e">
        <f t="shared" si="33"/>
        <v>#REF!</v>
      </c>
      <c r="O131" s="68" t="e">
        <f t="shared" si="34"/>
        <v>#REF!</v>
      </c>
      <c r="P131" s="69" t="e">
        <f t="shared" si="35"/>
        <v>#REF!</v>
      </c>
      <c r="Q131" s="70" t="e">
        <f t="shared" si="36"/>
        <v>#REF!</v>
      </c>
      <c r="R131" s="70" t="e">
        <f t="shared" si="37"/>
        <v>#REF!</v>
      </c>
      <c r="S131" s="71" t="e">
        <f>#REF!</f>
        <v>#REF!</v>
      </c>
      <c r="T131" s="71" t="e">
        <f>#REF!</f>
        <v>#REF!</v>
      </c>
      <c r="U131" s="72" t="e">
        <f>#REF!</f>
        <v>#REF!</v>
      </c>
      <c r="V131" s="72" t="e">
        <f>#REF!</f>
        <v>#REF!</v>
      </c>
      <c r="W131" s="73" t="e">
        <f>#REF!</f>
        <v>#REF!</v>
      </c>
      <c r="X131" s="74" t="e">
        <f>#REF!</f>
        <v>#REF!</v>
      </c>
      <c r="Y131" s="217">
        <v>0</v>
      </c>
      <c r="Z131" s="217">
        <v>0</v>
      </c>
      <c r="AA131" s="74" t="e">
        <f>#REF!</f>
        <v>#REF!</v>
      </c>
      <c r="AB131" s="74" t="e">
        <f>#REF!</f>
        <v>#REF!</v>
      </c>
      <c r="AC131" s="74" t="e">
        <f>#REF!</f>
        <v>#REF!</v>
      </c>
      <c r="AD131" s="74" t="e">
        <f>#REF!</f>
        <v>#REF!</v>
      </c>
    </row>
    <row r="132" spans="1:30" customFormat="1">
      <c r="A132">
        <f t="shared" si="38"/>
        <v>126</v>
      </c>
      <c r="B132" s="85" t="e">
        <f>#REF!</f>
        <v>#REF!</v>
      </c>
      <c r="C132" s="92" t="str">
        <f t="shared" si="28"/>
        <v>Код района</v>
      </c>
      <c r="D132" s="66" t="e">
        <f>#REF!</f>
        <v>#REF!</v>
      </c>
      <c r="E132" s="92" t="str">
        <f t="shared" si="27"/>
        <v>Код сельсовета</v>
      </c>
      <c r="F132" s="89" t="e">
        <f>#REF!</f>
        <v>#REF!</v>
      </c>
      <c r="G132" s="91" t="e">
        <f>#REF!</f>
        <v>#REF!</v>
      </c>
      <c r="H132" s="48" t="e">
        <f t="shared" si="29"/>
        <v>#REF!</v>
      </c>
      <c r="I132" s="48" t="e">
        <f t="shared" si="30"/>
        <v>#REF!</v>
      </c>
      <c r="J132" s="48" t="e">
        <f t="shared" si="31"/>
        <v>#REF!</v>
      </c>
      <c r="K132" s="49" t="e">
        <f t="shared" si="32"/>
        <v>#REF!</v>
      </c>
      <c r="L132" s="86" t="e">
        <f>#REF!+#REF!</f>
        <v>#REF!</v>
      </c>
      <c r="M132" s="71" t="e">
        <f>#REF!+#REF!</f>
        <v>#REF!</v>
      </c>
      <c r="N132" s="67" t="e">
        <f t="shared" si="33"/>
        <v>#REF!</v>
      </c>
      <c r="O132" s="68" t="e">
        <f t="shared" si="34"/>
        <v>#REF!</v>
      </c>
      <c r="P132" s="69" t="e">
        <f t="shared" si="35"/>
        <v>#REF!</v>
      </c>
      <c r="Q132" s="70" t="e">
        <f t="shared" si="36"/>
        <v>#REF!</v>
      </c>
      <c r="R132" s="70" t="e">
        <f t="shared" si="37"/>
        <v>#REF!</v>
      </c>
      <c r="S132" s="71" t="e">
        <f>#REF!</f>
        <v>#REF!</v>
      </c>
      <c r="T132" s="71" t="e">
        <f>#REF!</f>
        <v>#REF!</v>
      </c>
      <c r="U132" s="72" t="e">
        <f>#REF!</f>
        <v>#REF!</v>
      </c>
      <c r="V132" s="72" t="e">
        <f>#REF!</f>
        <v>#REF!</v>
      </c>
      <c r="W132" s="73" t="e">
        <f>#REF!</f>
        <v>#REF!</v>
      </c>
      <c r="X132" s="74" t="e">
        <f>#REF!</f>
        <v>#REF!</v>
      </c>
      <c r="Y132" s="217">
        <v>0</v>
      </c>
      <c r="Z132" s="217">
        <v>0</v>
      </c>
      <c r="AA132" s="74" t="e">
        <f>#REF!</f>
        <v>#REF!</v>
      </c>
      <c r="AB132" s="74" t="e">
        <f>#REF!</f>
        <v>#REF!</v>
      </c>
      <c r="AC132" s="74" t="e">
        <f>#REF!</f>
        <v>#REF!</v>
      </c>
      <c r="AD132" s="74" t="e">
        <f>#REF!</f>
        <v>#REF!</v>
      </c>
    </row>
    <row r="133" spans="1:30" customFormat="1">
      <c r="A133">
        <f t="shared" si="38"/>
        <v>127</v>
      </c>
      <c r="B133" s="85" t="e">
        <f>#REF!</f>
        <v>#REF!</v>
      </c>
      <c r="C133" s="92" t="str">
        <f t="shared" si="28"/>
        <v>Код района</v>
      </c>
      <c r="D133" s="66" t="e">
        <f>#REF!</f>
        <v>#REF!</v>
      </c>
      <c r="E133" s="92" t="str">
        <f t="shared" si="27"/>
        <v>Код сельсовета</v>
      </c>
      <c r="F133" s="89" t="e">
        <f>#REF!</f>
        <v>#REF!</v>
      </c>
      <c r="G133" s="91" t="e">
        <f>#REF!</f>
        <v>#REF!</v>
      </c>
      <c r="H133" s="48" t="e">
        <f t="shared" si="29"/>
        <v>#REF!</v>
      </c>
      <c r="I133" s="48" t="e">
        <f t="shared" si="30"/>
        <v>#REF!</v>
      </c>
      <c r="J133" s="48" t="e">
        <f t="shared" si="31"/>
        <v>#REF!</v>
      </c>
      <c r="K133" s="49" t="e">
        <f t="shared" si="32"/>
        <v>#REF!</v>
      </c>
      <c r="L133" s="86" t="e">
        <f>#REF!+#REF!</f>
        <v>#REF!</v>
      </c>
      <c r="M133" s="71" t="e">
        <f>#REF!+#REF!</f>
        <v>#REF!</v>
      </c>
      <c r="N133" s="67" t="e">
        <f t="shared" si="33"/>
        <v>#REF!</v>
      </c>
      <c r="O133" s="68" t="e">
        <f t="shared" si="34"/>
        <v>#REF!</v>
      </c>
      <c r="P133" s="69" t="e">
        <f t="shared" si="35"/>
        <v>#REF!</v>
      </c>
      <c r="Q133" s="70" t="e">
        <f t="shared" si="36"/>
        <v>#REF!</v>
      </c>
      <c r="R133" s="70" t="e">
        <f t="shared" si="37"/>
        <v>#REF!</v>
      </c>
      <c r="S133" s="71" t="e">
        <f>#REF!</f>
        <v>#REF!</v>
      </c>
      <c r="T133" s="71" t="e">
        <f>#REF!</f>
        <v>#REF!</v>
      </c>
      <c r="U133" s="72" t="e">
        <f>#REF!</f>
        <v>#REF!</v>
      </c>
      <c r="V133" s="72" t="e">
        <f>#REF!</f>
        <v>#REF!</v>
      </c>
      <c r="W133" s="73" t="e">
        <f>#REF!</f>
        <v>#REF!</v>
      </c>
      <c r="X133" s="74" t="e">
        <f>#REF!</f>
        <v>#REF!</v>
      </c>
      <c r="Y133" s="217">
        <v>0</v>
      </c>
      <c r="Z133" s="217">
        <v>0</v>
      </c>
      <c r="AA133" s="74" t="e">
        <f>#REF!</f>
        <v>#REF!</v>
      </c>
      <c r="AB133" s="74" t="e">
        <f>#REF!</f>
        <v>#REF!</v>
      </c>
      <c r="AC133" s="74" t="e">
        <f>#REF!</f>
        <v>#REF!</v>
      </c>
      <c r="AD133" s="74" t="e">
        <f>#REF!</f>
        <v>#REF!</v>
      </c>
    </row>
    <row r="134" spans="1:30" s="850" customFormat="1">
      <c r="A134">
        <f t="shared" si="38"/>
        <v>128</v>
      </c>
      <c r="B134" s="85" t="e">
        <f>#REF!</f>
        <v>#REF!</v>
      </c>
      <c r="C134" s="92" t="str">
        <f t="shared" si="28"/>
        <v>Код района</v>
      </c>
      <c r="D134" s="66" t="e">
        <f>#REF!</f>
        <v>#REF!</v>
      </c>
      <c r="E134" s="92" t="str">
        <f t="shared" si="27"/>
        <v>Код сельсовета</v>
      </c>
      <c r="F134" s="89" t="e">
        <f>#REF!</f>
        <v>#REF!</v>
      </c>
      <c r="G134" s="91" t="e">
        <f>#REF!</f>
        <v>#REF!</v>
      </c>
      <c r="H134" s="48" t="e">
        <f t="shared" si="29"/>
        <v>#REF!</v>
      </c>
      <c r="I134" s="48" t="e">
        <f t="shared" si="30"/>
        <v>#REF!</v>
      </c>
      <c r="J134" s="48" t="e">
        <f t="shared" si="31"/>
        <v>#REF!</v>
      </c>
      <c r="K134" s="49" t="e">
        <f t="shared" si="32"/>
        <v>#REF!</v>
      </c>
      <c r="L134" s="86" t="e">
        <f>#REF!+#REF!</f>
        <v>#REF!</v>
      </c>
      <c r="M134" s="71" t="e">
        <f>#REF!+#REF!</f>
        <v>#REF!</v>
      </c>
      <c r="N134" s="67" t="e">
        <f t="shared" si="33"/>
        <v>#REF!</v>
      </c>
      <c r="O134" s="68" t="e">
        <f t="shared" si="34"/>
        <v>#REF!</v>
      </c>
      <c r="P134" s="69" t="e">
        <f t="shared" si="35"/>
        <v>#REF!</v>
      </c>
      <c r="Q134" s="70" t="e">
        <f t="shared" si="36"/>
        <v>#REF!</v>
      </c>
      <c r="R134" s="70" t="e">
        <f t="shared" si="37"/>
        <v>#REF!</v>
      </c>
      <c r="S134" s="71" t="e">
        <f>#REF!</f>
        <v>#REF!</v>
      </c>
      <c r="T134" s="71" t="e">
        <f>#REF!</f>
        <v>#REF!</v>
      </c>
      <c r="U134" s="72" t="e">
        <f>#REF!</f>
        <v>#REF!</v>
      </c>
      <c r="V134" s="72" t="e">
        <f>#REF!</f>
        <v>#REF!</v>
      </c>
      <c r="W134" s="73" t="e">
        <f>#REF!</f>
        <v>#REF!</v>
      </c>
      <c r="X134" s="74" t="e">
        <f>#REF!</f>
        <v>#REF!</v>
      </c>
      <c r="Y134" s="217">
        <v>0</v>
      </c>
      <c r="Z134" s="217">
        <v>0</v>
      </c>
      <c r="AA134" s="74" t="e">
        <f>#REF!</f>
        <v>#REF!</v>
      </c>
      <c r="AB134" s="74" t="e">
        <f>#REF!</f>
        <v>#REF!</v>
      </c>
      <c r="AC134" s="74" t="e">
        <f>#REF!</f>
        <v>#REF!</v>
      </c>
      <c r="AD134" s="74" t="e">
        <f>#REF!</f>
        <v>#REF!</v>
      </c>
    </row>
    <row r="135" spans="1:30" customFormat="1">
      <c r="A135">
        <f t="shared" si="38"/>
        <v>129</v>
      </c>
      <c r="B135" s="85"/>
      <c r="C135" s="92"/>
      <c r="D135" s="66"/>
      <c r="E135" s="92"/>
      <c r="F135" s="89"/>
      <c r="G135" s="91"/>
      <c r="H135" s="48"/>
      <c r="I135" s="48"/>
      <c r="J135" s="48"/>
      <c r="K135" s="49"/>
      <c r="L135" s="86"/>
      <c r="M135" s="71"/>
      <c r="N135" s="67"/>
      <c r="O135" s="68"/>
      <c r="P135" s="69"/>
      <c r="Q135" s="70"/>
      <c r="R135" s="70"/>
      <c r="S135" s="71"/>
      <c r="T135" s="71"/>
      <c r="U135" s="72"/>
      <c r="V135" s="72"/>
      <c r="W135" s="73"/>
      <c r="X135" s="74"/>
      <c r="Y135" s="217"/>
      <c r="Z135" s="217"/>
      <c r="AA135" s="74"/>
      <c r="AB135" s="74"/>
      <c r="AC135" s="74"/>
      <c r="AD135" s="74"/>
    </row>
    <row r="136" spans="1:30" customFormat="1">
      <c r="A136">
        <f t="shared" si="38"/>
        <v>130</v>
      </c>
      <c r="B136" s="85"/>
      <c r="C136" s="92"/>
      <c r="D136" s="66"/>
      <c r="E136" s="92"/>
      <c r="F136" s="89"/>
      <c r="G136" s="91"/>
      <c r="H136" s="48"/>
      <c r="I136" s="48"/>
      <c r="J136" s="48"/>
      <c r="K136" s="49"/>
      <c r="L136" s="86"/>
      <c r="M136" s="71"/>
      <c r="N136" s="67"/>
      <c r="O136" s="68"/>
      <c r="P136" s="69"/>
      <c r="Q136" s="70"/>
      <c r="R136" s="70"/>
      <c r="S136" s="71"/>
      <c r="T136" s="71"/>
      <c r="U136" s="72"/>
      <c r="V136" s="72"/>
      <c r="W136" s="73"/>
      <c r="X136" s="74"/>
      <c r="Y136" s="217"/>
      <c r="Z136" s="217"/>
      <c r="AA136" s="74"/>
      <c r="AB136" s="74"/>
      <c r="AC136" s="74"/>
      <c r="AD136" s="74"/>
    </row>
    <row r="137" spans="1:30" customFormat="1">
      <c r="A137">
        <f t="shared" ref="A137:A145" si="39">A136+1</f>
        <v>131</v>
      </c>
      <c r="B137" s="85"/>
      <c r="C137" s="92"/>
      <c r="D137" s="66"/>
      <c r="E137" s="92"/>
      <c r="F137" s="89"/>
      <c r="G137" s="91"/>
      <c r="H137" s="48"/>
      <c r="I137" s="48"/>
      <c r="J137" s="48"/>
      <c r="K137" s="49"/>
      <c r="L137" s="86"/>
      <c r="M137" s="71"/>
      <c r="N137" s="67"/>
      <c r="O137" s="68"/>
      <c r="P137" s="69"/>
      <c r="Q137" s="70"/>
      <c r="R137" s="70"/>
      <c r="S137" s="71"/>
      <c r="T137" s="71"/>
      <c r="U137" s="72"/>
      <c r="V137" s="72"/>
      <c r="W137" s="73"/>
      <c r="X137" s="74"/>
      <c r="Y137" s="217"/>
      <c r="Z137" s="217"/>
      <c r="AA137" s="74"/>
      <c r="AB137" s="74"/>
      <c r="AC137" s="74"/>
      <c r="AD137" s="74"/>
    </row>
    <row r="138" spans="1:30" customFormat="1">
      <c r="A138">
        <f t="shared" si="39"/>
        <v>132</v>
      </c>
      <c r="B138" s="85"/>
      <c r="C138" s="92"/>
      <c r="D138" s="66"/>
      <c r="E138" s="92"/>
      <c r="F138" s="89"/>
      <c r="G138" s="91"/>
      <c r="H138" s="48"/>
      <c r="I138" s="48"/>
      <c r="J138" s="48"/>
      <c r="K138" s="49"/>
      <c r="L138" s="86"/>
      <c r="M138" s="71"/>
      <c r="N138" s="67"/>
      <c r="O138" s="68"/>
      <c r="P138" s="69"/>
      <c r="Q138" s="70"/>
      <c r="R138" s="70"/>
      <c r="S138" s="71"/>
      <c r="T138" s="71"/>
      <c r="U138" s="72"/>
      <c r="V138" s="72"/>
      <c r="W138" s="73"/>
      <c r="X138" s="74"/>
      <c r="Y138" s="217"/>
      <c r="Z138" s="217"/>
      <c r="AA138" s="74"/>
      <c r="AB138" s="74"/>
      <c r="AC138" s="74"/>
      <c r="AD138" s="74"/>
    </row>
    <row r="139" spans="1:30" customFormat="1">
      <c r="A139">
        <f t="shared" si="39"/>
        <v>133</v>
      </c>
      <c r="B139" s="85"/>
      <c r="C139" s="92"/>
      <c r="D139" s="66"/>
      <c r="E139" s="92"/>
      <c r="F139" s="89"/>
      <c r="G139" s="91"/>
      <c r="H139" s="48"/>
      <c r="I139" s="48"/>
      <c r="J139" s="48"/>
      <c r="K139" s="49"/>
      <c r="L139" s="86"/>
      <c r="M139" s="71"/>
      <c r="N139" s="67"/>
      <c r="O139" s="68"/>
      <c r="P139" s="69"/>
      <c r="Q139" s="70"/>
      <c r="R139" s="70"/>
      <c r="S139" s="71"/>
      <c r="T139" s="71"/>
      <c r="U139" s="72"/>
      <c r="V139" s="72"/>
      <c r="W139" s="73"/>
      <c r="X139" s="74"/>
      <c r="Y139" s="217"/>
      <c r="Z139" s="217"/>
      <c r="AA139" s="74"/>
      <c r="AB139" s="74"/>
      <c r="AC139" s="74"/>
      <c r="AD139" s="74"/>
    </row>
    <row r="140" spans="1:30" customFormat="1">
      <c r="A140">
        <f t="shared" si="39"/>
        <v>134</v>
      </c>
      <c r="B140" s="85"/>
      <c r="C140" s="92"/>
      <c r="D140" s="66"/>
      <c r="E140" s="92"/>
      <c r="F140" s="89"/>
      <c r="G140" s="91"/>
      <c r="H140" s="48"/>
      <c r="I140" s="48"/>
      <c r="J140" s="48"/>
      <c r="K140" s="49"/>
      <c r="L140" s="86"/>
      <c r="M140" s="71"/>
      <c r="N140" s="67"/>
      <c r="O140" s="68"/>
      <c r="P140" s="69"/>
      <c r="Q140" s="70"/>
      <c r="R140" s="70"/>
      <c r="S140" s="71"/>
      <c r="T140" s="71"/>
      <c r="U140" s="72"/>
      <c r="V140" s="72"/>
      <c r="W140" s="73"/>
      <c r="X140" s="74"/>
      <c r="Y140" s="214"/>
      <c r="Z140" s="214"/>
      <c r="AA140" s="74"/>
      <c r="AB140" s="74"/>
      <c r="AC140" s="74"/>
      <c r="AD140" s="74"/>
    </row>
    <row r="141" spans="1:30" customFormat="1">
      <c r="A141">
        <f t="shared" si="39"/>
        <v>135</v>
      </c>
      <c r="B141" s="85"/>
      <c r="C141" s="92"/>
      <c r="D141" s="66"/>
      <c r="E141" s="92"/>
      <c r="F141" s="89"/>
      <c r="G141" s="91"/>
      <c r="H141" s="48"/>
      <c r="I141" s="48"/>
      <c r="J141" s="48"/>
      <c r="K141" s="49"/>
      <c r="L141" s="86"/>
      <c r="M141" s="71"/>
      <c r="N141" s="67"/>
      <c r="O141" s="68"/>
      <c r="P141" s="69"/>
      <c r="Q141" s="70"/>
      <c r="R141" s="70"/>
      <c r="S141" s="71"/>
      <c r="T141" s="71"/>
      <c r="U141" s="72"/>
      <c r="V141" s="72"/>
      <c r="W141" s="73"/>
      <c r="X141" s="74"/>
      <c r="Y141" s="214"/>
      <c r="Z141" s="214"/>
      <c r="AA141" s="74"/>
      <c r="AB141" s="74"/>
      <c r="AC141" s="74"/>
      <c r="AD141" s="74"/>
    </row>
    <row r="142" spans="1:30" customFormat="1">
      <c r="A142">
        <f t="shared" si="39"/>
        <v>136</v>
      </c>
      <c r="B142" s="85"/>
      <c r="C142" s="92"/>
      <c r="D142" s="66"/>
      <c r="E142" s="92"/>
      <c r="F142" s="89"/>
      <c r="G142" s="91"/>
      <c r="H142" s="48"/>
      <c r="I142" s="48"/>
      <c r="J142" s="48"/>
      <c r="K142" s="49"/>
      <c r="L142" s="86"/>
      <c r="M142" s="71"/>
      <c r="N142" s="67"/>
      <c r="O142" s="68"/>
      <c r="P142" s="69"/>
      <c r="Q142" s="70"/>
      <c r="R142" s="70"/>
      <c r="S142" s="71"/>
      <c r="T142" s="71"/>
      <c r="U142" s="72"/>
      <c r="V142" s="72"/>
      <c r="W142" s="73"/>
      <c r="X142" s="74"/>
      <c r="Y142" s="214"/>
      <c r="Z142" s="214"/>
      <c r="AA142" s="74"/>
      <c r="AB142" s="74"/>
      <c r="AC142" s="74"/>
      <c r="AD142" s="74"/>
    </row>
    <row r="143" spans="1:30" s="197" customFormat="1" ht="15.75">
      <c r="A143" s="197">
        <f t="shared" si="39"/>
        <v>137</v>
      </c>
      <c r="B143" s="198"/>
      <c r="C143" s="199">
        <f>C142</f>
        <v>0</v>
      </c>
      <c r="D143" s="198"/>
      <c r="E143" s="199"/>
      <c r="F143" s="200"/>
      <c r="G143" s="201"/>
      <c r="H143" s="193"/>
      <c r="I143" s="194"/>
      <c r="J143" s="194"/>
      <c r="K143" s="194"/>
      <c r="L143" s="202"/>
      <c r="M143" s="196"/>
      <c r="N143" s="195"/>
      <c r="O143" s="196"/>
      <c r="P143" s="194"/>
      <c r="Q143" s="195"/>
      <c r="R143" s="195"/>
      <c r="S143" s="196"/>
      <c r="T143" s="196"/>
      <c r="U143" s="194"/>
      <c r="V143" s="194"/>
      <c r="W143" s="203"/>
      <c r="X143" s="204"/>
      <c r="Y143" s="215"/>
      <c r="Z143" s="215"/>
      <c r="AA143" s="204" t="e">
        <f>#REF!</f>
        <v>#REF!</v>
      </c>
      <c r="AB143" s="204" t="e">
        <f>#REF!</f>
        <v>#REF!</v>
      </c>
      <c r="AC143" s="204" t="e">
        <f>#REF!</f>
        <v>#REF!</v>
      </c>
      <c r="AD143" s="204" t="e">
        <f>#REF!</f>
        <v>#REF!</v>
      </c>
    </row>
    <row r="144" spans="1:30" customFormat="1">
      <c r="A144">
        <f t="shared" si="39"/>
        <v>138</v>
      </c>
      <c r="B144" s="85"/>
      <c r="C144" s="92"/>
      <c r="D144" s="66"/>
      <c r="E144" s="92"/>
      <c r="F144" s="66"/>
      <c r="G144" s="65"/>
      <c r="H144" s="50"/>
      <c r="I144" s="50"/>
      <c r="J144" s="50"/>
      <c r="K144" s="50"/>
      <c r="L144" s="50"/>
      <c r="M144" s="50"/>
      <c r="N144" s="50"/>
      <c r="O144" s="50"/>
      <c r="P144" s="50"/>
      <c r="Q144" s="50"/>
      <c r="R144" s="50"/>
      <c r="S144" s="50"/>
      <c r="T144" s="50"/>
      <c r="U144" s="50"/>
      <c r="V144" s="50"/>
      <c r="W144" s="51"/>
      <c r="X144" s="51"/>
      <c r="Y144" s="216"/>
      <c r="Z144" s="216"/>
      <c r="AA144" s="51"/>
      <c r="AB144" s="51"/>
      <c r="AC144" s="51"/>
      <c r="AD144" s="51"/>
    </row>
    <row r="145" spans="1:30" customFormat="1">
      <c r="A145">
        <f t="shared" si="39"/>
        <v>139</v>
      </c>
      <c r="B145" s="85"/>
      <c r="C145" s="92"/>
      <c r="D145" s="66"/>
      <c r="E145" s="92"/>
      <c r="F145" s="66"/>
      <c r="G145" s="65"/>
      <c r="H145" s="50"/>
      <c r="I145" s="50"/>
      <c r="J145" s="50"/>
      <c r="K145" s="50"/>
      <c r="L145" s="50"/>
      <c r="M145" s="50"/>
      <c r="N145" s="50"/>
      <c r="O145" s="50"/>
      <c r="P145" s="50"/>
      <c r="Q145" s="50"/>
      <c r="R145" s="50"/>
      <c r="S145" s="50"/>
      <c r="T145" s="50"/>
      <c r="U145" s="50"/>
      <c r="V145" s="50"/>
      <c r="W145" s="51"/>
      <c r="X145" s="51"/>
      <c r="Y145" s="216"/>
      <c r="Z145" s="216"/>
      <c r="AA145" s="51"/>
      <c r="AB145" s="51"/>
      <c r="AC145" s="51"/>
      <c r="AD145" s="51"/>
    </row>
    <row r="146" spans="1:30" customFormat="1">
      <c r="A146" s="50"/>
      <c r="B146" s="50"/>
      <c r="C146" s="50"/>
      <c r="D146" s="50"/>
      <c r="E146" s="50"/>
      <c r="F146" s="50"/>
      <c r="G146" s="50"/>
      <c r="H146" s="50"/>
      <c r="I146" s="50"/>
      <c r="J146" s="50"/>
      <c r="K146" s="50"/>
      <c r="L146" s="50"/>
      <c r="M146" s="50"/>
      <c r="N146" s="50"/>
      <c r="O146" s="50"/>
      <c r="P146" s="50"/>
      <c r="Q146" s="50"/>
      <c r="R146" s="50"/>
      <c r="S146" s="50"/>
      <c r="T146" s="50"/>
      <c r="U146" s="50"/>
      <c r="V146" s="50"/>
      <c r="W146" s="51"/>
      <c r="X146" s="51"/>
      <c r="Y146" s="216"/>
      <c r="Z146" s="216"/>
      <c r="AA146" s="51"/>
      <c r="AB146" s="51"/>
      <c r="AC146" s="51"/>
      <c r="AD146" s="51"/>
    </row>
    <row r="147" spans="1:30" customFormat="1">
      <c r="A147" s="50"/>
      <c r="B147" s="50"/>
      <c r="C147" s="50"/>
      <c r="D147" s="50"/>
      <c r="E147" s="50"/>
      <c r="F147" s="50"/>
      <c r="G147" s="50"/>
      <c r="H147" s="50"/>
      <c r="I147" s="50"/>
      <c r="J147" s="50"/>
      <c r="K147" s="50"/>
      <c r="L147" s="50"/>
      <c r="M147" s="50"/>
      <c r="N147" s="50"/>
      <c r="O147" s="50"/>
      <c r="P147" s="50"/>
      <c r="Q147" s="50"/>
      <c r="R147" s="50"/>
      <c r="S147" s="50"/>
      <c r="T147" s="50"/>
      <c r="U147" s="50"/>
      <c r="V147" s="50"/>
      <c r="W147" s="51"/>
      <c r="X147" s="51"/>
      <c r="Y147" s="216"/>
      <c r="Z147" s="216"/>
      <c r="AA147" s="51"/>
      <c r="AB147" s="51"/>
      <c r="AC147" s="51"/>
      <c r="AD147" s="51"/>
    </row>
    <row r="148" spans="1:30" customFormat="1">
      <c r="A148" s="50"/>
      <c r="B148" s="50"/>
      <c r="C148" s="50"/>
      <c r="D148" s="50"/>
      <c r="E148" s="50"/>
      <c r="F148" s="50"/>
      <c r="G148" s="50"/>
      <c r="H148" s="50"/>
      <c r="I148" s="50"/>
      <c r="J148" s="50"/>
      <c r="K148" s="50"/>
      <c r="L148" s="50"/>
      <c r="M148" s="50"/>
      <c r="N148" s="50"/>
      <c r="O148" s="50"/>
      <c r="P148" s="50"/>
      <c r="Q148" s="50"/>
      <c r="R148" s="50"/>
      <c r="S148" s="50"/>
      <c r="T148" s="50"/>
      <c r="U148" s="50"/>
      <c r="V148" s="50"/>
      <c r="W148" s="51"/>
      <c r="X148" s="51"/>
      <c r="Y148" s="216"/>
      <c r="Z148" s="216"/>
      <c r="AA148" s="51"/>
      <c r="AB148" s="51"/>
      <c r="AC148" s="51"/>
      <c r="AD148" s="51"/>
    </row>
    <row r="149" spans="1:30" customFormat="1">
      <c r="A149" s="50"/>
      <c r="B149" s="50"/>
      <c r="C149" s="50"/>
      <c r="D149" s="50"/>
      <c r="E149" s="50"/>
      <c r="F149" s="50"/>
      <c r="G149" s="50"/>
      <c r="H149" s="50"/>
      <c r="I149" s="50"/>
      <c r="J149" s="50"/>
      <c r="K149" s="50"/>
      <c r="L149" s="50"/>
      <c r="M149" s="50"/>
      <c r="N149" s="50"/>
      <c r="O149" s="50"/>
      <c r="P149" s="50"/>
      <c r="Q149" s="50"/>
      <c r="R149" s="50"/>
      <c r="S149" s="50"/>
      <c r="T149" s="50"/>
      <c r="U149" s="50"/>
      <c r="V149" s="50"/>
      <c r="W149" s="51"/>
      <c r="X149" s="51"/>
      <c r="Y149" s="216"/>
      <c r="Z149" s="216"/>
      <c r="AA149" s="51"/>
      <c r="AB149" s="51"/>
      <c r="AC149" s="51"/>
      <c r="AD149" s="51"/>
    </row>
    <row r="150" spans="1:30" customFormat="1">
      <c r="A150" s="50"/>
      <c r="B150" s="50"/>
      <c r="C150" s="50"/>
      <c r="D150" s="50"/>
      <c r="E150" s="50"/>
      <c r="F150" s="50"/>
      <c r="G150" s="50"/>
      <c r="H150" s="50"/>
      <c r="I150" s="50"/>
      <c r="J150" s="50"/>
      <c r="K150" s="50"/>
      <c r="L150" s="50"/>
      <c r="M150" s="50"/>
      <c r="N150" s="50"/>
      <c r="O150" s="50"/>
      <c r="P150" s="50"/>
      <c r="Q150" s="50"/>
      <c r="R150" s="50"/>
      <c r="S150" s="50"/>
      <c r="T150" s="50"/>
      <c r="U150" s="50"/>
      <c r="V150" s="50"/>
      <c r="W150" s="51"/>
      <c r="X150" s="51"/>
      <c r="Y150" s="216"/>
      <c r="Z150" s="216"/>
      <c r="AA150" s="51"/>
      <c r="AB150" s="51"/>
      <c r="AC150" s="51"/>
      <c r="AD150" s="51"/>
    </row>
    <row r="151" spans="1:30" customFormat="1">
      <c r="A151" s="50"/>
      <c r="B151" s="50"/>
      <c r="C151" s="50"/>
      <c r="D151" s="50"/>
      <c r="E151" s="50"/>
      <c r="F151" s="50"/>
      <c r="G151" s="50"/>
      <c r="H151" s="50"/>
      <c r="I151" s="50"/>
      <c r="J151" s="50"/>
      <c r="K151" s="50"/>
      <c r="L151" s="50"/>
      <c r="M151" s="50"/>
      <c r="N151" s="50"/>
      <c r="O151" s="50"/>
      <c r="P151" s="50"/>
      <c r="Q151" s="50"/>
      <c r="R151" s="50"/>
      <c r="S151" s="50"/>
      <c r="T151" s="50"/>
      <c r="U151" s="50"/>
      <c r="V151" s="50"/>
      <c r="W151" s="51"/>
      <c r="X151" s="51"/>
      <c r="Y151" s="216"/>
      <c r="Z151" s="216"/>
      <c r="AA151" s="51"/>
      <c r="AB151" s="51"/>
      <c r="AC151" s="51"/>
      <c r="AD151" s="51"/>
    </row>
    <row r="152" spans="1:30" customFormat="1">
      <c r="A152" s="50"/>
      <c r="B152" s="50"/>
      <c r="C152" s="50"/>
      <c r="D152" s="50"/>
      <c r="E152" s="50"/>
      <c r="F152" s="50"/>
      <c r="G152" s="50"/>
      <c r="H152" s="50"/>
      <c r="I152" s="50"/>
      <c r="J152" s="50"/>
      <c r="K152" s="50"/>
      <c r="L152" s="50"/>
      <c r="M152" s="50"/>
      <c r="N152" s="50"/>
      <c r="O152" s="50"/>
      <c r="P152" s="50"/>
      <c r="Q152" s="50"/>
      <c r="R152" s="50"/>
      <c r="S152" s="50"/>
      <c r="T152" s="50"/>
      <c r="U152" s="50"/>
      <c r="V152" s="50"/>
      <c r="W152" s="51"/>
      <c r="X152" s="51"/>
      <c r="Y152" s="216"/>
      <c r="Z152" s="216"/>
      <c r="AA152" s="51"/>
      <c r="AB152" s="51"/>
      <c r="AC152" s="51"/>
      <c r="AD152" s="51"/>
    </row>
    <row r="153" spans="1:30" customFormat="1">
      <c r="A153" s="50"/>
      <c r="B153" s="50"/>
      <c r="C153" s="50"/>
      <c r="D153" s="50"/>
      <c r="E153" s="50"/>
      <c r="F153" s="50"/>
      <c r="G153" s="50"/>
      <c r="H153" s="50"/>
      <c r="I153" s="50"/>
      <c r="J153" s="50"/>
      <c r="K153" s="50"/>
      <c r="L153" s="50"/>
      <c r="M153" s="50"/>
      <c r="N153" s="50"/>
      <c r="O153" s="50"/>
      <c r="P153" s="50"/>
      <c r="Q153" s="50"/>
      <c r="R153" s="50"/>
      <c r="S153" s="50"/>
      <c r="T153" s="50"/>
      <c r="U153" s="50"/>
      <c r="V153" s="50"/>
      <c r="W153" s="51"/>
      <c r="X153" s="51"/>
      <c r="Y153" s="216"/>
      <c r="Z153" s="216"/>
      <c r="AA153" s="51"/>
      <c r="AB153" s="51"/>
      <c r="AC153" s="51"/>
      <c r="AD153" s="51"/>
    </row>
    <row r="154" spans="1:30" customFormat="1">
      <c r="A154" s="50"/>
      <c r="B154" s="50"/>
      <c r="C154" s="50"/>
      <c r="D154" s="50"/>
      <c r="E154" s="50"/>
      <c r="F154" s="50"/>
      <c r="G154" s="50"/>
      <c r="H154" s="50"/>
      <c r="I154" s="50"/>
      <c r="J154" s="50"/>
      <c r="K154" s="50"/>
      <c r="L154" s="50"/>
      <c r="M154" s="50"/>
      <c r="N154" s="50"/>
      <c r="O154" s="50"/>
      <c r="P154" s="50"/>
      <c r="Q154" s="50"/>
      <c r="R154" s="50"/>
      <c r="S154" s="50"/>
      <c r="T154" s="50"/>
      <c r="U154" s="50"/>
      <c r="V154" s="50"/>
      <c r="W154" s="51"/>
      <c r="X154" s="51"/>
      <c r="Y154" s="216"/>
      <c r="Z154" s="216"/>
      <c r="AA154" s="51"/>
      <c r="AB154" s="51"/>
      <c r="AC154" s="51"/>
      <c r="AD154" s="51"/>
    </row>
    <row r="155" spans="1:30" customFormat="1">
      <c r="A155" s="50"/>
      <c r="B155" s="50"/>
      <c r="C155" s="50"/>
      <c r="D155" s="50"/>
      <c r="E155" s="50"/>
      <c r="F155" s="50"/>
      <c r="G155" s="50"/>
      <c r="H155" s="50"/>
      <c r="I155" s="50"/>
      <c r="J155" s="50"/>
      <c r="K155" s="50"/>
      <c r="L155" s="50"/>
      <c r="M155" s="50"/>
      <c r="N155" s="50"/>
      <c r="O155" s="50"/>
      <c r="P155" s="50"/>
      <c r="Q155" s="50"/>
      <c r="R155" s="50"/>
      <c r="S155" s="50"/>
      <c r="T155" s="50"/>
      <c r="U155" s="50"/>
      <c r="V155" s="50"/>
      <c r="W155" s="51"/>
      <c r="X155" s="51"/>
      <c r="Y155" s="216"/>
      <c r="Z155" s="216"/>
      <c r="AA155" s="51"/>
      <c r="AB155" s="51"/>
      <c r="AC155" s="51"/>
      <c r="AD155" s="51"/>
    </row>
    <row r="156" spans="1:30" customFormat="1">
      <c r="A156" s="50"/>
      <c r="B156" s="50"/>
      <c r="C156" s="50"/>
      <c r="D156" s="50"/>
      <c r="E156" s="50"/>
      <c r="F156" s="50"/>
      <c r="G156" s="50"/>
      <c r="H156" s="50"/>
      <c r="I156" s="50"/>
      <c r="J156" s="50"/>
      <c r="K156" s="50"/>
      <c r="L156" s="50"/>
      <c r="M156" s="50"/>
      <c r="N156" s="50"/>
      <c r="O156" s="50"/>
      <c r="P156" s="50"/>
      <c r="Q156" s="50"/>
      <c r="R156" s="50"/>
      <c r="S156" s="50"/>
      <c r="T156" s="50"/>
      <c r="U156" s="50"/>
      <c r="V156" s="50"/>
      <c r="W156" s="51"/>
      <c r="X156" s="51"/>
      <c r="Y156" s="216"/>
      <c r="Z156" s="216"/>
      <c r="AA156" s="51"/>
      <c r="AB156" s="51"/>
      <c r="AC156" s="51"/>
      <c r="AD156" s="51"/>
    </row>
    <row r="157" spans="1:30" customFormat="1">
      <c r="A157" s="50"/>
      <c r="B157" s="50"/>
      <c r="C157" s="50"/>
      <c r="D157" s="50"/>
      <c r="E157" s="50"/>
      <c r="F157" s="50"/>
      <c r="G157" s="50"/>
      <c r="H157" s="50"/>
      <c r="I157" s="50"/>
      <c r="J157" s="50"/>
      <c r="K157" s="50"/>
      <c r="L157" s="50"/>
      <c r="M157" s="50"/>
      <c r="N157" s="50"/>
      <c r="O157" s="50"/>
      <c r="P157" s="50"/>
      <c r="Q157" s="50"/>
      <c r="R157" s="50"/>
      <c r="S157" s="50"/>
      <c r="T157" s="50"/>
      <c r="U157" s="50"/>
      <c r="V157" s="50"/>
      <c r="W157" s="51"/>
      <c r="X157" s="51"/>
      <c r="Y157" s="216"/>
      <c r="Z157" s="216"/>
      <c r="AA157" s="51"/>
      <c r="AB157" s="51"/>
      <c r="AC157" s="51"/>
      <c r="AD157" s="51"/>
    </row>
    <row r="158" spans="1:30" customFormat="1">
      <c r="A158" s="50"/>
      <c r="B158" s="50"/>
      <c r="C158" s="50"/>
      <c r="D158" s="50"/>
      <c r="E158" s="50"/>
      <c r="F158" s="50"/>
      <c r="G158" s="50"/>
      <c r="H158" s="50"/>
      <c r="I158" s="50"/>
      <c r="J158" s="50"/>
      <c r="K158" s="50"/>
      <c r="L158" s="50"/>
      <c r="M158" s="50"/>
      <c r="N158" s="50"/>
      <c r="O158" s="50"/>
      <c r="P158" s="50"/>
      <c r="Q158" s="50"/>
      <c r="R158" s="50"/>
      <c r="S158" s="50"/>
      <c r="T158" s="50"/>
      <c r="U158" s="50"/>
      <c r="V158" s="50"/>
      <c r="W158" s="51"/>
      <c r="X158" s="51"/>
      <c r="Y158" s="216"/>
      <c r="Z158" s="216"/>
      <c r="AA158" s="51"/>
      <c r="AB158" s="51"/>
      <c r="AC158" s="51"/>
      <c r="AD158" s="51"/>
    </row>
    <row r="159" spans="1:30" customFormat="1">
      <c r="A159" s="50"/>
      <c r="B159" s="50"/>
      <c r="C159" s="50"/>
      <c r="D159" s="50"/>
      <c r="E159" s="50"/>
      <c r="F159" s="50"/>
      <c r="G159" s="50"/>
      <c r="H159" s="50"/>
      <c r="I159" s="50"/>
      <c r="J159" s="50"/>
      <c r="K159" s="50"/>
      <c r="L159" s="50"/>
      <c r="M159" s="50"/>
      <c r="N159" s="50"/>
      <c r="O159" s="50"/>
      <c r="P159" s="50"/>
      <c r="Q159" s="50"/>
      <c r="R159" s="50"/>
      <c r="S159" s="50"/>
      <c r="T159" s="50"/>
      <c r="U159" s="50"/>
      <c r="V159" s="50"/>
      <c r="W159" s="51"/>
      <c r="X159" s="51"/>
      <c r="Y159" s="216"/>
      <c r="Z159" s="216"/>
      <c r="AA159" s="51"/>
      <c r="AB159" s="51"/>
      <c r="AC159" s="51"/>
      <c r="AD159" s="51"/>
    </row>
    <row r="160" spans="1:30" customFormat="1">
      <c r="A160" s="50"/>
      <c r="B160" s="50"/>
      <c r="C160" s="50"/>
      <c r="D160" s="50"/>
      <c r="E160" s="50"/>
      <c r="F160" s="50"/>
      <c r="G160" s="50"/>
      <c r="H160" s="50"/>
      <c r="I160" s="50"/>
      <c r="J160" s="50"/>
      <c r="K160" s="50"/>
      <c r="L160" s="50"/>
      <c r="M160" s="50"/>
      <c r="N160" s="50"/>
      <c r="O160" s="50"/>
      <c r="P160" s="50"/>
      <c r="Q160" s="50"/>
      <c r="R160" s="50"/>
      <c r="S160" s="50"/>
      <c r="T160" s="50"/>
      <c r="U160" s="50"/>
      <c r="V160" s="50"/>
      <c r="W160" s="51"/>
      <c r="X160" s="51"/>
      <c r="Y160" s="216"/>
      <c r="Z160" s="216"/>
      <c r="AA160" s="51"/>
      <c r="AB160" s="51"/>
      <c r="AC160" s="51"/>
      <c r="AD160" s="51"/>
    </row>
    <row r="161" spans="1:30" customFormat="1">
      <c r="A161" s="50"/>
      <c r="B161" s="50"/>
      <c r="C161" s="50"/>
      <c r="D161" s="50"/>
      <c r="E161" s="50"/>
      <c r="F161" s="50"/>
      <c r="G161" s="50"/>
      <c r="H161" s="50"/>
      <c r="I161" s="50"/>
      <c r="J161" s="50"/>
      <c r="K161" s="50"/>
      <c r="L161" s="50"/>
      <c r="M161" s="50"/>
      <c r="N161" s="50"/>
      <c r="O161" s="50"/>
      <c r="P161" s="50"/>
      <c r="Q161" s="50"/>
      <c r="R161" s="50"/>
      <c r="S161" s="50"/>
      <c r="T161" s="50"/>
      <c r="U161" s="50"/>
      <c r="V161" s="50"/>
      <c r="W161" s="51"/>
      <c r="X161" s="51"/>
      <c r="Y161" s="216"/>
      <c r="Z161" s="216"/>
      <c r="AA161" s="51"/>
      <c r="AB161" s="51"/>
      <c r="AC161" s="51"/>
      <c r="AD161" s="51"/>
    </row>
    <row r="162" spans="1:30" customFormat="1">
      <c r="A162" s="50"/>
      <c r="B162" s="50"/>
      <c r="C162" s="50"/>
      <c r="D162" s="50"/>
      <c r="E162" s="50"/>
      <c r="F162" s="50"/>
      <c r="G162" s="50"/>
      <c r="H162" s="50"/>
      <c r="I162" s="50"/>
      <c r="J162" s="50"/>
      <c r="K162" s="50"/>
      <c r="L162" s="50"/>
      <c r="M162" s="50"/>
      <c r="N162" s="50"/>
      <c r="O162" s="50"/>
      <c r="P162" s="50"/>
      <c r="Q162" s="50"/>
      <c r="R162" s="50"/>
      <c r="S162" s="50"/>
      <c r="T162" s="50"/>
      <c r="U162" s="50"/>
      <c r="V162" s="50"/>
      <c r="W162" s="51"/>
      <c r="X162" s="51"/>
      <c r="Y162" s="216"/>
      <c r="Z162" s="216"/>
      <c r="AA162" s="51"/>
      <c r="AB162" s="51"/>
      <c r="AC162" s="51"/>
      <c r="AD162" s="51"/>
    </row>
    <row r="163" spans="1:30" customFormat="1">
      <c r="A163" s="50"/>
      <c r="B163" s="50"/>
      <c r="C163" s="50"/>
      <c r="D163" s="50"/>
      <c r="E163" s="50"/>
      <c r="F163" s="50"/>
      <c r="G163" s="50"/>
      <c r="H163" s="50"/>
      <c r="I163" s="50"/>
      <c r="J163" s="50"/>
      <c r="K163" s="50"/>
      <c r="L163" s="50"/>
      <c r="M163" s="50"/>
      <c r="N163" s="50"/>
      <c r="O163" s="50"/>
      <c r="P163" s="50"/>
      <c r="Q163" s="50"/>
      <c r="R163" s="50"/>
      <c r="S163" s="50"/>
      <c r="T163" s="50"/>
      <c r="U163" s="50"/>
      <c r="V163" s="50"/>
      <c r="W163" s="51"/>
      <c r="X163" s="51"/>
      <c r="Y163" s="216"/>
      <c r="Z163" s="216"/>
      <c r="AA163" s="51"/>
      <c r="AB163" s="51"/>
      <c r="AC163" s="51"/>
      <c r="AD163" s="51"/>
    </row>
    <row r="164" spans="1:30" customFormat="1">
      <c r="A164" s="50"/>
      <c r="B164" s="50"/>
      <c r="C164" s="50"/>
      <c r="D164" s="50"/>
      <c r="E164" s="50"/>
      <c r="F164" s="50"/>
      <c r="G164" s="50"/>
      <c r="H164" s="50"/>
      <c r="I164" s="50"/>
      <c r="J164" s="50"/>
      <c r="K164" s="50"/>
      <c r="L164" s="50"/>
      <c r="M164" s="50"/>
      <c r="N164" s="50"/>
      <c r="O164" s="50"/>
      <c r="P164" s="50"/>
      <c r="Q164" s="50"/>
      <c r="R164" s="50"/>
      <c r="S164" s="50"/>
      <c r="T164" s="50"/>
      <c r="U164" s="50"/>
      <c r="V164" s="50"/>
      <c r="W164" s="51"/>
      <c r="X164" s="51"/>
      <c r="Y164" s="216"/>
      <c r="Z164" s="216"/>
      <c r="AA164" s="51"/>
      <c r="AB164" s="51"/>
      <c r="AC164" s="51"/>
      <c r="AD164" s="51"/>
    </row>
    <row r="165" spans="1:30" customFormat="1">
      <c r="A165" s="50"/>
      <c r="B165" s="50"/>
      <c r="C165" s="50"/>
      <c r="D165" s="50"/>
      <c r="E165" s="50"/>
      <c r="F165" s="50"/>
      <c r="G165" s="50"/>
      <c r="H165" s="50"/>
      <c r="I165" s="50"/>
      <c r="J165" s="50"/>
      <c r="K165" s="50"/>
      <c r="L165" s="50"/>
      <c r="M165" s="50"/>
      <c r="N165" s="50"/>
      <c r="O165" s="50"/>
      <c r="P165" s="50"/>
      <c r="Q165" s="50"/>
      <c r="R165" s="50"/>
      <c r="S165" s="50"/>
      <c r="T165" s="50"/>
      <c r="U165" s="50"/>
      <c r="V165" s="50"/>
      <c r="W165" s="51"/>
      <c r="X165" s="51"/>
      <c r="Y165" s="216"/>
      <c r="Z165" s="216"/>
      <c r="AA165" s="51"/>
      <c r="AB165" s="51"/>
      <c r="AC165" s="51"/>
      <c r="AD165" s="51"/>
    </row>
    <row r="166" spans="1:30" customFormat="1">
      <c r="A166" s="50"/>
      <c r="B166" s="50"/>
      <c r="C166" s="50"/>
      <c r="D166" s="50"/>
      <c r="E166" s="50"/>
      <c r="F166" s="50"/>
      <c r="G166" s="50"/>
      <c r="H166" s="50"/>
      <c r="I166" s="50"/>
      <c r="J166" s="50"/>
      <c r="K166" s="50"/>
      <c r="L166" s="50"/>
      <c r="M166" s="50"/>
      <c r="N166" s="50"/>
      <c r="O166" s="50"/>
      <c r="P166" s="50"/>
      <c r="Q166" s="50"/>
      <c r="R166" s="50"/>
      <c r="S166" s="50"/>
      <c r="T166" s="50"/>
      <c r="U166" s="50"/>
      <c r="V166" s="50"/>
      <c r="W166" s="51"/>
      <c r="X166" s="51"/>
      <c r="Y166" s="216"/>
      <c r="Z166" s="216"/>
      <c r="AA166" s="51"/>
      <c r="AB166" s="51"/>
      <c r="AC166" s="51"/>
      <c r="AD166" s="51"/>
    </row>
    <row r="167" spans="1:30" customFormat="1">
      <c r="A167" s="50"/>
      <c r="B167" s="50"/>
      <c r="C167" s="50"/>
      <c r="D167" s="50"/>
      <c r="E167" s="50"/>
      <c r="F167" s="50"/>
      <c r="G167" s="50"/>
      <c r="H167" s="50"/>
      <c r="I167" s="50"/>
      <c r="J167" s="50"/>
      <c r="K167" s="50"/>
      <c r="L167" s="50"/>
      <c r="M167" s="50"/>
      <c r="N167" s="50"/>
      <c r="O167" s="50"/>
      <c r="P167" s="50"/>
      <c r="Q167" s="50"/>
      <c r="R167" s="50"/>
      <c r="S167" s="50"/>
      <c r="T167" s="50"/>
      <c r="U167" s="50"/>
      <c r="V167" s="50"/>
      <c r="W167" s="51"/>
      <c r="X167" s="51"/>
      <c r="Y167" s="216"/>
      <c r="Z167" s="216"/>
      <c r="AA167" s="51"/>
      <c r="AB167" s="51"/>
      <c r="AC167" s="51"/>
      <c r="AD167" s="51"/>
    </row>
    <row r="168" spans="1:30" customFormat="1">
      <c r="A168" s="50"/>
      <c r="B168" s="50"/>
      <c r="C168" s="50"/>
      <c r="D168" s="50"/>
      <c r="E168" s="50"/>
      <c r="F168" s="50"/>
      <c r="G168" s="50"/>
      <c r="H168" s="50"/>
      <c r="I168" s="50"/>
      <c r="J168" s="50"/>
      <c r="K168" s="50"/>
      <c r="L168" s="50"/>
      <c r="M168" s="50"/>
      <c r="N168" s="50"/>
      <c r="O168" s="50"/>
      <c r="P168" s="50"/>
      <c r="Q168" s="50"/>
      <c r="R168" s="50"/>
      <c r="S168" s="50"/>
      <c r="T168" s="50"/>
      <c r="U168" s="50"/>
      <c r="V168" s="50"/>
      <c r="W168" s="51"/>
      <c r="X168" s="51"/>
      <c r="Y168" s="216"/>
      <c r="Z168" s="216"/>
      <c r="AA168" s="51"/>
      <c r="AB168" s="51"/>
      <c r="AC168" s="51"/>
      <c r="AD168" s="51"/>
    </row>
    <row r="169" spans="1:30" customFormat="1">
      <c r="A169" s="50"/>
      <c r="B169" s="50"/>
      <c r="C169" s="50"/>
      <c r="D169" s="50"/>
      <c r="E169" s="50"/>
      <c r="F169" s="50"/>
      <c r="G169" s="50"/>
      <c r="H169" s="50"/>
      <c r="I169" s="50"/>
      <c r="J169" s="50"/>
      <c r="K169" s="50"/>
      <c r="L169" s="50"/>
      <c r="M169" s="50"/>
      <c r="N169" s="50"/>
      <c r="O169" s="50"/>
      <c r="P169" s="50"/>
      <c r="Q169" s="50"/>
      <c r="R169" s="50"/>
      <c r="S169" s="50"/>
      <c r="T169" s="50"/>
      <c r="U169" s="50"/>
      <c r="V169" s="50"/>
      <c r="W169" s="51"/>
      <c r="X169" s="51"/>
      <c r="Y169" s="216"/>
      <c r="Z169" s="216"/>
      <c r="AA169" s="51"/>
      <c r="AB169" s="51"/>
      <c r="AC169" s="51"/>
      <c r="AD169" s="51"/>
    </row>
    <row r="170" spans="1:30" customFormat="1">
      <c r="A170" s="50"/>
      <c r="B170" s="50"/>
      <c r="C170" s="50"/>
      <c r="D170" s="50"/>
      <c r="E170" s="50"/>
      <c r="F170" s="50"/>
      <c r="G170" s="50"/>
      <c r="H170" s="50"/>
      <c r="I170" s="50"/>
      <c r="J170" s="50"/>
      <c r="K170" s="50"/>
      <c r="L170" s="50"/>
      <c r="M170" s="50"/>
      <c r="N170" s="50"/>
      <c r="O170" s="50"/>
      <c r="P170" s="50"/>
      <c r="Q170" s="50"/>
      <c r="R170" s="50"/>
      <c r="S170" s="50"/>
      <c r="T170" s="50"/>
      <c r="U170" s="50"/>
      <c r="V170" s="50"/>
      <c r="W170" s="51"/>
      <c r="X170" s="51"/>
      <c r="Y170" s="216"/>
      <c r="Z170" s="216"/>
      <c r="AA170" s="51"/>
      <c r="AB170" s="51"/>
      <c r="AC170" s="51"/>
      <c r="AD170" s="51"/>
    </row>
    <row r="171" spans="1:30" customFormat="1">
      <c r="A171" s="50"/>
      <c r="B171" s="50"/>
      <c r="C171" s="50"/>
      <c r="D171" s="50"/>
      <c r="E171" s="50"/>
      <c r="F171" s="50"/>
      <c r="G171" s="50"/>
      <c r="H171" s="50"/>
      <c r="I171" s="50"/>
      <c r="J171" s="50"/>
      <c r="K171" s="50"/>
      <c r="L171" s="50"/>
      <c r="M171" s="50"/>
      <c r="N171" s="50"/>
      <c r="O171" s="50"/>
      <c r="P171" s="50"/>
      <c r="Q171" s="50"/>
      <c r="R171" s="50"/>
      <c r="S171" s="50"/>
      <c r="T171" s="50"/>
      <c r="U171" s="50"/>
      <c r="V171" s="50"/>
      <c r="W171" s="51"/>
      <c r="X171" s="51"/>
      <c r="Y171" s="216"/>
      <c r="Z171" s="216"/>
      <c r="AA171" s="51"/>
      <c r="AB171" s="51"/>
      <c r="AC171" s="51"/>
      <c r="AD171" s="51"/>
    </row>
    <row r="172" spans="1:30" customFormat="1">
      <c r="A172" s="50"/>
      <c r="B172" s="50"/>
      <c r="C172" s="50"/>
      <c r="D172" s="50"/>
      <c r="E172" s="50"/>
      <c r="F172" s="50"/>
      <c r="G172" s="50"/>
      <c r="H172" s="50"/>
      <c r="I172" s="50"/>
      <c r="J172" s="50"/>
      <c r="K172" s="50"/>
      <c r="L172" s="50"/>
      <c r="M172" s="50"/>
      <c r="N172" s="50"/>
      <c r="O172" s="50"/>
      <c r="P172" s="50"/>
      <c r="Q172" s="50"/>
      <c r="R172" s="50"/>
      <c r="S172" s="50"/>
      <c r="T172" s="50"/>
      <c r="U172" s="50"/>
      <c r="V172" s="50"/>
      <c r="W172" s="51"/>
      <c r="X172" s="51"/>
      <c r="Y172" s="216"/>
      <c r="Z172" s="216"/>
      <c r="AA172" s="51"/>
      <c r="AB172" s="51"/>
      <c r="AC172" s="51"/>
      <c r="AD172" s="51"/>
    </row>
    <row r="173" spans="1:30" customFormat="1">
      <c r="A173" s="50"/>
      <c r="B173" s="50"/>
      <c r="C173" s="50"/>
      <c r="D173" s="50"/>
      <c r="E173" s="50"/>
      <c r="F173" s="50"/>
      <c r="G173" s="50"/>
      <c r="H173" s="50"/>
      <c r="I173" s="50"/>
      <c r="J173" s="50"/>
      <c r="K173" s="50"/>
      <c r="L173" s="50"/>
      <c r="M173" s="50"/>
      <c r="N173" s="50"/>
      <c r="O173" s="50"/>
      <c r="P173" s="50"/>
      <c r="Q173" s="50"/>
      <c r="R173" s="50"/>
      <c r="S173" s="50"/>
      <c r="T173" s="50"/>
      <c r="U173" s="50"/>
      <c r="V173" s="50"/>
      <c r="W173" s="51"/>
      <c r="X173" s="51"/>
      <c r="Y173" s="216"/>
      <c r="Z173" s="216"/>
      <c r="AA173" s="51"/>
      <c r="AB173" s="51"/>
      <c r="AC173" s="51"/>
      <c r="AD173" s="51"/>
    </row>
    <row r="174" spans="1:30" customFormat="1">
      <c r="A174" s="50"/>
      <c r="B174" s="50"/>
      <c r="C174" s="50"/>
      <c r="D174" s="50"/>
      <c r="E174" s="50"/>
      <c r="F174" s="50"/>
      <c r="G174" s="50"/>
      <c r="H174" s="50"/>
      <c r="I174" s="50"/>
      <c r="J174" s="50"/>
      <c r="K174" s="50"/>
      <c r="L174" s="50"/>
      <c r="M174" s="50"/>
      <c r="N174" s="50"/>
      <c r="O174" s="50"/>
      <c r="P174" s="50"/>
      <c r="Q174" s="50"/>
      <c r="R174" s="50"/>
      <c r="S174" s="50"/>
      <c r="T174" s="50"/>
      <c r="U174" s="50"/>
      <c r="V174" s="50"/>
      <c r="W174" s="51"/>
      <c r="X174" s="51"/>
      <c r="Y174" s="216"/>
      <c r="Z174" s="216"/>
      <c r="AA174" s="51"/>
      <c r="AB174" s="51"/>
      <c r="AC174" s="51"/>
      <c r="AD174" s="51"/>
    </row>
    <row r="175" spans="1:30" customFormat="1">
      <c r="A175" s="50"/>
      <c r="B175" s="50"/>
      <c r="C175" s="50"/>
      <c r="D175" s="50"/>
      <c r="E175" s="50"/>
      <c r="F175" s="50"/>
      <c r="G175" s="50"/>
      <c r="H175" s="50"/>
      <c r="I175" s="50"/>
      <c r="J175" s="50"/>
      <c r="K175" s="50"/>
      <c r="L175" s="50"/>
      <c r="M175" s="50"/>
      <c r="N175" s="50"/>
      <c r="O175" s="50"/>
      <c r="P175" s="50"/>
      <c r="Q175" s="50"/>
      <c r="R175" s="50"/>
      <c r="S175" s="50"/>
      <c r="T175" s="50"/>
      <c r="U175" s="50"/>
      <c r="V175" s="50"/>
      <c r="W175" s="51"/>
      <c r="X175" s="51"/>
      <c r="Y175" s="216"/>
      <c r="Z175" s="216"/>
      <c r="AA175" s="51"/>
      <c r="AB175" s="51"/>
      <c r="AC175" s="51"/>
      <c r="AD175" s="51"/>
    </row>
    <row r="176" spans="1:30" customFormat="1">
      <c r="A176" s="50"/>
      <c r="B176" s="50"/>
      <c r="C176" s="50"/>
      <c r="D176" s="50"/>
      <c r="E176" s="50"/>
      <c r="F176" s="50"/>
      <c r="G176" s="50"/>
      <c r="H176" s="50"/>
      <c r="I176" s="50"/>
      <c r="J176" s="50"/>
      <c r="K176" s="50"/>
      <c r="L176" s="50"/>
      <c r="M176" s="50"/>
      <c r="N176" s="50"/>
      <c r="O176" s="50"/>
      <c r="P176" s="50"/>
      <c r="Q176" s="50"/>
      <c r="R176" s="50"/>
      <c r="S176" s="50"/>
      <c r="T176" s="50"/>
      <c r="U176" s="50"/>
      <c r="V176" s="50"/>
      <c r="W176" s="51"/>
      <c r="X176" s="51"/>
      <c r="Y176" s="216"/>
      <c r="Z176" s="216"/>
      <c r="AA176" s="51"/>
      <c r="AB176" s="51"/>
      <c r="AC176" s="51"/>
      <c r="AD176" s="51"/>
    </row>
    <row r="177" spans="1:30" customFormat="1">
      <c r="A177" s="50"/>
      <c r="B177" s="50"/>
      <c r="C177" s="50"/>
      <c r="D177" s="50"/>
      <c r="E177" s="50"/>
      <c r="F177" s="50"/>
      <c r="G177" s="50"/>
      <c r="H177" s="50"/>
      <c r="I177" s="50"/>
      <c r="J177" s="50"/>
      <c r="K177" s="50"/>
      <c r="L177" s="50"/>
      <c r="M177" s="50"/>
      <c r="N177" s="50"/>
      <c r="O177" s="50"/>
      <c r="P177" s="50"/>
      <c r="Q177" s="50"/>
      <c r="R177" s="50"/>
      <c r="S177" s="50"/>
      <c r="T177" s="50"/>
      <c r="U177" s="50"/>
      <c r="V177" s="50"/>
      <c r="W177" s="51"/>
      <c r="X177" s="51"/>
      <c r="Y177" s="216"/>
      <c r="Z177" s="216"/>
      <c r="AA177" s="51"/>
      <c r="AB177" s="51"/>
      <c r="AC177" s="51"/>
      <c r="AD177" s="51"/>
    </row>
    <row r="178" spans="1:30" customFormat="1">
      <c r="A178" s="50"/>
      <c r="B178" s="50"/>
      <c r="C178" s="50"/>
      <c r="D178" s="50"/>
      <c r="E178" s="50"/>
      <c r="F178" s="50"/>
      <c r="G178" s="50"/>
      <c r="H178" s="50"/>
      <c r="I178" s="50"/>
      <c r="J178" s="50"/>
      <c r="K178" s="50"/>
      <c r="L178" s="50"/>
      <c r="M178" s="50"/>
      <c r="N178" s="50"/>
      <c r="O178" s="50"/>
      <c r="P178" s="50"/>
      <c r="Q178" s="50"/>
      <c r="R178" s="50"/>
      <c r="S178" s="50"/>
      <c r="T178" s="50"/>
      <c r="U178" s="50"/>
      <c r="V178" s="50"/>
      <c r="W178" s="51"/>
      <c r="X178" s="51"/>
      <c r="Y178" s="216"/>
      <c r="Z178" s="216"/>
      <c r="AA178" s="51"/>
      <c r="AB178" s="51"/>
      <c r="AC178" s="51"/>
      <c r="AD178" s="51"/>
    </row>
    <row r="179" spans="1:30" customFormat="1">
      <c r="A179" s="50"/>
      <c r="B179" s="50"/>
      <c r="C179" s="50"/>
      <c r="D179" s="50"/>
      <c r="E179" s="50"/>
      <c r="F179" s="50"/>
      <c r="G179" s="50"/>
      <c r="H179" s="50"/>
      <c r="I179" s="50"/>
      <c r="J179" s="50"/>
      <c r="K179" s="50"/>
      <c r="L179" s="50"/>
      <c r="M179" s="50"/>
      <c r="N179" s="50"/>
      <c r="O179" s="50"/>
      <c r="P179" s="50"/>
      <c r="Q179" s="50"/>
      <c r="R179" s="50"/>
      <c r="S179" s="50"/>
      <c r="T179" s="50"/>
      <c r="U179" s="50"/>
      <c r="V179" s="50"/>
      <c r="W179" s="51"/>
      <c r="X179" s="51"/>
      <c r="Y179" s="216"/>
      <c r="Z179" s="216"/>
      <c r="AA179" s="51"/>
      <c r="AB179" s="51"/>
      <c r="AC179" s="51"/>
      <c r="AD179" s="51"/>
    </row>
    <row r="180" spans="1:30" customFormat="1">
      <c r="A180" s="50"/>
      <c r="B180" s="50"/>
      <c r="C180" s="50"/>
      <c r="D180" s="50"/>
      <c r="E180" s="50"/>
      <c r="F180" s="50"/>
      <c r="G180" s="50"/>
      <c r="H180" s="50"/>
      <c r="I180" s="50"/>
      <c r="J180" s="50"/>
      <c r="K180" s="50"/>
      <c r="L180" s="50"/>
      <c r="M180" s="50"/>
      <c r="N180" s="50"/>
      <c r="O180" s="50"/>
      <c r="P180" s="50"/>
      <c r="Q180" s="50"/>
      <c r="R180" s="50"/>
      <c r="S180" s="50"/>
      <c r="T180" s="50"/>
      <c r="U180" s="50"/>
      <c r="V180" s="50"/>
      <c r="W180" s="51"/>
      <c r="X180" s="51"/>
      <c r="Y180" s="216"/>
      <c r="Z180" s="216"/>
      <c r="AA180" s="51"/>
      <c r="AB180" s="51"/>
      <c r="AC180" s="51"/>
      <c r="AD180" s="51"/>
    </row>
    <row r="181" spans="1:30" customFormat="1">
      <c r="A181" s="50"/>
      <c r="B181" s="50"/>
      <c r="C181" s="50"/>
      <c r="D181" s="50"/>
      <c r="E181" s="50"/>
      <c r="F181" s="50"/>
      <c r="G181" s="50"/>
      <c r="H181" s="50"/>
      <c r="I181" s="50"/>
      <c r="J181" s="50"/>
      <c r="K181" s="50"/>
      <c r="L181" s="50"/>
      <c r="M181" s="50"/>
      <c r="N181" s="50"/>
      <c r="O181" s="50"/>
      <c r="P181" s="50"/>
      <c r="Q181" s="50"/>
      <c r="R181" s="50"/>
      <c r="S181" s="50"/>
      <c r="T181" s="50"/>
      <c r="U181" s="50"/>
      <c r="V181" s="50"/>
      <c r="W181" s="51"/>
      <c r="X181" s="51"/>
      <c r="Y181" s="216"/>
      <c r="Z181" s="216"/>
      <c r="AA181" s="51"/>
      <c r="AB181" s="51"/>
      <c r="AC181" s="51"/>
      <c r="AD181" s="51"/>
    </row>
    <row r="182" spans="1:30" customFormat="1">
      <c r="A182" s="50"/>
      <c r="B182" s="50"/>
      <c r="C182" s="50"/>
      <c r="D182" s="50"/>
      <c r="E182" s="50"/>
      <c r="F182" s="50"/>
      <c r="G182" s="50"/>
      <c r="H182" s="50"/>
      <c r="I182" s="50"/>
      <c r="J182" s="50"/>
      <c r="K182" s="50"/>
      <c r="L182" s="50"/>
      <c r="M182" s="50"/>
      <c r="N182" s="50"/>
      <c r="O182" s="50"/>
      <c r="P182" s="50"/>
      <c r="Q182" s="50"/>
      <c r="R182" s="50"/>
      <c r="S182" s="50"/>
      <c r="T182" s="50"/>
      <c r="U182" s="50"/>
      <c r="V182" s="50"/>
      <c r="W182" s="51"/>
      <c r="X182" s="51"/>
      <c r="Y182" s="216"/>
      <c r="Z182" s="216"/>
      <c r="AA182" s="51"/>
      <c r="AB182" s="51"/>
      <c r="AC182" s="51"/>
      <c r="AD182" s="51"/>
    </row>
    <row r="183" spans="1:30" customFormat="1">
      <c r="A183" s="50"/>
      <c r="B183" s="50"/>
      <c r="C183" s="50"/>
      <c r="D183" s="50"/>
      <c r="E183" s="50"/>
      <c r="F183" s="50"/>
      <c r="G183" s="50"/>
      <c r="H183" s="50"/>
      <c r="I183" s="50"/>
      <c r="J183" s="50"/>
      <c r="K183" s="50"/>
      <c r="L183" s="50"/>
      <c r="M183" s="50"/>
      <c r="N183" s="50"/>
      <c r="O183" s="50"/>
      <c r="P183" s="50"/>
      <c r="Q183" s="50"/>
      <c r="R183" s="50"/>
      <c r="S183" s="50"/>
      <c r="T183" s="50"/>
      <c r="U183" s="50"/>
      <c r="V183" s="50"/>
      <c r="W183" s="51"/>
      <c r="X183" s="51"/>
      <c r="Y183" s="216"/>
      <c r="Z183" s="216"/>
      <c r="AA183" s="51"/>
      <c r="AB183" s="51"/>
      <c r="AC183" s="51"/>
      <c r="AD183" s="51"/>
    </row>
    <row r="184" spans="1:30" customFormat="1">
      <c r="A184" s="50"/>
      <c r="B184" s="50"/>
      <c r="C184" s="50"/>
      <c r="D184" s="50"/>
      <c r="E184" s="50"/>
      <c r="F184" s="50"/>
      <c r="G184" s="50"/>
      <c r="H184" s="50"/>
      <c r="I184" s="50"/>
      <c r="J184" s="50"/>
      <c r="K184" s="50"/>
      <c r="L184" s="50"/>
      <c r="M184" s="50"/>
      <c r="N184" s="50"/>
      <c r="O184" s="50"/>
      <c r="P184" s="50"/>
      <c r="Q184" s="50"/>
      <c r="R184" s="50"/>
      <c r="S184" s="50"/>
      <c r="T184" s="50"/>
      <c r="U184" s="50"/>
      <c r="V184" s="50"/>
      <c r="W184" s="51"/>
      <c r="X184" s="51"/>
      <c r="Y184" s="216"/>
      <c r="Z184" s="216"/>
      <c r="AA184" s="51"/>
      <c r="AB184" s="51"/>
      <c r="AC184" s="51"/>
      <c r="AD184" s="51"/>
    </row>
    <row r="185" spans="1:30" customFormat="1">
      <c r="A185" s="50"/>
      <c r="B185" s="50"/>
      <c r="C185" s="50"/>
      <c r="D185" s="50"/>
      <c r="E185" s="50"/>
      <c r="F185" s="50"/>
      <c r="G185" s="50"/>
      <c r="H185" s="50"/>
      <c r="I185" s="50"/>
      <c r="J185" s="50"/>
      <c r="K185" s="50"/>
      <c r="L185" s="50"/>
      <c r="M185" s="50"/>
      <c r="N185" s="50"/>
      <c r="O185" s="50"/>
      <c r="P185" s="50"/>
      <c r="Q185" s="50"/>
      <c r="R185" s="50"/>
      <c r="S185" s="50"/>
      <c r="T185" s="50"/>
      <c r="U185" s="50"/>
      <c r="V185" s="50"/>
      <c r="W185" s="51"/>
      <c r="X185" s="51"/>
      <c r="Y185" s="216"/>
      <c r="Z185" s="216"/>
      <c r="AA185" s="51"/>
      <c r="AB185" s="51"/>
      <c r="AC185" s="51"/>
      <c r="AD185" s="51"/>
    </row>
    <row r="186" spans="1:30" customFormat="1">
      <c r="A186" s="50"/>
      <c r="B186" s="50"/>
      <c r="C186" s="50"/>
      <c r="D186" s="50"/>
      <c r="E186" s="50"/>
      <c r="F186" s="50"/>
      <c r="G186" s="50"/>
      <c r="H186" s="50"/>
      <c r="I186" s="50"/>
      <c r="J186" s="50"/>
      <c r="K186" s="50"/>
      <c r="L186" s="50"/>
      <c r="M186" s="50"/>
      <c r="N186" s="50"/>
      <c r="O186" s="50"/>
      <c r="P186" s="50"/>
      <c r="Q186" s="50"/>
      <c r="R186" s="50"/>
      <c r="S186" s="50"/>
      <c r="T186" s="50"/>
      <c r="U186" s="50"/>
      <c r="V186" s="50"/>
      <c r="W186" s="51"/>
      <c r="X186" s="51"/>
      <c r="Y186" s="216"/>
      <c r="Z186" s="216"/>
      <c r="AA186" s="51"/>
      <c r="AB186" s="51"/>
      <c r="AC186" s="51"/>
      <c r="AD186" s="51"/>
    </row>
    <row r="187" spans="1:30" customFormat="1">
      <c r="A187" s="50"/>
      <c r="B187" s="50"/>
      <c r="C187" s="50"/>
      <c r="D187" s="50"/>
      <c r="E187" s="50"/>
      <c r="F187" s="50"/>
      <c r="G187" s="50"/>
      <c r="H187" s="50"/>
      <c r="I187" s="50"/>
      <c r="J187" s="50"/>
      <c r="K187" s="50"/>
      <c r="L187" s="50"/>
      <c r="M187" s="50"/>
      <c r="N187" s="50"/>
      <c r="O187" s="50"/>
      <c r="P187" s="50"/>
      <c r="Q187" s="50"/>
      <c r="R187" s="50"/>
      <c r="S187" s="50"/>
      <c r="T187" s="50"/>
      <c r="U187" s="50"/>
      <c r="V187" s="50"/>
      <c r="W187" s="51"/>
      <c r="X187" s="51"/>
      <c r="Y187" s="216"/>
      <c r="Z187" s="216"/>
      <c r="AA187" s="51"/>
      <c r="AB187" s="51"/>
      <c r="AC187" s="51"/>
      <c r="AD187" s="51"/>
    </row>
    <row r="188" spans="1:30" customFormat="1">
      <c r="A188" s="50"/>
      <c r="B188" s="50"/>
      <c r="C188" s="50"/>
      <c r="D188" s="50"/>
      <c r="E188" s="50"/>
      <c r="F188" s="50"/>
      <c r="G188" s="50"/>
      <c r="H188" s="50"/>
      <c r="I188" s="50"/>
      <c r="J188" s="50"/>
      <c r="K188" s="50"/>
      <c r="L188" s="50"/>
      <c r="M188" s="50"/>
      <c r="N188" s="50"/>
      <c r="O188" s="50"/>
      <c r="P188" s="50"/>
      <c r="Q188" s="50"/>
      <c r="R188" s="50"/>
      <c r="S188" s="50"/>
      <c r="T188" s="50"/>
      <c r="U188" s="50"/>
      <c r="V188" s="50"/>
      <c r="W188" s="51"/>
      <c r="X188" s="51"/>
      <c r="Y188" s="216"/>
      <c r="Z188" s="216"/>
      <c r="AA188" s="51"/>
      <c r="AB188" s="51"/>
      <c r="AC188" s="51"/>
      <c r="AD188" s="51"/>
    </row>
    <row r="189" spans="1:30" customFormat="1">
      <c r="A189" s="50"/>
      <c r="B189" s="50"/>
      <c r="C189" s="50"/>
      <c r="D189" s="50"/>
      <c r="E189" s="50"/>
      <c r="F189" s="50"/>
      <c r="G189" s="50"/>
      <c r="H189" s="50"/>
      <c r="I189" s="50"/>
      <c r="J189" s="50"/>
      <c r="K189" s="50"/>
      <c r="L189" s="50"/>
      <c r="M189" s="50"/>
      <c r="N189" s="50"/>
      <c r="O189" s="50"/>
      <c r="P189" s="50"/>
      <c r="Q189" s="50"/>
      <c r="R189" s="50"/>
      <c r="S189" s="50"/>
      <c r="T189" s="50"/>
      <c r="U189" s="50"/>
      <c r="V189" s="50"/>
      <c r="W189" s="51"/>
      <c r="X189" s="51"/>
      <c r="Y189" s="216"/>
      <c r="Z189" s="216"/>
      <c r="AA189" s="51"/>
      <c r="AB189" s="51"/>
      <c r="AC189" s="51"/>
      <c r="AD189" s="51"/>
    </row>
    <row r="190" spans="1:30" customFormat="1">
      <c r="A190" s="50"/>
      <c r="B190" s="50"/>
      <c r="C190" s="50"/>
      <c r="D190" s="50"/>
      <c r="E190" s="50"/>
      <c r="F190" s="50"/>
      <c r="G190" s="50"/>
      <c r="H190" s="50"/>
      <c r="I190" s="50"/>
      <c r="J190" s="50"/>
      <c r="K190" s="50"/>
      <c r="L190" s="50"/>
      <c r="M190" s="50"/>
      <c r="N190" s="50"/>
      <c r="O190" s="50"/>
      <c r="P190" s="50"/>
      <c r="Q190" s="50"/>
      <c r="R190" s="50"/>
      <c r="S190" s="50"/>
      <c r="T190" s="50"/>
      <c r="U190" s="50"/>
      <c r="V190" s="50"/>
      <c r="W190" s="51"/>
      <c r="X190" s="51"/>
      <c r="Y190" s="216"/>
      <c r="Z190" s="216"/>
      <c r="AA190" s="51"/>
      <c r="AB190" s="51"/>
      <c r="AC190" s="51"/>
      <c r="AD190" s="51"/>
    </row>
    <row r="191" spans="1:30" customFormat="1">
      <c r="A191" s="50"/>
      <c r="B191" s="50"/>
      <c r="C191" s="50"/>
      <c r="D191" s="50"/>
      <c r="E191" s="50"/>
      <c r="F191" s="50"/>
      <c r="G191" s="50"/>
      <c r="H191" s="50"/>
      <c r="I191" s="50"/>
      <c r="J191" s="50"/>
      <c r="K191" s="50"/>
      <c r="L191" s="50"/>
      <c r="M191" s="50"/>
      <c r="N191" s="50"/>
      <c r="O191" s="50"/>
      <c r="P191" s="50"/>
      <c r="Q191" s="50"/>
      <c r="R191" s="50"/>
      <c r="S191" s="50"/>
      <c r="T191" s="50"/>
      <c r="U191" s="50"/>
      <c r="V191" s="50"/>
      <c r="W191" s="51"/>
      <c r="X191" s="51"/>
      <c r="Y191" s="216"/>
      <c r="Z191" s="216"/>
      <c r="AA191" s="51"/>
      <c r="AB191" s="51"/>
      <c r="AC191" s="51"/>
      <c r="AD191" s="51"/>
    </row>
    <row r="192" spans="1:30" customFormat="1">
      <c r="A192" s="50"/>
      <c r="B192" s="50"/>
      <c r="C192" s="50"/>
      <c r="D192" s="50"/>
      <c r="E192" s="50"/>
      <c r="F192" s="50"/>
      <c r="G192" s="50"/>
      <c r="H192" s="50"/>
      <c r="I192" s="50"/>
      <c r="J192" s="50"/>
      <c r="K192" s="50"/>
      <c r="L192" s="50"/>
      <c r="M192" s="50"/>
      <c r="N192" s="50"/>
      <c r="O192" s="50"/>
      <c r="P192" s="50"/>
      <c r="Q192" s="50"/>
      <c r="R192" s="50"/>
      <c r="S192" s="50"/>
      <c r="T192" s="50"/>
      <c r="U192" s="50"/>
      <c r="V192" s="50"/>
      <c r="W192" s="51"/>
      <c r="X192" s="51"/>
      <c r="Y192" s="216"/>
      <c r="Z192" s="216"/>
      <c r="AA192" s="51"/>
      <c r="AB192" s="51"/>
      <c r="AC192" s="51"/>
      <c r="AD192" s="51"/>
    </row>
    <row r="193" spans="1:30" customFormat="1">
      <c r="A193" s="50"/>
      <c r="B193" s="50"/>
      <c r="C193" s="50"/>
      <c r="D193" s="50"/>
      <c r="E193" s="50"/>
      <c r="F193" s="50"/>
      <c r="G193" s="50"/>
      <c r="H193" s="50"/>
      <c r="I193" s="50"/>
      <c r="J193" s="50"/>
      <c r="K193" s="50"/>
      <c r="L193" s="50"/>
      <c r="M193" s="50"/>
      <c r="N193" s="50"/>
      <c r="O193" s="50"/>
      <c r="P193" s="50"/>
      <c r="Q193" s="50"/>
      <c r="R193" s="50"/>
      <c r="S193" s="50"/>
      <c r="T193" s="50"/>
      <c r="U193" s="50"/>
      <c r="V193" s="50"/>
      <c r="W193" s="51"/>
      <c r="X193" s="51"/>
      <c r="Y193" s="216"/>
      <c r="Z193" s="216"/>
      <c r="AA193" s="51"/>
      <c r="AB193" s="51"/>
      <c r="AC193" s="51"/>
      <c r="AD193" s="51"/>
    </row>
    <row r="194" spans="1:30" customFormat="1">
      <c r="A194" s="50"/>
      <c r="B194" s="50"/>
      <c r="C194" s="50"/>
      <c r="D194" s="50"/>
      <c r="E194" s="50"/>
      <c r="F194" s="50"/>
      <c r="G194" s="50"/>
      <c r="H194" s="50"/>
      <c r="I194" s="50"/>
      <c r="J194" s="50"/>
      <c r="K194" s="50"/>
      <c r="L194" s="50"/>
      <c r="M194" s="50"/>
      <c r="N194" s="50"/>
      <c r="O194" s="50"/>
      <c r="P194" s="50"/>
      <c r="Q194" s="50"/>
      <c r="R194" s="50"/>
      <c r="S194" s="50"/>
      <c r="T194" s="50"/>
      <c r="U194" s="50"/>
      <c r="V194" s="50"/>
      <c r="W194" s="51"/>
      <c r="X194" s="51"/>
      <c r="Y194" s="216"/>
      <c r="Z194" s="216"/>
      <c r="AA194" s="51"/>
      <c r="AB194" s="51"/>
      <c r="AC194" s="51"/>
      <c r="AD194" s="51"/>
    </row>
    <row r="195" spans="1:30" customFormat="1">
      <c r="A195" s="50"/>
      <c r="B195" s="50"/>
      <c r="C195" s="50"/>
      <c r="D195" s="50"/>
      <c r="E195" s="50"/>
      <c r="F195" s="50"/>
      <c r="G195" s="50"/>
      <c r="H195" s="50"/>
      <c r="I195" s="50"/>
      <c r="J195" s="50"/>
      <c r="K195" s="50"/>
      <c r="L195" s="50"/>
      <c r="M195" s="50"/>
      <c r="N195" s="50"/>
      <c r="O195" s="50"/>
      <c r="P195" s="50"/>
      <c r="Q195" s="50"/>
      <c r="R195" s="50"/>
      <c r="S195" s="50"/>
      <c r="T195" s="50"/>
      <c r="U195" s="50"/>
      <c r="V195" s="50"/>
      <c r="W195" s="51"/>
      <c r="X195" s="51"/>
      <c r="Y195" s="216"/>
      <c r="Z195" s="216"/>
      <c r="AA195" s="51"/>
      <c r="AB195" s="51"/>
      <c r="AC195" s="51"/>
      <c r="AD195" s="51"/>
    </row>
    <row r="196" spans="1:30" customFormat="1">
      <c r="A196" s="50"/>
      <c r="B196" s="50"/>
      <c r="C196" s="50"/>
      <c r="D196" s="50"/>
      <c r="E196" s="50"/>
      <c r="F196" s="50"/>
      <c r="G196" s="50"/>
      <c r="H196" s="50"/>
      <c r="I196" s="50"/>
      <c r="J196" s="50"/>
      <c r="K196" s="50"/>
      <c r="L196" s="50"/>
      <c r="M196" s="50"/>
      <c r="N196" s="50"/>
      <c r="O196" s="50"/>
      <c r="P196" s="50"/>
      <c r="Q196" s="50"/>
      <c r="R196" s="50"/>
      <c r="S196" s="50"/>
      <c r="T196" s="50"/>
      <c r="U196" s="50"/>
      <c r="V196" s="50"/>
      <c r="W196" s="51"/>
      <c r="X196" s="51"/>
      <c r="Y196" s="216"/>
      <c r="Z196" s="216"/>
      <c r="AA196" s="51"/>
      <c r="AB196" s="51"/>
      <c r="AC196" s="51"/>
      <c r="AD196" s="51"/>
    </row>
    <row r="197" spans="1:30" customFormat="1">
      <c r="A197" s="50"/>
      <c r="B197" s="50"/>
      <c r="C197" s="50"/>
      <c r="D197" s="50"/>
      <c r="E197" s="50"/>
      <c r="F197" s="50"/>
      <c r="G197" s="50"/>
      <c r="H197" s="50"/>
      <c r="I197" s="50"/>
      <c r="J197" s="50"/>
      <c r="K197" s="50"/>
      <c r="L197" s="50"/>
      <c r="M197" s="50"/>
      <c r="N197" s="50"/>
      <c r="O197" s="50"/>
      <c r="P197" s="50"/>
      <c r="Q197" s="50"/>
      <c r="R197" s="50"/>
      <c r="S197" s="50"/>
      <c r="T197" s="50"/>
      <c r="U197" s="50"/>
      <c r="V197" s="50"/>
      <c r="W197" s="51"/>
      <c r="X197" s="51"/>
      <c r="Y197" s="216"/>
      <c r="Z197" s="216"/>
      <c r="AA197" s="51"/>
      <c r="AB197" s="51"/>
      <c r="AC197" s="51"/>
      <c r="AD197" s="51"/>
    </row>
    <row r="198" spans="1:30" customFormat="1">
      <c r="A198" s="50"/>
      <c r="B198" s="50"/>
      <c r="C198" s="50"/>
      <c r="D198" s="50"/>
      <c r="E198" s="50"/>
      <c r="F198" s="50"/>
      <c r="G198" s="50"/>
      <c r="H198" s="50"/>
      <c r="I198" s="50"/>
      <c r="J198" s="50"/>
      <c r="K198" s="50"/>
      <c r="L198" s="50"/>
      <c r="M198" s="50"/>
      <c r="N198" s="50"/>
      <c r="O198" s="50"/>
      <c r="P198" s="50"/>
      <c r="Q198" s="50"/>
      <c r="R198" s="50"/>
      <c r="S198" s="50"/>
      <c r="T198" s="50"/>
      <c r="U198" s="50"/>
      <c r="V198" s="50"/>
      <c r="W198" s="51"/>
      <c r="X198" s="51"/>
      <c r="Y198" s="216"/>
      <c r="Z198" s="216"/>
      <c r="AA198" s="51"/>
      <c r="AB198" s="51"/>
      <c r="AC198" s="51"/>
      <c r="AD198" s="51"/>
    </row>
    <row r="199" spans="1:30" customFormat="1">
      <c r="A199" s="50"/>
      <c r="B199" s="50"/>
      <c r="C199" s="50"/>
      <c r="D199" s="50"/>
      <c r="E199" s="50"/>
      <c r="F199" s="50"/>
      <c r="G199" s="50"/>
      <c r="H199" s="50"/>
      <c r="I199" s="50"/>
      <c r="J199" s="50"/>
      <c r="K199" s="50"/>
      <c r="L199" s="50"/>
      <c r="M199" s="50"/>
      <c r="N199" s="50"/>
      <c r="O199" s="50"/>
      <c r="P199" s="50"/>
      <c r="Q199" s="50"/>
      <c r="R199" s="50"/>
      <c r="S199" s="50"/>
      <c r="T199" s="50"/>
      <c r="U199" s="50"/>
      <c r="V199" s="50"/>
      <c r="W199" s="51"/>
      <c r="X199" s="51"/>
      <c r="Y199" s="216"/>
      <c r="Z199" s="216"/>
      <c r="AA199" s="51"/>
      <c r="AB199" s="51"/>
      <c r="AC199" s="51"/>
      <c r="AD199" s="51"/>
    </row>
    <row r="200" spans="1:30" customFormat="1">
      <c r="A200" s="50"/>
      <c r="B200" s="50"/>
      <c r="C200" s="50"/>
      <c r="D200" s="50"/>
      <c r="E200" s="50"/>
      <c r="F200" s="50"/>
      <c r="G200" s="50"/>
      <c r="H200" s="50"/>
      <c r="I200" s="50"/>
      <c r="J200" s="50"/>
      <c r="K200" s="50"/>
      <c r="L200" s="50"/>
      <c r="M200" s="50"/>
      <c r="N200" s="50"/>
      <c r="O200" s="50"/>
      <c r="P200" s="50"/>
      <c r="Q200" s="50"/>
      <c r="R200" s="50"/>
      <c r="S200" s="50"/>
      <c r="T200" s="50"/>
      <c r="U200" s="50"/>
      <c r="V200" s="50"/>
      <c r="W200" s="51"/>
      <c r="X200" s="51"/>
      <c r="Y200" s="216"/>
      <c r="Z200" s="216"/>
      <c r="AA200" s="51"/>
      <c r="AB200" s="51"/>
      <c r="AC200" s="51"/>
      <c r="AD200" s="51"/>
    </row>
    <row r="201" spans="1:30" customFormat="1">
      <c r="A201" s="50"/>
      <c r="B201" s="50"/>
      <c r="C201" s="50"/>
      <c r="D201" s="50"/>
      <c r="E201" s="50"/>
      <c r="F201" s="50"/>
      <c r="G201" s="50"/>
      <c r="H201" s="50"/>
      <c r="I201" s="50"/>
      <c r="J201" s="50"/>
      <c r="K201" s="50"/>
      <c r="L201" s="50"/>
      <c r="M201" s="50"/>
      <c r="N201" s="50"/>
      <c r="O201" s="50"/>
      <c r="P201" s="50"/>
      <c r="Q201" s="50"/>
      <c r="R201" s="50"/>
      <c r="S201" s="50"/>
      <c r="T201" s="50"/>
      <c r="U201" s="50"/>
      <c r="V201" s="50"/>
      <c r="W201" s="51"/>
      <c r="X201" s="51"/>
      <c r="Y201" s="216"/>
      <c r="Z201" s="216"/>
      <c r="AA201" s="51"/>
      <c r="AB201" s="51"/>
      <c r="AC201" s="51"/>
      <c r="AD201" s="51"/>
    </row>
    <row r="202" spans="1:30" customFormat="1">
      <c r="A202" s="50"/>
      <c r="B202" s="50"/>
      <c r="C202" s="50"/>
      <c r="D202" s="50"/>
      <c r="E202" s="50"/>
      <c r="F202" s="50"/>
      <c r="G202" s="50"/>
      <c r="H202" s="50"/>
      <c r="I202" s="50"/>
      <c r="J202" s="50"/>
      <c r="K202" s="50"/>
      <c r="L202" s="50"/>
      <c r="M202" s="50"/>
      <c r="N202" s="50"/>
      <c r="O202" s="50"/>
      <c r="P202" s="50"/>
      <c r="Q202" s="50"/>
      <c r="R202" s="50"/>
      <c r="S202" s="50"/>
      <c r="T202" s="50"/>
      <c r="U202" s="50"/>
      <c r="V202" s="50"/>
      <c r="W202" s="51"/>
      <c r="X202" s="51"/>
      <c r="Y202" s="216"/>
      <c r="Z202" s="216"/>
      <c r="AA202" s="51"/>
      <c r="AB202" s="51"/>
      <c r="AC202" s="51"/>
      <c r="AD202" s="51"/>
    </row>
    <row r="203" spans="1:30" customFormat="1">
      <c r="A203" s="50"/>
      <c r="B203" s="50"/>
      <c r="C203" s="50"/>
      <c r="D203" s="50"/>
      <c r="E203" s="50"/>
      <c r="F203" s="50"/>
      <c r="G203" s="50"/>
      <c r="H203" s="50"/>
      <c r="I203" s="50"/>
      <c r="J203" s="50"/>
      <c r="K203" s="50"/>
      <c r="L203" s="50"/>
      <c r="M203" s="50"/>
      <c r="N203" s="50"/>
      <c r="O203" s="50"/>
      <c r="P203" s="50"/>
      <c r="Q203" s="50"/>
      <c r="R203" s="50"/>
      <c r="S203" s="50"/>
      <c r="T203" s="50"/>
      <c r="U203" s="50"/>
      <c r="V203" s="50"/>
      <c r="W203" s="51"/>
      <c r="X203" s="51"/>
      <c r="Y203" s="216"/>
      <c r="Z203" s="216"/>
      <c r="AA203" s="51"/>
      <c r="AB203" s="51"/>
      <c r="AC203" s="51"/>
      <c r="AD203" s="51"/>
    </row>
    <row r="204" spans="1:30" customFormat="1">
      <c r="A204" s="50"/>
      <c r="B204" s="50"/>
      <c r="C204" s="50"/>
      <c r="D204" s="50"/>
      <c r="E204" s="50"/>
      <c r="F204" s="50"/>
      <c r="G204" s="50"/>
      <c r="H204" s="50"/>
      <c r="I204" s="50"/>
      <c r="J204" s="50"/>
      <c r="K204" s="50"/>
      <c r="L204" s="50"/>
      <c r="M204" s="50"/>
      <c r="N204" s="50"/>
      <c r="O204" s="50"/>
      <c r="P204" s="50"/>
      <c r="Q204" s="50"/>
      <c r="R204" s="50"/>
      <c r="S204" s="50"/>
      <c r="T204" s="50"/>
      <c r="U204" s="50"/>
      <c r="V204" s="50"/>
      <c r="W204" s="51"/>
      <c r="X204" s="51"/>
      <c r="Y204" s="216"/>
      <c r="Z204" s="216"/>
      <c r="AA204" s="51"/>
      <c r="AB204" s="51"/>
      <c r="AC204" s="51"/>
      <c r="AD204" s="51"/>
    </row>
    <row r="205" spans="1:30" customFormat="1">
      <c r="A205" s="50"/>
      <c r="B205" s="50"/>
      <c r="C205" s="50"/>
      <c r="D205" s="50"/>
      <c r="E205" s="50"/>
      <c r="F205" s="50"/>
      <c r="G205" s="50"/>
      <c r="H205" s="50"/>
      <c r="I205" s="50"/>
      <c r="J205" s="50"/>
      <c r="K205" s="50"/>
      <c r="L205" s="50"/>
      <c r="M205" s="50"/>
      <c r="N205" s="50"/>
      <c r="O205" s="50"/>
      <c r="P205" s="50"/>
      <c r="Q205" s="50"/>
      <c r="R205" s="50"/>
      <c r="S205" s="50"/>
      <c r="T205" s="50"/>
      <c r="U205" s="50"/>
      <c r="V205" s="50"/>
      <c r="W205" s="51"/>
      <c r="X205" s="51"/>
      <c r="Y205" s="216"/>
      <c r="Z205" s="216"/>
      <c r="AA205" s="51"/>
      <c r="AB205" s="51"/>
      <c r="AC205" s="51"/>
      <c r="AD205" s="51"/>
    </row>
    <row r="206" spans="1:30" customFormat="1">
      <c r="A206" s="50"/>
      <c r="B206" s="50"/>
      <c r="C206" s="50"/>
      <c r="D206" s="50"/>
      <c r="E206" s="50"/>
      <c r="F206" s="50"/>
      <c r="G206" s="50"/>
      <c r="H206" s="50"/>
      <c r="I206" s="50"/>
      <c r="J206" s="50"/>
      <c r="K206" s="50"/>
      <c r="L206" s="50"/>
      <c r="M206" s="50"/>
      <c r="N206" s="50"/>
      <c r="O206" s="50"/>
      <c r="P206" s="50"/>
      <c r="Q206" s="50"/>
      <c r="R206" s="50"/>
      <c r="S206" s="50"/>
      <c r="T206" s="50"/>
      <c r="U206" s="50"/>
      <c r="V206" s="50"/>
      <c r="W206" s="51"/>
      <c r="X206" s="51"/>
      <c r="Y206" s="216"/>
      <c r="Z206" s="216"/>
      <c r="AA206" s="51"/>
      <c r="AB206" s="51"/>
      <c r="AC206" s="51"/>
      <c r="AD206" s="51"/>
    </row>
    <row r="207" spans="1:30" customFormat="1">
      <c r="A207" s="50"/>
      <c r="B207" s="50"/>
      <c r="C207" s="50"/>
      <c r="D207" s="50"/>
      <c r="E207" s="50"/>
      <c r="F207" s="50"/>
      <c r="G207" s="50"/>
      <c r="H207" s="50"/>
      <c r="I207" s="50"/>
      <c r="J207" s="50"/>
      <c r="K207" s="50"/>
      <c r="L207" s="50"/>
      <c r="M207" s="50"/>
      <c r="N207" s="50"/>
      <c r="O207" s="50"/>
      <c r="P207" s="50"/>
      <c r="Q207" s="50"/>
      <c r="R207" s="50"/>
      <c r="S207" s="50"/>
      <c r="T207" s="50"/>
      <c r="U207" s="50"/>
      <c r="V207" s="50"/>
      <c r="W207" s="51"/>
      <c r="X207" s="51"/>
      <c r="Y207" s="216"/>
      <c r="Z207" s="216"/>
      <c r="AA207" s="51"/>
      <c r="AB207" s="51"/>
      <c r="AC207" s="51"/>
      <c r="AD207" s="51"/>
    </row>
    <row r="208" spans="1:30" customFormat="1">
      <c r="A208" s="50"/>
      <c r="B208" s="50"/>
      <c r="C208" s="50"/>
      <c r="D208" s="50"/>
      <c r="E208" s="50"/>
      <c r="F208" s="50"/>
      <c r="G208" s="50"/>
      <c r="H208" s="50"/>
      <c r="I208" s="50"/>
      <c r="J208" s="50"/>
      <c r="K208" s="50"/>
      <c r="L208" s="50"/>
      <c r="M208" s="50"/>
      <c r="N208" s="50"/>
      <c r="O208" s="50"/>
      <c r="P208" s="50"/>
      <c r="Q208" s="50"/>
      <c r="R208" s="50"/>
      <c r="S208" s="50"/>
      <c r="T208" s="50"/>
      <c r="U208" s="50"/>
      <c r="V208" s="50"/>
      <c r="W208" s="51"/>
      <c r="X208" s="51"/>
      <c r="Y208" s="216"/>
      <c r="Z208" s="216"/>
      <c r="AA208" s="51"/>
      <c r="AB208" s="51"/>
      <c r="AC208" s="51"/>
      <c r="AD208" s="51"/>
    </row>
    <row r="209" spans="1:30" customFormat="1">
      <c r="A209" s="50"/>
      <c r="B209" s="50"/>
      <c r="C209" s="50"/>
      <c r="D209" s="50"/>
      <c r="E209" s="50"/>
      <c r="F209" s="50"/>
      <c r="G209" s="50"/>
      <c r="H209" s="50"/>
      <c r="I209" s="50"/>
      <c r="J209" s="50"/>
      <c r="K209" s="50"/>
      <c r="L209" s="50"/>
      <c r="M209" s="50"/>
      <c r="N209" s="50"/>
      <c r="O209" s="50"/>
      <c r="P209" s="50"/>
      <c r="Q209" s="50"/>
      <c r="R209" s="50"/>
      <c r="S209" s="50"/>
      <c r="T209" s="50"/>
      <c r="U209" s="50"/>
      <c r="V209" s="50"/>
      <c r="W209" s="51"/>
      <c r="X209" s="51"/>
      <c r="Y209" s="216"/>
      <c r="Z209" s="216"/>
      <c r="AA209" s="51"/>
      <c r="AB209" s="51"/>
      <c r="AC209" s="51"/>
      <c r="AD209" s="51"/>
    </row>
    <row r="210" spans="1:30" customFormat="1">
      <c r="A210" s="50"/>
      <c r="B210" s="50"/>
      <c r="C210" s="50"/>
      <c r="D210" s="50"/>
      <c r="E210" s="50"/>
      <c r="F210" s="50"/>
      <c r="G210" s="50"/>
      <c r="H210" s="50"/>
      <c r="I210" s="50"/>
      <c r="J210" s="50"/>
      <c r="K210" s="50"/>
      <c r="L210" s="50"/>
      <c r="M210" s="50"/>
      <c r="N210" s="50"/>
      <c r="O210" s="50"/>
      <c r="P210" s="50"/>
      <c r="Q210" s="50"/>
      <c r="R210" s="50"/>
      <c r="S210" s="50"/>
      <c r="T210" s="50"/>
      <c r="U210" s="50"/>
      <c r="V210" s="50"/>
      <c r="W210" s="51"/>
      <c r="X210" s="51"/>
      <c r="Y210" s="216"/>
      <c r="Z210" s="216"/>
      <c r="AA210" s="51"/>
      <c r="AB210" s="51"/>
      <c r="AC210" s="51"/>
      <c r="AD210" s="51"/>
    </row>
    <row r="211" spans="1:30" customFormat="1">
      <c r="A211" s="50"/>
      <c r="B211" s="50"/>
      <c r="C211" s="50"/>
      <c r="D211" s="50"/>
      <c r="E211" s="50"/>
      <c r="F211" s="50"/>
      <c r="G211" s="50"/>
      <c r="H211" s="50"/>
      <c r="I211" s="50"/>
      <c r="J211" s="50"/>
      <c r="K211" s="50"/>
      <c r="L211" s="50"/>
      <c r="M211" s="50"/>
      <c r="N211" s="50"/>
      <c r="O211" s="50"/>
      <c r="P211" s="50"/>
      <c r="Q211" s="50"/>
      <c r="R211" s="50"/>
      <c r="S211" s="50"/>
      <c r="T211" s="50"/>
      <c r="U211" s="50"/>
      <c r="V211" s="50"/>
      <c r="W211" s="51"/>
      <c r="X211" s="51"/>
      <c r="Y211" s="216"/>
      <c r="Z211" s="216"/>
      <c r="AA211" s="51"/>
      <c r="AB211" s="51"/>
      <c r="AC211" s="51"/>
      <c r="AD211" s="51"/>
    </row>
    <row r="212" spans="1:30" customFormat="1">
      <c r="A212" s="50"/>
      <c r="B212" s="50"/>
      <c r="C212" s="50"/>
      <c r="D212" s="50"/>
      <c r="E212" s="50"/>
      <c r="F212" s="50"/>
      <c r="G212" s="50"/>
      <c r="H212" s="50"/>
      <c r="I212" s="50"/>
      <c r="J212" s="50"/>
      <c r="K212" s="50"/>
      <c r="L212" s="50"/>
      <c r="M212" s="50"/>
      <c r="N212" s="50"/>
      <c r="O212" s="50"/>
      <c r="P212" s="50"/>
      <c r="Q212" s="50"/>
      <c r="R212" s="50"/>
      <c r="S212" s="50"/>
      <c r="T212" s="50"/>
      <c r="U212" s="50"/>
      <c r="V212" s="50"/>
      <c r="W212" s="51"/>
      <c r="X212" s="51"/>
      <c r="Y212" s="216"/>
      <c r="Z212" s="216"/>
      <c r="AA212" s="51"/>
      <c r="AB212" s="51"/>
      <c r="AC212" s="51"/>
      <c r="AD212" s="51"/>
    </row>
    <row r="213" spans="1:30" customFormat="1">
      <c r="A213" s="50"/>
      <c r="B213" s="50"/>
      <c r="C213" s="50"/>
      <c r="D213" s="50"/>
      <c r="E213" s="50"/>
      <c r="F213" s="50"/>
      <c r="G213" s="50"/>
      <c r="H213" s="50"/>
      <c r="I213" s="50"/>
      <c r="J213" s="50"/>
      <c r="K213" s="50"/>
      <c r="L213" s="50"/>
      <c r="M213" s="50"/>
      <c r="N213" s="50"/>
      <c r="O213" s="50"/>
      <c r="P213" s="50"/>
      <c r="Q213" s="50"/>
      <c r="R213" s="50"/>
      <c r="S213" s="50"/>
      <c r="T213" s="50"/>
      <c r="U213" s="50"/>
      <c r="V213" s="50"/>
      <c r="W213" s="51"/>
      <c r="X213" s="51"/>
      <c r="Y213" s="216"/>
      <c r="Z213" s="216"/>
      <c r="AA213" s="51"/>
      <c r="AB213" s="51"/>
      <c r="AC213" s="51"/>
      <c r="AD213" s="51"/>
    </row>
    <row r="214" spans="1:30" customFormat="1">
      <c r="A214" s="50"/>
      <c r="B214" s="50"/>
      <c r="C214" s="50"/>
      <c r="D214" s="50"/>
      <c r="E214" s="50"/>
      <c r="F214" s="50"/>
      <c r="G214" s="50"/>
      <c r="H214" s="50"/>
      <c r="I214" s="50"/>
      <c r="J214" s="50"/>
      <c r="K214" s="50"/>
      <c r="L214" s="50"/>
      <c r="M214" s="50"/>
      <c r="N214" s="50"/>
      <c r="O214" s="50"/>
      <c r="P214" s="50"/>
      <c r="Q214" s="50"/>
      <c r="R214" s="50"/>
      <c r="S214" s="50"/>
      <c r="T214" s="50"/>
      <c r="U214" s="50"/>
      <c r="V214" s="50"/>
      <c r="W214" s="51"/>
      <c r="X214" s="51"/>
      <c r="Y214" s="216"/>
      <c r="Z214" s="216"/>
      <c r="AA214" s="51"/>
      <c r="AB214" s="51"/>
      <c r="AC214" s="51"/>
      <c r="AD214" s="51"/>
    </row>
    <row r="215" spans="1:30" customFormat="1">
      <c r="A215" s="50"/>
      <c r="B215" s="50"/>
      <c r="C215" s="50"/>
      <c r="D215" s="50"/>
      <c r="E215" s="50"/>
      <c r="F215" s="50"/>
      <c r="G215" s="50"/>
      <c r="H215" s="50"/>
      <c r="I215" s="50"/>
      <c r="J215" s="50"/>
      <c r="K215" s="50"/>
      <c r="L215" s="50"/>
      <c r="M215" s="50"/>
      <c r="N215" s="50"/>
      <c r="O215" s="50"/>
      <c r="P215" s="50"/>
      <c r="Q215" s="50"/>
      <c r="R215" s="50"/>
      <c r="S215" s="50"/>
      <c r="T215" s="50"/>
      <c r="U215" s="50"/>
      <c r="V215" s="50"/>
      <c r="W215" s="51"/>
      <c r="X215" s="51"/>
      <c r="Y215" s="216"/>
      <c r="Z215" s="216"/>
      <c r="AA215" s="51"/>
      <c r="AB215" s="51"/>
      <c r="AC215" s="51"/>
      <c r="AD215" s="51"/>
    </row>
    <row r="216" spans="1:30" customFormat="1">
      <c r="A216" s="50"/>
      <c r="B216" s="50"/>
      <c r="C216" s="50"/>
      <c r="D216" s="50"/>
      <c r="E216" s="50"/>
      <c r="F216" s="50"/>
      <c r="G216" s="50"/>
      <c r="H216" s="50"/>
      <c r="I216" s="50"/>
      <c r="J216" s="50"/>
      <c r="K216" s="50"/>
      <c r="L216" s="50"/>
      <c r="M216" s="50"/>
      <c r="N216" s="50"/>
      <c r="O216" s="50"/>
      <c r="P216" s="50"/>
      <c r="Q216" s="50"/>
      <c r="R216" s="50"/>
      <c r="S216" s="50"/>
      <c r="T216" s="50"/>
      <c r="U216" s="50"/>
      <c r="V216" s="50"/>
      <c r="W216" s="51"/>
      <c r="X216" s="51"/>
      <c r="Y216" s="216"/>
      <c r="Z216" s="216"/>
      <c r="AA216" s="51"/>
      <c r="AB216" s="51"/>
      <c r="AC216" s="51"/>
      <c r="AD216" s="51"/>
    </row>
    <row r="217" spans="1:30" customFormat="1">
      <c r="A217" s="50"/>
      <c r="B217" s="50"/>
      <c r="C217" s="50"/>
      <c r="D217" s="50"/>
      <c r="E217" s="50"/>
      <c r="F217" s="50"/>
      <c r="G217" s="50"/>
      <c r="H217" s="50"/>
      <c r="I217" s="50"/>
      <c r="J217" s="50"/>
      <c r="K217" s="50"/>
      <c r="L217" s="50"/>
      <c r="M217" s="50"/>
      <c r="N217" s="50"/>
      <c r="O217" s="50"/>
      <c r="P217" s="50"/>
      <c r="Q217" s="50"/>
      <c r="R217" s="50"/>
      <c r="S217" s="50"/>
      <c r="T217" s="50"/>
      <c r="U217" s="50"/>
      <c r="V217" s="50"/>
      <c r="W217" s="51"/>
      <c r="X217" s="51"/>
      <c r="Y217" s="216"/>
      <c r="Z217" s="216"/>
      <c r="AA217" s="51"/>
      <c r="AB217" s="51"/>
      <c r="AC217" s="51"/>
      <c r="AD217" s="51"/>
    </row>
    <row r="218" spans="1:30" customFormat="1">
      <c r="A218" s="50"/>
      <c r="B218" s="50"/>
      <c r="C218" s="50"/>
      <c r="D218" s="50"/>
      <c r="E218" s="50"/>
      <c r="F218" s="50"/>
      <c r="G218" s="50"/>
      <c r="H218" s="50"/>
      <c r="I218" s="50"/>
      <c r="J218" s="50"/>
      <c r="K218" s="50"/>
      <c r="L218" s="50"/>
      <c r="M218" s="50"/>
      <c r="N218" s="50"/>
      <c r="O218" s="50"/>
      <c r="P218" s="50"/>
      <c r="Q218" s="50"/>
      <c r="R218" s="50"/>
      <c r="S218" s="50"/>
      <c r="T218" s="50"/>
      <c r="U218" s="50"/>
      <c r="V218" s="50"/>
      <c r="W218" s="51"/>
      <c r="X218" s="51"/>
      <c r="Y218" s="216"/>
      <c r="Z218" s="216"/>
      <c r="AA218" s="51"/>
      <c r="AB218" s="51"/>
      <c r="AC218" s="51"/>
      <c r="AD218" s="51"/>
    </row>
    <row r="219" spans="1:30" customFormat="1">
      <c r="A219" s="50"/>
      <c r="B219" s="50"/>
      <c r="C219" s="50"/>
      <c r="D219" s="50"/>
      <c r="E219" s="50"/>
      <c r="F219" s="50"/>
      <c r="G219" s="50"/>
      <c r="H219" s="50"/>
      <c r="I219" s="50"/>
      <c r="J219" s="50"/>
      <c r="K219" s="50"/>
      <c r="L219" s="50"/>
      <c r="M219" s="50"/>
      <c r="N219" s="50"/>
      <c r="O219" s="50"/>
      <c r="P219" s="50"/>
      <c r="Q219" s="50"/>
      <c r="R219" s="50"/>
      <c r="S219" s="50"/>
      <c r="T219" s="50"/>
      <c r="U219" s="50"/>
      <c r="V219" s="50"/>
      <c r="W219" s="51"/>
      <c r="X219" s="51"/>
      <c r="Y219" s="216"/>
      <c r="Z219" s="216"/>
      <c r="AA219" s="51"/>
      <c r="AB219" s="51"/>
      <c r="AC219" s="51"/>
      <c r="AD219" s="51"/>
    </row>
    <row r="220" spans="1:30" customFormat="1">
      <c r="A220" s="50"/>
      <c r="B220" s="50"/>
      <c r="C220" s="50"/>
      <c r="D220" s="50"/>
      <c r="E220" s="50"/>
      <c r="F220" s="50"/>
      <c r="G220" s="50"/>
      <c r="H220" s="50"/>
      <c r="I220" s="50"/>
      <c r="J220" s="50"/>
      <c r="K220" s="50"/>
      <c r="L220" s="50"/>
      <c r="M220" s="50"/>
      <c r="N220" s="50"/>
      <c r="O220" s="50"/>
      <c r="P220" s="50"/>
      <c r="Q220" s="50"/>
      <c r="R220" s="50"/>
      <c r="S220" s="50"/>
      <c r="T220" s="50"/>
      <c r="U220" s="50"/>
      <c r="V220" s="50"/>
      <c r="W220" s="51"/>
      <c r="X220" s="51"/>
      <c r="Y220" s="216"/>
      <c r="Z220" s="216"/>
      <c r="AA220" s="51"/>
      <c r="AB220" s="51"/>
      <c r="AC220" s="51"/>
      <c r="AD220" s="51"/>
    </row>
    <row r="221" spans="1:30" customFormat="1">
      <c r="A221" s="50"/>
      <c r="B221" s="50"/>
      <c r="C221" s="50"/>
      <c r="D221" s="50"/>
      <c r="E221" s="50"/>
      <c r="F221" s="50"/>
      <c r="G221" s="50"/>
      <c r="H221" s="50"/>
      <c r="I221" s="50"/>
      <c r="J221" s="50"/>
      <c r="K221" s="50"/>
      <c r="L221" s="50"/>
      <c r="M221" s="50"/>
      <c r="N221" s="50"/>
      <c r="O221" s="50"/>
      <c r="P221" s="50"/>
      <c r="Q221" s="50"/>
      <c r="R221" s="50"/>
      <c r="S221" s="50"/>
      <c r="T221" s="50"/>
      <c r="U221" s="50"/>
      <c r="V221" s="50"/>
      <c r="W221" s="51"/>
      <c r="X221" s="51"/>
      <c r="Y221" s="216"/>
      <c r="Z221" s="216"/>
      <c r="AA221" s="51"/>
      <c r="AB221" s="51"/>
      <c r="AC221" s="51"/>
      <c r="AD221" s="51"/>
    </row>
    <row r="222" spans="1:30" customFormat="1">
      <c r="A222" s="50"/>
      <c r="B222" s="50"/>
      <c r="C222" s="50"/>
      <c r="D222" s="50"/>
      <c r="E222" s="50"/>
      <c r="F222" s="50"/>
      <c r="G222" s="50"/>
      <c r="H222" s="50"/>
      <c r="I222" s="50"/>
      <c r="J222" s="50"/>
      <c r="K222" s="50"/>
      <c r="L222" s="50"/>
      <c r="M222" s="50"/>
      <c r="N222" s="50"/>
      <c r="O222" s="50"/>
      <c r="P222" s="50"/>
      <c r="Q222" s="50"/>
      <c r="R222" s="50"/>
      <c r="S222" s="50"/>
      <c r="T222" s="50"/>
      <c r="U222" s="50"/>
      <c r="V222" s="50"/>
      <c r="W222" s="51"/>
      <c r="X222" s="51"/>
      <c r="Y222" s="216"/>
      <c r="Z222" s="216"/>
      <c r="AA222" s="51"/>
      <c r="AB222" s="51"/>
      <c r="AC222" s="51"/>
      <c r="AD222" s="51"/>
    </row>
    <row r="223" spans="1:30" customFormat="1">
      <c r="A223" s="50"/>
      <c r="B223" s="50"/>
      <c r="C223" s="50"/>
      <c r="D223" s="50"/>
      <c r="E223" s="50"/>
      <c r="F223" s="50"/>
      <c r="G223" s="50"/>
      <c r="H223" s="50"/>
      <c r="I223" s="50"/>
      <c r="J223" s="50"/>
      <c r="K223" s="50"/>
      <c r="L223" s="50"/>
      <c r="M223" s="50"/>
      <c r="N223" s="50"/>
      <c r="O223" s="50"/>
      <c r="P223" s="50"/>
      <c r="Q223" s="50"/>
      <c r="R223" s="50"/>
      <c r="S223" s="50"/>
      <c r="T223" s="50"/>
      <c r="U223" s="50"/>
      <c r="V223" s="50"/>
      <c r="W223" s="51"/>
      <c r="X223" s="51"/>
      <c r="Y223" s="216"/>
      <c r="Z223" s="216"/>
      <c r="AA223" s="51"/>
      <c r="AB223" s="51"/>
      <c r="AC223" s="51"/>
      <c r="AD223" s="51"/>
    </row>
    <row r="224" spans="1:30" customFormat="1">
      <c r="A224" s="50"/>
      <c r="B224" s="50"/>
      <c r="C224" s="50"/>
      <c r="D224" s="50"/>
      <c r="E224" s="50"/>
      <c r="F224" s="50"/>
      <c r="G224" s="50"/>
      <c r="H224" s="50"/>
      <c r="I224" s="50"/>
      <c r="J224" s="50"/>
      <c r="K224" s="50"/>
      <c r="L224" s="50"/>
      <c r="M224" s="50"/>
      <c r="N224" s="50"/>
      <c r="O224" s="50"/>
      <c r="P224" s="50"/>
      <c r="Q224" s="50"/>
      <c r="R224" s="50"/>
      <c r="S224" s="50"/>
      <c r="T224" s="50"/>
      <c r="U224" s="50"/>
      <c r="V224" s="50"/>
      <c r="W224" s="51"/>
      <c r="X224" s="51"/>
      <c r="Y224" s="216"/>
      <c r="Z224" s="216"/>
      <c r="AA224" s="51"/>
      <c r="AB224" s="51"/>
      <c r="AC224" s="51"/>
      <c r="AD224" s="51"/>
    </row>
    <row r="225" spans="1:30" customFormat="1">
      <c r="A225" s="50"/>
      <c r="B225" s="50"/>
      <c r="C225" s="50"/>
      <c r="D225" s="50"/>
      <c r="E225" s="50"/>
      <c r="F225" s="50"/>
      <c r="G225" s="50"/>
      <c r="H225" s="50"/>
      <c r="I225" s="50"/>
      <c r="J225" s="50"/>
      <c r="K225" s="50"/>
      <c r="L225" s="50"/>
      <c r="M225" s="50"/>
      <c r="N225" s="50"/>
      <c r="O225" s="50"/>
      <c r="P225" s="50"/>
      <c r="Q225" s="50"/>
      <c r="R225" s="50"/>
      <c r="S225" s="50"/>
      <c r="T225" s="50"/>
      <c r="U225" s="50"/>
      <c r="V225" s="50"/>
      <c r="W225" s="51"/>
      <c r="X225" s="51"/>
      <c r="Y225" s="216"/>
      <c r="Z225" s="216"/>
      <c r="AA225" s="51"/>
      <c r="AB225" s="51"/>
      <c r="AC225" s="51"/>
      <c r="AD225" s="51"/>
    </row>
    <row r="226" spans="1:30" customFormat="1">
      <c r="A226" s="50"/>
      <c r="B226" s="50"/>
      <c r="C226" s="50"/>
      <c r="D226" s="50"/>
      <c r="E226" s="50"/>
      <c r="F226" s="50"/>
      <c r="G226" s="50"/>
      <c r="H226" s="50"/>
      <c r="I226" s="50"/>
      <c r="J226" s="50"/>
      <c r="K226" s="50"/>
      <c r="L226" s="50"/>
      <c r="M226" s="50"/>
      <c r="N226" s="50"/>
      <c r="O226" s="50"/>
      <c r="P226" s="50"/>
      <c r="Q226" s="50"/>
      <c r="R226" s="50"/>
      <c r="S226" s="50"/>
      <c r="T226" s="50"/>
      <c r="U226" s="50"/>
      <c r="V226" s="50"/>
      <c r="W226" s="51"/>
      <c r="X226" s="51"/>
      <c r="Y226" s="216"/>
      <c r="Z226" s="216"/>
      <c r="AA226" s="51"/>
      <c r="AB226" s="51"/>
      <c r="AC226" s="51"/>
      <c r="AD226" s="51"/>
    </row>
    <row r="227" spans="1:30" customFormat="1">
      <c r="A227" s="50"/>
      <c r="B227" s="50"/>
      <c r="C227" s="50"/>
      <c r="D227" s="50"/>
      <c r="E227" s="50"/>
      <c r="F227" s="50"/>
      <c r="G227" s="50"/>
      <c r="H227" s="50"/>
      <c r="I227" s="50"/>
      <c r="J227" s="50"/>
      <c r="K227" s="50"/>
      <c r="L227" s="50"/>
      <c r="M227" s="50"/>
      <c r="N227" s="50"/>
      <c r="O227" s="50"/>
      <c r="P227" s="50"/>
      <c r="Q227" s="50"/>
      <c r="R227" s="50"/>
      <c r="S227" s="50"/>
      <c r="T227" s="50"/>
      <c r="U227" s="50"/>
      <c r="V227" s="50"/>
      <c r="W227" s="51"/>
      <c r="X227" s="51"/>
      <c r="Y227" s="216"/>
      <c r="Z227" s="216"/>
      <c r="AA227" s="51"/>
      <c r="AB227" s="51"/>
      <c r="AC227" s="51"/>
      <c r="AD227" s="51"/>
    </row>
    <row r="228" spans="1:30" customFormat="1">
      <c r="A228" s="50"/>
      <c r="B228" s="50"/>
      <c r="C228" s="50"/>
      <c r="D228" s="50"/>
      <c r="E228" s="50"/>
      <c r="F228" s="50"/>
      <c r="G228" s="50"/>
      <c r="H228" s="50"/>
      <c r="I228" s="50"/>
      <c r="J228" s="50"/>
      <c r="K228" s="50"/>
      <c r="L228" s="50"/>
      <c r="M228" s="50"/>
      <c r="N228" s="50"/>
      <c r="O228" s="50"/>
      <c r="P228" s="50"/>
      <c r="Q228" s="50"/>
      <c r="R228" s="50"/>
      <c r="S228" s="50"/>
      <c r="T228" s="50"/>
      <c r="U228" s="50"/>
      <c r="V228" s="50"/>
      <c r="W228" s="51"/>
      <c r="X228" s="51"/>
      <c r="Y228" s="216"/>
      <c r="Z228" s="216"/>
      <c r="AA228" s="51"/>
      <c r="AB228" s="51"/>
      <c r="AC228" s="51"/>
      <c r="AD228" s="51"/>
    </row>
    <row r="229" spans="1:30" customFormat="1">
      <c r="A229" s="50"/>
      <c r="B229" s="50"/>
      <c r="C229" s="50"/>
      <c r="D229" s="50"/>
      <c r="E229" s="50"/>
      <c r="F229" s="50"/>
      <c r="G229" s="50"/>
      <c r="H229" s="50"/>
      <c r="I229" s="50"/>
      <c r="J229" s="50"/>
      <c r="K229" s="50"/>
      <c r="L229" s="50"/>
      <c r="M229" s="50"/>
      <c r="N229" s="50"/>
      <c r="O229" s="50"/>
      <c r="P229" s="50"/>
      <c r="Q229" s="50"/>
      <c r="R229" s="50"/>
      <c r="S229" s="50"/>
      <c r="T229" s="50"/>
      <c r="U229" s="50"/>
      <c r="V229" s="50"/>
      <c r="W229" s="51"/>
      <c r="X229" s="51"/>
      <c r="Y229" s="216"/>
      <c r="Z229" s="216"/>
      <c r="AA229" s="51"/>
      <c r="AB229" s="51"/>
      <c r="AC229" s="51"/>
      <c r="AD229" s="51"/>
    </row>
    <row r="230" spans="1:30" customFormat="1">
      <c r="A230" s="50"/>
      <c r="B230" s="50"/>
      <c r="C230" s="50"/>
      <c r="D230" s="50"/>
      <c r="E230" s="50"/>
      <c r="F230" s="50"/>
      <c r="G230" s="50"/>
      <c r="H230" s="50"/>
      <c r="I230" s="50"/>
      <c r="J230" s="50"/>
      <c r="K230" s="50"/>
      <c r="L230" s="50"/>
      <c r="M230" s="50"/>
      <c r="N230" s="50"/>
      <c r="O230" s="50"/>
      <c r="P230" s="50"/>
      <c r="Q230" s="50"/>
      <c r="R230" s="50"/>
      <c r="S230" s="50"/>
      <c r="T230" s="50"/>
      <c r="U230" s="50"/>
      <c r="V230" s="50"/>
      <c r="W230" s="51"/>
      <c r="X230" s="51"/>
      <c r="Y230" s="216"/>
      <c r="Z230" s="216"/>
      <c r="AA230" s="51"/>
      <c r="AB230" s="51"/>
      <c r="AC230" s="51"/>
      <c r="AD230" s="51"/>
    </row>
    <row r="231" spans="1:30" customFormat="1">
      <c r="A231" s="50"/>
      <c r="B231" s="50"/>
      <c r="C231" s="50"/>
      <c r="D231" s="50"/>
      <c r="E231" s="50"/>
      <c r="F231" s="50"/>
      <c r="G231" s="50"/>
      <c r="H231" s="50"/>
      <c r="I231" s="50"/>
      <c r="J231" s="50"/>
      <c r="K231" s="50"/>
      <c r="L231" s="50"/>
      <c r="M231" s="50"/>
      <c r="N231" s="50"/>
      <c r="O231" s="50"/>
      <c r="P231" s="50"/>
      <c r="Q231" s="50"/>
      <c r="R231" s="50"/>
      <c r="S231" s="50"/>
      <c r="T231" s="50"/>
      <c r="U231" s="50"/>
      <c r="V231" s="50"/>
      <c r="W231" s="51"/>
      <c r="X231" s="51"/>
      <c r="Y231" s="216"/>
      <c r="Z231" s="216"/>
      <c r="AA231" s="51"/>
      <c r="AB231" s="51"/>
      <c r="AC231" s="51"/>
      <c r="AD231" s="51"/>
    </row>
    <row r="232" spans="1:30" customFormat="1">
      <c r="A232" s="50"/>
      <c r="B232" s="50"/>
      <c r="C232" s="50"/>
      <c r="D232" s="50"/>
      <c r="E232" s="50"/>
      <c r="F232" s="50"/>
      <c r="G232" s="50"/>
      <c r="H232" s="50"/>
      <c r="I232" s="50"/>
      <c r="J232" s="50"/>
      <c r="K232" s="50"/>
      <c r="L232" s="50"/>
      <c r="M232" s="50"/>
      <c r="N232" s="50"/>
      <c r="O232" s="50"/>
      <c r="P232" s="50"/>
      <c r="Q232" s="50"/>
      <c r="R232" s="50"/>
      <c r="S232" s="50"/>
      <c r="T232" s="50"/>
      <c r="U232" s="50"/>
      <c r="V232" s="50"/>
      <c r="W232" s="51"/>
      <c r="X232" s="51"/>
      <c r="Y232" s="216"/>
      <c r="Z232" s="216"/>
      <c r="AA232" s="51"/>
      <c r="AB232" s="51"/>
      <c r="AC232" s="51"/>
      <c r="AD232" s="51"/>
    </row>
    <row r="233" spans="1:30" customFormat="1">
      <c r="A233" s="50"/>
      <c r="B233" s="50"/>
      <c r="C233" s="50"/>
      <c r="D233" s="50"/>
      <c r="E233" s="50"/>
      <c r="F233" s="50"/>
      <c r="G233" s="50"/>
      <c r="H233" s="50"/>
      <c r="I233" s="50"/>
      <c r="J233" s="50"/>
      <c r="K233" s="50"/>
      <c r="L233" s="50"/>
      <c r="M233" s="50"/>
      <c r="N233" s="50"/>
      <c r="O233" s="50"/>
      <c r="P233" s="50"/>
      <c r="Q233" s="50"/>
      <c r="R233" s="50"/>
      <c r="S233" s="50"/>
      <c r="T233" s="50"/>
      <c r="U233" s="50"/>
      <c r="V233" s="50"/>
      <c r="W233" s="51"/>
      <c r="X233" s="51"/>
      <c r="Y233" s="216"/>
      <c r="Z233" s="216"/>
      <c r="AA233" s="51"/>
      <c r="AB233" s="51"/>
      <c r="AC233" s="51"/>
      <c r="AD233" s="51"/>
    </row>
    <row r="234" spans="1:30" customFormat="1">
      <c r="A234" s="50"/>
      <c r="B234" s="50"/>
      <c r="C234" s="50"/>
      <c r="D234" s="50"/>
      <c r="E234" s="50"/>
      <c r="F234" s="50"/>
      <c r="G234" s="50"/>
      <c r="H234" s="50"/>
      <c r="I234" s="50"/>
      <c r="J234" s="50"/>
      <c r="K234" s="50"/>
      <c r="L234" s="50"/>
      <c r="M234" s="50"/>
      <c r="N234" s="50"/>
      <c r="O234" s="50"/>
      <c r="P234" s="50"/>
      <c r="Q234" s="50"/>
      <c r="R234" s="50"/>
      <c r="S234" s="50"/>
      <c r="T234" s="50"/>
      <c r="U234" s="50"/>
      <c r="V234" s="50"/>
      <c r="W234" s="51"/>
      <c r="X234" s="51"/>
      <c r="Y234" s="216"/>
      <c r="Z234" s="216"/>
      <c r="AA234" s="51"/>
      <c r="AB234" s="51"/>
      <c r="AC234" s="51"/>
      <c r="AD234" s="51"/>
    </row>
    <row r="235" spans="1:30" customFormat="1">
      <c r="A235" s="50"/>
      <c r="B235" s="50"/>
      <c r="C235" s="50"/>
      <c r="D235" s="50"/>
      <c r="E235" s="50"/>
      <c r="F235" s="50"/>
      <c r="G235" s="50"/>
      <c r="H235" s="50"/>
      <c r="I235" s="50"/>
      <c r="J235" s="50"/>
      <c r="K235" s="50"/>
      <c r="L235" s="50"/>
      <c r="M235" s="50"/>
      <c r="N235" s="50"/>
      <c r="O235" s="50"/>
      <c r="P235" s="50"/>
      <c r="Q235" s="50"/>
      <c r="R235" s="50"/>
      <c r="S235" s="50"/>
      <c r="T235" s="50"/>
      <c r="U235" s="50"/>
      <c r="V235" s="50"/>
      <c r="W235" s="51"/>
      <c r="X235" s="51"/>
      <c r="Y235" s="216"/>
      <c r="Z235" s="216"/>
      <c r="AA235" s="51"/>
      <c r="AB235" s="51"/>
      <c r="AC235" s="51"/>
      <c r="AD235" s="51"/>
    </row>
    <row r="236" spans="1:30" customFormat="1">
      <c r="A236" s="50"/>
      <c r="B236" s="50"/>
      <c r="C236" s="50"/>
      <c r="D236" s="50"/>
      <c r="E236" s="50"/>
      <c r="F236" s="50"/>
      <c r="G236" s="50"/>
      <c r="H236" s="50"/>
      <c r="I236" s="50"/>
      <c r="J236" s="50"/>
      <c r="K236" s="50"/>
      <c r="L236" s="50"/>
      <c r="M236" s="50"/>
      <c r="N236" s="50"/>
      <c r="O236" s="50"/>
      <c r="P236" s="50"/>
      <c r="Q236" s="50"/>
      <c r="R236" s="50"/>
      <c r="S236" s="50"/>
      <c r="T236" s="50"/>
      <c r="U236" s="50"/>
      <c r="V236" s="50"/>
      <c r="W236" s="51"/>
      <c r="X236" s="51"/>
      <c r="Y236" s="216"/>
      <c r="Z236" s="216"/>
      <c r="AA236" s="51"/>
      <c r="AB236" s="51"/>
      <c r="AC236" s="51"/>
      <c r="AD236" s="51"/>
    </row>
    <row r="237" spans="1:30" customFormat="1">
      <c r="A237" s="50"/>
      <c r="B237" s="50"/>
      <c r="C237" s="50"/>
      <c r="D237" s="50"/>
      <c r="E237" s="50"/>
      <c r="F237" s="50"/>
      <c r="G237" s="50"/>
      <c r="H237" s="50"/>
      <c r="I237" s="50"/>
      <c r="J237" s="50"/>
      <c r="K237" s="50"/>
      <c r="L237" s="50"/>
      <c r="M237" s="50"/>
      <c r="N237" s="50"/>
      <c r="O237" s="50"/>
      <c r="P237" s="50"/>
      <c r="Q237" s="50"/>
      <c r="R237" s="50"/>
      <c r="S237" s="50"/>
      <c r="T237" s="50"/>
      <c r="U237" s="50"/>
      <c r="V237" s="50"/>
      <c r="W237" s="51"/>
      <c r="X237" s="51"/>
      <c r="Y237" s="216"/>
      <c r="Z237" s="216"/>
      <c r="AA237" s="51"/>
      <c r="AB237" s="51"/>
      <c r="AC237" s="51"/>
      <c r="AD237" s="51"/>
    </row>
    <row r="238" spans="1:30" customFormat="1">
      <c r="A238" s="50"/>
      <c r="B238" s="50"/>
      <c r="C238" s="50"/>
      <c r="D238" s="50"/>
      <c r="E238" s="50"/>
      <c r="F238" s="50"/>
      <c r="G238" s="50"/>
      <c r="H238" s="50"/>
      <c r="I238" s="50"/>
      <c r="J238" s="50"/>
      <c r="K238" s="50"/>
      <c r="L238" s="50"/>
      <c r="M238" s="50"/>
      <c r="N238" s="50"/>
      <c r="O238" s="50"/>
      <c r="P238" s="50"/>
      <c r="Q238" s="50"/>
      <c r="R238" s="50"/>
      <c r="S238" s="50"/>
      <c r="T238" s="50"/>
      <c r="U238" s="50"/>
      <c r="V238" s="50"/>
      <c r="W238" s="51"/>
      <c r="X238" s="51"/>
      <c r="Y238" s="216"/>
      <c r="Z238" s="216"/>
      <c r="AA238" s="51"/>
      <c r="AB238" s="51"/>
      <c r="AC238" s="51"/>
      <c r="AD238" s="51"/>
    </row>
    <row r="239" spans="1:30" customFormat="1">
      <c r="A239" s="50"/>
      <c r="B239" s="50"/>
      <c r="C239" s="50"/>
      <c r="D239" s="50"/>
      <c r="E239" s="50"/>
      <c r="F239" s="50"/>
      <c r="G239" s="50"/>
      <c r="H239" s="50"/>
      <c r="I239" s="50"/>
      <c r="J239" s="50"/>
      <c r="K239" s="50"/>
      <c r="L239" s="50"/>
      <c r="M239" s="50"/>
      <c r="N239" s="50"/>
      <c r="O239" s="50"/>
      <c r="P239" s="50"/>
      <c r="Q239" s="50"/>
      <c r="R239" s="50"/>
      <c r="S239" s="50"/>
      <c r="T239" s="50"/>
      <c r="U239" s="50"/>
      <c r="V239" s="50"/>
      <c r="W239" s="51"/>
      <c r="X239" s="51"/>
      <c r="Y239" s="216"/>
      <c r="Z239" s="216"/>
      <c r="AA239" s="51"/>
      <c r="AB239" s="51"/>
      <c r="AC239" s="51"/>
      <c r="AD239" s="51"/>
    </row>
    <row r="240" spans="1:30" customFormat="1">
      <c r="A240" s="50"/>
      <c r="B240" s="50"/>
      <c r="C240" s="50"/>
      <c r="D240" s="50"/>
      <c r="E240" s="50"/>
      <c r="F240" s="50"/>
      <c r="G240" s="50"/>
      <c r="H240" s="50"/>
      <c r="I240" s="50"/>
      <c r="J240" s="50"/>
      <c r="K240" s="50"/>
      <c r="L240" s="50"/>
      <c r="M240" s="50"/>
      <c r="N240" s="50"/>
      <c r="O240" s="50"/>
      <c r="P240" s="50"/>
      <c r="Q240" s="50"/>
      <c r="R240" s="50"/>
      <c r="S240" s="50"/>
      <c r="T240" s="50"/>
      <c r="U240" s="50"/>
      <c r="V240" s="50"/>
      <c r="W240" s="51"/>
      <c r="X240" s="51"/>
      <c r="Y240" s="216"/>
      <c r="Z240" s="216"/>
      <c r="AA240" s="51"/>
      <c r="AB240" s="51"/>
      <c r="AC240" s="51"/>
      <c r="AD240" s="51"/>
    </row>
    <row r="241" spans="1:30" customFormat="1">
      <c r="A241" s="50"/>
      <c r="B241" s="50"/>
      <c r="C241" s="50"/>
      <c r="D241" s="50"/>
      <c r="E241" s="50"/>
      <c r="F241" s="50"/>
      <c r="G241" s="50"/>
      <c r="H241" s="50"/>
      <c r="I241" s="50"/>
      <c r="J241" s="50"/>
      <c r="K241" s="50"/>
      <c r="L241" s="50"/>
      <c r="M241" s="50"/>
      <c r="N241" s="50"/>
      <c r="O241" s="50"/>
      <c r="P241" s="50"/>
      <c r="Q241" s="50"/>
      <c r="R241" s="50"/>
      <c r="S241" s="50"/>
      <c r="T241" s="50"/>
      <c r="U241" s="50"/>
      <c r="V241" s="50"/>
      <c r="W241" s="51"/>
      <c r="X241" s="51"/>
      <c r="Y241" s="216"/>
      <c r="Z241" s="216"/>
      <c r="AA241" s="51"/>
      <c r="AB241" s="51"/>
      <c r="AC241" s="51"/>
      <c r="AD241" s="51"/>
    </row>
    <row r="242" spans="1:30" customFormat="1">
      <c r="A242" s="50"/>
      <c r="B242" s="50"/>
      <c r="C242" s="50"/>
      <c r="D242" s="50"/>
      <c r="E242" s="50"/>
      <c r="F242" s="50"/>
      <c r="G242" s="50"/>
      <c r="H242" s="50"/>
      <c r="I242" s="50"/>
      <c r="J242" s="50"/>
      <c r="K242" s="50"/>
      <c r="L242" s="50"/>
      <c r="M242" s="50"/>
      <c r="N242" s="50"/>
      <c r="O242" s="50"/>
      <c r="P242" s="50"/>
      <c r="Q242" s="50"/>
      <c r="R242" s="50"/>
      <c r="S242" s="50"/>
      <c r="T242" s="50"/>
      <c r="U242" s="50"/>
      <c r="V242" s="50"/>
      <c r="W242" s="51"/>
      <c r="X242" s="51"/>
      <c r="Y242" s="216"/>
      <c r="Z242" s="216"/>
      <c r="AA242" s="51"/>
      <c r="AB242" s="51"/>
      <c r="AC242" s="51"/>
      <c r="AD242" s="51"/>
    </row>
    <row r="243" spans="1:30" customFormat="1">
      <c r="A243" s="50"/>
      <c r="B243" s="50"/>
      <c r="C243" s="50"/>
      <c r="D243" s="50"/>
      <c r="E243" s="50"/>
      <c r="F243" s="50"/>
      <c r="G243" s="50"/>
      <c r="H243" s="50"/>
      <c r="I243" s="50"/>
      <c r="J243" s="50"/>
      <c r="K243" s="50"/>
      <c r="L243" s="50"/>
      <c r="M243" s="50"/>
      <c r="N243" s="50"/>
      <c r="O243" s="50"/>
      <c r="P243" s="50"/>
      <c r="Q243" s="50"/>
      <c r="R243" s="50"/>
      <c r="S243" s="50"/>
      <c r="T243" s="50"/>
      <c r="U243" s="50"/>
      <c r="V243" s="50"/>
      <c r="W243" s="51"/>
      <c r="X243" s="51"/>
      <c r="Y243" s="216"/>
      <c r="Z243" s="216"/>
      <c r="AA243" s="51"/>
      <c r="AB243" s="51"/>
      <c r="AC243" s="51"/>
      <c r="AD243" s="51"/>
    </row>
    <row r="244" spans="1:30" customFormat="1">
      <c r="A244" s="50"/>
      <c r="B244" s="50"/>
      <c r="C244" s="50"/>
      <c r="D244" s="50"/>
      <c r="E244" s="50"/>
      <c r="F244" s="50"/>
      <c r="G244" s="50"/>
      <c r="H244" s="50"/>
      <c r="I244" s="50"/>
      <c r="J244" s="50"/>
      <c r="K244" s="50"/>
      <c r="L244" s="50"/>
      <c r="M244" s="50"/>
      <c r="N244" s="50"/>
      <c r="O244" s="50"/>
      <c r="P244" s="50"/>
      <c r="Q244" s="50"/>
      <c r="R244" s="50"/>
      <c r="S244" s="50"/>
      <c r="T244" s="50"/>
      <c r="U244" s="50"/>
      <c r="V244" s="50"/>
      <c r="W244" s="51"/>
      <c r="X244" s="51"/>
      <c r="Y244" s="216"/>
      <c r="Z244" s="216"/>
      <c r="AA244" s="51"/>
      <c r="AB244" s="51"/>
      <c r="AC244" s="51"/>
      <c r="AD244" s="51"/>
    </row>
    <row r="245" spans="1:30" customFormat="1">
      <c r="A245" s="50"/>
      <c r="B245" s="50"/>
      <c r="C245" s="50"/>
      <c r="D245" s="50"/>
      <c r="E245" s="50"/>
      <c r="F245" s="50"/>
      <c r="G245" s="50"/>
      <c r="H245" s="50"/>
      <c r="I245" s="50"/>
      <c r="J245" s="50"/>
      <c r="K245" s="50"/>
      <c r="L245" s="50"/>
      <c r="M245" s="50"/>
      <c r="N245" s="50"/>
      <c r="O245" s="50"/>
      <c r="P245" s="50"/>
      <c r="Q245" s="50"/>
      <c r="R245" s="50"/>
      <c r="S245" s="50"/>
      <c r="T245" s="50"/>
      <c r="U245" s="50"/>
      <c r="V245" s="50"/>
      <c r="W245" s="51"/>
      <c r="X245" s="51"/>
      <c r="Y245" s="216"/>
      <c r="Z245" s="216"/>
      <c r="AA245" s="51"/>
      <c r="AB245" s="51"/>
      <c r="AC245" s="51"/>
      <c r="AD245" s="51"/>
    </row>
    <row r="246" spans="1:30" customFormat="1">
      <c r="A246" s="50"/>
      <c r="B246" s="50"/>
      <c r="C246" s="50"/>
      <c r="D246" s="50"/>
      <c r="E246" s="50"/>
      <c r="F246" s="50"/>
      <c r="G246" s="50"/>
      <c r="H246" s="50"/>
      <c r="I246" s="50"/>
      <c r="J246" s="50"/>
      <c r="K246" s="50"/>
      <c r="L246" s="50"/>
      <c r="M246" s="50"/>
      <c r="N246" s="50"/>
      <c r="O246" s="50"/>
      <c r="P246" s="50"/>
      <c r="Q246" s="50"/>
      <c r="R246" s="50"/>
      <c r="S246" s="50"/>
      <c r="T246" s="50"/>
      <c r="U246" s="50"/>
      <c r="V246" s="50"/>
      <c r="W246" s="51"/>
      <c r="X246" s="51"/>
      <c r="Y246" s="216"/>
      <c r="Z246" s="216"/>
      <c r="AA246" s="51"/>
      <c r="AB246" s="51"/>
      <c r="AC246" s="51"/>
      <c r="AD246" s="51"/>
    </row>
    <row r="247" spans="1:30" customFormat="1">
      <c r="A247" s="50"/>
      <c r="B247" s="50"/>
      <c r="C247" s="50"/>
      <c r="D247" s="50"/>
      <c r="E247" s="50"/>
      <c r="F247" s="50"/>
      <c r="G247" s="50"/>
      <c r="H247" s="50"/>
      <c r="I247" s="50"/>
      <c r="J247" s="50"/>
      <c r="K247" s="50"/>
      <c r="L247" s="50"/>
      <c r="M247" s="50"/>
      <c r="N247" s="50"/>
      <c r="O247" s="50"/>
      <c r="P247" s="50"/>
      <c r="Q247" s="50"/>
      <c r="R247" s="50"/>
      <c r="S247" s="50"/>
      <c r="T247" s="50"/>
      <c r="U247" s="50"/>
      <c r="V247" s="50"/>
      <c r="W247" s="51"/>
      <c r="X247" s="51"/>
      <c r="Y247" s="216"/>
      <c r="Z247" s="216"/>
      <c r="AA247" s="51"/>
      <c r="AB247" s="51"/>
      <c r="AC247" s="51"/>
      <c r="AD247" s="51"/>
    </row>
    <row r="248" spans="1:30" customFormat="1">
      <c r="A248" s="50"/>
      <c r="B248" s="50"/>
      <c r="C248" s="50"/>
      <c r="D248" s="50"/>
      <c r="E248" s="50"/>
      <c r="F248" s="50"/>
      <c r="G248" s="50"/>
      <c r="H248" s="50"/>
      <c r="I248" s="50"/>
      <c r="J248" s="50"/>
      <c r="K248" s="50"/>
      <c r="L248" s="50"/>
      <c r="M248" s="50"/>
      <c r="N248" s="50"/>
      <c r="O248" s="50"/>
      <c r="P248" s="50"/>
      <c r="Q248" s="50"/>
      <c r="R248" s="50"/>
      <c r="S248" s="50"/>
      <c r="T248" s="50"/>
      <c r="U248" s="50"/>
      <c r="V248" s="50"/>
      <c r="W248" s="51"/>
      <c r="X248" s="51"/>
      <c r="Y248" s="216"/>
      <c r="Z248" s="216"/>
      <c r="AA248" s="51"/>
      <c r="AB248" s="51"/>
      <c r="AC248" s="51"/>
      <c r="AD248" s="51"/>
    </row>
    <row r="249" spans="1:30" customFormat="1">
      <c r="A249" s="50"/>
      <c r="B249" s="50"/>
      <c r="C249" s="50"/>
      <c r="D249" s="50"/>
      <c r="E249" s="50"/>
      <c r="F249" s="50"/>
      <c r="G249" s="50"/>
      <c r="H249" s="50"/>
      <c r="I249" s="50"/>
      <c r="J249" s="50"/>
      <c r="K249" s="50"/>
      <c r="L249" s="50"/>
      <c r="M249" s="50"/>
      <c r="N249" s="50"/>
      <c r="O249" s="50"/>
      <c r="P249" s="50"/>
      <c r="Q249" s="50"/>
      <c r="R249" s="50"/>
      <c r="S249" s="50"/>
      <c r="T249" s="50"/>
      <c r="U249" s="50"/>
      <c r="V249" s="50"/>
      <c r="W249" s="51"/>
      <c r="X249" s="51"/>
      <c r="Y249" s="216"/>
      <c r="Z249" s="216"/>
      <c r="AA249" s="51"/>
      <c r="AB249" s="51"/>
      <c r="AC249" s="51"/>
      <c r="AD249" s="51"/>
    </row>
    <row r="250" spans="1:30" customFormat="1">
      <c r="A250" s="50"/>
      <c r="B250" s="50"/>
      <c r="C250" s="50"/>
      <c r="D250" s="50"/>
      <c r="E250" s="50"/>
      <c r="F250" s="50"/>
      <c r="G250" s="50"/>
      <c r="H250" s="50"/>
      <c r="I250" s="50"/>
      <c r="J250" s="50"/>
      <c r="K250" s="50"/>
      <c r="L250" s="50"/>
      <c r="M250" s="50"/>
      <c r="N250" s="50"/>
      <c r="O250" s="50"/>
      <c r="P250" s="50"/>
      <c r="Q250" s="50"/>
      <c r="R250" s="50"/>
      <c r="S250" s="50"/>
      <c r="T250" s="50"/>
      <c r="U250" s="50"/>
      <c r="V250" s="50"/>
      <c r="W250" s="51"/>
      <c r="X250" s="51"/>
      <c r="Y250" s="216"/>
      <c r="Z250" s="216"/>
      <c r="AA250" s="51"/>
      <c r="AB250" s="51"/>
      <c r="AC250" s="51"/>
      <c r="AD250" s="51"/>
    </row>
    <row r="251" spans="1:30" customFormat="1">
      <c r="A251" s="50"/>
      <c r="B251" s="50"/>
      <c r="C251" s="50"/>
      <c r="D251" s="50"/>
      <c r="E251" s="50"/>
      <c r="F251" s="50"/>
      <c r="G251" s="50"/>
      <c r="H251" s="50"/>
      <c r="I251" s="50"/>
      <c r="J251" s="50"/>
      <c r="K251" s="50"/>
      <c r="L251" s="50"/>
      <c r="M251" s="50"/>
      <c r="N251" s="50"/>
      <c r="O251" s="50"/>
      <c r="P251" s="50"/>
      <c r="Q251" s="50"/>
      <c r="R251" s="50"/>
      <c r="S251" s="50"/>
      <c r="T251" s="50"/>
      <c r="U251" s="50"/>
      <c r="V251" s="50"/>
      <c r="W251" s="51"/>
      <c r="X251" s="51"/>
      <c r="Y251" s="216"/>
      <c r="Z251" s="216"/>
      <c r="AA251" s="51"/>
      <c r="AB251" s="51"/>
      <c r="AC251" s="51"/>
      <c r="AD251" s="51"/>
    </row>
    <row r="252" spans="1:30" customFormat="1">
      <c r="A252" s="50"/>
      <c r="B252" s="50"/>
      <c r="C252" s="50"/>
      <c r="D252" s="50"/>
      <c r="E252" s="50"/>
      <c r="F252" s="50"/>
      <c r="G252" s="50"/>
      <c r="H252" s="50"/>
      <c r="I252" s="50"/>
      <c r="J252" s="50"/>
      <c r="K252" s="50"/>
      <c r="L252" s="50"/>
      <c r="M252" s="50"/>
      <c r="N252" s="50"/>
      <c r="O252" s="50"/>
      <c r="P252" s="50"/>
      <c r="Q252" s="50"/>
      <c r="R252" s="50"/>
      <c r="S252" s="50"/>
      <c r="T252" s="50"/>
      <c r="U252" s="50"/>
      <c r="V252" s="50"/>
      <c r="W252" s="51"/>
      <c r="X252" s="51"/>
      <c r="Y252" s="216"/>
      <c r="Z252" s="216"/>
      <c r="AA252" s="51"/>
      <c r="AB252" s="51"/>
      <c r="AC252" s="51"/>
      <c r="AD252" s="51"/>
    </row>
    <row r="253" spans="1:30" customFormat="1">
      <c r="A253" s="50"/>
      <c r="B253" s="50"/>
      <c r="C253" s="50"/>
      <c r="D253" s="50"/>
      <c r="E253" s="50"/>
      <c r="F253" s="50"/>
      <c r="G253" s="50"/>
      <c r="H253" s="50"/>
      <c r="I253" s="50"/>
      <c r="J253" s="50"/>
      <c r="K253" s="50"/>
      <c r="L253" s="50"/>
      <c r="M253" s="50"/>
      <c r="N253" s="50"/>
      <c r="O253" s="50"/>
      <c r="P253" s="50"/>
      <c r="Q253" s="50"/>
      <c r="R253" s="50"/>
      <c r="S253" s="50"/>
      <c r="T253" s="50"/>
      <c r="U253" s="50"/>
      <c r="V253" s="50"/>
      <c r="W253" s="51"/>
      <c r="X253" s="51"/>
      <c r="Y253" s="216"/>
      <c r="Z253" s="216"/>
      <c r="AA253" s="51"/>
      <c r="AB253" s="51"/>
      <c r="AC253" s="51"/>
      <c r="AD253" s="51"/>
    </row>
    <row r="254" spans="1:30" customFormat="1">
      <c r="A254" s="50"/>
      <c r="B254" s="50"/>
      <c r="C254" s="50"/>
      <c r="D254" s="50"/>
      <c r="E254" s="50"/>
      <c r="F254" s="50"/>
      <c r="G254" s="50"/>
      <c r="H254" s="50"/>
      <c r="I254" s="50"/>
      <c r="J254" s="50"/>
      <c r="K254" s="50"/>
      <c r="L254" s="50"/>
      <c r="M254" s="50"/>
      <c r="N254" s="50"/>
      <c r="O254" s="50"/>
      <c r="P254" s="50"/>
      <c r="Q254" s="50"/>
      <c r="R254" s="50"/>
      <c r="S254" s="50"/>
      <c r="T254" s="50"/>
      <c r="U254" s="50"/>
      <c r="V254" s="50"/>
      <c r="W254" s="51"/>
      <c r="X254" s="51"/>
      <c r="Y254" s="216"/>
      <c r="Z254" s="216"/>
      <c r="AA254" s="51"/>
      <c r="AB254" s="51"/>
      <c r="AC254" s="51"/>
      <c r="AD254" s="51"/>
    </row>
    <row r="255" spans="1:30" customFormat="1">
      <c r="A255" s="50"/>
      <c r="B255" s="50"/>
      <c r="C255" s="50"/>
      <c r="D255" s="50"/>
      <c r="E255" s="50"/>
      <c r="F255" s="50"/>
      <c r="G255" s="50"/>
      <c r="H255" s="50"/>
      <c r="I255" s="50"/>
      <c r="J255" s="50"/>
      <c r="K255" s="50"/>
      <c r="L255" s="50"/>
      <c r="M255" s="50"/>
      <c r="N255" s="50"/>
      <c r="O255" s="50"/>
      <c r="P255" s="50"/>
      <c r="Q255" s="50"/>
      <c r="R255" s="50"/>
      <c r="S255" s="50"/>
      <c r="T255" s="50"/>
      <c r="U255" s="50"/>
      <c r="V255" s="50"/>
      <c r="W255" s="51"/>
      <c r="X255" s="51"/>
      <c r="Y255" s="216"/>
      <c r="Z255" s="216"/>
      <c r="AA255" s="51"/>
      <c r="AB255" s="51"/>
      <c r="AC255" s="51"/>
      <c r="AD255" s="51"/>
    </row>
    <row r="256" spans="1:30" customFormat="1">
      <c r="A256" s="50"/>
      <c r="B256" s="50"/>
      <c r="C256" s="50"/>
      <c r="D256" s="50"/>
      <c r="E256" s="50"/>
      <c r="F256" s="50"/>
      <c r="G256" s="50"/>
      <c r="H256" s="50"/>
      <c r="I256" s="50"/>
      <c r="J256" s="50"/>
      <c r="K256" s="50"/>
      <c r="L256" s="50"/>
      <c r="M256" s="50"/>
      <c r="N256" s="50"/>
      <c r="O256" s="50"/>
      <c r="P256" s="50"/>
      <c r="Q256" s="50"/>
      <c r="R256" s="50"/>
      <c r="S256" s="50"/>
      <c r="T256" s="50"/>
      <c r="U256" s="50"/>
      <c r="V256" s="50"/>
      <c r="W256" s="51"/>
      <c r="X256" s="51"/>
      <c r="Y256" s="216"/>
      <c r="Z256" s="216"/>
      <c r="AA256" s="51"/>
      <c r="AB256" s="51"/>
      <c r="AC256" s="51"/>
      <c r="AD256" s="51"/>
    </row>
    <row r="257" spans="1:30" customFormat="1">
      <c r="A257" s="50"/>
      <c r="B257" s="50"/>
      <c r="C257" s="50"/>
      <c r="D257" s="50"/>
      <c r="E257" s="50"/>
      <c r="F257" s="50"/>
      <c r="G257" s="50"/>
      <c r="H257" s="50"/>
      <c r="I257" s="50"/>
      <c r="J257" s="50"/>
      <c r="K257" s="50"/>
      <c r="L257" s="50"/>
      <c r="M257" s="50"/>
      <c r="N257" s="50"/>
      <c r="O257" s="50"/>
      <c r="P257" s="50"/>
      <c r="Q257" s="50"/>
      <c r="R257" s="50"/>
      <c r="S257" s="50"/>
      <c r="T257" s="50"/>
      <c r="U257" s="50"/>
      <c r="V257" s="50"/>
      <c r="W257" s="51"/>
      <c r="X257" s="51"/>
      <c r="Y257" s="216"/>
      <c r="Z257" s="216"/>
      <c r="AA257" s="51"/>
      <c r="AB257" s="51"/>
      <c r="AC257" s="51"/>
      <c r="AD257" s="51"/>
    </row>
    <row r="258" spans="1:30" customFormat="1">
      <c r="A258" s="50"/>
      <c r="B258" s="50"/>
      <c r="C258" s="50"/>
      <c r="D258" s="50"/>
      <c r="E258" s="50"/>
      <c r="F258" s="50"/>
      <c r="G258" s="50"/>
      <c r="H258" s="50"/>
      <c r="I258" s="50"/>
      <c r="J258" s="50"/>
      <c r="K258" s="50"/>
      <c r="L258" s="50"/>
      <c r="M258" s="50"/>
      <c r="N258" s="50"/>
      <c r="O258" s="50"/>
      <c r="P258" s="50"/>
      <c r="Q258" s="50"/>
      <c r="R258" s="50"/>
      <c r="S258" s="50"/>
      <c r="T258" s="50"/>
      <c r="U258" s="50"/>
      <c r="V258" s="50"/>
      <c r="W258" s="51"/>
      <c r="X258" s="51"/>
      <c r="Y258" s="216"/>
      <c r="Z258" s="216"/>
      <c r="AA258" s="51"/>
      <c r="AB258" s="51"/>
      <c r="AC258" s="51"/>
      <c r="AD258" s="51"/>
    </row>
    <row r="259" spans="1:30" customFormat="1">
      <c r="A259" s="50"/>
      <c r="B259" s="50"/>
      <c r="C259" s="50"/>
      <c r="D259" s="50"/>
      <c r="E259" s="50"/>
      <c r="F259" s="50"/>
      <c r="G259" s="50"/>
      <c r="H259" s="50"/>
      <c r="I259" s="50"/>
      <c r="J259" s="50"/>
      <c r="K259" s="50"/>
      <c r="L259" s="50"/>
      <c r="M259" s="50"/>
      <c r="N259" s="50"/>
      <c r="O259" s="50"/>
      <c r="P259" s="50"/>
      <c r="Q259" s="50"/>
      <c r="R259" s="50"/>
      <c r="S259" s="50"/>
      <c r="T259" s="50"/>
      <c r="U259" s="50"/>
      <c r="V259" s="50"/>
      <c r="W259" s="51"/>
      <c r="X259" s="51"/>
      <c r="Y259" s="216"/>
      <c r="Z259" s="216"/>
      <c r="AA259" s="51"/>
      <c r="AB259" s="51"/>
      <c r="AC259" s="51"/>
      <c r="AD259" s="51"/>
    </row>
    <row r="260" spans="1:30" customFormat="1">
      <c r="A260" s="50"/>
      <c r="B260" s="50"/>
      <c r="C260" s="50"/>
      <c r="D260" s="50"/>
      <c r="E260" s="50"/>
      <c r="F260" s="50"/>
      <c r="G260" s="50"/>
      <c r="H260" s="50"/>
      <c r="I260" s="50"/>
      <c r="J260" s="50"/>
      <c r="K260" s="50"/>
      <c r="L260" s="50"/>
      <c r="M260" s="50"/>
      <c r="N260" s="50"/>
      <c r="O260" s="50"/>
      <c r="P260" s="50"/>
      <c r="Q260" s="50"/>
      <c r="R260" s="50"/>
      <c r="S260" s="50"/>
      <c r="T260" s="50"/>
      <c r="U260" s="50"/>
      <c r="V260" s="50"/>
      <c r="W260" s="51"/>
      <c r="X260" s="51"/>
      <c r="Y260" s="216"/>
      <c r="Z260" s="216"/>
      <c r="AA260" s="51"/>
      <c r="AB260" s="51"/>
      <c r="AC260" s="51"/>
      <c r="AD260" s="51"/>
    </row>
    <row r="261" spans="1:30" customFormat="1">
      <c r="A261" s="50"/>
      <c r="B261" s="50"/>
      <c r="C261" s="50"/>
      <c r="D261" s="50"/>
      <c r="E261" s="50"/>
      <c r="F261" s="50"/>
      <c r="G261" s="50"/>
      <c r="H261" s="50"/>
      <c r="I261" s="50"/>
      <c r="J261" s="50"/>
      <c r="K261" s="50"/>
      <c r="L261" s="50"/>
      <c r="M261" s="50"/>
      <c r="N261" s="50"/>
      <c r="O261" s="50"/>
      <c r="P261" s="50"/>
      <c r="Q261" s="50"/>
      <c r="R261" s="50"/>
      <c r="S261" s="50"/>
      <c r="T261" s="50"/>
      <c r="U261" s="50"/>
      <c r="V261" s="50"/>
      <c r="W261" s="51"/>
      <c r="X261" s="51"/>
      <c r="Y261" s="216"/>
      <c r="Z261" s="216"/>
      <c r="AA261" s="51"/>
      <c r="AB261" s="51"/>
      <c r="AC261" s="51"/>
      <c r="AD261" s="51"/>
    </row>
    <row r="262" spans="1:30" customFormat="1">
      <c r="A262" s="50"/>
      <c r="B262" s="50"/>
      <c r="C262" s="50"/>
      <c r="D262" s="50"/>
      <c r="E262" s="50"/>
      <c r="F262" s="50"/>
      <c r="G262" s="50"/>
      <c r="H262" s="50"/>
      <c r="I262" s="50"/>
      <c r="J262" s="50"/>
      <c r="K262" s="50"/>
      <c r="L262" s="50"/>
      <c r="M262" s="50"/>
      <c r="N262" s="50"/>
      <c r="O262" s="50"/>
      <c r="P262" s="50"/>
      <c r="Q262" s="50"/>
      <c r="R262" s="50"/>
      <c r="S262" s="50"/>
      <c r="T262" s="50"/>
      <c r="U262" s="50"/>
      <c r="V262" s="50"/>
      <c r="W262" s="51"/>
      <c r="X262" s="51"/>
      <c r="Y262" s="216"/>
      <c r="Z262" s="216"/>
      <c r="AA262" s="51"/>
      <c r="AB262" s="51"/>
      <c r="AC262" s="51"/>
      <c r="AD262" s="51"/>
    </row>
    <row r="263" spans="1:30" customFormat="1">
      <c r="A263" s="50"/>
      <c r="B263" s="50"/>
      <c r="C263" s="50"/>
      <c r="D263" s="50"/>
      <c r="E263" s="50"/>
      <c r="F263" s="50"/>
      <c r="G263" s="50"/>
      <c r="H263" s="50"/>
      <c r="I263" s="50"/>
      <c r="J263" s="50"/>
      <c r="K263" s="50"/>
      <c r="L263" s="50"/>
      <c r="M263" s="50"/>
      <c r="N263" s="50"/>
      <c r="O263" s="50"/>
      <c r="P263" s="50"/>
      <c r="Q263" s="50"/>
      <c r="R263" s="50"/>
      <c r="S263" s="50"/>
      <c r="T263" s="50"/>
      <c r="U263" s="50"/>
      <c r="V263" s="50"/>
      <c r="W263" s="51"/>
      <c r="X263" s="51"/>
      <c r="Y263" s="216"/>
      <c r="Z263" s="216"/>
      <c r="AA263" s="51"/>
      <c r="AB263" s="51"/>
      <c r="AC263" s="51"/>
      <c r="AD263" s="51"/>
    </row>
    <row r="264" spans="1:30" customFormat="1">
      <c r="A264" s="50"/>
      <c r="B264" s="50"/>
      <c r="C264" s="50"/>
      <c r="D264" s="50"/>
      <c r="E264" s="50"/>
      <c r="F264" s="50"/>
      <c r="G264" s="50"/>
      <c r="H264" s="50"/>
      <c r="I264" s="50"/>
      <c r="J264" s="50"/>
      <c r="K264" s="50"/>
      <c r="L264" s="50"/>
      <c r="M264" s="50"/>
      <c r="N264" s="50"/>
      <c r="O264" s="50"/>
      <c r="P264" s="50"/>
      <c r="Q264" s="50"/>
      <c r="R264" s="50"/>
      <c r="S264" s="50"/>
      <c r="T264" s="50"/>
      <c r="U264" s="50"/>
      <c r="V264" s="50"/>
      <c r="W264" s="51"/>
      <c r="X264" s="51"/>
      <c r="Y264" s="216"/>
      <c r="Z264" s="216"/>
      <c r="AA264" s="51"/>
      <c r="AB264" s="51"/>
      <c r="AC264" s="51"/>
      <c r="AD264" s="51"/>
    </row>
    <row r="265" spans="1:30" customFormat="1">
      <c r="A265" s="50"/>
      <c r="B265" s="50"/>
      <c r="C265" s="50"/>
      <c r="D265" s="50"/>
      <c r="E265" s="50"/>
      <c r="F265" s="50"/>
      <c r="G265" s="50"/>
      <c r="H265" s="50"/>
      <c r="I265" s="50"/>
      <c r="J265" s="50"/>
      <c r="K265" s="50"/>
      <c r="L265" s="50"/>
      <c r="M265" s="50"/>
      <c r="N265" s="50"/>
      <c r="O265" s="50"/>
      <c r="P265" s="50"/>
      <c r="Q265" s="50"/>
      <c r="R265" s="50"/>
      <c r="S265" s="50"/>
      <c r="T265" s="50"/>
      <c r="U265" s="50"/>
      <c r="V265" s="50"/>
      <c r="W265" s="51"/>
      <c r="X265" s="51"/>
      <c r="Y265" s="216"/>
      <c r="Z265" s="216"/>
      <c r="AA265" s="51"/>
      <c r="AB265" s="51"/>
      <c r="AC265" s="51"/>
      <c r="AD265" s="51"/>
    </row>
    <row r="266" spans="1:30" customFormat="1">
      <c r="A266" s="50"/>
      <c r="B266" s="50"/>
      <c r="C266" s="50"/>
      <c r="D266" s="50"/>
      <c r="E266" s="50"/>
      <c r="F266" s="50"/>
      <c r="G266" s="50"/>
      <c r="H266" s="50"/>
      <c r="I266" s="50"/>
      <c r="J266" s="50"/>
      <c r="K266" s="50"/>
      <c r="L266" s="50"/>
      <c r="M266" s="50"/>
      <c r="N266" s="50"/>
      <c r="O266" s="50"/>
      <c r="P266" s="50"/>
      <c r="Q266" s="50"/>
      <c r="R266" s="50"/>
      <c r="S266" s="50"/>
      <c r="T266" s="50"/>
      <c r="U266" s="50"/>
      <c r="V266" s="50"/>
      <c r="W266" s="51"/>
      <c r="X266" s="51"/>
      <c r="Y266" s="216"/>
      <c r="Z266" s="216"/>
      <c r="AA266" s="51"/>
      <c r="AB266" s="51"/>
      <c r="AC266" s="51"/>
      <c r="AD266" s="51"/>
    </row>
    <row r="267" spans="1:30" customFormat="1">
      <c r="A267" s="50"/>
      <c r="B267" s="50"/>
      <c r="C267" s="50"/>
      <c r="D267" s="50"/>
      <c r="E267" s="50"/>
      <c r="F267" s="50"/>
      <c r="G267" s="50"/>
      <c r="H267" s="50"/>
      <c r="I267" s="50"/>
      <c r="J267" s="50"/>
      <c r="K267" s="50"/>
      <c r="L267" s="50"/>
      <c r="M267" s="50"/>
      <c r="N267" s="50"/>
      <c r="O267" s="50"/>
      <c r="P267" s="50"/>
      <c r="Q267" s="50"/>
      <c r="R267" s="50"/>
      <c r="S267" s="50"/>
      <c r="T267" s="50"/>
      <c r="U267" s="50"/>
      <c r="V267" s="50"/>
      <c r="W267" s="51"/>
      <c r="X267" s="51"/>
      <c r="Y267" s="216"/>
      <c r="Z267" s="216"/>
      <c r="AA267" s="51"/>
      <c r="AB267" s="51"/>
      <c r="AC267" s="51"/>
      <c r="AD267" s="51"/>
    </row>
    <row r="268" spans="1:30" customFormat="1">
      <c r="A268" s="50"/>
      <c r="B268" s="50"/>
      <c r="C268" s="50"/>
      <c r="D268" s="50"/>
      <c r="E268" s="50"/>
      <c r="F268" s="50"/>
      <c r="G268" s="50"/>
      <c r="H268" s="50"/>
      <c r="I268" s="50"/>
      <c r="J268" s="50"/>
      <c r="K268" s="50"/>
      <c r="L268" s="50"/>
      <c r="M268" s="50"/>
      <c r="N268" s="50"/>
      <c r="O268" s="50"/>
      <c r="P268" s="50"/>
      <c r="Q268" s="50"/>
      <c r="R268" s="50"/>
      <c r="S268" s="50"/>
      <c r="T268" s="50"/>
      <c r="U268" s="50"/>
      <c r="V268" s="50"/>
      <c r="W268" s="51"/>
      <c r="X268" s="51"/>
      <c r="Y268" s="216"/>
      <c r="Z268" s="216"/>
      <c r="AA268" s="51"/>
      <c r="AB268" s="51"/>
      <c r="AC268" s="51"/>
      <c r="AD268" s="51"/>
    </row>
    <row r="269" spans="1:30" customFormat="1">
      <c r="A269" s="50"/>
      <c r="B269" s="50"/>
      <c r="C269" s="50"/>
      <c r="D269" s="50"/>
      <c r="E269" s="50"/>
      <c r="F269" s="50"/>
      <c r="G269" s="50"/>
      <c r="H269" s="50"/>
      <c r="I269" s="50"/>
      <c r="J269" s="50"/>
      <c r="K269" s="50"/>
      <c r="L269" s="50"/>
      <c r="M269" s="50"/>
      <c r="N269" s="50"/>
      <c r="O269" s="50"/>
      <c r="P269" s="50"/>
      <c r="Q269" s="50"/>
      <c r="R269" s="50"/>
      <c r="S269" s="50"/>
      <c r="T269" s="50"/>
      <c r="U269" s="50"/>
      <c r="V269" s="50"/>
      <c r="W269" s="51"/>
      <c r="X269" s="51"/>
      <c r="Y269" s="216"/>
      <c r="Z269" s="216"/>
      <c r="AA269" s="51"/>
      <c r="AB269" s="51"/>
      <c r="AC269" s="51"/>
      <c r="AD269" s="51"/>
    </row>
    <row r="270" spans="1:30" customFormat="1">
      <c r="A270" s="50"/>
      <c r="B270" s="50"/>
      <c r="C270" s="50"/>
      <c r="D270" s="50"/>
      <c r="E270" s="50"/>
      <c r="F270" s="50"/>
      <c r="G270" s="50"/>
      <c r="H270" s="50"/>
      <c r="I270" s="50"/>
      <c r="J270" s="50"/>
      <c r="K270" s="50"/>
      <c r="L270" s="50"/>
      <c r="M270" s="50"/>
      <c r="N270" s="50"/>
      <c r="O270" s="50"/>
      <c r="P270" s="50"/>
      <c r="Q270" s="50"/>
      <c r="R270" s="50"/>
      <c r="S270" s="50"/>
      <c r="T270" s="50"/>
      <c r="U270" s="50"/>
      <c r="V270" s="50"/>
      <c r="W270" s="51"/>
      <c r="X270" s="51"/>
      <c r="Y270" s="216"/>
      <c r="Z270" s="216"/>
      <c r="AA270" s="51"/>
      <c r="AB270" s="51"/>
      <c r="AC270" s="51"/>
      <c r="AD270" s="51"/>
    </row>
    <row r="271" spans="1:30" customFormat="1">
      <c r="A271" s="50"/>
      <c r="B271" s="50"/>
      <c r="C271" s="50"/>
      <c r="D271" s="50"/>
      <c r="E271" s="50"/>
      <c r="F271" s="50"/>
      <c r="G271" s="50"/>
      <c r="H271" s="50"/>
      <c r="I271" s="50"/>
      <c r="J271" s="50"/>
      <c r="K271" s="50"/>
      <c r="L271" s="50"/>
      <c r="M271" s="50"/>
      <c r="N271" s="50"/>
      <c r="O271" s="50"/>
      <c r="P271" s="50"/>
      <c r="Q271" s="50"/>
      <c r="R271" s="50"/>
      <c r="S271" s="50"/>
      <c r="T271" s="50"/>
      <c r="U271" s="50"/>
      <c r="V271" s="50"/>
      <c r="W271" s="51"/>
      <c r="X271" s="51"/>
      <c r="Y271" s="216"/>
      <c r="Z271" s="216"/>
      <c r="AA271" s="51"/>
      <c r="AB271" s="51"/>
      <c r="AC271" s="51"/>
      <c r="AD271" s="51"/>
    </row>
    <row r="272" spans="1:30" customFormat="1">
      <c r="A272" s="50"/>
      <c r="B272" s="50"/>
      <c r="C272" s="50"/>
      <c r="D272" s="50"/>
      <c r="E272" s="50"/>
      <c r="F272" s="50"/>
      <c r="G272" s="50"/>
      <c r="H272" s="50"/>
      <c r="I272" s="50"/>
      <c r="J272" s="50"/>
      <c r="K272" s="50"/>
      <c r="L272" s="50"/>
      <c r="M272" s="50"/>
      <c r="N272" s="50"/>
      <c r="O272" s="50"/>
      <c r="P272" s="50"/>
      <c r="Q272" s="50"/>
      <c r="R272" s="50"/>
      <c r="S272" s="50"/>
      <c r="T272" s="50"/>
      <c r="U272" s="50"/>
      <c r="V272" s="50"/>
      <c r="W272" s="51"/>
      <c r="X272" s="51"/>
      <c r="Y272" s="216"/>
      <c r="Z272" s="216"/>
      <c r="AA272" s="51"/>
      <c r="AB272" s="51"/>
      <c r="AC272" s="51"/>
      <c r="AD272" s="51"/>
    </row>
    <row r="273" spans="1:30" customFormat="1">
      <c r="A273" s="50"/>
      <c r="B273" s="50"/>
      <c r="C273" s="50"/>
      <c r="D273" s="50"/>
      <c r="E273" s="50"/>
      <c r="F273" s="50"/>
      <c r="G273" s="50"/>
      <c r="H273" s="50"/>
      <c r="I273" s="50"/>
      <c r="J273" s="50"/>
      <c r="K273" s="50"/>
      <c r="L273" s="50"/>
      <c r="M273" s="50"/>
      <c r="N273" s="50"/>
      <c r="O273" s="50"/>
      <c r="P273" s="50"/>
      <c r="Q273" s="50"/>
      <c r="R273" s="50"/>
      <c r="S273" s="50"/>
      <c r="T273" s="50"/>
      <c r="U273" s="50"/>
      <c r="V273" s="50"/>
      <c r="W273" s="51"/>
      <c r="X273" s="51"/>
      <c r="Y273" s="216"/>
      <c r="Z273" s="216"/>
      <c r="AA273" s="51"/>
      <c r="AB273" s="51"/>
      <c r="AC273" s="51"/>
      <c r="AD273" s="51"/>
    </row>
    <row r="274" spans="1:30" customFormat="1">
      <c r="A274" s="50"/>
      <c r="B274" s="50"/>
      <c r="C274" s="50"/>
      <c r="D274" s="50"/>
      <c r="E274" s="50"/>
      <c r="F274" s="50"/>
      <c r="G274" s="50"/>
      <c r="H274" s="50"/>
      <c r="I274" s="50"/>
      <c r="J274" s="50"/>
      <c r="K274" s="50"/>
      <c r="L274" s="50"/>
      <c r="M274" s="50"/>
      <c r="N274" s="50"/>
      <c r="O274" s="50"/>
      <c r="P274" s="50"/>
      <c r="Q274" s="50"/>
      <c r="R274" s="50"/>
      <c r="S274" s="50"/>
      <c r="T274" s="50"/>
      <c r="U274" s="50"/>
      <c r="V274" s="50"/>
      <c r="W274" s="51"/>
      <c r="X274" s="51"/>
      <c r="Y274" s="216"/>
      <c r="Z274" s="216"/>
      <c r="AA274" s="51"/>
      <c r="AB274" s="51"/>
      <c r="AC274" s="51"/>
      <c r="AD274" s="51"/>
    </row>
    <row r="275" spans="1:30" customFormat="1">
      <c r="A275" s="50"/>
      <c r="B275" s="50"/>
      <c r="C275" s="50"/>
      <c r="D275" s="50"/>
      <c r="E275" s="50"/>
      <c r="F275" s="50"/>
      <c r="G275" s="50"/>
      <c r="H275" s="50"/>
      <c r="I275" s="50"/>
      <c r="J275" s="50"/>
      <c r="K275" s="50"/>
      <c r="L275" s="50"/>
      <c r="M275" s="50"/>
      <c r="N275" s="50"/>
      <c r="O275" s="50"/>
      <c r="P275" s="50"/>
      <c r="Q275" s="50"/>
      <c r="R275" s="50"/>
      <c r="S275" s="50"/>
      <c r="T275" s="50"/>
      <c r="U275" s="50"/>
      <c r="V275" s="50"/>
      <c r="W275" s="51"/>
      <c r="X275" s="51"/>
      <c r="Y275" s="216"/>
      <c r="Z275" s="216"/>
      <c r="AA275" s="51"/>
      <c r="AB275" s="51"/>
      <c r="AC275" s="51"/>
      <c r="AD275" s="51"/>
    </row>
    <row r="276" spans="1:30" customFormat="1">
      <c r="A276" s="50"/>
      <c r="B276" s="50"/>
      <c r="C276" s="50"/>
      <c r="D276" s="50"/>
      <c r="E276" s="50"/>
      <c r="F276" s="50"/>
      <c r="G276" s="50"/>
      <c r="H276" s="50"/>
      <c r="I276" s="50"/>
      <c r="J276" s="50"/>
      <c r="K276" s="50"/>
      <c r="L276" s="50"/>
      <c r="M276" s="50"/>
      <c r="N276" s="50"/>
      <c r="O276" s="50"/>
      <c r="P276" s="50"/>
      <c r="Q276" s="50"/>
      <c r="R276" s="50"/>
      <c r="S276" s="50"/>
      <c r="T276" s="50"/>
      <c r="U276" s="50"/>
      <c r="V276" s="50"/>
      <c r="W276" s="51"/>
      <c r="X276" s="51"/>
      <c r="Y276" s="216"/>
      <c r="Z276" s="216"/>
      <c r="AA276" s="51"/>
      <c r="AB276" s="51"/>
      <c r="AC276" s="51"/>
      <c r="AD276" s="51"/>
    </row>
    <row r="277" spans="1:30" customFormat="1">
      <c r="A277" s="50"/>
      <c r="B277" s="50"/>
      <c r="C277" s="50"/>
      <c r="D277" s="50"/>
      <c r="E277" s="50"/>
      <c r="F277" s="50"/>
      <c r="G277" s="50"/>
      <c r="H277" s="50"/>
      <c r="I277" s="50"/>
      <c r="J277" s="50"/>
      <c r="K277" s="50"/>
      <c r="L277" s="50"/>
      <c r="M277" s="50"/>
      <c r="N277" s="50"/>
      <c r="O277" s="50"/>
      <c r="P277" s="50"/>
      <c r="Q277" s="50"/>
      <c r="R277" s="50"/>
      <c r="S277" s="50"/>
      <c r="T277" s="50"/>
      <c r="U277" s="50"/>
      <c r="V277" s="50"/>
      <c r="W277" s="51"/>
      <c r="X277" s="51"/>
      <c r="Y277" s="216"/>
      <c r="Z277" s="216"/>
      <c r="AA277" s="51"/>
      <c r="AB277" s="51"/>
      <c r="AC277" s="51"/>
      <c r="AD277" s="51"/>
    </row>
    <row r="278" spans="1:30" customFormat="1">
      <c r="A278" s="50"/>
      <c r="B278" s="50"/>
      <c r="C278" s="50"/>
      <c r="D278" s="50"/>
      <c r="E278" s="50"/>
      <c r="F278" s="50"/>
      <c r="G278" s="50"/>
      <c r="H278" s="50"/>
      <c r="I278" s="50"/>
      <c r="J278" s="50"/>
      <c r="K278" s="50"/>
      <c r="L278" s="50"/>
      <c r="M278" s="50"/>
      <c r="N278" s="50"/>
      <c r="O278" s="50"/>
      <c r="P278" s="50"/>
      <c r="Q278" s="50"/>
      <c r="R278" s="50"/>
      <c r="S278" s="50"/>
      <c r="T278" s="50"/>
      <c r="U278" s="50"/>
      <c r="V278" s="50"/>
      <c r="W278" s="51"/>
      <c r="X278" s="51"/>
      <c r="Y278" s="216"/>
      <c r="Z278" s="216"/>
      <c r="AA278" s="51"/>
      <c r="AB278" s="51"/>
      <c r="AC278" s="51"/>
      <c r="AD278" s="51"/>
    </row>
    <row r="279" spans="1:30" customFormat="1">
      <c r="A279" s="50"/>
      <c r="B279" s="50"/>
      <c r="C279" s="50"/>
      <c r="D279" s="50"/>
      <c r="E279" s="50"/>
      <c r="F279" s="50"/>
      <c r="G279" s="50"/>
      <c r="H279" s="50"/>
      <c r="I279" s="50"/>
      <c r="J279" s="50"/>
      <c r="K279" s="50"/>
      <c r="L279" s="50"/>
      <c r="M279" s="50"/>
      <c r="N279" s="50"/>
      <c r="O279" s="50"/>
      <c r="P279" s="50"/>
      <c r="Q279" s="50"/>
      <c r="R279" s="50"/>
      <c r="S279" s="50"/>
      <c r="T279" s="50"/>
      <c r="U279" s="50"/>
      <c r="V279" s="50"/>
      <c r="W279" s="51"/>
      <c r="X279" s="51"/>
      <c r="Y279" s="216"/>
      <c r="Z279" s="216"/>
      <c r="AA279" s="51"/>
      <c r="AB279" s="51"/>
      <c r="AC279" s="51"/>
      <c r="AD279" s="51"/>
    </row>
    <row r="280" spans="1:30" customFormat="1">
      <c r="A280" s="50"/>
      <c r="B280" s="50"/>
      <c r="C280" s="50"/>
      <c r="D280" s="50"/>
      <c r="E280" s="50"/>
      <c r="F280" s="50"/>
      <c r="G280" s="50"/>
      <c r="H280" s="50"/>
      <c r="I280" s="50"/>
      <c r="J280" s="50"/>
      <c r="K280" s="50"/>
      <c r="L280" s="50"/>
      <c r="M280" s="50"/>
      <c r="N280" s="50"/>
      <c r="O280" s="50"/>
      <c r="P280" s="50"/>
      <c r="Q280" s="50"/>
      <c r="R280" s="50"/>
      <c r="S280" s="50"/>
      <c r="T280" s="50"/>
      <c r="U280" s="50"/>
      <c r="V280" s="50"/>
      <c r="W280" s="51"/>
      <c r="X280" s="51"/>
      <c r="Y280" s="216"/>
      <c r="Z280" s="216"/>
      <c r="AA280" s="51"/>
      <c r="AB280" s="51"/>
      <c r="AC280" s="51"/>
      <c r="AD280" s="51"/>
    </row>
    <row r="281" spans="1:30" customFormat="1">
      <c r="A281" s="50"/>
      <c r="B281" s="50"/>
      <c r="C281" s="50"/>
      <c r="D281" s="50"/>
      <c r="E281" s="50"/>
      <c r="F281" s="50"/>
      <c r="G281" s="50"/>
      <c r="H281" s="50"/>
      <c r="I281" s="50"/>
      <c r="J281" s="50"/>
      <c r="K281" s="50"/>
      <c r="L281" s="50"/>
      <c r="M281" s="50"/>
      <c r="N281" s="50"/>
      <c r="O281" s="50"/>
      <c r="P281" s="50"/>
      <c r="Q281" s="50"/>
      <c r="R281" s="50"/>
      <c r="S281" s="50"/>
      <c r="T281" s="50"/>
      <c r="U281" s="50"/>
      <c r="V281" s="50"/>
      <c r="W281" s="51"/>
      <c r="X281" s="51"/>
      <c r="Y281" s="216"/>
      <c r="Z281" s="216"/>
      <c r="AA281" s="51"/>
      <c r="AB281" s="51"/>
      <c r="AC281" s="51"/>
      <c r="AD281" s="51"/>
    </row>
    <row r="282" spans="1:30" customFormat="1">
      <c r="A282" s="50"/>
      <c r="B282" s="50"/>
      <c r="C282" s="50"/>
      <c r="D282" s="50"/>
      <c r="E282" s="50"/>
      <c r="F282" s="50"/>
      <c r="G282" s="50"/>
      <c r="H282" s="50"/>
      <c r="I282" s="50"/>
      <c r="J282" s="50"/>
      <c r="K282" s="50"/>
      <c r="L282" s="50"/>
      <c r="M282" s="50"/>
      <c r="N282" s="50"/>
      <c r="O282" s="50"/>
      <c r="P282" s="50"/>
      <c r="Q282" s="50"/>
      <c r="R282" s="50"/>
      <c r="S282" s="50"/>
      <c r="T282" s="50"/>
      <c r="U282" s="50"/>
      <c r="V282" s="50"/>
      <c r="W282" s="51"/>
      <c r="X282" s="51"/>
      <c r="Y282" s="216"/>
      <c r="Z282" s="216"/>
      <c r="AA282" s="51"/>
      <c r="AB282" s="51"/>
      <c r="AC282" s="51"/>
      <c r="AD282" s="51"/>
    </row>
    <row r="283" spans="1:30" customFormat="1">
      <c r="A283" s="50"/>
      <c r="B283" s="50"/>
      <c r="C283" s="50"/>
      <c r="D283" s="50"/>
      <c r="E283" s="50"/>
      <c r="F283" s="50"/>
      <c r="G283" s="50"/>
      <c r="H283" s="50"/>
      <c r="I283" s="50"/>
      <c r="J283" s="50"/>
      <c r="K283" s="50"/>
      <c r="L283" s="50"/>
      <c r="M283" s="50"/>
      <c r="N283" s="50"/>
      <c r="O283" s="50"/>
      <c r="P283" s="50"/>
      <c r="Q283" s="50"/>
      <c r="R283" s="50"/>
      <c r="S283" s="50"/>
      <c r="T283" s="50"/>
      <c r="U283" s="50"/>
      <c r="V283" s="50"/>
      <c r="W283" s="51"/>
      <c r="X283" s="51"/>
      <c r="Y283" s="216"/>
      <c r="Z283" s="216"/>
      <c r="AA283" s="51"/>
      <c r="AB283" s="51"/>
      <c r="AC283" s="51"/>
      <c r="AD283" s="51"/>
    </row>
    <row r="284" spans="1:30" customFormat="1">
      <c r="A284" s="50"/>
      <c r="B284" s="50"/>
      <c r="C284" s="50"/>
      <c r="D284" s="50"/>
      <c r="E284" s="50"/>
      <c r="F284" s="50"/>
      <c r="G284" s="50"/>
      <c r="H284" s="50"/>
      <c r="I284" s="50"/>
      <c r="J284" s="50"/>
      <c r="K284" s="50"/>
      <c r="L284" s="50"/>
      <c r="M284" s="50"/>
      <c r="N284" s="50"/>
      <c r="O284" s="50"/>
      <c r="P284" s="50"/>
      <c r="Q284" s="50"/>
      <c r="R284" s="50"/>
      <c r="S284" s="50"/>
      <c r="T284" s="50"/>
      <c r="U284" s="50"/>
      <c r="V284" s="50"/>
      <c r="W284" s="51"/>
      <c r="X284" s="51"/>
      <c r="Y284" s="216"/>
      <c r="Z284" s="216"/>
      <c r="AA284" s="51"/>
      <c r="AB284" s="51"/>
      <c r="AC284" s="51"/>
      <c r="AD284" s="51"/>
    </row>
    <row r="285" spans="1:30" customFormat="1">
      <c r="A285" s="50"/>
      <c r="B285" s="50"/>
      <c r="C285" s="50"/>
      <c r="D285" s="50"/>
      <c r="E285" s="50"/>
      <c r="F285" s="50"/>
      <c r="G285" s="50"/>
      <c r="H285" s="50"/>
      <c r="I285" s="50"/>
      <c r="J285" s="50"/>
      <c r="K285" s="50"/>
      <c r="L285" s="50"/>
      <c r="M285" s="50"/>
      <c r="N285" s="50"/>
      <c r="O285" s="50"/>
      <c r="P285" s="50"/>
      <c r="Q285" s="50"/>
      <c r="R285" s="50"/>
      <c r="S285" s="50"/>
      <c r="T285" s="50"/>
      <c r="U285" s="50"/>
      <c r="V285" s="50"/>
      <c r="W285" s="51"/>
      <c r="X285" s="51"/>
      <c r="Y285" s="216"/>
      <c r="Z285" s="216"/>
      <c r="AA285" s="51"/>
      <c r="AB285" s="51"/>
      <c r="AC285" s="51"/>
      <c r="AD285" s="51"/>
    </row>
    <row r="286" spans="1:30" customFormat="1">
      <c r="A286" s="50"/>
      <c r="B286" s="50"/>
      <c r="C286" s="50"/>
      <c r="D286" s="50"/>
      <c r="E286" s="50"/>
      <c r="F286" s="50"/>
      <c r="G286" s="50"/>
      <c r="H286" s="50"/>
      <c r="I286" s="50"/>
      <c r="J286" s="50"/>
      <c r="K286" s="50"/>
      <c r="L286" s="50"/>
      <c r="M286" s="50"/>
      <c r="N286" s="50"/>
      <c r="O286" s="50"/>
      <c r="P286" s="50"/>
      <c r="Q286" s="50"/>
      <c r="R286" s="50"/>
      <c r="S286" s="50"/>
      <c r="T286" s="50"/>
      <c r="U286" s="50"/>
      <c r="V286" s="50"/>
      <c r="W286" s="51"/>
      <c r="X286" s="51"/>
      <c r="Y286" s="216"/>
      <c r="Z286" s="216"/>
      <c r="AA286" s="51"/>
      <c r="AB286" s="51"/>
      <c r="AC286" s="51"/>
      <c r="AD286" s="51"/>
    </row>
    <row r="287" spans="1:30" customFormat="1">
      <c r="A287" s="50"/>
      <c r="B287" s="50"/>
      <c r="C287" s="50"/>
      <c r="D287" s="50"/>
      <c r="E287" s="50"/>
      <c r="F287" s="50"/>
      <c r="G287" s="50"/>
      <c r="H287" s="50"/>
      <c r="I287" s="50"/>
      <c r="J287" s="50"/>
      <c r="K287" s="50"/>
      <c r="L287" s="50"/>
      <c r="M287" s="50"/>
      <c r="N287" s="50"/>
      <c r="O287" s="50"/>
      <c r="P287" s="50"/>
      <c r="Q287" s="50"/>
      <c r="R287" s="50"/>
      <c r="S287" s="50"/>
      <c r="T287" s="50"/>
      <c r="U287" s="50"/>
      <c r="V287" s="50"/>
      <c r="W287" s="51"/>
      <c r="X287" s="51"/>
      <c r="Y287" s="216"/>
      <c r="Z287" s="216"/>
      <c r="AA287" s="51"/>
      <c r="AB287" s="51"/>
      <c r="AC287" s="51"/>
      <c r="AD287" s="51"/>
    </row>
    <row r="288" spans="1:30" customFormat="1">
      <c r="A288" s="50"/>
      <c r="B288" s="50"/>
      <c r="C288" s="50"/>
      <c r="D288" s="50"/>
      <c r="E288" s="50"/>
      <c r="F288" s="50"/>
      <c r="G288" s="50"/>
      <c r="H288" s="50"/>
      <c r="I288" s="50"/>
      <c r="J288" s="50"/>
      <c r="K288" s="50"/>
      <c r="L288" s="50"/>
      <c r="M288" s="50"/>
      <c r="N288" s="50"/>
      <c r="O288" s="50"/>
      <c r="P288" s="50"/>
      <c r="Q288" s="50"/>
      <c r="R288" s="50"/>
      <c r="S288" s="50"/>
      <c r="T288" s="50"/>
      <c r="U288" s="50"/>
      <c r="V288" s="50"/>
      <c r="W288" s="51"/>
      <c r="X288" s="51"/>
      <c r="Y288" s="216"/>
      <c r="Z288" s="216"/>
      <c r="AA288" s="51"/>
      <c r="AB288" s="51"/>
      <c r="AC288" s="51"/>
      <c r="AD288" s="51"/>
    </row>
    <row r="289" spans="1:30" customFormat="1">
      <c r="A289" s="50"/>
      <c r="B289" s="50"/>
      <c r="C289" s="50"/>
      <c r="D289" s="50"/>
      <c r="E289" s="50"/>
      <c r="F289" s="50"/>
      <c r="G289" s="50"/>
      <c r="H289" s="50"/>
      <c r="I289" s="50"/>
      <c r="J289" s="50"/>
      <c r="K289" s="50"/>
      <c r="L289" s="50"/>
      <c r="M289" s="50"/>
      <c r="N289" s="50"/>
      <c r="O289" s="50"/>
      <c r="P289" s="50"/>
      <c r="Q289" s="50"/>
      <c r="R289" s="50"/>
      <c r="S289" s="50"/>
      <c r="T289" s="50"/>
      <c r="U289" s="50"/>
      <c r="V289" s="50"/>
      <c r="W289" s="51"/>
      <c r="X289" s="51"/>
      <c r="Y289" s="216"/>
      <c r="Z289" s="216"/>
      <c r="AA289" s="51"/>
      <c r="AB289" s="51"/>
      <c r="AC289" s="51"/>
      <c r="AD289" s="51"/>
    </row>
    <row r="290" spans="1:30" customFormat="1">
      <c r="A290" s="50"/>
      <c r="B290" s="50"/>
      <c r="C290" s="50"/>
      <c r="D290" s="50"/>
      <c r="E290" s="50"/>
      <c r="F290" s="50"/>
      <c r="G290" s="50"/>
      <c r="H290" s="50"/>
      <c r="I290" s="50"/>
      <c r="J290" s="50"/>
      <c r="K290" s="50"/>
      <c r="L290" s="50"/>
      <c r="M290" s="50"/>
      <c r="N290" s="50"/>
      <c r="O290" s="50"/>
      <c r="P290" s="50"/>
      <c r="Q290" s="50"/>
      <c r="R290" s="50"/>
      <c r="S290" s="50"/>
      <c r="T290" s="50"/>
      <c r="U290" s="50"/>
      <c r="V290" s="50"/>
      <c r="W290" s="51"/>
      <c r="X290" s="51"/>
      <c r="Y290" s="216"/>
      <c r="Z290" s="216"/>
      <c r="AA290" s="51"/>
      <c r="AB290" s="51"/>
      <c r="AC290" s="51"/>
      <c r="AD290" s="51"/>
    </row>
    <row r="291" spans="1:30" customFormat="1">
      <c r="A291" s="50"/>
      <c r="B291" s="50"/>
      <c r="C291" s="50"/>
      <c r="D291" s="50"/>
      <c r="E291" s="50"/>
      <c r="F291" s="50"/>
      <c r="G291" s="50"/>
      <c r="H291" s="50"/>
      <c r="I291" s="50"/>
      <c r="J291" s="50"/>
      <c r="K291" s="50"/>
      <c r="L291" s="50"/>
      <c r="M291" s="50"/>
      <c r="N291" s="50"/>
      <c r="O291" s="50"/>
      <c r="P291" s="50"/>
      <c r="Q291" s="50"/>
      <c r="R291" s="50"/>
      <c r="S291" s="50"/>
      <c r="T291" s="50"/>
      <c r="U291" s="50"/>
      <c r="V291" s="50"/>
      <c r="W291" s="51"/>
      <c r="X291" s="51"/>
      <c r="Y291" s="216"/>
      <c r="Z291" s="216"/>
      <c r="AA291" s="51"/>
      <c r="AB291" s="51"/>
      <c r="AC291" s="51"/>
      <c r="AD291" s="51"/>
    </row>
    <row r="292" spans="1:30" customFormat="1">
      <c r="A292" s="50"/>
      <c r="B292" s="50"/>
      <c r="C292" s="50"/>
      <c r="D292" s="50"/>
      <c r="E292" s="50"/>
      <c r="F292" s="50"/>
      <c r="G292" s="50"/>
      <c r="H292" s="50"/>
      <c r="I292" s="50"/>
      <c r="J292" s="50"/>
      <c r="K292" s="50"/>
      <c r="L292" s="50"/>
      <c r="M292" s="50"/>
      <c r="N292" s="50"/>
      <c r="O292" s="50"/>
      <c r="P292" s="50"/>
      <c r="Q292" s="50"/>
      <c r="R292" s="50"/>
      <c r="S292" s="50"/>
      <c r="T292" s="50"/>
      <c r="U292" s="50"/>
      <c r="V292" s="50"/>
      <c r="W292" s="51"/>
      <c r="X292" s="51"/>
      <c r="Y292" s="216"/>
      <c r="Z292" s="216"/>
      <c r="AA292" s="51"/>
      <c r="AB292" s="51"/>
      <c r="AC292" s="51"/>
      <c r="AD292" s="51"/>
    </row>
    <row r="293" spans="1:30" customFormat="1">
      <c r="A293" s="50"/>
      <c r="B293" s="50"/>
      <c r="C293" s="50"/>
      <c r="D293" s="50"/>
      <c r="E293" s="50"/>
      <c r="F293" s="50"/>
      <c r="G293" s="50"/>
      <c r="H293" s="50"/>
      <c r="I293" s="50"/>
      <c r="J293" s="50"/>
      <c r="K293" s="50"/>
      <c r="L293" s="50"/>
      <c r="M293" s="50"/>
      <c r="N293" s="50"/>
      <c r="O293" s="50"/>
      <c r="P293" s="50"/>
      <c r="Q293" s="50"/>
      <c r="R293" s="50"/>
      <c r="S293" s="50"/>
      <c r="T293" s="50"/>
      <c r="U293" s="50"/>
      <c r="V293" s="50"/>
      <c r="W293" s="51"/>
      <c r="X293" s="51"/>
      <c r="Y293" s="216"/>
      <c r="Z293" s="216"/>
      <c r="AA293" s="51"/>
      <c r="AB293" s="51"/>
      <c r="AC293" s="51"/>
      <c r="AD293" s="51"/>
    </row>
    <row r="294" spans="1:30" customFormat="1">
      <c r="A294" s="50"/>
      <c r="B294" s="50"/>
      <c r="C294" s="50"/>
      <c r="D294" s="50"/>
      <c r="E294" s="50"/>
      <c r="F294" s="50"/>
      <c r="G294" s="50"/>
      <c r="H294" s="50"/>
      <c r="I294" s="50"/>
      <c r="J294" s="50"/>
      <c r="K294" s="50"/>
      <c r="L294" s="50"/>
      <c r="M294" s="50"/>
      <c r="N294" s="50"/>
      <c r="O294" s="50"/>
      <c r="P294" s="50"/>
      <c r="Q294" s="50"/>
      <c r="R294" s="50"/>
      <c r="S294" s="50"/>
      <c r="T294" s="50"/>
      <c r="U294" s="50"/>
      <c r="V294" s="50"/>
      <c r="W294" s="51"/>
      <c r="X294" s="51"/>
      <c r="Y294" s="216"/>
      <c r="Z294" s="216"/>
      <c r="AA294" s="51"/>
      <c r="AB294" s="51"/>
      <c r="AC294" s="51"/>
      <c r="AD294" s="51"/>
    </row>
    <row r="295" spans="1:30" customFormat="1">
      <c r="A295" s="50"/>
      <c r="B295" s="50"/>
      <c r="C295" s="50"/>
      <c r="D295" s="50"/>
      <c r="E295" s="50"/>
      <c r="F295" s="50"/>
      <c r="G295" s="50"/>
      <c r="H295" s="50"/>
      <c r="I295" s="50"/>
      <c r="J295" s="50"/>
      <c r="K295" s="50"/>
      <c r="L295" s="50"/>
      <c r="M295" s="50"/>
      <c r="N295" s="50"/>
      <c r="O295" s="50"/>
      <c r="P295" s="50"/>
      <c r="Q295" s="50"/>
      <c r="R295" s="50"/>
      <c r="S295" s="50"/>
      <c r="T295" s="50"/>
      <c r="U295" s="50"/>
      <c r="V295" s="50"/>
      <c r="W295" s="51"/>
      <c r="X295" s="51"/>
      <c r="Y295" s="216"/>
      <c r="Z295" s="216"/>
      <c r="AA295" s="51"/>
      <c r="AB295" s="51"/>
      <c r="AC295" s="51"/>
      <c r="AD295" s="51"/>
    </row>
    <row r="296" spans="1:30" customFormat="1">
      <c r="A296" s="50"/>
      <c r="B296" s="50"/>
      <c r="C296" s="50"/>
      <c r="D296" s="50"/>
      <c r="E296" s="50"/>
      <c r="F296" s="50"/>
      <c r="G296" s="50"/>
      <c r="H296" s="50"/>
      <c r="I296" s="50"/>
      <c r="J296" s="50"/>
      <c r="K296" s="50"/>
      <c r="L296" s="50"/>
      <c r="M296" s="50"/>
      <c r="N296" s="50"/>
      <c r="O296" s="50"/>
      <c r="P296" s="50"/>
      <c r="Q296" s="50"/>
      <c r="R296" s="50"/>
      <c r="S296" s="50"/>
      <c r="T296" s="50"/>
      <c r="U296" s="50"/>
      <c r="V296" s="50"/>
      <c r="W296" s="51"/>
      <c r="X296" s="51"/>
      <c r="Y296" s="216"/>
      <c r="Z296" s="216"/>
      <c r="AA296" s="51"/>
      <c r="AB296" s="51"/>
      <c r="AC296" s="51"/>
      <c r="AD296" s="51"/>
    </row>
    <row r="297" spans="1:30" customFormat="1">
      <c r="A297" s="50"/>
      <c r="B297" s="50"/>
      <c r="C297" s="50"/>
      <c r="D297" s="50"/>
      <c r="E297" s="50"/>
      <c r="F297" s="50"/>
      <c r="G297" s="50"/>
      <c r="H297" s="50"/>
      <c r="I297" s="50"/>
      <c r="J297" s="50"/>
      <c r="K297" s="50"/>
      <c r="L297" s="50"/>
      <c r="M297" s="50"/>
      <c r="N297" s="50"/>
      <c r="O297" s="50"/>
      <c r="P297" s="50"/>
      <c r="Q297" s="50"/>
      <c r="R297" s="50"/>
      <c r="S297" s="50"/>
      <c r="T297" s="50"/>
      <c r="U297" s="50"/>
      <c r="V297" s="50"/>
      <c r="W297" s="51"/>
      <c r="X297" s="51"/>
      <c r="Y297" s="216"/>
      <c r="Z297" s="216"/>
      <c r="AA297" s="51"/>
      <c r="AB297" s="51"/>
      <c r="AC297" s="51"/>
      <c r="AD297" s="51"/>
    </row>
    <row r="298" spans="1:30" customFormat="1">
      <c r="A298" s="50"/>
      <c r="B298" s="50"/>
      <c r="C298" s="50"/>
      <c r="D298" s="50"/>
      <c r="E298" s="50"/>
      <c r="F298" s="50"/>
      <c r="G298" s="50"/>
      <c r="H298" s="50"/>
      <c r="I298" s="50"/>
      <c r="J298" s="50"/>
      <c r="K298" s="50"/>
      <c r="L298" s="50"/>
      <c r="M298" s="50"/>
      <c r="N298" s="50"/>
      <c r="O298" s="50"/>
      <c r="P298" s="50"/>
      <c r="Q298" s="50"/>
      <c r="R298" s="50"/>
      <c r="S298" s="50"/>
      <c r="T298" s="50"/>
      <c r="U298" s="50"/>
      <c r="V298" s="50"/>
      <c r="W298" s="51"/>
      <c r="X298" s="51"/>
      <c r="Y298" s="216"/>
      <c r="Z298" s="216"/>
      <c r="AA298" s="51"/>
      <c r="AB298" s="51"/>
      <c r="AC298" s="51"/>
      <c r="AD298" s="51"/>
    </row>
    <row r="299" spans="1:30" customFormat="1">
      <c r="A299" s="50"/>
      <c r="B299" s="50"/>
      <c r="C299" s="50"/>
      <c r="D299" s="50"/>
      <c r="E299" s="50"/>
      <c r="F299" s="50"/>
      <c r="G299" s="50"/>
      <c r="H299" s="50"/>
      <c r="I299" s="50"/>
      <c r="J299" s="50"/>
      <c r="K299" s="50"/>
      <c r="L299" s="50"/>
      <c r="M299" s="50"/>
      <c r="N299" s="50"/>
      <c r="O299" s="50"/>
      <c r="P299" s="50"/>
      <c r="Q299" s="50"/>
      <c r="R299" s="50"/>
      <c r="S299" s="50"/>
      <c r="T299" s="50"/>
      <c r="U299" s="50"/>
      <c r="V299" s="50"/>
      <c r="W299" s="51"/>
      <c r="X299" s="51"/>
      <c r="Y299" s="216"/>
      <c r="Z299" s="216"/>
      <c r="AA299" s="51"/>
      <c r="AB299" s="51"/>
      <c r="AC299" s="51"/>
      <c r="AD299" s="51"/>
    </row>
    <row r="300" spans="1:30" customFormat="1">
      <c r="A300" s="50"/>
      <c r="B300" s="50"/>
      <c r="C300" s="50"/>
      <c r="D300" s="50"/>
      <c r="E300" s="50"/>
      <c r="F300" s="50"/>
      <c r="G300" s="50"/>
      <c r="H300" s="50"/>
      <c r="I300" s="50"/>
      <c r="J300" s="50"/>
      <c r="K300" s="50"/>
      <c r="L300" s="50"/>
      <c r="M300" s="50"/>
      <c r="N300" s="50"/>
      <c r="O300" s="50"/>
      <c r="P300" s="50"/>
      <c r="Q300" s="50"/>
      <c r="R300" s="50"/>
      <c r="S300" s="50"/>
      <c r="T300" s="50"/>
      <c r="U300" s="50"/>
      <c r="V300" s="50"/>
      <c r="W300" s="51"/>
      <c r="X300" s="51"/>
      <c r="Y300" s="216"/>
      <c r="Z300" s="216"/>
      <c r="AA300" s="51"/>
      <c r="AB300" s="51"/>
      <c r="AC300" s="51"/>
      <c r="AD300" s="51"/>
    </row>
    <row r="301" spans="1:30" customFormat="1">
      <c r="A301" s="50"/>
      <c r="B301" s="50"/>
      <c r="C301" s="50"/>
      <c r="D301" s="50"/>
      <c r="E301" s="50"/>
      <c r="F301" s="50"/>
      <c r="G301" s="50"/>
      <c r="H301" s="50"/>
      <c r="I301" s="50"/>
      <c r="J301" s="50"/>
      <c r="K301" s="50"/>
      <c r="L301" s="50"/>
      <c r="M301" s="50"/>
      <c r="N301" s="50"/>
      <c r="O301" s="50"/>
      <c r="P301" s="50"/>
      <c r="Q301" s="50"/>
      <c r="R301" s="50"/>
      <c r="S301" s="50"/>
      <c r="T301" s="50"/>
      <c r="U301" s="50"/>
      <c r="V301" s="50"/>
      <c r="W301" s="51"/>
      <c r="X301" s="51"/>
      <c r="Y301" s="216"/>
      <c r="Z301" s="216"/>
      <c r="AA301" s="51"/>
      <c r="AB301" s="51"/>
      <c r="AC301" s="51"/>
      <c r="AD301" s="51"/>
    </row>
    <row r="302" spans="1:30" customFormat="1">
      <c r="A302" s="50"/>
      <c r="B302" s="50"/>
      <c r="C302" s="50"/>
      <c r="D302" s="50"/>
      <c r="E302" s="50"/>
      <c r="F302" s="50"/>
      <c r="G302" s="50"/>
      <c r="H302" s="50"/>
      <c r="I302" s="50"/>
      <c r="J302" s="50"/>
      <c r="K302" s="50"/>
      <c r="L302" s="50"/>
      <c r="M302" s="50"/>
      <c r="N302" s="50"/>
      <c r="O302" s="50"/>
      <c r="P302" s="50"/>
      <c r="Q302" s="50"/>
      <c r="R302" s="50"/>
      <c r="S302" s="50"/>
      <c r="T302" s="50"/>
      <c r="U302" s="50"/>
      <c r="V302" s="50"/>
      <c r="W302" s="51"/>
      <c r="X302" s="51"/>
      <c r="Y302" s="216"/>
      <c r="Z302" s="216"/>
      <c r="AA302" s="51"/>
      <c r="AB302" s="51"/>
      <c r="AC302" s="51"/>
      <c r="AD302" s="51"/>
    </row>
    <row r="303" spans="1:30" customFormat="1">
      <c r="A303" s="50"/>
      <c r="B303" s="50"/>
      <c r="C303" s="50"/>
      <c r="D303" s="50"/>
      <c r="E303" s="50"/>
      <c r="F303" s="50"/>
      <c r="G303" s="50"/>
      <c r="H303" s="50"/>
      <c r="I303" s="50"/>
      <c r="J303" s="50"/>
      <c r="K303" s="50"/>
      <c r="L303" s="50"/>
      <c r="M303" s="50"/>
      <c r="N303" s="50"/>
      <c r="O303" s="50"/>
      <c r="P303" s="50"/>
      <c r="Q303" s="50"/>
      <c r="R303" s="50"/>
      <c r="S303" s="50"/>
      <c r="T303" s="50"/>
      <c r="U303" s="50"/>
      <c r="V303" s="50"/>
      <c r="W303" s="51"/>
      <c r="X303" s="51"/>
      <c r="Y303" s="216"/>
      <c r="Z303" s="216"/>
      <c r="AA303" s="51"/>
      <c r="AB303" s="51"/>
      <c r="AC303" s="51"/>
      <c r="AD303" s="51"/>
    </row>
    <row r="304" spans="1:30" customFormat="1">
      <c r="A304" s="50"/>
      <c r="B304" s="50"/>
      <c r="C304" s="50"/>
      <c r="D304" s="50"/>
      <c r="E304" s="50"/>
      <c r="F304" s="50"/>
      <c r="G304" s="50"/>
      <c r="H304" s="50"/>
      <c r="I304" s="50"/>
      <c r="J304" s="50"/>
      <c r="K304" s="50"/>
      <c r="L304" s="50"/>
      <c r="M304" s="50"/>
      <c r="N304" s="50"/>
      <c r="O304" s="50"/>
      <c r="P304" s="50"/>
      <c r="Q304" s="50"/>
      <c r="R304" s="50"/>
      <c r="S304" s="50"/>
      <c r="T304" s="50"/>
      <c r="U304" s="50"/>
      <c r="V304" s="50"/>
      <c r="W304" s="51"/>
      <c r="X304" s="51"/>
      <c r="Y304" s="216"/>
      <c r="Z304" s="216"/>
      <c r="AA304" s="51"/>
      <c r="AB304" s="51"/>
      <c r="AC304" s="51"/>
      <c r="AD304" s="51"/>
    </row>
    <row r="305" spans="1:30" customFormat="1">
      <c r="A305" s="50"/>
      <c r="B305" s="50"/>
      <c r="C305" s="50"/>
      <c r="D305" s="50"/>
      <c r="E305" s="50"/>
      <c r="F305" s="50"/>
      <c r="G305" s="50"/>
      <c r="H305" s="50"/>
      <c r="I305" s="50"/>
      <c r="J305" s="50"/>
      <c r="K305" s="50"/>
      <c r="L305" s="50"/>
      <c r="M305" s="50"/>
      <c r="N305" s="50"/>
      <c r="O305" s="50"/>
      <c r="P305" s="50"/>
      <c r="Q305" s="50"/>
      <c r="R305" s="50"/>
      <c r="S305" s="50"/>
      <c r="T305" s="50"/>
      <c r="U305" s="50"/>
      <c r="V305" s="50"/>
      <c r="W305" s="51"/>
      <c r="X305" s="51"/>
      <c r="Y305" s="216"/>
      <c r="Z305" s="216"/>
      <c r="AA305" s="51"/>
      <c r="AB305" s="51"/>
      <c r="AC305" s="51"/>
      <c r="AD305" s="51"/>
    </row>
    <row r="306" spans="1:30" customFormat="1">
      <c r="A306" s="50"/>
      <c r="B306" s="50"/>
      <c r="C306" s="50"/>
      <c r="D306" s="50"/>
      <c r="E306" s="50"/>
      <c r="F306" s="50"/>
      <c r="G306" s="50"/>
      <c r="H306" s="50"/>
      <c r="I306" s="50"/>
      <c r="J306" s="50"/>
      <c r="K306" s="50"/>
      <c r="L306" s="50"/>
      <c r="M306" s="50"/>
      <c r="N306" s="50"/>
      <c r="O306" s="50"/>
      <c r="P306" s="50"/>
      <c r="Q306" s="50"/>
      <c r="R306" s="50"/>
      <c r="S306" s="50"/>
      <c r="T306" s="50"/>
      <c r="U306" s="50"/>
      <c r="V306" s="50"/>
      <c r="W306" s="51"/>
      <c r="X306" s="51"/>
      <c r="Y306" s="216"/>
      <c r="Z306" s="216"/>
      <c r="AA306" s="51"/>
      <c r="AB306" s="51"/>
      <c r="AC306" s="51"/>
      <c r="AD306" s="51"/>
    </row>
    <row r="307" spans="1:30" customFormat="1">
      <c r="A307" s="50"/>
      <c r="B307" s="50"/>
      <c r="C307" s="50"/>
      <c r="D307" s="50"/>
      <c r="E307" s="50"/>
      <c r="F307" s="50"/>
      <c r="G307" s="50"/>
      <c r="H307" s="50"/>
      <c r="I307" s="50"/>
      <c r="J307" s="50"/>
      <c r="K307" s="50"/>
      <c r="L307" s="50"/>
      <c r="M307" s="50"/>
      <c r="N307" s="50"/>
      <c r="O307" s="50"/>
      <c r="P307" s="50"/>
      <c r="Q307" s="50"/>
      <c r="R307" s="50"/>
      <c r="S307" s="50"/>
      <c r="T307" s="50"/>
      <c r="U307" s="50"/>
      <c r="V307" s="50"/>
      <c r="W307" s="51"/>
      <c r="X307" s="51"/>
      <c r="Y307" s="216"/>
      <c r="Z307" s="216"/>
      <c r="AA307" s="51"/>
      <c r="AB307" s="51"/>
      <c r="AC307" s="51"/>
      <c r="AD307" s="51"/>
    </row>
    <row r="308" spans="1:30" customFormat="1">
      <c r="A308" s="50"/>
      <c r="B308" s="50"/>
      <c r="C308" s="50"/>
      <c r="D308" s="50"/>
      <c r="E308" s="50"/>
      <c r="F308" s="50"/>
      <c r="G308" s="50"/>
      <c r="H308" s="50"/>
      <c r="I308" s="50"/>
      <c r="J308" s="50"/>
      <c r="K308" s="50"/>
      <c r="L308" s="50"/>
      <c r="M308" s="50"/>
      <c r="N308" s="50"/>
      <c r="O308" s="50"/>
      <c r="P308" s="50"/>
      <c r="Q308" s="50"/>
      <c r="R308" s="50"/>
      <c r="S308" s="50"/>
      <c r="T308" s="50"/>
      <c r="U308" s="50"/>
      <c r="V308" s="50"/>
      <c r="W308" s="51"/>
      <c r="X308" s="51"/>
      <c r="Y308" s="216"/>
      <c r="Z308" s="216"/>
      <c r="AA308" s="51"/>
      <c r="AB308" s="51"/>
      <c r="AC308" s="51"/>
      <c r="AD308" s="51"/>
    </row>
    <row r="309" spans="1:30" customFormat="1">
      <c r="A309" s="50"/>
      <c r="B309" s="50"/>
      <c r="C309" s="50"/>
      <c r="D309" s="50"/>
      <c r="E309" s="50"/>
      <c r="F309" s="50"/>
      <c r="G309" s="50"/>
      <c r="H309" s="50"/>
      <c r="I309" s="50"/>
      <c r="J309" s="50"/>
      <c r="K309" s="50"/>
      <c r="L309" s="50"/>
      <c r="M309" s="50"/>
      <c r="N309" s="50"/>
      <c r="O309" s="50"/>
      <c r="P309" s="50"/>
      <c r="Q309" s="50"/>
      <c r="R309" s="50"/>
      <c r="S309" s="50"/>
      <c r="T309" s="50"/>
      <c r="U309" s="50"/>
      <c r="V309" s="50"/>
      <c r="W309" s="51"/>
      <c r="X309" s="51"/>
      <c r="Y309" s="216"/>
      <c r="Z309" s="216"/>
      <c r="AA309" s="51"/>
      <c r="AB309" s="51"/>
      <c r="AC309" s="51"/>
      <c r="AD309" s="51"/>
    </row>
    <row r="310" spans="1:30" customFormat="1">
      <c r="A310" s="50"/>
      <c r="B310" s="50"/>
      <c r="C310" s="50"/>
      <c r="D310" s="50"/>
      <c r="E310" s="50"/>
      <c r="F310" s="50"/>
      <c r="G310" s="50"/>
      <c r="H310" s="50"/>
      <c r="I310" s="50"/>
      <c r="J310" s="50"/>
      <c r="K310" s="50"/>
      <c r="L310" s="50"/>
      <c r="M310" s="50"/>
      <c r="N310" s="50"/>
      <c r="O310" s="50"/>
      <c r="P310" s="50"/>
      <c r="Q310" s="50"/>
      <c r="R310" s="50"/>
      <c r="S310" s="50"/>
      <c r="T310" s="50"/>
      <c r="U310" s="50"/>
      <c r="V310" s="50"/>
      <c r="W310" s="51"/>
      <c r="X310" s="51"/>
      <c r="Y310" s="216"/>
      <c r="Z310" s="216"/>
      <c r="AA310" s="51"/>
      <c r="AB310" s="51"/>
      <c r="AC310" s="51"/>
      <c r="AD310" s="51"/>
    </row>
    <row r="311" spans="1:30" customFormat="1">
      <c r="A311" s="50"/>
      <c r="B311" s="50"/>
      <c r="C311" s="50"/>
      <c r="D311" s="50"/>
      <c r="E311" s="50"/>
      <c r="F311" s="50"/>
      <c r="G311" s="50"/>
      <c r="H311" s="50"/>
      <c r="I311" s="50"/>
      <c r="J311" s="50"/>
      <c r="K311" s="50"/>
      <c r="L311" s="50"/>
      <c r="M311" s="50"/>
      <c r="N311" s="50"/>
      <c r="O311" s="50"/>
      <c r="P311" s="50"/>
      <c r="Q311" s="50"/>
      <c r="R311" s="50"/>
      <c r="S311" s="50"/>
      <c r="T311" s="50"/>
      <c r="U311" s="50"/>
      <c r="V311" s="50"/>
      <c r="W311" s="51"/>
      <c r="X311" s="51"/>
      <c r="Y311" s="216"/>
      <c r="Z311" s="216"/>
      <c r="AA311" s="51"/>
      <c r="AB311" s="51"/>
      <c r="AC311" s="51"/>
      <c r="AD311" s="51"/>
    </row>
    <row r="312" spans="1:30" customFormat="1">
      <c r="A312" s="50"/>
      <c r="B312" s="50"/>
      <c r="C312" s="50"/>
      <c r="D312" s="50"/>
      <c r="E312" s="50"/>
      <c r="F312" s="50"/>
      <c r="G312" s="50"/>
      <c r="H312" s="50"/>
      <c r="I312" s="50"/>
      <c r="J312" s="50"/>
      <c r="K312" s="50"/>
      <c r="L312" s="50"/>
      <c r="M312" s="50"/>
      <c r="N312" s="50"/>
      <c r="O312" s="50"/>
      <c r="P312" s="50"/>
      <c r="Q312" s="50"/>
      <c r="R312" s="50"/>
      <c r="S312" s="50"/>
      <c r="T312" s="50"/>
      <c r="U312" s="50"/>
      <c r="V312" s="50"/>
      <c r="W312" s="51"/>
      <c r="X312" s="51"/>
      <c r="Y312" s="216"/>
      <c r="Z312" s="216"/>
      <c r="AA312" s="51"/>
      <c r="AB312" s="51"/>
      <c r="AC312" s="51"/>
      <c r="AD312" s="51"/>
    </row>
    <row r="313" spans="1:30" customFormat="1">
      <c r="A313" s="50"/>
      <c r="B313" s="50"/>
      <c r="C313" s="50"/>
      <c r="D313" s="50"/>
      <c r="E313" s="50"/>
      <c r="F313" s="50"/>
      <c r="G313" s="50"/>
      <c r="H313" s="50"/>
      <c r="I313" s="50"/>
      <c r="J313" s="50"/>
      <c r="K313" s="50"/>
      <c r="L313" s="50"/>
      <c r="M313" s="50"/>
      <c r="N313" s="50"/>
      <c r="O313" s="50"/>
      <c r="P313" s="50"/>
      <c r="Q313" s="50"/>
      <c r="R313" s="50"/>
      <c r="S313" s="50"/>
      <c r="T313" s="50"/>
      <c r="U313" s="50"/>
      <c r="V313" s="50"/>
      <c r="W313" s="51"/>
      <c r="X313" s="51"/>
      <c r="Y313" s="216"/>
      <c r="Z313" s="216"/>
      <c r="AA313" s="51"/>
      <c r="AB313" s="51"/>
      <c r="AC313" s="51"/>
      <c r="AD313" s="51"/>
    </row>
    <row r="314" spans="1:30" customFormat="1">
      <c r="A314" s="50"/>
      <c r="B314" s="50"/>
      <c r="C314" s="50"/>
      <c r="D314" s="50"/>
      <c r="E314" s="50"/>
      <c r="F314" s="50"/>
      <c r="G314" s="50"/>
      <c r="H314" s="50"/>
      <c r="I314" s="50"/>
      <c r="J314" s="50"/>
      <c r="K314" s="50"/>
      <c r="L314" s="50"/>
      <c r="M314" s="50"/>
      <c r="N314" s="50"/>
      <c r="O314" s="50"/>
      <c r="P314" s="50"/>
      <c r="Q314" s="50"/>
      <c r="R314" s="50"/>
      <c r="S314" s="50"/>
      <c r="T314" s="50"/>
      <c r="U314" s="50"/>
      <c r="V314" s="50"/>
      <c r="W314" s="51"/>
      <c r="X314" s="51"/>
      <c r="Y314" s="216"/>
      <c r="Z314" s="216"/>
      <c r="AA314" s="51"/>
      <c r="AB314" s="51"/>
      <c r="AC314" s="51"/>
      <c r="AD314" s="51"/>
    </row>
    <row r="315" spans="1:30" customFormat="1">
      <c r="A315" s="50"/>
      <c r="B315" s="50"/>
      <c r="C315" s="50"/>
      <c r="D315" s="50"/>
      <c r="E315" s="50"/>
      <c r="F315" s="50"/>
      <c r="G315" s="50"/>
      <c r="H315" s="50"/>
      <c r="I315" s="50"/>
      <c r="J315" s="50"/>
      <c r="K315" s="50"/>
      <c r="L315" s="50"/>
      <c r="M315" s="50"/>
      <c r="N315" s="50"/>
      <c r="O315" s="50"/>
      <c r="P315" s="50"/>
      <c r="Q315" s="50"/>
      <c r="R315" s="50"/>
      <c r="S315" s="50"/>
      <c r="T315" s="50"/>
      <c r="U315" s="50"/>
      <c r="V315" s="50"/>
      <c r="W315" s="51"/>
      <c r="X315" s="51"/>
      <c r="Y315" s="216"/>
      <c r="Z315" s="216"/>
      <c r="AA315" s="51"/>
      <c r="AB315" s="51"/>
      <c r="AC315" s="51"/>
      <c r="AD315" s="51"/>
    </row>
    <row r="316" spans="1:30" customFormat="1">
      <c r="A316" s="50"/>
      <c r="B316" s="50"/>
      <c r="C316" s="50"/>
      <c r="D316" s="50"/>
      <c r="E316" s="50"/>
      <c r="F316" s="50"/>
      <c r="G316" s="50"/>
      <c r="H316" s="50"/>
      <c r="I316" s="50"/>
      <c r="J316" s="50"/>
      <c r="K316" s="50"/>
      <c r="L316" s="50"/>
      <c r="M316" s="50"/>
      <c r="N316" s="50"/>
      <c r="O316" s="50"/>
      <c r="P316" s="50"/>
      <c r="Q316" s="50"/>
      <c r="R316" s="50"/>
      <c r="S316" s="50"/>
      <c r="T316" s="50"/>
      <c r="U316" s="50"/>
      <c r="V316" s="50"/>
      <c r="W316" s="51"/>
      <c r="X316" s="51"/>
      <c r="Y316" s="216"/>
      <c r="Z316" s="216"/>
      <c r="AA316" s="51"/>
      <c r="AB316" s="51"/>
      <c r="AC316" s="51"/>
      <c r="AD316" s="51"/>
    </row>
    <row r="317" spans="1:30" customFormat="1">
      <c r="A317" s="50"/>
      <c r="B317" s="50"/>
      <c r="C317" s="50"/>
      <c r="D317" s="50"/>
      <c r="E317" s="50"/>
      <c r="F317" s="50"/>
      <c r="G317" s="50"/>
      <c r="H317" s="50"/>
      <c r="I317" s="50"/>
      <c r="J317" s="50"/>
      <c r="K317" s="50"/>
      <c r="L317" s="50"/>
      <c r="M317" s="50"/>
      <c r="N317" s="50"/>
      <c r="O317" s="50"/>
      <c r="P317" s="50"/>
      <c r="Q317" s="50"/>
      <c r="R317" s="50"/>
      <c r="S317" s="50"/>
      <c r="T317" s="50"/>
      <c r="U317" s="50"/>
      <c r="V317" s="50"/>
      <c r="W317" s="51"/>
      <c r="X317" s="51"/>
      <c r="Y317" s="216"/>
      <c r="Z317" s="216"/>
      <c r="AA317" s="51"/>
      <c r="AB317" s="51"/>
      <c r="AC317" s="51"/>
      <c r="AD317" s="51"/>
    </row>
    <row r="318" spans="1:30" customFormat="1">
      <c r="A318" s="50"/>
      <c r="B318" s="50"/>
      <c r="C318" s="50"/>
      <c r="D318" s="50"/>
      <c r="E318" s="50"/>
      <c r="F318" s="50"/>
      <c r="G318" s="50"/>
      <c r="H318" s="50"/>
      <c r="I318" s="50"/>
      <c r="J318" s="50"/>
      <c r="K318" s="50"/>
      <c r="L318" s="50"/>
      <c r="M318" s="50"/>
      <c r="N318" s="50"/>
      <c r="O318" s="50"/>
      <c r="P318" s="50"/>
      <c r="Q318" s="50"/>
      <c r="R318" s="50"/>
      <c r="S318" s="50"/>
      <c r="T318" s="50"/>
      <c r="U318" s="50"/>
      <c r="V318" s="50"/>
      <c r="W318" s="51"/>
      <c r="X318" s="51"/>
      <c r="Y318" s="216"/>
      <c r="Z318" s="216"/>
      <c r="AA318" s="51"/>
      <c r="AB318" s="51"/>
      <c r="AC318" s="51"/>
      <c r="AD318" s="51"/>
    </row>
    <row r="319" spans="1:30" customFormat="1">
      <c r="A319" s="50"/>
      <c r="B319" s="50"/>
      <c r="C319" s="50"/>
      <c r="D319" s="50"/>
      <c r="E319" s="50"/>
      <c r="F319" s="50"/>
      <c r="G319" s="50"/>
      <c r="H319" s="50"/>
      <c r="I319" s="50"/>
      <c r="J319" s="50"/>
      <c r="K319" s="50"/>
      <c r="L319" s="50"/>
      <c r="M319" s="50"/>
      <c r="N319" s="50"/>
      <c r="O319" s="50"/>
      <c r="P319" s="50"/>
      <c r="Q319" s="50"/>
      <c r="R319" s="50"/>
      <c r="S319" s="50"/>
      <c r="T319" s="50"/>
      <c r="U319" s="50"/>
      <c r="V319" s="50"/>
      <c r="W319" s="51"/>
      <c r="X319" s="51"/>
      <c r="Y319" s="216"/>
      <c r="Z319" s="216"/>
      <c r="AA319" s="51"/>
      <c r="AB319" s="51"/>
      <c r="AC319" s="51"/>
      <c r="AD319" s="51"/>
    </row>
    <row r="320" spans="1:30" customFormat="1">
      <c r="A320" s="50"/>
      <c r="B320" s="50"/>
      <c r="C320" s="50"/>
      <c r="D320" s="50"/>
      <c r="E320" s="50"/>
      <c r="F320" s="50"/>
      <c r="G320" s="50"/>
      <c r="H320" s="50"/>
      <c r="I320" s="50"/>
      <c r="J320" s="50"/>
      <c r="K320" s="50"/>
      <c r="L320" s="50"/>
      <c r="M320" s="50"/>
      <c r="N320" s="50"/>
      <c r="O320" s="50"/>
      <c r="P320" s="50"/>
      <c r="Q320" s="50"/>
      <c r="R320" s="50"/>
      <c r="S320" s="50"/>
      <c r="T320" s="50"/>
      <c r="U320" s="50"/>
      <c r="V320" s="50"/>
      <c r="W320" s="51"/>
      <c r="X320" s="51"/>
      <c r="Y320" s="216"/>
      <c r="Z320" s="216"/>
      <c r="AA320" s="51"/>
      <c r="AB320" s="51"/>
      <c r="AC320" s="51"/>
      <c r="AD320" s="51"/>
    </row>
    <row r="321" spans="1:30" customFormat="1">
      <c r="A321" s="50"/>
      <c r="B321" s="50"/>
      <c r="C321" s="50"/>
      <c r="D321" s="50"/>
      <c r="E321" s="50"/>
      <c r="F321" s="50"/>
      <c r="G321" s="50"/>
      <c r="H321" s="50"/>
      <c r="I321" s="50"/>
      <c r="J321" s="50"/>
      <c r="K321" s="50"/>
      <c r="L321" s="50"/>
      <c r="M321" s="50"/>
      <c r="N321" s="50"/>
      <c r="O321" s="50"/>
      <c r="P321" s="50"/>
      <c r="Q321" s="50"/>
      <c r="R321" s="50"/>
      <c r="S321" s="50"/>
      <c r="T321" s="50"/>
      <c r="U321" s="50"/>
      <c r="V321" s="50"/>
      <c r="W321" s="51"/>
      <c r="X321" s="51"/>
      <c r="Y321" s="216"/>
      <c r="Z321" s="216"/>
      <c r="AA321" s="51"/>
      <c r="AB321" s="51"/>
      <c r="AC321" s="51"/>
      <c r="AD321" s="51"/>
    </row>
    <row r="322" spans="1:30" customFormat="1">
      <c r="A322" s="50"/>
      <c r="B322" s="50"/>
      <c r="C322" s="50"/>
      <c r="D322" s="50"/>
      <c r="E322" s="50"/>
      <c r="F322" s="50"/>
      <c r="G322" s="50"/>
      <c r="H322" s="50"/>
      <c r="I322" s="50"/>
      <c r="J322" s="50"/>
      <c r="K322" s="50"/>
      <c r="L322" s="50"/>
      <c r="M322" s="50"/>
      <c r="N322" s="50"/>
      <c r="O322" s="50"/>
      <c r="P322" s="50"/>
      <c r="Q322" s="50"/>
      <c r="R322" s="50"/>
      <c r="S322" s="50"/>
      <c r="T322" s="50"/>
      <c r="U322" s="50"/>
      <c r="V322" s="50"/>
      <c r="W322" s="51"/>
      <c r="X322" s="51"/>
      <c r="Y322" s="216"/>
      <c r="Z322" s="216"/>
      <c r="AA322" s="51"/>
      <c r="AB322" s="51"/>
      <c r="AC322" s="51"/>
      <c r="AD322" s="51"/>
    </row>
    <row r="323" spans="1:30" customFormat="1">
      <c r="A323" s="50"/>
      <c r="B323" s="50"/>
      <c r="C323" s="50"/>
      <c r="D323" s="50"/>
      <c r="E323" s="50"/>
      <c r="F323" s="50"/>
      <c r="G323" s="50"/>
      <c r="H323" s="50"/>
      <c r="I323" s="50"/>
      <c r="J323" s="50"/>
      <c r="K323" s="50"/>
      <c r="L323" s="50"/>
      <c r="M323" s="50"/>
      <c r="N323" s="50"/>
      <c r="O323" s="50"/>
      <c r="P323" s="50"/>
      <c r="Q323" s="50"/>
      <c r="R323" s="50"/>
      <c r="S323" s="50"/>
      <c r="T323" s="50"/>
      <c r="U323" s="50"/>
      <c r="V323" s="50"/>
      <c r="W323" s="51"/>
      <c r="X323" s="51"/>
      <c r="Y323" s="216"/>
      <c r="Z323" s="216"/>
      <c r="AA323" s="51"/>
      <c r="AB323" s="51"/>
      <c r="AC323" s="51"/>
      <c r="AD323" s="51"/>
    </row>
    <row r="324" spans="1:30" customFormat="1">
      <c r="A324" s="50"/>
      <c r="B324" s="50"/>
      <c r="C324" s="50"/>
      <c r="D324" s="50"/>
      <c r="E324" s="50"/>
      <c r="F324" s="50"/>
      <c r="G324" s="50"/>
      <c r="H324" s="50"/>
      <c r="I324" s="50"/>
      <c r="J324" s="50"/>
      <c r="K324" s="50"/>
      <c r="L324" s="50"/>
      <c r="M324" s="50"/>
      <c r="N324" s="50"/>
      <c r="O324" s="50"/>
      <c r="P324" s="50"/>
      <c r="Q324" s="50"/>
      <c r="R324" s="50"/>
      <c r="S324" s="50"/>
      <c r="T324" s="50"/>
      <c r="U324" s="50"/>
      <c r="V324" s="50"/>
      <c r="W324" s="51"/>
      <c r="X324" s="51"/>
      <c r="Y324" s="216"/>
      <c r="Z324" s="216"/>
      <c r="AA324" s="51"/>
      <c r="AB324" s="51"/>
      <c r="AC324" s="51"/>
      <c r="AD324" s="51"/>
    </row>
    <row r="325" spans="1:30" customFormat="1">
      <c r="A325" s="50"/>
      <c r="B325" s="50"/>
      <c r="C325" s="50"/>
      <c r="D325" s="50"/>
      <c r="E325" s="50"/>
      <c r="F325" s="50"/>
      <c r="G325" s="50"/>
      <c r="H325" s="50"/>
      <c r="I325" s="50"/>
      <c r="J325" s="50"/>
      <c r="K325" s="50"/>
      <c r="L325" s="50"/>
      <c r="M325" s="50"/>
      <c r="N325" s="50"/>
      <c r="O325" s="50"/>
      <c r="P325" s="50"/>
      <c r="Q325" s="50"/>
      <c r="R325" s="50"/>
      <c r="S325" s="50"/>
      <c r="T325" s="50"/>
      <c r="U325" s="50"/>
      <c r="V325" s="50"/>
      <c r="W325" s="51"/>
      <c r="X325" s="51"/>
      <c r="Y325" s="216"/>
      <c r="Z325" s="216"/>
      <c r="AA325" s="51"/>
      <c r="AB325" s="51"/>
      <c r="AC325" s="51"/>
      <c r="AD325" s="51"/>
    </row>
    <row r="326" spans="1:30" customFormat="1">
      <c r="A326" s="50"/>
      <c r="B326" s="50"/>
      <c r="C326" s="50"/>
      <c r="D326" s="50"/>
      <c r="E326" s="50"/>
      <c r="F326" s="50"/>
      <c r="G326" s="50"/>
      <c r="H326" s="50"/>
      <c r="I326" s="50"/>
      <c r="J326" s="50"/>
      <c r="K326" s="50"/>
      <c r="L326" s="50"/>
      <c r="M326" s="50"/>
      <c r="N326" s="50"/>
      <c r="O326" s="50"/>
      <c r="P326" s="50"/>
      <c r="Q326" s="50"/>
      <c r="R326" s="50"/>
      <c r="S326" s="50"/>
      <c r="T326" s="50"/>
      <c r="U326" s="50"/>
      <c r="V326" s="50"/>
      <c r="W326" s="51"/>
      <c r="X326" s="51"/>
      <c r="Y326" s="216"/>
      <c r="Z326" s="216"/>
      <c r="AA326" s="51"/>
      <c r="AB326" s="51"/>
      <c r="AC326" s="51"/>
      <c r="AD326" s="51"/>
    </row>
    <row r="327" spans="1:30" customFormat="1">
      <c r="A327" s="50"/>
      <c r="B327" s="50"/>
      <c r="C327" s="50"/>
      <c r="D327" s="50"/>
      <c r="E327" s="50"/>
      <c r="F327" s="50"/>
      <c r="G327" s="50"/>
      <c r="H327" s="50"/>
      <c r="I327" s="50"/>
      <c r="J327" s="50"/>
      <c r="K327" s="50"/>
      <c r="L327" s="50"/>
      <c r="M327" s="50"/>
      <c r="N327" s="50"/>
      <c r="O327" s="50"/>
      <c r="P327" s="50"/>
      <c r="Q327" s="50"/>
      <c r="R327" s="50"/>
      <c r="S327" s="50"/>
      <c r="T327" s="50"/>
      <c r="U327" s="50"/>
      <c r="V327" s="50"/>
      <c r="W327" s="51"/>
      <c r="X327" s="51"/>
      <c r="Y327" s="216"/>
      <c r="Z327" s="216"/>
      <c r="AA327" s="51"/>
      <c r="AB327" s="51"/>
      <c r="AC327" s="51"/>
      <c r="AD327" s="51"/>
    </row>
    <row r="328" spans="1:30" customFormat="1">
      <c r="A328" s="50"/>
      <c r="B328" s="50"/>
      <c r="C328" s="50"/>
      <c r="D328" s="50"/>
      <c r="E328" s="50"/>
      <c r="F328" s="50"/>
      <c r="G328" s="50"/>
      <c r="H328" s="50"/>
      <c r="I328" s="50"/>
      <c r="J328" s="50"/>
      <c r="K328" s="50"/>
      <c r="L328" s="50"/>
      <c r="M328" s="50"/>
      <c r="N328" s="50"/>
      <c r="O328" s="50"/>
      <c r="P328" s="50"/>
      <c r="Q328" s="50"/>
      <c r="R328" s="50"/>
      <c r="S328" s="50"/>
      <c r="T328" s="50"/>
      <c r="U328" s="50"/>
      <c r="V328" s="50"/>
      <c r="W328" s="51"/>
      <c r="X328" s="51"/>
      <c r="Y328" s="216"/>
      <c r="Z328" s="216"/>
      <c r="AA328" s="51"/>
      <c r="AB328" s="51"/>
      <c r="AC328" s="51"/>
      <c r="AD328" s="51"/>
    </row>
    <row r="329" spans="1:30" customFormat="1">
      <c r="A329" s="50"/>
      <c r="B329" s="50"/>
      <c r="C329" s="50"/>
      <c r="D329" s="50"/>
      <c r="E329" s="50"/>
      <c r="F329" s="50"/>
      <c r="G329" s="50"/>
      <c r="H329" s="50"/>
      <c r="I329" s="50"/>
      <c r="J329" s="50"/>
      <c r="K329" s="50"/>
      <c r="L329" s="50"/>
      <c r="M329" s="50"/>
      <c r="N329" s="50"/>
      <c r="O329" s="50"/>
      <c r="P329" s="50"/>
      <c r="Q329" s="50"/>
      <c r="R329" s="50"/>
      <c r="S329" s="50"/>
      <c r="T329" s="50"/>
      <c r="U329" s="50"/>
      <c r="V329" s="50"/>
      <c r="W329" s="51"/>
      <c r="X329" s="51"/>
      <c r="Y329" s="216"/>
      <c r="Z329" s="216"/>
      <c r="AA329" s="51"/>
      <c r="AB329" s="51"/>
      <c r="AC329" s="51"/>
      <c r="AD329" s="51"/>
    </row>
    <row r="330" spans="1:30" customFormat="1">
      <c r="A330" s="50"/>
      <c r="B330" s="50"/>
      <c r="C330" s="50"/>
      <c r="D330" s="50"/>
      <c r="E330" s="50"/>
      <c r="F330" s="50"/>
      <c r="G330" s="50"/>
      <c r="H330" s="50"/>
      <c r="I330" s="50"/>
      <c r="J330" s="50"/>
      <c r="K330" s="50"/>
      <c r="L330" s="50"/>
      <c r="M330" s="50"/>
      <c r="N330" s="50"/>
      <c r="O330" s="50"/>
      <c r="P330" s="50"/>
      <c r="Q330" s="50"/>
      <c r="R330" s="50"/>
      <c r="S330" s="50"/>
      <c r="T330" s="50"/>
      <c r="U330" s="50"/>
      <c r="V330" s="50"/>
      <c r="W330" s="51"/>
      <c r="X330" s="51"/>
      <c r="Y330" s="216"/>
      <c r="Z330" s="216"/>
      <c r="AA330" s="51"/>
      <c r="AB330" s="51"/>
      <c r="AC330" s="51"/>
      <c r="AD330" s="51"/>
    </row>
    <row r="331" spans="1:30" customFormat="1">
      <c r="A331" s="50"/>
      <c r="B331" s="50"/>
      <c r="C331" s="50"/>
      <c r="D331" s="50"/>
      <c r="E331" s="50"/>
      <c r="F331" s="50"/>
      <c r="G331" s="50"/>
      <c r="H331" s="50"/>
      <c r="I331" s="50"/>
      <c r="J331" s="50"/>
      <c r="K331" s="50"/>
      <c r="L331" s="50"/>
      <c r="M331" s="50"/>
      <c r="N331" s="50"/>
      <c r="O331" s="50"/>
      <c r="P331" s="50"/>
      <c r="Q331" s="50"/>
      <c r="R331" s="50"/>
      <c r="S331" s="50"/>
      <c r="T331" s="50"/>
      <c r="U331" s="50"/>
      <c r="V331" s="50"/>
      <c r="W331" s="51"/>
      <c r="X331" s="51"/>
      <c r="Y331" s="216"/>
      <c r="Z331" s="216"/>
      <c r="AA331" s="51"/>
      <c r="AB331" s="51"/>
      <c r="AC331" s="51"/>
      <c r="AD331" s="51"/>
    </row>
    <row r="332" spans="1:30" customFormat="1">
      <c r="A332" s="50"/>
      <c r="B332" s="50"/>
      <c r="C332" s="50"/>
      <c r="D332" s="50"/>
      <c r="E332" s="50"/>
      <c r="F332" s="50"/>
      <c r="G332" s="50"/>
      <c r="H332" s="50"/>
      <c r="I332" s="50"/>
      <c r="J332" s="50"/>
      <c r="K332" s="50"/>
      <c r="L332" s="50"/>
      <c r="M332" s="50"/>
      <c r="N332" s="50"/>
      <c r="O332" s="50"/>
      <c r="P332" s="50"/>
      <c r="Q332" s="50"/>
      <c r="R332" s="50"/>
      <c r="S332" s="50"/>
      <c r="T332" s="50"/>
      <c r="U332" s="50"/>
      <c r="V332" s="50"/>
      <c r="W332" s="51"/>
      <c r="X332" s="51"/>
      <c r="Y332" s="216"/>
      <c r="Z332" s="216"/>
      <c r="AA332" s="51"/>
      <c r="AB332" s="51"/>
      <c r="AC332" s="51"/>
      <c r="AD332" s="51"/>
    </row>
    <row r="333" spans="1:30" customFormat="1">
      <c r="A333" s="50"/>
      <c r="B333" s="50"/>
      <c r="C333" s="50"/>
      <c r="D333" s="50"/>
      <c r="E333" s="50"/>
      <c r="F333" s="50"/>
      <c r="G333" s="50"/>
      <c r="H333" s="50"/>
      <c r="I333" s="50"/>
      <c r="J333" s="50"/>
      <c r="K333" s="50"/>
      <c r="L333" s="50"/>
      <c r="M333" s="50"/>
      <c r="N333" s="50"/>
      <c r="O333" s="50"/>
      <c r="P333" s="50"/>
      <c r="Q333" s="50"/>
      <c r="R333" s="50"/>
      <c r="S333" s="50"/>
      <c r="T333" s="50"/>
      <c r="U333" s="50"/>
      <c r="V333" s="50"/>
      <c r="W333" s="51"/>
      <c r="X333" s="51"/>
      <c r="Y333" s="216"/>
      <c r="Z333" s="216"/>
      <c r="AA333" s="51"/>
      <c r="AB333" s="51"/>
      <c r="AC333" s="51"/>
      <c r="AD333" s="51"/>
    </row>
    <row r="334" spans="1:30" customFormat="1">
      <c r="A334" s="50"/>
      <c r="B334" s="50"/>
      <c r="C334" s="50"/>
      <c r="D334" s="50"/>
      <c r="E334" s="50"/>
      <c r="F334" s="50"/>
      <c r="G334" s="50"/>
      <c r="H334" s="50"/>
      <c r="I334" s="50"/>
      <c r="J334" s="50"/>
      <c r="K334" s="50"/>
      <c r="L334" s="50"/>
      <c r="M334" s="50"/>
      <c r="N334" s="50"/>
      <c r="O334" s="50"/>
      <c r="P334" s="50"/>
      <c r="Q334" s="50"/>
      <c r="R334" s="50"/>
      <c r="S334" s="50"/>
      <c r="T334" s="50"/>
      <c r="U334" s="50"/>
      <c r="V334" s="50"/>
      <c r="W334" s="51"/>
      <c r="X334" s="51"/>
      <c r="Y334" s="216"/>
      <c r="Z334" s="216"/>
      <c r="AA334" s="51"/>
      <c r="AB334" s="51"/>
      <c r="AC334" s="51"/>
      <c r="AD334" s="51"/>
    </row>
    <row r="335" spans="1:30" customFormat="1">
      <c r="A335" s="50"/>
      <c r="B335" s="50"/>
      <c r="C335" s="50"/>
      <c r="D335" s="50"/>
      <c r="E335" s="50"/>
      <c r="F335" s="50"/>
      <c r="G335" s="50"/>
      <c r="H335" s="50"/>
      <c r="I335" s="50"/>
      <c r="J335" s="50"/>
      <c r="K335" s="50"/>
      <c r="L335" s="50"/>
      <c r="M335" s="50"/>
      <c r="N335" s="50"/>
      <c r="O335" s="50"/>
      <c r="P335" s="50"/>
      <c r="Q335" s="50"/>
      <c r="R335" s="50"/>
      <c r="S335" s="50"/>
      <c r="T335" s="50"/>
      <c r="U335" s="50"/>
      <c r="V335" s="50"/>
      <c r="W335" s="51"/>
      <c r="X335" s="51"/>
      <c r="Y335" s="216"/>
      <c r="Z335" s="216"/>
      <c r="AA335" s="51"/>
      <c r="AB335" s="51"/>
      <c r="AC335" s="51"/>
      <c r="AD335" s="51"/>
    </row>
    <row r="336" spans="1:30" customFormat="1">
      <c r="A336" s="50"/>
      <c r="B336" s="50"/>
      <c r="C336" s="50"/>
      <c r="D336" s="50"/>
      <c r="E336" s="50"/>
      <c r="F336" s="50"/>
      <c r="G336" s="50"/>
      <c r="H336" s="50"/>
      <c r="I336" s="50"/>
      <c r="J336" s="50"/>
      <c r="K336" s="50"/>
      <c r="L336" s="50"/>
      <c r="M336" s="50"/>
      <c r="N336" s="50"/>
      <c r="O336" s="50"/>
      <c r="P336" s="50"/>
      <c r="Q336" s="50"/>
      <c r="R336" s="50"/>
      <c r="S336" s="50"/>
      <c r="T336" s="50"/>
      <c r="U336" s="50"/>
      <c r="V336" s="50"/>
      <c r="W336" s="51"/>
      <c r="X336" s="51"/>
      <c r="Y336" s="216"/>
      <c r="Z336" s="216"/>
      <c r="AA336" s="51"/>
      <c r="AB336" s="51"/>
      <c r="AC336" s="51"/>
      <c r="AD336" s="51"/>
    </row>
    <row r="337" spans="1:30" customFormat="1">
      <c r="A337" s="50"/>
      <c r="B337" s="50"/>
      <c r="C337" s="50"/>
      <c r="D337" s="50"/>
      <c r="E337" s="50"/>
      <c r="F337" s="50"/>
      <c r="G337" s="50"/>
      <c r="H337" s="50"/>
      <c r="I337" s="50"/>
      <c r="J337" s="50"/>
      <c r="K337" s="50"/>
      <c r="L337" s="50"/>
      <c r="M337" s="50"/>
      <c r="N337" s="50"/>
      <c r="O337" s="50"/>
      <c r="P337" s="50"/>
      <c r="Q337" s="50"/>
      <c r="R337" s="50"/>
      <c r="S337" s="50"/>
      <c r="T337" s="50"/>
      <c r="U337" s="50"/>
      <c r="V337" s="50"/>
      <c r="W337" s="51"/>
      <c r="X337" s="51"/>
      <c r="Y337" s="216"/>
      <c r="Z337" s="216"/>
      <c r="AA337" s="51"/>
      <c r="AB337" s="51"/>
      <c r="AC337" s="51"/>
      <c r="AD337" s="51"/>
    </row>
    <row r="338" spans="1:30" customFormat="1">
      <c r="A338" s="50"/>
      <c r="B338" s="50"/>
      <c r="C338" s="50"/>
      <c r="D338" s="50"/>
      <c r="E338" s="50"/>
      <c r="F338" s="50"/>
      <c r="G338" s="50"/>
      <c r="H338" s="50"/>
      <c r="I338" s="50"/>
      <c r="J338" s="50"/>
      <c r="K338" s="50"/>
      <c r="L338" s="50"/>
      <c r="M338" s="50"/>
      <c r="N338" s="50"/>
      <c r="O338" s="50"/>
      <c r="P338" s="50"/>
      <c r="Q338" s="50"/>
      <c r="R338" s="50"/>
      <c r="S338" s="50"/>
      <c r="T338" s="50"/>
      <c r="U338" s="50"/>
      <c r="V338" s="50"/>
      <c r="W338" s="51"/>
      <c r="X338" s="51"/>
      <c r="Y338" s="216"/>
      <c r="Z338" s="216"/>
      <c r="AA338" s="51"/>
      <c r="AB338" s="51"/>
      <c r="AC338" s="51"/>
      <c r="AD338" s="51"/>
    </row>
    <row r="339" spans="1:30" customFormat="1">
      <c r="A339" s="50"/>
      <c r="B339" s="50"/>
      <c r="C339" s="50"/>
      <c r="D339" s="50"/>
      <c r="E339" s="50"/>
      <c r="F339" s="50"/>
      <c r="G339" s="50"/>
      <c r="H339" s="50"/>
      <c r="I339" s="50"/>
      <c r="J339" s="50"/>
      <c r="K339" s="50"/>
      <c r="L339" s="50"/>
      <c r="M339" s="50"/>
      <c r="N339" s="50"/>
      <c r="O339" s="50"/>
      <c r="P339" s="50"/>
      <c r="Q339" s="50"/>
      <c r="R339" s="50"/>
      <c r="S339" s="50"/>
      <c r="T339" s="50"/>
      <c r="U339" s="50"/>
      <c r="V339" s="50"/>
      <c r="W339" s="51"/>
      <c r="X339" s="51"/>
      <c r="Y339" s="216"/>
      <c r="Z339" s="216"/>
      <c r="AA339" s="51"/>
      <c r="AB339" s="51"/>
      <c r="AC339" s="51"/>
      <c r="AD339" s="51"/>
    </row>
    <row r="340" spans="1:30" customFormat="1">
      <c r="A340" s="50"/>
      <c r="B340" s="50"/>
      <c r="C340" s="50"/>
      <c r="D340" s="50"/>
      <c r="E340" s="50"/>
      <c r="F340" s="50"/>
      <c r="G340" s="50"/>
      <c r="H340" s="50"/>
      <c r="I340" s="50"/>
      <c r="J340" s="50"/>
      <c r="K340" s="50"/>
      <c r="L340" s="50"/>
      <c r="M340" s="50"/>
      <c r="N340" s="50"/>
      <c r="O340" s="50"/>
      <c r="P340" s="50"/>
      <c r="Q340" s="50"/>
      <c r="R340" s="50"/>
      <c r="S340" s="50"/>
      <c r="T340" s="50"/>
      <c r="U340" s="50"/>
      <c r="V340" s="50"/>
      <c r="W340" s="51"/>
      <c r="X340" s="51"/>
      <c r="Y340" s="216"/>
      <c r="Z340" s="216"/>
      <c r="AA340" s="51"/>
      <c r="AB340" s="51"/>
      <c r="AC340" s="51"/>
      <c r="AD340" s="51"/>
    </row>
    <row r="341" spans="1:30" customFormat="1">
      <c r="A341" s="50"/>
      <c r="B341" s="50"/>
      <c r="C341" s="50"/>
      <c r="D341" s="50"/>
      <c r="E341" s="50"/>
      <c r="F341" s="50"/>
      <c r="G341" s="50"/>
      <c r="H341" s="50"/>
      <c r="I341" s="50"/>
      <c r="J341" s="50"/>
      <c r="K341" s="50"/>
      <c r="L341" s="50"/>
      <c r="M341" s="50"/>
      <c r="N341" s="50"/>
      <c r="O341" s="50"/>
      <c r="P341" s="50"/>
      <c r="Q341" s="50"/>
      <c r="R341" s="50"/>
      <c r="S341" s="50"/>
      <c r="T341" s="50"/>
      <c r="U341" s="50"/>
      <c r="V341" s="50"/>
      <c r="W341" s="51"/>
      <c r="X341" s="51"/>
      <c r="Y341" s="216"/>
      <c r="Z341" s="216"/>
      <c r="AA341" s="51"/>
      <c r="AB341" s="51"/>
      <c r="AC341" s="51"/>
      <c r="AD341" s="51"/>
    </row>
    <row r="342" spans="1:30" customFormat="1">
      <c r="A342" s="50"/>
      <c r="B342" s="50"/>
      <c r="C342" s="50"/>
      <c r="D342" s="50"/>
      <c r="E342" s="50"/>
      <c r="F342" s="50"/>
      <c r="G342" s="50"/>
      <c r="H342" s="50"/>
      <c r="I342" s="50"/>
      <c r="J342" s="50"/>
      <c r="K342" s="50"/>
      <c r="L342" s="50"/>
      <c r="M342" s="50"/>
      <c r="N342" s="50"/>
      <c r="O342" s="50"/>
      <c r="P342" s="50"/>
      <c r="Q342" s="50"/>
      <c r="R342" s="50"/>
      <c r="S342" s="50"/>
      <c r="T342" s="50"/>
      <c r="U342" s="50"/>
      <c r="V342" s="50"/>
      <c r="W342" s="51"/>
      <c r="X342" s="51"/>
      <c r="Y342" s="216"/>
      <c r="Z342" s="216"/>
      <c r="AA342" s="51"/>
      <c r="AB342" s="51"/>
      <c r="AC342" s="51"/>
      <c r="AD342" s="51"/>
    </row>
    <row r="343" spans="1:30" customFormat="1">
      <c r="A343" s="50"/>
      <c r="B343" s="50"/>
      <c r="C343" s="50"/>
      <c r="D343" s="50"/>
      <c r="E343" s="50"/>
      <c r="F343" s="50"/>
      <c r="G343" s="50"/>
      <c r="H343" s="50"/>
      <c r="I343" s="50"/>
      <c r="J343" s="50"/>
      <c r="K343" s="50"/>
      <c r="L343" s="50"/>
      <c r="M343" s="50"/>
      <c r="N343" s="50"/>
      <c r="O343" s="50"/>
      <c r="P343" s="50"/>
      <c r="Q343" s="50"/>
      <c r="R343" s="50"/>
      <c r="S343" s="50"/>
      <c r="T343" s="50"/>
      <c r="U343" s="50"/>
      <c r="V343" s="50"/>
      <c r="W343" s="51"/>
      <c r="X343" s="51"/>
      <c r="Y343" s="216"/>
      <c r="Z343" s="216"/>
      <c r="AA343" s="51"/>
      <c r="AB343" s="51"/>
      <c r="AC343" s="51"/>
      <c r="AD343" s="51"/>
    </row>
    <row r="344" spans="1:30" customFormat="1">
      <c r="A344" s="50"/>
      <c r="B344" s="50"/>
      <c r="C344" s="50"/>
      <c r="D344" s="50"/>
      <c r="E344" s="50"/>
      <c r="F344" s="50"/>
      <c r="G344" s="50"/>
      <c r="H344" s="50"/>
      <c r="I344" s="50"/>
      <c r="J344" s="50"/>
      <c r="K344" s="50"/>
      <c r="L344" s="50"/>
      <c r="M344" s="50"/>
      <c r="N344" s="50"/>
      <c r="O344" s="50"/>
      <c r="P344" s="50"/>
      <c r="Q344" s="50"/>
      <c r="R344" s="50"/>
      <c r="S344" s="50"/>
      <c r="T344" s="50"/>
      <c r="U344" s="50"/>
      <c r="V344" s="50"/>
      <c r="W344" s="51"/>
      <c r="X344" s="51"/>
      <c r="Y344" s="216"/>
      <c r="Z344" s="216"/>
      <c r="AA344" s="51"/>
      <c r="AB344" s="51"/>
      <c r="AC344" s="51"/>
      <c r="AD344" s="51"/>
    </row>
    <row r="345" spans="1:30" customFormat="1">
      <c r="A345" s="50"/>
      <c r="B345" s="50"/>
      <c r="C345" s="50"/>
      <c r="D345" s="50"/>
      <c r="E345" s="50"/>
      <c r="F345" s="50"/>
      <c r="G345" s="50"/>
      <c r="H345" s="50"/>
      <c r="I345" s="50"/>
      <c r="J345" s="50"/>
      <c r="K345" s="50"/>
      <c r="L345" s="50"/>
      <c r="M345" s="50"/>
      <c r="N345" s="50"/>
      <c r="O345" s="50"/>
      <c r="P345" s="50"/>
      <c r="Q345" s="50"/>
      <c r="R345" s="50"/>
      <c r="S345" s="50"/>
      <c r="T345" s="50"/>
      <c r="U345" s="50"/>
      <c r="V345" s="50"/>
      <c r="W345" s="51"/>
      <c r="X345" s="51"/>
      <c r="Y345" s="216"/>
      <c r="Z345" s="216"/>
      <c r="AA345" s="51"/>
      <c r="AB345" s="51"/>
      <c r="AC345" s="51"/>
      <c r="AD345" s="51"/>
    </row>
    <row r="346" spans="1:30" customFormat="1">
      <c r="A346" s="50"/>
      <c r="B346" s="50"/>
      <c r="C346" s="50"/>
      <c r="D346" s="50"/>
      <c r="E346" s="50"/>
      <c r="F346" s="50"/>
      <c r="G346" s="50"/>
      <c r="H346" s="50"/>
      <c r="I346" s="50"/>
      <c r="J346" s="50"/>
      <c r="K346" s="50"/>
      <c r="L346" s="50"/>
      <c r="M346" s="50"/>
      <c r="N346" s="50"/>
      <c r="O346" s="50"/>
      <c r="P346" s="50"/>
      <c r="Q346" s="50"/>
      <c r="R346" s="50"/>
      <c r="S346" s="50"/>
      <c r="T346" s="50"/>
      <c r="U346" s="50"/>
      <c r="V346" s="50"/>
      <c r="W346" s="51"/>
      <c r="X346" s="51"/>
      <c r="Y346" s="216"/>
      <c r="Z346" s="216"/>
      <c r="AA346" s="51"/>
      <c r="AB346" s="51"/>
      <c r="AC346" s="51"/>
      <c r="AD346" s="51"/>
    </row>
    <row r="347" spans="1:30" customFormat="1">
      <c r="A347" s="50"/>
      <c r="B347" s="50"/>
      <c r="C347" s="50"/>
      <c r="D347" s="50"/>
      <c r="E347" s="50"/>
      <c r="F347" s="50"/>
      <c r="G347" s="50"/>
      <c r="H347" s="50"/>
      <c r="I347" s="50"/>
      <c r="J347" s="50"/>
      <c r="K347" s="50"/>
      <c r="L347" s="50"/>
      <c r="M347" s="50"/>
      <c r="N347" s="50"/>
      <c r="O347" s="50"/>
      <c r="P347" s="50"/>
      <c r="Q347" s="50"/>
      <c r="R347" s="50"/>
      <c r="S347" s="50"/>
      <c r="T347" s="50"/>
      <c r="U347" s="50"/>
      <c r="V347" s="50"/>
      <c r="W347" s="51"/>
      <c r="X347" s="51"/>
      <c r="Y347" s="216"/>
      <c r="Z347" s="216"/>
      <c r="AA347" s="51"/>
      <c r="AB347" s="51"/>
      <c r="AC347" s="51"/>
      <c r="AD347" s="51"/>
    </row>
    <row r="348" spans="1:30" customFormat="1">
      <c r="A348" s="50"/>
      <c r="B348" s="50"/>
      <c r="C348" s="50"/>
      <c r="D348" s="50"/>
      <c r="E348" s="50"/>
      <c r="F348" s="50"/>
      <c r="G348" s="50"/>
      <c r="H348" s="50"/>
      <c r="I348" s="50"/>
      <c r="J348" s="50"/>
      <c r="K348" s="50"/>
      <c r="L348" s="50"/>
      <c r="M348" s="50"/>
      <c r="N348" s="50"/>
      <c r="O348" s="50"/>
      <c r="P348" s="50"/>
      <c r="Q348" s="50"/>
      <c r="R348" s="50"/>
      <c r="S348" s="50"/>
      <c r="T348" s="50"/>
      <c r="U348" s="50"/>
      <c r="V348" s="50"/>
      <c r="W348" s="51"/>
      <c r="X348" s="51"/>
      <c r="Y348" s="216"/>
      <c r="Z348" s="216"/>
      <c r="AA348" s="51"/>
      <c r="AB348" s="51"/>
      <c r="AC348" s="51"/>
      <c r="AD348" s="51"/>
    </row>
    <row r="349" spans="1:30" customFormat="1">
      <c r="A349" s="50"/>
      <c r="B349" s="50"/>
      <c r="C349" s="50"/>
      <c r="D349" s="50"/>
      <c r="E349" s="50"/>
      <c r="F349" s="50"/>
      <c r="G349" s="50"/>
      <c r="H349" s="50"/>
      <c r="I349" s="50"/>
      <c r="J349" s="50"/>
      <c r="K349" s="50"/>
      <c r="L349" s="50"/>
      <c r="M349" s="50"/>
      <c r="N349" s="50"/>
      <c r="O349" s="50"/>
      <c r="P349" s="50"/>
      <c r="Q349" s="50"/>
      <c r="R349" s="50"/>
      <c r="S349" s="50"/>
      <c r="T349" s="50"/>
      <c r="U349" s="50"/>
      <c r="V349" s="50"/>
      <c r="W349" s="51"/>
      <c r="X349" s="51"/>
      <c r="Y349" s="216"/>
      <c r="Z349" s="216"/>
      <c r="AA349" s="51"/>
      <c r="AB349" s="51"/>
      <c r="AC349" s="51"/>
      <c r="AD349" s="51"/>
    </row>
    <row r="350" spans="1:30" customFormat="1">
      <c r="A350" s="50"/>
      <c r="B350" s="50"/>
      <c r="C350" s="50"/>
      <c r="D350" s="50"/>
      <c r="E350" s="50"/>
      <c r="F350" s="50"/>
      <c r="G350" s="50"/>
      <c r="H350" s="50"/>
      <c r="I350" s="50"/>
      <c r="J350" s="50"/>
      <c r="K350" s="50"/>
      <c r="L350" s="50"/>
      <c r="M350" s="50"/>
      <c r="N350" s="50"/>
      <c r="O350" s="50"/>
      <c r="P350" s="50"/>
      <c r="Q350" s="50"/>
      <c r="R350" s="50"/>
      <c r="S350" s="50"/>
      <c r="T350" s="50"/>
      <c r="U350" s="50"/>
      <c r="V350" s="50"/>
      <c r="W350" s="51"/>
      <c r="X350" s="51"/>
      <c r="Y350" s="216"/>
      <c r="Z350" s="216"/>
      <c r="AA350" s="51"/>
      <c r="AB350" s="51"/>
      <c r="AC350" s="51"/>
      <c r="AD350" s="51"/>
    </row>
    <row r="351" spans="1:30" customFormat="1">
      <c r="A351" s="50"/>
      <c r="B351" s="50"/>
      <c r="C351" s="50"/>
      <c r="D351" s="50"/>
      <c r="E351" s="50"/>
      <c r="F351" s="50"/>
      <c r="G351" s="50"/>
      <c r="H351" s="50"/>
      <c r="I351" s="50"/>
      <c r="J351" s="50"/>
      <c r="K351" s="50"/>
      <c r="L351" s="50"/>
      <c r="M351" s="50"/>
      <c r="N351" s="50"/>
      <c r="O351" s="50"/>
      <c r="P351" s="50"/>
      <c r="Q351" s="50"/>
      <c r="R351" s="50"/>
      <c r="S351" s="50"/>
      <c r="T351" s="50"/>
      <c r="U351" s="50"/>
      <c r="V351" s="50"/>
      <c r="W351" s="51"/>
      <c r="X351" s="51"/>
      <c r="Y351" s="216"/>
      <c r="Z351" s="216"/>
      <c r="AA351" s="51"/>
      <c r="AB351" s="51"/>
      <c r="AC351" s="51"/>
      <c r="AD351" s="51"/>
    </row>
    <row r="352" spans="1:30" customFormat="1">
      <c r="A352" s="50"/>
      <c r="B352" s="50"/>
      <c r="C352" s="50"/>
      <c r="D352" s="50"/>
      <c r="E352" s="50"/>
      <c r="F352" s="50"/>
      <c r="G352" s="50"/>
      <c r="H352" s="50"/>
      <c r="I352" s="50"/>
      <c r="J352" s="50"/>
      <c r="K352" s="50"/>
      <c r="L352" s="50"/>
      <c r="M352" s="50"/>
      <c r="N352" s="50"/>
      <c r="O352" s="50"/>
      <c r="P352" s="50"/>
      <c r="Q352" s="50"/>
      <c r="R352" s="50"/>
      <c r="S352" s="50"/>
      <c r="T352" s="50"/>
      <c r="U352" s="50"/>
      <c r="V352" s="50"/>
      <c r="W352" s="51"/>
      <c r="X352" s="51"/>
      <c r="Y352" s="216"/>
      <c r="Z352" s="216"/>
      <c r="AA352" s="51"/>
      <c r="AB352" s="51"/>
      <c r="AC352" s="51"/>
      <c r="AD352" s="51"/>
    </row>
    <row r="353" spans="1:30" customFormat="1">
      <c r="A353" s="50"/>
      <c r="B353" s="50"/>
      <c r="C353" s="50"/>
      <c r="D353" s="50"/>
      <c r="E353" s="50"/>
      <c r="F353" s="50"/>
      <c r="G353" s="50"/>
      <c r="H353" s="50"/>
      <c r="I353" s="50"/>
      <c r="J353" s="50"/>
      <c r="K353" s="50"/>
      <c r="L353" s="50"/>
      <c r="M353" s="50"/>
      <c r="N353" s="50"/>
      <c r="O353" s="50"/>
      <c r="P353" s="50"/>
      <c r="Q353" s="50"/>
      <c r="R353" s="50"/>
      <c r="S353" s="50"/>
      <c r="T353" s="50"/>
      <c r="U353" s="50"/>
      <c r="V353" s="50"/>
      <c r="W353" s="51"/>
      <c r="X353" s="51"/>
      <c r="Y353" s="216"/>
      <c r="Z353" s="216"/>
      <c r="AA353" s="51"/>
      <c r="AB353" s="51"/>
      <c r="AC353" s="51"/>
      <c r="AD353" s="51"/>
    </row>
    <row r="354" spans="1:30" customFormat="1">
      <c r="A354" s="50"/>
      <c r="B354" s="50"/>
      <c r="C354" s="50"/>
      <c r="D354" s="50"/>
      <c r="E354" s="50"/>
      <c r="F354" s="50"/>
      <c r="G354" s="50"/>
      <c r="H354" s="50"/>
      <c r="I354" s="50"/>
      <c r="J354" s="50"/>
      <c r="K354" s="50"/>
      <c r="L354" s="50"/>
      <c r="M354" s="50"/>
      <c r="N354" s="50"/>
      <c r="O354" s="50"/>
      <c r="P354" s="50"/>
      <c r="Q354" s="50"/>
      <c r="R354" s="50"/>
      <c r="S354" s="50"/>
      <c r="T354" s="50"/>
      <c r="U354" s="50"/>
      <c r="V354" s="50"/>
      <c r="W354" s="51"/>
      <c r="X354" s="51"/>
      <c r="Y354" s="216"/>
      <c r="Z354" s="216"/>
      <c r="AA354" s="51"/>
      <c r="AB354" s="51"/>
      <c r="AC354" s="51"/>
      <c r="AD354" s="51"/>
    </row>
    <row r="355" spans="1:30" customFormat="1">
      <c r="A355" s="50"/>
      <c r="B355" s="50"/>
      <c r="C355" s="50"/>
      <c r="D355" s="50"/>
      <c r="E355" s="50"/>
      <c r="F355" s="50"/>
      <c r="G355" s="50"/>
      <c r="H355" s="50"/>
      <c r="I355" s="50"/>
      <c r="J355" s="50"/>
      <c r="K355" s="50"/>
      <c r="L355" s="50"/>
      <c r="M355" s="50"/>
      <c r="N355" s="50"/>
      <c r="O355" s="50"/>
      <c r="P355" s="50"/>
      <c r="Q355" s="50"/>
      <c r="R355" s="50"/>
      <c r="S355" s="50"/>
      <c r="T355" s="50"/>
      <c r="U355" s="50"/>
      <c r="V355" s="50"/>
      <c r="W355" s="51"/>
      <c r="X355" s="51"/>
      <c r="Y355" s="216"/>
      <c r="Z355" s="216"/>
      <c r="AA355" s="51"/>
      <c r="AB355" s="51"/>
      <c r="AC355" s="51"/>
      <c r="AD355" s="51"/>
    </row>
    <row r="356" spans="1:30" customFormat="1">
      <c r="A356" s="50"/>
      <c r="B356" s="50"/>
      <c r="C356" s="50"/>
      <c r="D356" s="50"/>
      <c r="E356" s="50"/>
      <c r="F356" s="50"/>
      <c r="G356" s="50"/>
      <c r="H356" s="50"/>
      <c r="I356" s="50"/>
      <c r="J356" s="50"/>
      <c r="K356" s="50"/>
      <c r="L356" s="50"/>
      <c r="M356" s="50"/>
      <c r="N356" s="50"/>
      <c r="O356" s="50"/>
      <c r="P356" s="50"/>
      <c r="Q356" s="50"/>
      <c r="R356" s="50"/>
      <c r="S356" s="50"/>
      <c r="T356" s="50"/>
      <c r="U356" s="50"/>
      <c r="V356" s="50"/>
      <c r="W356" s="51"/>
      <c r="X356" s="51"/>
      <c r="Y356" s="216"/>
      <c r="Z356" s="216"/>
      <c r="AA356" s="51"/>
      <c r="AB356" s="51"/>
      <c r="AC356" s="51"/>
      <c r="AD356" s="51"/>
    </row>
    <row r="357" spans="1:30" customFormat="1">
      <c r="A357" s="50"/>
      <c r="B357" s="50"/>
      <c r="C357" s="50"/>
      <c r="D357" s="50"/>
      <c r="E357" s="50"/>
      <c r="F357" s="50"/>
      <c r="G357" s="50"/>
      <c r="H357" s="50"/>
      <c r="I357" s="50"/>
      <c r="J357" s="50"/>
      <c r="K357" s="50"/>
      <c r="L357" s="50"/>
      <c r="M357" s="50"/>
      <c r="N357" s="50"/>
      <c r="O357" s="50"/>
      <c r="P357" s="50"/>
      <c r="Q357" s="50"/>
      <c r="R357" s="50"/>
      <c r="S357" s="50"/>
      <c r="T357" s="50"/>
      <c r="U357" s="50"/>
      <c r="V357" s="50"/>
      <c r="W357" s="51"/>
      <c r="X357" s="51"/>
      <c r="Y357" s="216"/>
      <c r="Z357" s="216"/>
      <c r="AA357" s="51"/>
      <c r="AB357" s="51"/>
      <c r="AC357" s="51"/>
      <c r="AD357" s="51"/>
    </row>
    <row r="358" spans="1:30" customFormat="1">
      <c r="A358" s="50"/>
      <c r="B358" s="50"/>
      <c r="C358" s="50"/>
      <c r="D358" s="50"/>
      <c r="E358" s="50"/>
      <c r="F358" s="50"/>
      <c r="G358" s="50"/>
      <c r="H358" s="50"/>
      <c r="I358" s="50"/>
      <c r="J358" s="50"/>
      <c r="K358" s="50"/>
      <c r="L358" s="50"/>
      <c r="M358" s="50"/>
      <c r="N358" s="50"/>
      <c r="O358" s="50"/>
      <c r="P358" s="50"/>
      <c r="Q358" s="50"/>
      <c r="R358" s="50"/>
      <c r="S358" s="50"/>
      <c r="T358" s="50"/>
      <c r="U358" s="50"/>
      <c r="V358" s="50"/>
      <c r="W358" s="51"/>
      <c r="X358" s="51"/>
      <c r="Y358" s="216"/>
      <c r="Z358" s="216"/>
      <c r="AA358" s="51"/>
      <c r="AB358" s="51"/>
      <c r="AC358" s="51"/>
      <c r="AD358" s="51"/>
    </row>
    <row r="359" spans="1:30" customFormat="1">
      <c r="A359" s="50"/>
      <c r="B359" s="50"/>
      <c r="C359" s="50"/>
      <c r="D359" s="50"/>
      <c r="E359" s="50"/>
      <c r="F359" s="50"/>
      <c r="G359" s="50"/>
      <c r="H359" s="50"/>
      <c r="I359" s="50"/>
      <c r="J359" s="50"/>
      <c r="K359" s="50"/>
      <c r="L359" s="50"/>
      <c r="M359" s="50"/>
      <c r="N359" s="50"/>
      <c r="O359" s="50"/>
      <c r="P359" s="50"/>
      <c r="Q359" s="50"/>
      <c r="R359" s="50"/>
      <c r="S359" s="50"/>
      <c r="T359" s="50"/>
      <c r="U359" s="50"/>
      <c r="V359" s="50"/>
      <c r="W359" s="51"/>
      <c r="X359" s="51"/>
      <c r="Y359" s="216"/>
      <c r="Z359" s="216"/>
      <c r="AA359" s="51"/>
      <c r="AB359" s="51"/>
      <c r="AC359" s="51"/>
      <c r="AD359" s="51"/>
    </row>
    <row r="360" spans="1:30" customFormat="1">
      <c r="A360" s="50"/>
      <c r="B360" s="50"/>
      <c r="C360" s="50"/>
      <c r="D360" s="50"/>
      <c r="E360" s="50"/>
      <c r="F360" s="50"/>
      <c r="G360" s="50"/>
      <c r="H360" s="50"/>
      <c r="I360" s="50"/>
      <c r="J360" s="50"/>
      <c r="K360" s="50"/>
      <c r="L360" s="50"/>
      <c r="M360" s="50"/>
      <c r="N360" s="50"/>
      <c r="O360" s="50"/>
      <c r="P360" s="50"/>
      <c r="Q360" s="50"/>
      <c r="R360" s="50"/>
      <c r="S360" s="50"/>
      <c r="T360" s="50"/>
      <c r="U360" s="50"/>
      <c r="V360" s="50"/>
      <c r="W360" s="51"/>
      <c r="X360" s="51"/>
      <c r="Y360" s="216"/>
      <c r="Z360" s="216"/>
      <c r="AA360" s="51"/>
      <c r="AB360" s="51"/>
      <c r="AC360" s="51"/>
      <c r="AD360" s="51"/>
    </row>
    <row r="361" spans="1:30" customFormat="1">
      <c r="A361" s="50"/>
      <c r="B361" s="50"/>
      <c r="C361" s="50"/>
      <c r="D361" s="50"/>
      <c r="E361" s="50"/>
      <c r="F361" s="50"/>
      <c r="G361" s="50"/>
      <c r="H361" s="50"/>
      <c r="I361" s="50"/>
      <c r="J361" s="50"/>
      <c r="K361" s="50"/>
      <c r="L361" s="50"/>
      <c r="M361" s="50"/>
      <c r="N361" s="50"/>
      <c r="O361" s="50"/>
      <c r="P361" s="50"/>
      <c r="Q361" s="50"/>
      <c r="R361" s="50"/>
      <c r="S361" s="50"/>
      <c r="T361" s="50"/>
      <c r="U361" s="50"/>
      <c r="V361" s="50"/>
      <c r="W361" s="51"/>
      <c r="X361" s="51"/>
      <c r="Y361" s="216"/>
      <c r="Z361" s="216"/>
      <c r="AA361" s="51"/>
      <c r="AB361" s="51"/>
      <c r="AC361" s="51"/>
      <c r="AD361" s="51"/>
    </row>
    <row r="362" spans="1:30" customFormat="1">
      <c r="A362" s="50"/>
      <c r="B362" s="50"/>
      <c r="C362" s="50"/>
      <c r="D362" s="50"/>
      <c r="E362" s="50"/>
      <c r="F362" s="50"/>
      <c r="G362" s="50"/>
      <c r="H362" s="50"/>
      <c r="I362" s="50"/>
      <c r="J362" s="50"/>
      <c r="K362" s="50"/>
      <c r="L362" s="50"/>
      <c r="M362" s="50"/>
      <c r="N362" s="50"/>
      <c r="O362" s="50"/>
      <c r="P362" s="50"/>
      <c r="Q362" s="50"/>
      <c r="R362" s="50"/>
      <c r="S362" s="50"/>
      <c r="T362" s="50"/>
      <c r="U362" s="50"/>
      <c r="V362" s="50"/>
      <c r="W362" s="51"/>
      <c r="X362" s="51"/>
      <c r="Y362" s="216"/>
      <c r="Z362" s="216"/>
      <c r="AA362" s="51"/>
      <c r="AB362" s="51"/>
      <c r="AC362" s="51"/>
      <c r="AD362" s="51"/>
    </row>
    <row r="363" spans="1:30" customFormat="1">
      <c r="A363" s="50"/>
      <c r="B363" s="50"/>
      <c r="C363" s="50"/>
      <c r="D363" s="50"/>
      <c r="E363" s="50"/>
      <c r="F363" s="50"/>
      <c r="G363" s="50"/>
      <c r="H363" s="50"/>
      <c r="I363" s="50"/>
      <c r="J363" s="50"/>
      <c r="K363" s="50"/>
      <c r="L363" s="50"/>
      <c r="M363" s="50"/>
      <c r="N363" s="50"/>
      <c r="O363" s="50"/>
      <c r="P363" s="50"/>
      <c r="Q363" s="50"/>
      <c r="R363" s="50"/>
      <c r="S363" s="50"/>
      <c r="T363" s="50"/>
      <c r="U363" s="50"/>
      <c r="V363" s="50"/>
      <c r="W363" s="51"/>
      <c r="X363" s="51"/>
      <c r="Y363" s="216"/>
      <c r="Z363" s="216"/>
      <c r="AA363" s="51"/>
      <c r="AB363" s="51"/>
      <c r="AC363" s="51"/>
      <c r="AD363" s="51"/>
    </row>
    <row r="364" spans="1:30" customFormat="1">
      <c r="A364" s="50"/>
      <c r="B364" s="50"/>
      <c r="C364" s="50"/>
      <c r="D364" s="50"/>
      <c r="E364" s="50"/>
      <c r="F364" s="50"/>
      <c r="G364" s="50"/>
      <c r="H364" s="50"/>
      <c r="I364" s="50"/>
      <c r="J364" s="50"/>
      <c r="K364" s="50"/>
      <c r="L364" s="50"/>
      <c r="M364" s="50"/>
      <c r="N364" s="50"/>
      <c r="O364" s="50"/>
      <c r="P364" s="50"/>
      <c r="Q364" s="50"/>
      <c r="R364" s="50"/>
      <c r="S364" s="50"/>
      <c r="T364" s="50"/>
      <c r="U364" s="50"/>
      <c r="V364" s="50"/>
      <c r="W364" s="51"/>
      <c r="X364" s="51"/>
      <c r="Y364" s="216"/>
      <c r="Z364" s="216"/>
      <c r="AA364" s="51"/>
      <c r="AB364" s="51"/>
      <c r="AC364" s="51"/>
      <c r="AD364" s="51"/>
    </row>
    <row r="365" spans="1:30" customFormat="1">
      <c r="A365" s="50"/>
      <c r="B365" s="50"/>
      <c r="C365" s="50"/>
      <c r="D365" s="50"/>
      <c r="E365" s="50"/>
      <c r="F365" s="50"/>
      <c r="G365" s="50"/>
      <c r="H365" s="50"/>
      <c r="I365" s="50"/>
      <c r="J365" s="50"/>
      <c r="K365" s="50"/>
      <c r="L365" s="50"/>
      <c r="M365" s="50"/>
      <c r="N365" s="50"/>
      <c r="O365" s="50"/>
      <c r="P365" s="50"/>
      <c r="Q365" s="50"/>
      <c r="R365" s="50"/>
      <c r="S365" s="50"/>
      <c r="T365" s="50"/>
      <c r="U365" s="50"/>
      <c r="V365" s="50"/>
      <c r="W365" s="51"/>
      <c r="X365" s="51"/>
      <c r="Y365" s="216"/>
      <c r="Z365" s="216"/>
      <c r="AA365" s="51"/>
      <c r="AB365" s="51"/>
      <c r="AC365" s="51"/>
      <c r="AD365" s="51"/>
    </row>
    <row r="366" spans="1:30" customFormat="1">
      <c r="A366" s="50"/>
      <c r="B366" s="50"/>
      <c r="C366" s="50"/>
      <c r="D366" s="50"/>
      <c r="E366" s="50"/>
      <c r="F366" s="50"/>
      <c r="G366" s="50"/>
      <c r="H366" s="50"/>
      <c r="I366" s="50"/>
      <c r="J366" s="50"/>
      <c r="K366" s="50"/>
      <c r="L366" s="50"/>
      <c r="M366" s="50"/>
      <c r="N366" s="50"/>
      <c r="O366" s="50"/>
      <c r="P366" s="50"/>
      <c r="Q366" s="50"/>
      <c r="R366" s="50"/>
      <c r="S366" s="50"/>
      <c r="T366" s="50"/>
      <c r="U366" s="50"/>
      <c r="V366" s="50"/>
      <c r="W366" s="51"/>
      <c r="X366" s="51"/>
      <c r="Y366" s="216"/>
      <c r="Z366" s="216"/>
      <c r="AA366" s="51"/>
      <c r="AB366" s="51"/>
      <c r="AC366" s="51"/>
      <c r="AD366" s="51"/>
    </row>
    <row r="367" spans="1:30" customFormat="1">
      <c r="A367" s="50"/>
      <c r="B367" s="50"/>
      <c r="C367" s="50"/>
      <c r="D367" s="50"/>
      <c r="E367" s="50"/>
      <c r="F367" s="50"/>
      <c r="G367" s="50"/>
      <c r="H367" s="50"/>
      <c r="I367" s="50"/>
      <c r="J367" s="50"/>
      <c r="K367" s="50"/>
      <c r="L367" s="50"/>
      <c r="M367" s="50"/>
      <c r="N367" s="50"/>
      <c r="O367" s="50"/>
      <c r="P367" s="50"/>
      <c r="Q367" s="50"/>
      <c r="R367" s="50"/>
      <c r="S367" s="50"/>
      <c r="T367" s="50"/>
      <c r="U367" s="50"/>
      <c r="V367" s="50"/>
      <c r="W367" s="51"/>
      <c r="X367" s="51"/>
      <c r="Y367" s="216"/>
      <c r="Z367" s="216"/>
      <c r="AA367" s="51"/>
      <c r="AB367" s="51"/>
      <c r="AC367" s="51"/>
      <c r="AD367" s="51"/>
    </row>
    <row r="368" spans="1:30" customFormat="1">
      <c r="A368" s="50"/>
      <c r="B368" s="50"/>
      <c r="C368" s="50"/>
      <c r="D368" s="50"/>
      <c r="E368" s="50"/>
      <c r="F368" s="50"/>
      <c r="G368" s="50"/>
      <c r="H368" s="50"/>
      <c r="I368" s="50"/>
      <c r="J368" s="50"/>
      <c r="K368" s="50"/>
      <c r="L368" s="50"/>
      <c r="M368" s="50"/>
      <c r="N368" s="50"/>
      <c r="O368" s="50"/>
      <c r="P368" s="50"/>
      <c r="Q368" s="50"/>
      <c r="R368" s="50"/>
      <c r="S368" s="50"/>
      <c r="T368" s="50"/>
      <c r="U368" s="50"/>
      <c r="V368" s="50"/>
      <c r="W368" s="51"/>
      <c r="X368" s="51"/>
      <c r="Y368" s="216"/>
      <c r="Z368" s="216"/>
      <c r="AA368" s="51"/>
      <c r="AB368" s="51"/>
      <c r="AC368" s="51"/>
      <c r="AD368" s="51"/>
    </row>
    <row r="369" spans="1:30" customFormat="1">
      <c r="A369" s="50"/>
      <c r="B369" s="50"/>
      <c r="C369" s="50"/>
      <c r="D369" s="50"/>
      <c r="E369" s="50"/>
      <c r="F369" s="50"/>
      <c r="G369" s="50"/>
      <c r="H369" s="50"/>
      <c r="I369" s="50"/>
      <c r="J369" s="50"/>
      <c r="K369" s="50"/>
      <c r="L369" s="50"/>
      <c r="M369" s="50"/>
      <c r="N369" s="50"/>
      <c r="O369" s="50"/>
      <c r="P369" s="50"/>
      <c r="Q369" s="50"/>
      <c r="R369" s="50"/>
      <c r="S369" s="50"/>
      <c r="T369" s="50"/>
      <c r="U369" s="50"/>
      <c r="V369" s="50"/>
      <c r="W369" s="51"/>
      <c r="X369" s="51"/>
      <c r="Y369" s="216"/>
      <c r="Z369" s="216"/>
      <c r="AA369" s="51"/>
      <c r="AB369" s="51"/>
      <c r="AC369" s="51"/>
      <c r="AD369" s="51"/>
    </row>
    <row r="370" spans="1:30" customFormat="1">
      <c r="A370" s="50"/>
      <c r="B370" s="50"/>
      <c r="C370" s="50"/>
      <c r="D370" s="50"/>
      <c r="E370" s="50"/>
      <c r="F370" s="50"/>
      <c r="G370" s="50"/>
      <c r="H370" s="50"/>
      <c r="I370" s="50"/>
      <c r="J370" s="50"/>
      <c r="K370" s="50"/>
      <c r="L370" s="50"/>
      <c r="M370" s="50"/>
      <c r="N370" s="50"/>
      <c r="O370" s="50"/>
      <c r="P370" s="50"/>
      <c r="Q370" s="50"/>
      <c r="R370" s="50"/>
      <c r="S370" s="50"/>
      <c r="T370" s="50"/>
      <c r="U370" s="50"/>
      <c r="V370" s="50"/>
      <c r="W370" s="51"/>
      <c r="X370" s="51"/>
      <c r="Y370" s="216"/>
      <c r="Z370" s="216"/>
      <c r="AA370" s="51"/>
      <c r="AB370" s="51"/>
      <c r="AC370" s="51"/>
      <c r="AD370" s="51"/>
    </row>
    <row r="371" spans="1:30" customFormat="1">
      <c r="A371" s="50"/>
      <c r="B371" s="50"/>
      <c r="C371" s="50"/>
      <c r="D371" s="50"/>
      <c r="E371" s="50"/>
      <c r="F371" s="50"/>
      <c r="G371" s="50"/>
      <c r="H371" s="50"/>
      <c r="I371" s="50"/>
      <c r="J371" s="50"/>
      <c r="K371" s="50"/>
      <c r="L371" s="50"/>
      <c r="M371" s="50"/>
      <c r="N371" s="50"/>
      <c r="O371" s="50"/>
      <c r="P371" s="50"/>
      <c r="Q371" s="50"/>
      <c r="R371" s="50"/>
      <c r="S371" s="50"/>
      <c r="T371" s="50"/>
      <c r="U371" s="50"/>
      <c r="V371" s="50"/>
      <c r="W371" s="51"/>
      <c r="X371" s="51"/>
      <c r="Y371" s="216"/>
      <c r="Z371" s="216"/>
      <c r="AA371" s="51"/>
      <c r="AB371" s="51"/>
      <c r="AC371" s="51"/>
      <c r="AD371" s="51"/>
    </row>
    <row r="372" spans="1:30" customFormat="1">
      <c r="A372" s="50"/>
      <c r="B372" s="50"/>
      <c r="C372" s="50"/>
      <c r="D372" s="50"/>
      <c r="E372" s="50"/>
      <c r="F372" s="50"/>
      <c r="G372" s="50"/>
      <c r="H372" s="50"/>
      <c r="I372" s="50"/>
      <c r="J372" s="50"/>
      <c r="K372" s="50"/>
      <c r="L372" s="50"/>
      <c r="M372" s="50"/>
      <c r="N372" s="50"/>
      <c r="O372" s="50"/>
      <c r="P372" s="50"/>
      <c r="Q372" s="50"/>
      <c r="R372" s="50"/>
      <c r="S372" s="50"/>
      <c r="T372" s="50"/>
      <c r="U372" s="50"/>
      <c r="V372" s="50"/>
      <c r="W372" s="51"/>
      <c r="X372" s="51"/>
      <c r="Y372" s="216"/>
      <c r="Z372" s="216"/>
      <c r="AA372" s="51"/>
      <c r="AB372" s="51"/>
      <c r="AC372" s="51"/>
      <c r="AD372" s="51"/>
    </row>
    <row r="373" spans="1:30" customFormat="1">
      <c r="A373" s="50"/>
      <c r="B373" s="50"/>
      <c r="C373" s="50"/>
      <c r="D373" s="50"/>
      <c r="E373" s="50"/>
      <c r="F373" s="50"/>
      <c r="G373" s="50"/>
      <c r="H373" s="50"/>
      <c r="I373" s="50"/>
      <c r="J373" s="50"/>
      <c r="K373" s="50"/>
      <c r="L373" s="50"/>
      <c r="M373" s="50"/>
      <c r="N373" s="50"/>
      <c r="O373" s="50"/>
      <c r="P373" s="50"/>
      <c r="Q373" s="50"/>
      <c r="R373" s="50"/>
      <c r="S373" s="50"/>
      <c r="T373" s="50"/>
      <c r="U373" s="50"/>
      <c r="V373" s="50"/>
      <c r="W373" s="51"/>
      <c r="X373" s="51"/>
      <c r="Y373" s="216"/>
      <c r="Z373" s="216"/>
      <c r="AA373" s="51"/>
      <c r="AB373" s="51"/>
      <c r="AC373" s="51"/>
      <c r="AD373" s="51"/>
    </row>
    <row r="374" spans="1:30" customFormat="1">
      <c r="A374" s="50"/>
      <c r="B374" s="50"/>
      <c r="C374" s="50"/>
      <c r="D374" s="50"/>
      <c r="E374" s="50"/>
      <c r="F374" s="50"/>
      <c r="G374" s="50"/>
      <c r="H374" s="50"/>
      <c r="I374" s="50"/>
      <c r="J374" s="50"/>
      <c r="K374" s="50"/>
      <c r="L374" s="50"/>
      <c r="M374" s="50"/>
      <c r="N374" s="50"/>
      <c r="O374" s="50"/>
      <c r="P374" s="50"/>
      <c r="Q374" s="50"/>
      <c r="R374" s="50"/>
      <c r="S374" s="50"/>
      <c r="T374" s="50"/>
      <c r="U374" s="50"/>
      <c r="V374" s="50"/>
      <c r="W374" s="51"/>
      <c r="X374" s="51"/>
      <c r="Y374" s="216"/>
      <c r="Z374" s="216"/>
      <c r="AA374" s="51"/>
      <c r="AB374" s="51"/>
      <c r="AC374" s="51"/>
      <c r="AD374" s="51"/>
    </row>
    <row r="375" spans="1:30" customFormat="1">
      <c r="A375" s="50"/>
      <c r="B375" s="50"/>
      <c r="C375" s="50"/>
      <c r="D375" s="50"/>
      <c r="E375" s="50"/>
      <c r="F375" s="50"/>
      <c r="G375" s="50"/>
      <c r="H375" s="50"/>
      <c r="I375" s="50"/>
      <c r="J375" s="50"/>
      <c r="K375" s="50"/>
      <c r="L375" s="50"/>
      <c r="M375" s="50"/>
      <c r="N375" s="50"/>
      <c r="O375" s="50"/>
      <c r="P375" s="50"/>
      <c r="Q375" s="50"/>
      <c r="R375" s="50"/>
      <c r="S375" s="50"/>
      <c r="T375" s="50"/>
      <c r="U375" s="50"/>
      <c r="V375" s="50"/>
      <c r="W375" s="51"/>
      <c r="X375" s="51"/>
      <c r="Y375" s="216"/>
      <c r="Z375" s="216"/>
      <c r="AA375" s="51"/>
      <c r="AB375" s="51"/>
      <c r="AC375" s="51"/>
      <c r="AD375" s="51"/>
    </row>
    <row r="376" spans="1:30" customFormat="1">
      <c r="A376" s="50"/>
      <c r="B376" s="50"/>
      <c r="C376" s="50"/>
      <c r="D376" s="50"/>
      <c r="E376" s="50"/>
      <c r="F376" s="50"/>
      <c r="G376" s="50"/>
      <c r="H376" s="50"/>
      <c r="I376" s="50"/>
      <c r="J376" s="50"/>
      <c r="K376" s="50"/>
      <c r="L376" s="50"/>
      <c r="M376" s="50"/>
      <c r="N376" s="50"/>
      <c r="O376" s="50"/>
      <c r="P376" s="50"/>
      <c r="Q376" s="50"/>
      <c r="R376" s="50"/>
      <c r="S376" s="50"/>
      <c r="T376" s="50"/>
      <c r="U376" s="50"/>
      <c r="V376" s="50"/>
      <c r="W376" s="51"/>
      <c r="X376" s="51"/>
      <c r="Y376" s="216"/>
      <c r="Z376" s="216"/>
      <c r="AA376" s="51"/>
      <c r="AB376" s="51"/>
      <c r="AC376" s="51"/>
      <c r="AD376" s="51"/>
    </row>
    <row r="377" spans="1:30" customFormat="1">
      <c r="A377" s="50"/>
      <c r="B377" s="50"/>
      <c r="C377" s="50"/>
      <c r="D377" s="50"/>
      <c r="E377" s="50"/>
      <c r="F377" s="50"/>
      <c r="G377" s="50"/>
      <c r="H377" s="50"/>
      <c r="I377" s="50"/>
      <c r="J377" s="50"/>
      <c r="K377" s="50"/>
      <c r="L377" s="50"/>
      <c r="M377" s="50"/>
      <c r="N377" s="50"/>
      <c r="O377" s="50"/>
      <c r="P377" s="50"/>
      <c r="Q377" s="50"/>
      <c r="R377" s="50"/>
      <c r="S377" s="50"/>
      <c r="T377" s="50"/>
      <c r="U377" s="50"/>
      <c r="V377" s="50"/>
      <c r="W377" s="51"/>
      <c r="X377" s="51"/>
      <c r="Y377" s="216"/>
      <c r="Z377" s="216"/>
      <c r="AA377" s="51"/>
      <c r="AB377" s="51"/>
      <c r="AC377" s="51"/>
      <c r="AD377" s="51"/>
    </row>
    <row r="378" spans="1:30" customFormat="1">
      <c r="A378" s="50"/>
      <c r="B378" s="50"/>
      <c r="C378" s="50"/>
      <c r="D378" s="50"/>
      <c r="E378" s="50"/>
      <c r="F378" s="50"/>
      <c r="G378" s="50"/>
      <c r="H378" s="50"/>
      <c r="I378" s="50"/>
      <c r="J378" s="50"/>
      <c r="K378" s="50"/>
      <c r="L378" s="50"/>
      <c r="M378" s="50"/>
      <c r="N378" s="50"/>
      <c r="O378" s="50"/>
      <c r="P378" s="50"/>
      <c r="Q378" s="50"/>
      <c r="R378" s="50"/>
      <c r="S378" s="50"/>
      <c r="T378" s="50"/>
      <c r="U378" s="50"/>
      <c r="V378" s="50"/>
      <c r="W378" s="51"/>
      <c r="X378" s="51"/>
      <c r="Y378" s="216"/>
      <c r="Z378" s="216"/>
      <c r="AA378" s="51"/>
      <c r="AB378" s="51"/>
      <c r="AC378" s="51"/>
      <c r="AD378" s="51"/>
    </row>
    <row r="379" spans="1:30" customFormat="1">
      <c r="A379" s="50"/>
      <c r="B379" s="50"/>
      <c r="C379" s="50"/>
      <c r="D379" s="50"/>
      <c r="E379" s="50"/>
      <c r="F379" s="50"/>
      <c r="G379" s="50"/>
      <c r="H379" s="50"/>
      <c r="I379" s="50"/>
      <c r="J379" s="50"/>
      <c r="K379" s="50"/>
      <c r="L379" s="50"/>
      <c r="M379" s="50"/>
      <c r="N379" s="50"/>
      <c r="O379" s="50"/>
      <c r="P379" s="50"/>
      <c r="Q379" s="50"/>
      <c r="R379" s="50"/>
      <c r="S379" s="50"/>
      <c r="T379" s="50"/>
      <c r="U379" s="50"/>
      <c r="V379" s="50"/>
      <c r="W379" s="51"/>
      <c r="X379" s="51"/>
      <c r="Y379" s="216"/>
      <c r="Z379" s="216"/>
      <c r="AA379" s="51"/>
      <c r="AB379" s="51"/>
      <c r="AC379" s="51"/>
      <c r="AD379" s="51"/>
    </row>
    <row r="380" spans="1:30" customFormat="1">
      <c r="A380" s="50"/>
      <c r="B380" s="50"/>
      <c r="C380" s="50"/>
      <c r="D380" s="50"/>
      <c r="E380" s="50"/>
      <c r="F380" s="50"/>
      <c r="G380" s="50"/>
      <c r="H380" s="50"/>
      <c r="I380" s="50"/>
      <c r="J380" s="50"/>
      <c r="K380" s="50"/>
      <c r="L380" s="50"/>
      <c r="M380" s="50"/>
      <c r="N380" s="50"/>
      <c r="O380" s="50"/>
      <c r="P380" s="50"/>
      <c r="Q380" s="50"/>
      <c r="R380" s="50"/>
      <c r="S380" s="50"/>
      <c r="T380" s="50"/>
      <c r="U380" s="50"/>
      <c r="V380" s="50"/>
      <c r="W380" s="51"/>
      <c r="X380" s="51"/>
      <c r="Y380" s="216"/>
      <c r="Z380" s="216"/>
      <c r="AA380" s="51"/>
      <c r="AB380" s="51"/>
      <c r="AC380" s="51"/>
      <c r="AD380" s="51"/>
    </row>
    <row r="381" spans="1:30" customFormat="1">
      <c r="A381" s="50"/>
      <c r="B381" s="50"/>
      <c r="C381" s="50"/>
      <c r="D381" s="50"/>
      <c r="E381" s="50"/>
      <c r="F381" s="50"/>
      <c r="G381" s="50"/>
      <c r="H381" s="50"/>
      <c r="I381" s="50"/>
      <c r="J381" s="50"/>
      <c r="K381" s="50"/>
      <c r="L381" s="50"/>
      <c r="M381" s="50"/>
      <c r="N381" s="50"/>
      <c r="O381" s="50"/>
      <c r="P381" s="50"/>
      <c r="Q381" s="50"/>
      <c r="R381" s="50"/>
      <c r="S381" s="50"/>
      <c r="T381" s="50"/>
      <c r="U381" s="50"/>
      <c r="V381" s="50"/>
      <c r="W381" s="51"/>
      <c r="X381" s="51"/>
      <c r="Y381" s="216"/>
      <c r="Z381" s="216"/>
      <c r="AA381" s="51"/>
      <c r="AB381" s="51"/>
      <c r="AC381" s="51"/>
      <c r="AD381" s="51"/>
    </row>
    <row r="382" spans="1:30" customFormat="1">
      <c r="A382" s="50"/>
      <c r="B382" s="50"/>
      <c r="C382" s="50"/>
      <c r="D382" s="50"/>
      <c r="E382" s="50"/>
      <c r="F382" s="50"/>
      <c r="G382" s="50"/>
      <c r="H382" s="50"/>
      <c r="I382" s="50"/>
      <c r="J382" s="50"/>
      <c r="K382" s="50"/>
      <c r="L382" s="50"/>
      <c r="M382" s="50"/>
      <c r="N382" s="50"/>
      <c r="O382" s="50"/>
      <c r="P382" s="50"/>
      <c r="Q382" s="50"/>
      <c r="R382" s="50"/>
      <c r="S382" s="50"/>
      <c r="T382" s="50"/>
      <c r="U382" s="50"/>
      <c r="V382" s="50"/>
      <c r="W382" s="51"/>
      <c r="X382" s="51"/>
      <c r="Y382" s="216"/>
      <c r="Z382" s="216"/>
      <c r="AA382" s="51"/>
      <c r="AB382" s="51"/>
      <c r="AC382" s="51"/>
      <c r="AD382" s="51"/>
    </row>
    <row r="383" spans="1:30" customFormat="1">
      <c r="A383" s="50"/>
      <c r="B383" s="50"/>
      <c r="C383" s="50"/>
      <c r="D383" s="50"/>
      <c r="E383" s="50"/>
      <c r="F383" s="50"/>
      <c r="G383" s="50"/>
      <c r="H383" s="50"/>
      <c r="I383" s="50"/>
      <c r="J383" s="50"/>
      <c r="K383" s="50"/>
      <c r="L383" s="50"/>
      <c r="M383" s="50"/>
      <c r="N383" s="50"/>
      <c r="O383" s="50"/>
      <c r="P383" s="50"/>
      <c r="Q383" s="50"/>
      <c r="R383" s="50"/>
      <c r="S383" s="50"/>
      <c r="T383" s="50"/>
      <c r="U383" s="50"/>
      <c r="V383" s="50"/>
      <c r="W383" s="51"/>
      <c r="X383" s="51"/>
      <c r="Y383" s="216"/>
      <c r="Z383" s="216"/>
      <c r="AA383" s="51"/>
      <c r="AB383" s="51"/>
      <c r="AC383" s="51"/>
      <c r="AD383" s="51"/>
    </row>
    <row r="384" spans="1:30" customFormat="1">
      <c r="A384" s="50"/>
      <c r="B384" s="50"/>
      <c r="C384" s="50"/>
      <c r="D384" s="50"/>
      <c r="E384" s="50"/>
      <c r="F384" s="50"/>
      <c r="G384" s="50"/>
      <c r="H384" s="50"/>
      <c r="I384" s="50"/>
      <c r="J384" s="50"/>
      <c r="K384" s="50"/>
      <c r="L384" s="50"/>
      <c r="M384" s="50"/>
      <c r="N384" s="50"/>
      <c r="O384" s="50"/>
      <c r="P384" s="50"/>
      <c r="Q384" s="50"/>
      <c r="R384" s="50"/>
      <c r="S384" s="50"/>
      <c r="T384" s="50"/>
      <c r="U384" s="50"/>
      <c r="V384" s="50"/>
      <c r="W384" s="51"/>
      <c r="X384" s="51"/>
      <c r="Y384" s="216"/>
      <c r="Z384" s="216"/>
      <c r="AA384" s="51"/>
      <c r="AB384" s="51"/>
      <c r="AC384" s="51"/>
      <c r="AD384" s="51"/>
    </row>
    <row r="385" spans="1:30" customFormat="1">
      <c r="A385" s="50"/>
      <c r="B385" s="50"/>
      <c r="C385" s="50"/>
      <c r="D385" s="50"/>
      <c r="E385" s="50"/>
      <c r="F385" s="50"/>
      <c r="G385" s="50"/>
      <c r="H385" s="50"/>
      <c r="I385" s="50"/>
      <c r="J385" s="50"/>
      <c r="K385" s="50"/>
      <c r="L385" s="50"/>
      <c r="M385" s="50"/>
      <c r="N385" s="50"/>
      <c r="O385" s="50"/>
      <c r="P385" s="50"/>
      <c r="Q385" s="50"/>
      <c r="R385" s="50"/>
      <c r="S385" s="50"/>
      <c r="T385" s="50"/>
      <c r="U385" s="50"/>
      <c r="V385" s="50"/>
      <c r="W385" s="51"/>
      <c r="X385" s="51"/>
      <c r="Y385" s="216"/>
      <c r="Z385" s="216"/>
      <c r="AA385" s="51"/>
      <c r="AB385" s="51"/>
      <c r="AC385" s="51"/>
      <c r="AD385" s="51"/>
    </row>
    <row r="386" spans="1:30" customFormat="1">
      <c r="A386" s="50"/>
      <c r="B386" s="50"/>
      <c r="C386" s="50"/>
      <c r="D386" s="50"/>
      <c r="E386" s="50"/>
      <c r="F386" s="50"/>
      <c r="G386" s="50"/>
      <c r="H386" s="50"/>
      <c r="I386" s="50"/>
      <c r="J386" s="50"/>
      <c r="K386" s="50"/>
      <c r="L386" s="50"/>
      <c r="M386" s="50"/>
      <c r="N386" s="50"/>
      <c r="O386" s="50"/>
      <c r="P386" s="50"/>
      <c r="Q386" s="50"/>
      <c r="R386" s="50"/>
      <c r="S386" s="50"/>
      <c r="T386" s="50"/>
      <c r="U386" s="50"/>
      <c r="V386" s="50"/>
      <c r="W386" s="51"/>
      <c r="X386" s="51"/>
      <c r="Y386" s="216"/>
      <c r="Z386" s="216"/>
      <c r="AA386" s="51"/>
      <c r="AB386" s="51"/>
      <c r="AC386" s="51"/>
      <c r="AD386" s="51"/>
    </row>
    <row r="387" spans="1:30" customFormat="1">
      <c r="A387" s="50"/>
      <c r="B387" s="50"/>
      <c r="C387" s="50"/>
      <c r="D387" s="50"/>
      <c r="E387" s="50"/>
      <c r="F387" s="50"/>
      <c r="G387" s="50"/>
      <c r="H387" s="50"/>
      <c r="I387" s="50"/>
      <c r="J387" s="50"/>
      <c r="K387" s="50"/>
      <c r="L387" s="50"/>
      <c r="M387" s="50"/>
      <c r="N387" s="50"/>
      <c r="O387" s="50"/>
      <c r="P387" s="50"/>
      <c r="Q387" s="50"/>
      <c r="R387" s="50"/>
      <c r="S387" s="50"/>
      <c r="T387" s="50"/>
      <c r="U387" s="50"/>
      <c r="V387" s="50"/>
      <c r="W387" s="51"/>
      <c r="X387" s="51"/>
      <c r="Y387" s="216"/>
      <c r="Z387" s="216"/>
      <c r="AA387" s="51"/>
      <c r="AB387" s="51"/>
      <c r="AC387" s="51"/>
      <c r="AD387" s="51"/>
    </row>
    <row r="388" spans="1:30" customFormat="1">
      <c r="A388" s="50"/>
      <c r="B388" s="50"/>
      <c r="C388" s="50"/>
      <c r="D388" s="50"/>
      <c r="E388" s="50"/>
      <c r="F388" s="50"/>
      <c r="G388" s="50"/>
      <c r="H388" s="50"/>
      <c r="I388" s="50"/>
      <c r="J388" s="50"/>
      <c r="K388" s="50"/>
      <c r="L388" s="50"/>
      <c r="M388" s="50"/>
      <c r="N388" s="50"/>
      <c r="O388" s="50"/>
      <c r="P388" s="50"/>
      <c r="Q388" s="50"/>
      <c r="R388" s="50"/>
      <c r="S388" s="50"/>
      <c r="T388" s="50"/>
      <c r="U388" s="50"/>
      <c r="V388" s="50"/>
      <c r="W388" s="51"/>
      <c r="X388" s="51"/>
      <c r="Y388" s="216"/>
      <c r="Z388" s="216"/>
      <c r="AA388" s="51"/>
      <c r="AB388" s="51"/>
      <c r="AC388" s="51"/>
      <c r="AD388" s="51"/>
    </row>
    <row r="389" spans="1:30" customFormat="1">
      <c r="A389" s="50"/>
      <c r="B389" s="50"/>
      <c r="C389" s="50"/>
      <c r="D389" s="50"/>
      <c r="E389" s="50"/>
      <c r="F389" s="50"/>
      <c r="G389" s="50"/>
      <c r="H389" s="50"/>
      <c r="I389" s="50"/>
      <c r="J389" s="50"/>
      <c r="K389" s="50"/>
      <c r="L389" s="50"/>
      <c r="M389" s="50"/>
      <c r="N389" s="50"/>
      <c r="O389" s="50"/>
      <c r="P389" s="50"/>
      <c r="Q389" s="50"/>
      <c r="R389" s="50"/>
      <c r="S389" s="50"/>
      <c r="T389" s="50"/>
      <c r="U389" s="50"/>
      <c r="V389" s="50"/>
      <c r="W389" s="51"/>
      <c r="X389" s="51"/>
      <c r="Y389" s="216"/>
      <c r="Z389" s="216"/>
      <c r="AA389" s="51"/>
      <c r="AB389" s="51"/>
      <c r="AC389" s="51"/>
      <c r="AD389" s="51"/>
    </row>
    <row r="390" spans="1:30" customFormat="1">
      <c r="A390" s="50"/>
      <c r="B390" s="50"/>
      <c r="C390" s="50"/>
      <c r="D390" s="50"/>
      <c r="E390" s="50"/>
      <c r="F390" s="50"/>
      <c r="G390" s="50"/>
      <c r="H390" s="50"/>
      <c r="I390" s="50"/>
      <c r="J390" s="50"/>
      <c r="K390" s="50"/>
      <c r="L390" s="50"/>
      <c r="M390" s="50"/>
      <c r="N390" s="50"/>
      <c r="O390" s="50"/>
      <c r="P390" s="50"/>
      <c r="Q390" s="50"/>
      <c r="R390" s="50"/>
      <c r="S390" s="50"/>
      <c r="T390" s="50"/>
      <c r="U390" s="50"/>
      <c r="V390" s="50"/>
      <c r="W390" s="51"/>
      <c r="X390" s="51"/>
      <c r="Y390" s="216"/>
      <c r="Z390" s="216"/>
      <c r="AA390" s="51"/>
      <c r="AB390" s="51"/>
      <c r="AC390" s="51"/>
      <c r="AD390" s="51"/>
    </row>
    <row r="391" spans="1:30" customFormat="1">
      <c r="A391" s="50"/>
      <c r="B391" s="50"/>
      <c r="C391" s="50"/>
      <c r="D391" s="50"/>
      <c r="E391" s="50"/>
      <c r="F391" s="50"/>
      <c r="G391" s="50"/>
      <c r="H391" s="50"/>
      <c r="I391" s="50"/>
      <c r="J391" s="50"/>
      <c r="K391" s="50"/>
      <c r="L391" s="50"/>
      <c r="M391" s="50"/>
      <c r="N391" s="50"/>
      <c r="O391" s="50"/>
      <c r="P391" s="50"/>
      <c r="Q391" s="50"/>
      <c r="R391" s="50"/>
      <c r="S391" s="50"/>
      <c r="T391" s="50"/>
      <c r="U391" s="50"/>
      <c r="V391" s="50"/>
      <c r="W391" s="51"/>
      <c r="X391" s="51"/>
      <c r="Y391" s="216"/>
      <c r="Z391" s="216"/>
      <c r="AA391" s="51"/>
      <c r="AB391" s="51"/>
      <c r="AC391" s="51"/>
      <c r="AD391" s="51"/>
    </row>
    <row r="392" spans="1:30" customFormat="1">
      <c r="A392" s="50"/>
      <c r="B392" s="50"/>
      <c r="C392" s="50"/>
      <c r="D392" s="50"/>
      <c r="E392" s="50"/>
      <c r="F392" s="50"/>
      <c r="G392" s="50"/>
      <c r="H392" s="50"/>
      <c r="I392" s="50"/>
      <c r="J392" s="50"/>
      <c r="K392" s="50"/>
      <c r="L392" s="50"/>
      <c r="M392" s="50"/>
      <c r="N392" s="50"/>
      <c r="O392" s="50"/>
      <c r="P392" s="50"/>
      <c r="Q392" s="50"/>
      <c r="R392" s="50"/>
      <c r="S392" s="50"/>
      <c r="T392" s="50"/>
      <c r="U392" s="50"/>
      <c r="V392" s="50"/>
      <c r="W392" s="51"/>
      <c r="X392" s="51"/>
      <c r="Y392" s="216"/>
      <c r="Z392" s="216"/>
      <c r="AA392" s="51"/>
      <c r="AB392" s="51"/>
      <c r="AC392" s="51"/>
      <c r="AD392" s="51"/>
    </row>
    <row r="393" spans="1:30" customFormat="1">
      <c r="A393" s="50"/>
      <c r="B393" s="50"/>
      <c r="C393" s="50"/>
      <c r="D393" s="50"/>
      <c r="E393" s="50"/>
      <c r="F393" s="50"/>
      <c r="G393" s="50"/>
      <c r="H393" s="50"/>
      <c r="I393" s="50"/>
      <c r="J393" s="50"/>
      <c r="K393" s="50"/>
      <c r="L393" s="50"/>
      <c r="M393" s="50"/>
      <c r="N393" s="50"/>
      <c r="O393" s="50"/>
      <c r="P393" s="50"/>
      <c r="Q393" s="50"/>
      <c r="R393" s="50"/>
      <c r="S393" s="50"/>
      <c r="T393" s="50"/>
      <c r="U393" s="50"/>
      <c r="V393" s="50"/>
      <c r="W393" s="51"/>
      <c r="X393" s="51"/>
      <c r="Y393" s="216"/>
      <c r="Z393" s="216"/>
      <c r="AA393" s="51"/>
      <c r="AB393" s="51"/>
      <c r="AC393" s="51"/>
      <c r="AD393" s="51"/>
    </row>
    <row r="394" spans="1:30" customFormat="1">
      <c r="A394" s="50"/>
      <c r="B394" s="50"/>
      <c r="C394" s="50"/>
      <c r="D394" s="50"/>
      <c r="E394" s="50"/>
      <c r="F394" s="50"/>
      <c r="G394" s="50"/>
      <c r="H394" s="50"/>
      <c r="I394" s="50"/>
      <c r="J394" s="50"/>
      <c r="K394" s="50"/>
      <c r="L394" s="50"/>
      <c r="M394" s="50"/>
      <c r="N394" s="50"/>
      <c r="O394" s="50"/>
      <c r="P394" s="50"/>
      <c r="Q394" s="50"/>
      <c r="R394" s="50"/>
      <c r="S394" s="50"/>
      <c r="T394" s="50"/>
      <c r="U394" s="50"/>
      <c r="V394" s="50"/>
      <c r="W394" s="51"/>
      <c r="X394" s="51"/>
      <c r="Y394" s="216"/>
      <c r="Z394" s="216"/>
      <c r="AA394" s="51"/>
      <c r="AB394" s="51"/>
      <c r="AC394" s="51"/>
      <c r="AD394" s="51"/>
    </row>
    <row r="395" spans="1:30" customFormat="1">
      <c r="A395" s="50"/>
      <c r="B395" s="50"/>
      <c r="C395" s="50"/>
      <c r="D395" s="50"/>
      <c r="E395" s="50"/>
      <c r="F395" s="50"/>
      <c r="G395" s="50"/>
      <c r="H395" s="50"/>
      <c r="I395" s="50"/>
      <c r="J395" s="50"/>
      <c r="K395" s="50"/>
      <c r="L395" s="50"/>
      <c r="M395" s="50"/>
      <c r="N395" s="50"/>
      <c r="O395" s="50"/>
      <c r="P395" s="50"/>
      <c r="Q395" s="50"/>
      <c r="R395" s="50"/>
      <c r="S395" s="50"/>
      <c r="T395" s="50"/>
      <c r="U395" s="50"/>
      <c r="V395" s="50"/>
      <c r="W395" s="51"/>
      <c r="X395" s="51"/>
      <c r="Y395" s="216"/>
      <c r="Z395" s="216"/>
      <c r="AA395" s="51"/>
      <c r="AB395" s="51"/>
      <c r="AC395" s="51"/>
      <c r="AD395" s="51"/>
    </row>
    <row r="396" spans="1:30" customFormat="1">
      <c r="A396" s="50"/>
      <c r="B396" s="50"/>
      <c r="C396" s="50"/>
      <c r="D396" s="50"/>
      <c r="E396" s="50"/>
      <c r="F396" s="50"/>
      <c r="G396" s="50"/>
      <c r="H396" s="50"/>
      <c r="I396" s="50"/>
      <c r="J396" s="50"/>
      <c r="K396" s="50"/>
      <c r="L396" s="50"/>
      <c r="M396" s="50"/>
      <c r="N396" s="50"/>
      <c r="O396" s="50"/>
      <c r="P396" s="50"/>
      <c r="Q396" s="50"/>
      <c r="R396" s="50"/>
      <c r="S396" s="50"/>
      <c r="T396" s="50"/>
      <c r="U396" s="50"/>
      <c r="V396" s="50"/>
      <c r="W396" s="51"/>
      <c r="X396" s="51"/>
      <c r="Y396" s="216"/>
      <c r="Z396" s="216"/>
      <c r="AA396" s="51"/>
      <c r="AB396" s="51"/>
      <c r="AC396" s="51"/>
      <c r="AD396" s="51"/>
    </row>
    <row r="397" spans="1:30" customFormat="1">
      <c r="A397" s="50"/>
      <c r="B397" s="50"/>
      <c r="C397" s="50"/>
      <c r="D397" s="50"/>
      <c r="E397" s="50"/>
      <c r="F397" s="50"/>
      <c r="G397" s="50"/>
      <c r="H397" s="50"/>
      <c r="I397" s="50"/>
      <c r="J397" s="50"/>
      <c r="K397" s="50"/>
      <c r="L397" s="50"/>
      <c r="M397" s="50"/>
      <c r="N397" s="50"/>
      <c r="O397" s="50"/>
      <c r="P397" s="50"/>
      <c r="Q397" s="50"/>
      <c r="R397" s="50"/>
      <c r="S397" s="50"/>
      <c r="T397" s="50"/>
      <c r="U397" s="50"/>
      <c r="V397" s="50"/>
      <c r="W397" s="51"/>
      <c r="X397" s="51"/>
      <c r="Y397" s="216"/>
      <c r="Z397" s="216"/>
      <c r="AA397" s="51"/>
      <c r="AB397" s="51"/>
      <c r="AC397" s="51"/>
      <c r="AD397" s="51"/>
    </row>
    <row r="398" spans="1:30" customFormat="1">
      <c r="A398" s="50"/>
      <c r="B398" s="50"/>
      <c r="C398" s="50"/>
      <c r="D398" s="50"/>
      <c r="E398" s="50"/>
      <c r="F398" s="50"/>
      <c r="G398" s="50"/>
      <c r="H398" s="50"/>
      <c r="I398" s="50"/>
      <c r="J398" s="50"/>
      <c r="K398" s="50"/>
      <c r="L398" s="50"/>
      <c r="M398" s="50"/>
      <c r="N398" s="50"/>
      <c r="O398" s="50"/>
      <c r="P398" s="50"/>
      <c r="Q398" s="50"/>
      <c r="R398" s="50"/>
      <c r="S398" s="50"/>
      <c r="T398" s="50"/>
      <c r="U398" s="50"/>
      <c r="V398" s="50"/>
      <c r="W398" s="51"/>
      <c r="X398" s="51"/>
      <c r="Y398" s="216"/>
      <c r="Z398" s="216"/>
      <c r="AA398" s="51"/>
      <c r="AB398" s="51"/>
      <c r="AC398" s="51"/>
      <c r="AD398" s="51"/>
    </row>
    <row r="399" spans="1:30" customFormat="1">
      <c r="A399" s="50"/>
      <c r="B399" s="50"/>
      <c r="C399" s="50"/>
      <c r="D399" s="50"/>
      <c r="E399" s="50"/>
      <c r="F399" s="50"/>
      <c r="G399" s="50"/>
      <c r="H399" s="50"/>
      <c r="I399" s="50"/>
      <c r="J399" s="50"/>
      <c r="K399" s="50"/>
      <c r="L399" s="50"/>
      <c r="M399" s="50"/>
      <c r="N399" s="50"/>
      <c r="O399" s="50"/>
      <c r="P399" s="50"/>
      <c r="Q399" s="50"/>
      <c r="R399" s="50"/>
      <c r="S399" s="50"/>
      <c r="T399" s="50"/>
      <c r="U399" s="50"/>
      <c r="V399" s="50"/>
      <c r="W399" s="51"/>
      <c r="X399" s="51"/>
      <c r="Y399" s="216"/>
      <c r="Z399" s="216"/>
      <c r="AA399" s="51"/>
      <c r="AB399" s="51"/>
      <c r="AC399" s="51"/>
      <c r="AD399" s="51"/>
    </row>
    <row r="400" spans="1:30" customFormat="1">
      <c r="A400" s="50"/>
      <c r="B400" s="50"/>
      <c r="C400" s="50"/>
      <c r="D400" s="50"/>
      <c r="E400" s="50"/>
      <c r="F400" s="50"/>
      <c r="G400" s="50"/>
      <c r="H400" s="50"/>
      <c r="I400" s="50"/>
      <c r="J400" s="50"/>
      <c r="K400" s="50"/>
      <c r="L400" s="50"/>
      <c r="M400" s="50"/>
      <c r="N400" s="50"/>
      <c r="O400" s="50"/>
      <c r="P400" s="50"/>
      <c r="Q400" s="50"/>
      <c r="R400" s="50"/>
      <c r="S400" s="50"/>
      <c r="T400" s="50"/>
      <c r="U400" s="50"/>
      <c r="V400" s="50"/>
      <c r="W400" s="51"/>
      <c r="X400" s="51"/>
      <c r="Y400" s="216"/>
      <c r="Z400" s="216"/>
      <c r="AA400" s="51"/>
      <c r="AB400" s="51"/>
      <c r="AC400" s="51"/>
      <c r="AD400" s="51"/>
    </row>
    <row r="401" spans="1:30" customFormat="1">
      <c r="A401" s="50"/>
      <c r="B401" s="50"/>
      <c r="C401" s="50"/>
      <c r="D401" s="50"/>
      <c r="E401" s="50"/>
      <c r="F401" s="50"/>
      <c r="G401" s="50"/>
      <c r="H401" s="50"/>
      <c r="I401" s="50"/>
      <c r="J401" s="50"/>
      <c r="K401" s="50"/>
      <c r="L401" s="50"/>
      <c r="M401" s="50"/>
      <c r="N401" s="50"/>
      <c r="O401" s="50"/>
      <c r="P401" s="50"/>
      <c r="Q401" s="50"/>
      <c r="R401" s="50"/>
      <c r="S401" s="50"/>
      <c r="T401" s="50"/>
      <c r="U401" s="50"/>
      <c r="V401" s="50"/>
      <c r="W401" s="51"/>
      <c r="X401" s="51"/>
      <c r="Y401" s="216"/>
      <c r="Z401" s="216"/>
      <c r="AA401" s="51"/>
      <c r="AB401" s="51"/>
      <c r="AC401" s="51"/>
      <c r="AD401" s="51"/>
    </row>
    <row r="402" spans="1:30" customFormat="1">
      <c r="A402" s="50"/>
      <c r="B402" s="50"/>
      <c r="C402" s="50"/>
      <c r="D402" s="50"/>
      <c r="E402" s="50"/>
      <c r="F402" s="50"/>
      <c r="G402" s="50"/>
      <c r="H402" s="50"/>
      <c r="I402" s="50"/>
      <c r="J402" s="50"/>
      <c r="K402" s="50"/>
      <c r="L402" s="50"/>
      <c r="M402" s="50"/>
      <c r="N402" s="50"/>
      <c r="O402" s="50"/>
      <c r="P402" s="50"/>
      <c r="Q402" s="50"/>
      <c r="R402" s="50"/>
      <c r="S402" s="50"/>
      <c r="T402" s="50"/>
      <c r="U402" s="50"/>
      <c r="V402" s="50"/>
      <c r="W402" s="51"/>
      <c r="X402" s="51"/>
      <c r="Y402" s="216"/>
      <c r="Z402" s="216"/>
      <c r="AA402" s="51"/>
      <c r="AB402" s="51"/>
      <c r="AC402" s="51"/>
      <c r="AD402" s="51"/>
    </row>
    <row r="403" spans="1:30" customFormat="1">
      <c r="A403" s="50"/>
      <c r="B403" s="50"/>
      <c r="C403" s="50"/>
      <c r="D403" s="50"/>
      <c r="E403" s="50"/>
      <c r="F403" s="50"/>
      <c r="G403" s="50"/>
      <c r="H403" s="50"/>
      <c r="I403" s="50"/>
      <c r="J403" s="50"/>
      <c r="K403" s="50"/>
      <c r="L403" s="50"/>
      <c r="M403" s="50"/>
      <c r="N403" s="50"/>
      <c r="O403" s="50"/>
      <c r="P403" s="50"/>
      <c r="Q403" s="50"/>
      <c r="R403" s="50"/>
      <c r="S403" s="50"/>
      <c r="T403" s="50"/>
      <c r="U403" s="50"/>
      <c r="V403" s="50"/>
      <c r="W403" s="51"/>
      <c r="X403" s="51"/>
      <c r="Y403" s="216"/>
      <c r="Z403" s="216"/>
      <c r="AA403" s="51"/>
      <c r="AB403" s="51"/>
      <c r="AC403" s="51"/>
      <c r="AD403" s="51"/>
    </row>
    <row r="404" spans="1:30" customFormat="1">
      <c r="A404" s="50"/>
      <c r="B404" s="50"/>
      <c r="C404" s="50"/>
      <c r="D404" s="50"/>
      <c r="E404" s="50"/>
      <c r="F404" s="50"/>
      <c r="G404" s="50"/>
      <c r="H404" s="50"/>
      <c r="I404" s="50"/>
      <c r="J404" s="50"/>
      <c r="K404" s="50"/>
      <c r="L404" s="50"/>
      <c r="M404" s="50"/>
      <c r="N404" s="50"/>
      <c r="O404" s="50"/>
      <c r="P404" s="50"/>
      <c r="Q404" s="50"/>
      <c r="R404" s="50"/>
      <c r="S404" s="50"/>
      <c r="T404" s="50"/>
      <c r="U404" s="50"/>
      <c r="V404" s="50"/>
      <c r="W404" s="51"/>
      <c r="X404" s="51"/>
      <c r="Y404" s="216"/>
      <c r="Z404" s="216"/>
      <c r="AA404" s="51"/>
      <c r="AB404" s="51"/>
      <c r="AC404" s="51"/>
      <c r="AD404" s="51"/>
    </row>
    <row r="405" spans="1:30" customFormat="1">
      <c r="A405" s="50"/>
      <c r="B405" s="50"/>
      <c r="C405" s="50"/>
      <c r="D405" s="50"/>
      <c r="E405" s="50"/>
      <c r="F405" s="50"/>
      <c r="G405" s="50"/>
      <c r="H405" s="50"/>
      <c r="I405" s="50"/>
      <c r="J405" s="50"/>
      <c r="K405" s="50"/>
      <c r="L405" s="50"/>
      <c r="M405" s="50"/>
      <c r="N405" s="50"/>
      <c r="O405" s="50"/>
      <c r="P405" s="50"/>
      <c r="Q405" s="50"/>
      <c r="R405" s="50"/>
      <c r="S405" s="50"/>
      <c r="T405" s="50"/>
      <c r="U405" s="50"/>
      <c r="V405" s="50"/>
      <c r="W405" s="51"/>
      <c r="X405" s="51"/>
      <c r="Y405" s="216"/>
      <c r="Z405" s="216"/>
      <c r="AA405" s="51"/>
      <c r="AB405" s="51"/>
      <c r="AC405" s="51"/>
      <c r="AD405" s="51"/>
    </row>
    <row r="406" spans="1:30" customFormat="1">
      <c r="A406" s="50"/>
      <c r="B406" s="50"/>
      <c r="C406" s="50"/>
      <c r="D406" s="50"/>
      <c r="E406" s="50"/>
      <c r="F406" s="50"/>
      <c r="G406" s="50"/>
      <c r="H406" s="50"/>
      <c r="I406" s="50"/>
      <c r="J406" s="50"/>
      <c r="K406" s="50"/>
      <c r="L406" s="50"/>
      <c r="M406" s="50"/>
      <c r="N406" s="50"/>
      <c r="O406" s="50"/>
      <c r="P406" s="50"/>
      <c r="Q406" s="50"/>
      <c r="R406" s="50"/>
      <c r="S406" s="50"/>
      <c r="T406" s="50"/>
      <c r="U406" s="50"/>
      <c r="V406" s="50"/>
      <c r="W406" s="51"/>
      <c r="X406" s="51"/>
      <c r="Y406" s="216"/>
      <c r="Z406" s="216"/>
      <c r="AA406" s="51"/>
      <c r="AB406" s="51"/>
      <c r="AC406" s="51"/>
      <c r="AD406" s="51"/>
    </row>
    <row r="407" spans="1:30" customFormat="1">
      <c r="A407" s="50"/>
      <c r="B407" s="50"/>
      <c r="C407" s="50"/>
      <c r="D407" s="50"/>
      <c r="E407" s="50"/>
      <c r="F407" s="50"/>
      <c r="G407" s="50"/>
      <c r="H407" s="50"/>
      <c r="I407" s="50"/>
      <c r="J407" s="50"/>
      <c r="K407" s="50"/>
      <c r="L407" s="50"/>
      <c r="M407" s="50"/>
      <c r="N407" s="50"/>
      <c r="O407" s="50"/>
      <c r="P407" s="50"/>
      <c r="Q407" s="50"/>
      <c r="R407" s="50"/>
      <c r="S407" s="50"/>
      <c r="T407" s="50"/>
      <c r="U407" s="50"/>
      <c r="V407" s="50"/>
      <c r="W407" s="51"/>
      <c r="X407" s="51"/>
      <c r="Y407" s="216"/>
      <c r="Z407" s="216"/>
      <c r="AA407" s="51"/>
      <c r="AB407" s="51"/>
      <c r="AC407" s="51"/>
      <c r="AD407" s="51"/>
    </row>
    <row r="408" spans="1:30" customFormat="1">
      <c r="A408" s="50"/>
      <c r="B408" s="50"/>
      <c r="C408" s="50"/>
      <c r="D408" s="50"/>
      <c r="E408" s="50"/>
      <c r="F408" s="50"/>
      <c r="G408" s="50"/>
      <c r="H408" s="50"/>
      <c r="I408" s="50"/>
      <c r="J408" s="50"/>
      <c r="K408" s="50"/>
      <c r="L408" s="50"/>
      <c r="M408" s="50"/>
      <c r="N408" s="50"/>
      <c r="O408" s="50"/>
      <c r="P408" s="50"/>
      <c r="Q408" s="50"/>
      <c r="R408" s="50"/>
      <c r="S408" s="50"/>
      <c r="T408" s="50"/>
      <c r="U408" s="50"/>
      <c r="V408" s="50"/>
      <c r="W408" s="51"/>
      <c r="X408" s="51"/>
      <c r="Y408" s="216"/>
      <c r="Z408" s="216"/>
      <c r="AA408" s="51"/>
      <c r="AB408" s="51"/>
      <c r="AC408" s="51"/>
      <c r="AD408" s="51"/>
    </row>
    <row r="409" spans="1:30" customFormat="1">
      <c r="A409" s="50"/>
      <c r="B409" s="50"/>
      <c r="C409" s="50"/>
      <c r="D409" s="50"/>
      <c r="E409" s="50"/>
      <c r="F409" s="50"/>
      <c r="G409" s="50"/>
      <c r="H409" s="50"/>
      <c r="I409" s="50"/>
      <c r="J409" s="50"/>
      <c r="K409" s="50"/>
      <c r="L409" s="50"/>
      <c r="M409" s="50"/>
      <c r="N409" s="50"/>
      <c r="O409" s="50"/>
      <c r="P409" s="50"/>
      <c r="Q409" s="50"/>
      <c r="R409" s="50"/>
      <c r="S409" s="50"/>
      <c r="T409" s="50"/>
      <c r="U409" s="50"/>
      <c r="V409" s="50"/>
      <c r="W409" s="51"/>
      <c r="X409" s="51"/>
      <c r="Y409" s="216"/>
      <c r="Z409" s="216"/>
      <c r="AA409" s="51"/>
      <c r="AB409" s="51"/>
      <c r="AC409" s="51"/>
      <c r="AD409" s="51"/>
    </row>
    <row r="410" spans="1:30" customFormat="1">
      <c r="A410" s="50"/>
      <c r="B410" s="50"/>
      <c r="C410" s="50"/>
      <c r="D410" s="50"/>
      <c r="E410" s="50"/>
      <c r="F410" s="50"/>
      <c r="G410" s="50"/>
      <c r="H410" s="50"/>
      <c r="I410" s="50"/>
      <c r="J410" s="50"/>
      <c r="K410" s="50"/>
      <c r="L410" s="50"/>
      <c r="M410" s="50"/>
      <c r="N410" s="50"/>
      <c r="O410" s="50"/>
      <c r="P410" s="50"/>
      <c r="Q410" s="50"/>
      <c r="R410" s="50"/>
      <c r="S410" s="50"/>
      <c r="T410" s="50"/>
      <c r="U410" s="50"/>
      <c r="V410" s="50"/>
      <c r="W410" s="51"/>
      <c r="X410" s="51"/>
      <c r="Y410" s="216"/>
      <c r="Z410" s="216"/>
      <c r="AA410" s="51"/>
      <c r="AB410" s="51"/>
      <c r="AC410" s="51"/>
      <c r="AD410" s="51"/>
    </row>
    <row r="411" spans="1:30" customFormat="1">
      <c r="A411" s="50"/>
      <c r="B411" s="50"/>
      <c r="C411" s="50"/>
      <c r="D411" s="50"/>
      <c r="E411" s="50"/>
      <c r="F411" s="50"/>
      <c r="G411" s="50"/>
      <c r="H411" s="50"/>
      <c r="I411" s="50"/>
      <c r="J411" s="50"/>
      <c r="K411" s="50"/>
      <c r="L411" s="50"/>
      <c r="M411" s="50"/>
      <c r="N411" s="50"/>
      <c r="O411" s="50"/>
      <c r="P411" s="50"/>
      <c r="Q411" s="50"/>
      <c r="R411" s="50"/>
      <c r="S411" s="50"/>
      <c r="T411" s="50"/>
      <c r="U411" s="50"/>
      <c r="V411" s="50"/>
      <c r="W411" s="51"/>
      <c r="X411" s="51"/>
      <c r="Y411" s="216"/>
      <c r="Z411" s="216"/>
      <c r="AA411" s="51"/>
      <c r="AB411" s="51"/>
      <c r="AC411" s="51"/>
      <c r="AD411" s="51"/>
    </row>
    <row r="412" spans="1:30" customFormat="1">
      <c r="A412" s="50"/>
      <c r="B412" s="50"/>
      <c r="C412" s="50"/>
      <c r="D412" s="50"/>
      <c r="E412" s="50"/>
      <c r="F412" s="50"/>
      <c r="G412" s="50"/>
      <c r="H412" s="50"/>
      <c r="I412" s="50"/>
      <c r="J412" s="50"/>
      <c r="K412" s="50"/>
      <c r="L412" s="50"/>
      <c r="M412" s="50"/>
      <c r="N412" s="50"/>
      <c r="O412" s="50"/>
      <c r="P412" s="50"/>
      <c r="Q412" s="50"/>
      <c r="R412" s="50"/>
      <c r="S412" s="50"/>
      <c r="T412" s="50"/>
      <c r="U412" s="50"/>
      <c r="V412" s="50"/>
      <c r="W412" s="51"/>
      <c r="X412" s="51"/>
      <c r="Y412" s="216"/>
      <c r="Z412" s="216"/>
      <c r="AA412" s="51"/>
      <c r="AB412" s="51"/>
      <c r="AC412" s="51"/>
      <c r="AD412" s="51"/>
    </row>
    <row r="413" spans="1:30" customFormat="1">
      <c r="A413" s="50"/>
      <c r="B413" s="50"/>
      <c r="C413" s="50"/>
      <c r="D413" s="50"/>
      <c r="E413" s="50"/>
      <c r="F413" s="50"/>
      <c r="G413" s="50"/>
      <c r="H413" s="50"/>
      <c r="I413" s="50"/>
      <c r="J413" s="50"/>
      <c r="K413" s="50"/>
      <c r="L413" s="50"/>
      <c r="M413" s="50"/>
      <c r="N413" s="50"/>
      <c r="O413" s="50"/>
      <c r="P413" s="50"/>
      <c r="Q413" s="50"/>
      <c r="R413" s="50"/>
      <c r="S413" s="50"/>
      <c r="T413" s="50"/>
      <c r="U413" s="50"/>
      <c r="V413" s="50"/>
      <c r="W413" s="51"/>
      <c r="X413" s="51"/>
      <c r="Y413" s="216"/>
      <c r="Z413" s="216"/>
      <c r="AA413" s="51"/>
      <c r="AB413" s="51"/>
      <c r="AC413" s="51"/>
      <c r="AD413" s="51"/>
    </row>
    <row r="414" spans="1:30" customFormat="1">
      <c r="A414" s="50"/>
      <c r="B414" s="50"/>
      <c r="C414" s="50"/>
      <c r="D414" s="50"/>
      <c r="E414" s="50"/>
      <c r="F414" s="50"/>
      <c r="G414" s="50"/>
      <c r="H414" s="50"/>
      <c r="I414" s="50"/>
      <c r="J414" s="50"/>
      <c r="K414" s="50"/>
      <c r="L414" s="50"/>
      <c r="M414" s="50"/>
      <c r="N414" s="50"/>
      <c r="O414" s="50"/>
      <c r="P414" s="50"/>
      <c r="Q414" s="50"/>
      <c r="R414" s="50"/>
      <c r="S414" s="50"/>
      <c r="T414" s="50"/>
      <c r="U414" s="50"/>
      <c r="V414" s="50"/>
      <c r="W414" s="51"/>
      <c r="X414" s="51"/>
      <c r="Y414" s="216"/>
      <c r="Z414" s="216"/>
      <c r="AA414" s="51"/>
      <c r="AB414" s="51"/>
      <c r="AC414" s="51"/>
      <c r="AD414" s="51"/>
    </row>
    <row r="415" spans="1:30" customFormat="1">
      <c r="A415" s="50"/>
      <c r="B415" s="50"/>
      <c r="C415" s="50"/>
      <c r="D415" s="50"/>
      <c r="E415" s="50"/>
      <c r="F415" s="50"/>
      <c r="G415" s="50"/>
      <c r="H415" s="50"/>
      <c r="I415" s="50"/>
      <c r="J415" s="50"/>
      <c r="K415" s="50"/>
      <c r="L415" s="50"/>
      <c r="M415" s="50"/>
      <c r="N415" s="50"/>
      <c r="O415" s="50"/>
      <c r="P415" s="50"/>
      <c r="Q415" s="50"/>
      <c r="R415" s="50"/>
      <c r="S415" s="50"/>
      <c r="T415" s="50"/>
      <c r="U415" s="50"/>
      <c r="V415" s="50"/>
      <c r="W415" s="51"/>
      <c r="X415" s="51"/>
      <c r="Y415" s="216"/>
      <c r="Z415" s="216"/>
      <c r="AA415" s="51"/>
      <c r="AB415" s="51"/>
      <c r="AC415" s="51"/>
      <c r="AD415" s="51"/>
    </row>
    <row r="416" spans="1:30" customFormat="1">
      <c r="A416" s="50"/>
      <c r="B416" s="50"/>
      <c r="C416" s="50"/>
      <c r="D416" s="50"/>
      <c r="E416" s="50"/>
      <c r="F416" s="50"/>
      <c r="G416" s="50"/>
      <c r="H416" s="50"/>
      <c r="I416" s="50"/>
      <c r="J416" s="50"/>
      <c r="K416" s="50"/>
      <c r="L416" s="50"/>
      <c r="M416" s="50"/>
      <c r="N416" s="50"/>
      <c r="O416" s="50"/>
      <c r="P416" s="50"/>
      <c r="Q416" s="50"/>
      <c r="R416" s="50"/>
      <c r="S416" s="50"/>
      <c r="T416" s="50"/>
      <c r="U416" s="50"/>
      <c r="V416" s="50"/>
      <c r="W416" s="51"/>
      <c r="X416" s="51"/>
      <c r="Y416" s="216"/>
      <c r="Z416" s="216"/>
      <c r="AA416" s="51"/>
      <c r="AB416" s="51"/>
      <c r="AC416" s="51"/>
      <c r="AD416" s="51"/>
    </row>
    <row r="417" spans="1:30" customFormat="1">
      <c r="A417" s="50"/>
      <c r="B417" s="50"/>
      <c r="C417" s="50"/>
      <c r="D417" s="50"/>
      <c r="E417" s="50"/>
      <c r="F417" s="50"/>
      <c r="G417" s="50"/>
      <c r="H417" s="50"/>
      <c r="I417" s="50"/>
      <c r="J417" s="50"/>
      <c r="K417" s="50"/>
      <c r="L417" s="50"/>
      <c r="M417" s="50"/>
      <c r="N417" s="50"/>
      <c r="O417" s="50"/>
      <c r="P417" s="50"/>
      <c r="Q417" s="50"/>
      <c r="R417" s="50"/>
      <c r="S417" s="50"/>
      <c r="T417" s="50"/>
      <c r="U417" s="50"/>
      <c r="V417" s="50"/>
      <c r="W417" s="51"/>
      <c r="X417" s="51"/>
      <c r="Y417" s="216"/>
      <c r="Z417" s="216"/>
      <c r="AA417" s="51"/>
      <c r="AB417" s="51"/>
      <c r="AC417" s="51"/>
      <c r="AD417" s="51"/>
    </row>
    <row r="418" spans="1:30" customFormat="1">
      <c r="A418" s="50"/>
      <c r="B418" s="50"/>
      <c r="C418" s="50"/>
      <c r="D418" s="50"/>
      <c r="E418" s="50"/>
      <c r="F418" s="50"/>
      <c r="G418" s="50"/>
      <c r="H418" s="50"/>
      <c r="I418" s="50"/>
      <c r="J418" s="50"/>
      <c r="K418" s="50"/>
      <c r="L418" s="50"/>
      <c r="M418" s="50"/>
      <c r="N418" s="50"/>
      <c r="O418" s="50"/>
      <c r="P418" s="50"/>
      <c r="Q418" s="50"/>
      <c r="R418" s="50"/>
      <c r="S418" s="50"/>
      <c r="T418" s="50"/>
      <c r="U418" s="50"/>
      <c r="V418" s="50"/>
      <c r="W418" s="51"/>
      <c r="X418" s="51"/>
      <c r="Y418" s="216"/>
      <c r="Z418" s="216"/>
      <c r="AA418" s="51"/>
      <c r="AB418" s="51"/>
      <c r="AC418" s="51"/>
      <c r="AD418" s="51"/>
    </row>
    <row r="419" spans="1:30" customFormat="1">
      <c r="A419" s="50"/>
      <c r="B419" s="50"/>
      <c r="C419" s="50"/>
      <c r="D419" s="50"/>
      <c r="E419" s="50"/>
      <c r="F419" s="50"/>
      <c r="G419" s="50"/>
      <c r="H419" s="50"/>
      <c r="I419" s="50"/>
      <c r="J419" s="50"/>
      <c r="K419" s="50"/>
      <c r="L419" s="50"/>
      <c r="M419" s="50"/>
      <c r="N419" s="50"/>
      <c r="O419" s="50"/>
      <c r="P419" s="50"/>
      <c r="Q419" s="50"/>
      <c r="R419" s="50"/>
      <c r="S419" s="50"/>
      <c r="T419" s="50"/>
      <c r="U419" s="50"/>
      <c r="V419" s="50"/>
      <c r="W419" s="51"/>
      <c r="X419" s="51"/>
      <c r="Y419" s="216"/>
      <c r="Z419" s="216"/>
      <c r="AA419" s="51"/>
      <c r="AB419" s="51"/>
      <c r="AC419" s="51"/>
      <c r="AD419" s="51"/>
    </row>
    <row r="420" spans="1:30" customFormat="1">
      <c r="A420" s="50"/>
      <c r="B420" s="50"/>
      <c r="C420" s="50"/>
      <c r="D420" s="50"/>
      <c r="E420" s="50"/>
      <c r="F420" s="50"/>
      <c r="G420" s="50"/>
      <c r="H420" s="50"/>
      <c r="I420" s="50"/>
      <c r="J420" s="50"/>
      <c r="K420" s="50"/>
      <c r="L420" s="50"/>
      <c r="M420" s="50"/>
      <c r="N420" s="50"/>
      <c r="O420" s="50"/>
      <c r="P420" s="50"/>
      <c r="Q420" s="50"/>
      <c r="R420" s="50"/>
      <c r="S420" s="50"/>
      <c r="T420" s="50"/>
      <c r="U420" s="50"/>
      <c r="V420" s="50"/>
      <c r="W420" s="51"/>
      <c r="X420" s="51"/>
      <c r="Y420" s="216"/>
      <c r="Z420" s="216"/>
      <c r="AA420" s="51"/>
      <c r="AB420" s="51"/>
      <c r="AC420" s="51"/>
      <c r="AD420" s="51"/>
    </row>
    <row r="421" spans="1:30" customFormat="1">
      <c r="A421" s="50"/>
      <c r="B421" s="50"/>
      <c r="C421" s="50"/>
      <c r="D421" s="50"/>
      <c r="E421" s="50"/>
      <c r="F421" s="50"/>
      <c r="G421" s="50"/>
      <c r="H421" s="50"/>
      <c r="I421" s="50"/>
      <c r="J421" s="50"/>
      <c r="K421" s="50"/>
      <c r="L421" s="50"/>
      <c r="M421" s="50"/>
      <c r="N421" s="50"/>
      <c r="O421" s="50"/>
      <c r="P421" s="50"/>
      <c r="Q421" s="50"/>
      <c r="R421" s="50"/>
      <c r="S421" s="50"/>
      <c r="T421" s="50"/>
      <c r="U421" s="50"/>
      <c r="V421" s="50"/>
      <c r="W421" s="51"/>
      <c r="X421" s="51"/>
      <c r="Y421" s="216"/>
      <c r="Z421" s="216"/>
      <c r="AA421" s="51"/>
      <c r="AB421" s="51"/>
      <c r="AC421" s="51"/>
      <c r="AD421" s="51"/>
    </row>
    <row r="422" spans="1:30" customFormat="1">
      <c r="A422" s="50"/>
      <c r="B422" s="50"/>
      <c r="C422" s="50"/>
      <c r="D422" s="50"/>
      <c r="E422" s="50"/>
      <c r="F422" s="50"/>
      <c r="G422" s="50"/>
      <c r="H422" s="50"/>
      <c r="I422" s="50"/>
      <c r="J422" s="50"/>
      <c r="K422" s="50"/>
      <c r="L422" s="50"/>
      <c r="M422" s="50"/>
      <c r="N422" s="50"/>
      <c r="O422" s="50"/>
      <c r="P422" s="50"/>
      <c r="Q422" s="50"/>
      <c r="R422" s="50"/>
      <c r="S422" s="50"/>
      <c r="T422" s="50"/>
      <c r="U422" s="50"/>
      <c r="V422" s="50"/>
      <c r="W422" s="51"/>
      <c r="X422" s="51"/>
      <c r="Y422" s="216"/>
      <c r="Z422" s="216"/>
      <c r="AA422" s="51"/>
      <c r="AB422" s="51"/>
      <c r="AC422" s="51"/>
      <c r="AD422" s="51"/>
    </row>
    <row r="423" spans="1:30" customFormat="1">
      <c r="A423" s="50"/>
      <c r="B423" s="50"/>
      <c r="C423" s="50"/>
      <c r="D423" s="50"/>
      <c r="E423" s="50"/>
      <c r="F423" s="50"/>
      <c r="G423" s="50"/>
      <c r="H423" s="50"/>
      <c r="I423" s="50"/>
      <c r="J423" s="50"/>
      <c r="K423" s="50"/>
      <c r="L423" s="50"/>
      <c r="M423" s="50"/>
      <c r="N423" s="50"/>
      <c r="O423" s="50"/>
      <c r="P423" s="50"/>
      <c r="Q423" s="50"/>
      <c r="R423" s="50"/>
      <c r="S423" s="50"/>
      <c r="T423" s="50"/>
      <c r="U423" s="50"/>
      <c r="V423" s="50"/>
      <c r="W423" s="51"/>
      <c r="X423" s="51"/>
      <c r="Y423" s="216"/>
      <c r="Z423" s="216"/>
      <c r="AA423" s="51"/>
      <c r="AB423" s="51"/>
      <c r="AC423" s="51"/>
      <c r="AD423" s="51"/>
    </row>
    <row r="424" spans="1:30" customFormat="1">
      <c r="A424" s="50"/>
      <c r="B424" s="50"/>
      <c r="C424" s="50"/>
      <c r="D424" s="50"/>
      <c r="E424" s="50"/>
      <c r="F424" s="50"/>
      <c r="G424" s="50"/>
      <c r="H424" s="50"/>
      <c r="I424" s="50"/>
      <c r="J424" s="50"/>
      <c r="K424" s="50"/>
      <c r="L424" s="50"/>
      <c r="M424" s="50"/>
      <c r="N424" s="50"/>
      <c r="O424" s="50"/>
      <c r="P424" s="50"/>
      <c r="Q424" s="50"/>
      <c r="R424" s="50"/>
      <c r="S424" s="50"/>
      <c r="T424" s="50"/>
      <c r="U424" s="50"/>
      <c r="V424" s="50"/>
      <c r="W424" s="51"/>
      <c r="X424" s="51"/>
      <c r="Y424" s="216"/>
      <c r="Z424" s="216"/>
      <c r="AA424" s="51"/>
      <c r="AB424" s="51"/>
      <c r="AC424" s="51"/>
      <c r="AD424" s="51"/>
    </row>
    <row r="425" spans="1:30" customFormat="1">
      <c r="A425" s="50"/>
      <c r="B425" s="50"/>
      <c r="C425" s="50"/>
      <c r="D425" s="50"/>
      <c r="E425" s="50"/>
      <c r="F425" s="50"/>
      <c r="G425" s="50"/>
      <c r="H425" s="50"/>
      <c r="I425" s="50"/>
      <c r="J425" s="50"/>
      <c r="K425" s="50"/>
      <c r="L425" s="50"/>
      <c r="M425" s="50"/>
      <c r="N425" s="50"/>
      <c r="O425" s="50"/>
      <c r="P425" s="50"/>
      <c r="Q425" s="50"/>
      <c r="R425" s="50"/>
      <c r="S425" s="50"/>
      <c r="T425" s="50"/>
      <c r="U425" s="50"/>
      <c r="V425" s="50"/>
      <c r="W425" s="51"/>
      <c r="X425" s="51"/>
      <c r="Y425" s="216"/>
      <c r="Z425" s="216"/>
      <c r="AA425" s="51"/>
      <c r="AB425" s="51"/>
      <c r="AC425" s="51"/>
      <c r="AD425" s="51"/>
    </row>
    <row r="426" spans="1:30" customFormat="1">
      <c r="A426" s="50"/>
      <c r="B426" s="50"/>
      <c r="C426" s="50"/>
      <c r="D426" s="50"/>
      <c r="E426" s="50"/>
      <c r="F426" s="50"/>
      <c r="G426" s="50"/>
      <c r="H426" s="50"/>
      <c r="I426" s="50"/>
      <c r="J426" s="50"/>
      <c r="K426" s="50"/>
      <c r="L426" s="50"/>
      <c r="M426" s="50"/>
      <c r="N426" s="50"/>
      <c r="O426" s="50"/>
      <c r="P426" s="50"/>
      <c r="Q426" s="50"/>
      <c r="R426" s="50"/>
      <c r="S426" s="50"/>
      <c r="T426" s="50"/>
      <c r="U426" s="50"/>
      <c r="V426" s="50"/>
      <c r="W426" s="51"/>
      <c r="X426" s="51"/>
      <c r="Y426" s="216"/>
      <c r="Z426" s="216"/>
      <c r="AA426" s="51"/>
      <c r="AB426" s="51"/>
      <c r="AC426" s="51"/>
      <c r="AD426" s="51"/>
    </row>
    <row r="427" spans="1:30" customFormat="1">
      <c r="A427" s="50"/>
      <c r="B427" s="50"/>
      <c r="C427" s="50"/>
      <c r="D427" s="50"/>
      <c r="E427" s="50"/>
      <c r="F427" s="50"/>
      <c r="G427" s="50"/>
      <c r="H427" s="50"/>
      <c r="I427" s="50"/>
      <c r="J427" s="50"/>
      <c r="K427" s="50"/>
      <c r="L427" s="50"/>
      <c r="M427" s="50"/>
      <c r="N427" s="50"/>
      <c r="O427" s="50"/>
      <c r="P427" s="50"/>
      <c r="Q427" s="50"/>
      <c r="R427" s="50"/>
      <c r="S427" s="50"/>
      <c r="T427" s="50"/>
      <c r="U427" s="50"/>
      <c r="V427" s="50"/>
      <c r="W427" s="51"/>
      <c r="X427" s="51"/>
      <c r="Y427" s="216"/>
      <c r="Z427" s="216"/>
      <c r="AA427" s="51"/>
      <c r="AB427" s="51"/>
      <c r="AC427" s="51"/>
      <c r="AD427" s="51"/>
    </row>
    <row r="428" spans="1:30" customFormat="1">
      <c r="A428" s="50"/>
      <c r="B428" s="50"/>
      <c r="C428" s="50"/>
      <c r="D428" s="50"/>
      <c r="E428" s="50"/>
      <c r="F428" s="50"/>
      <c r="G428" s="50"/>
      <c r="H428" s="50"/>
      <c r="I428" s="50"/>
      <c r="J428" s="50"/>
      <c r="K428" s="50"/>
      <c r="L428" s="50"/>
      <c r="M428" s="50"/>
      <c r="N428" s="50"/>
      <c r="O428" s="50"/>
      <c r="P428" s="50"/>
      <c r="Q428" s="50"/>
      <c r="R428" s="50"/>
      <c r="S428" s="50"/>
      <c r="T428" s="50"/>
      <c r="U428" s="50"/>
      <c r="V428" s="50"/>
      <c r="W428" s="51"/>
      <c r="X428" s="51"/>
      <c r="Y428" s="216"/>
      <c r="Z428" s="216"/>
      <c r="AA428" s="51"/>
      <c r="AB428" s="51"/>
      <c r="AC428" s="51"/>
      <c r="AD428" s="51"/>
    </row>
    <row r="429" spans="1:30" customFormat="1">
      <c r="A429" s="50"/>
      <c r="B429" s="50"/>
      <c r="C429" s="50"/>
      <c r="D429" s="50"/>
      <c r="E429" s="50"/>
      <c r="F429" s="50"/>
      <c r="G429" s="50"/>
      <c r="H429" s="50"/>
      <c r="I429" s="50"/>
      <c r="J429" s="50"/>
      <c r="K429" s="50"/>
      <c r="L429" s="50"/>
      <c r="M429" s="50"/>
      <c r="N429" s="50"/>
      <c r="O429" s="50"/>
      <c r="P429" s="50"/>
      <c r="Q429" s="50"/>
      <c r="R429" s="50"/>
      <c r="S429" s="50"/>
      <c r="T429" s="50"/>
      <c r="U429" s="50"/>
      <c r="V429" s="50"/>
      <c r="W429" s="51"/>
      <c r="X429" s="51"/>
      <c r="Y429" s="216"/>
      <c r="Z429" s="216"/>
      <c r="AA429" s="51"/>
      <c r="AB429" s="51"/>
      <c r="AC429" s="51"/>
      <c r="AD429" s="51"/>
    </row>
    <row r="430" spans="1:30" customFormat="1">
      <c r="A430" s="50"/>
      <c r="B430" s="50"/>
      <c r="C430" s="50"/>
      <c r="D430" s="50"/>
      <c r="E430" s="50"/>
      <c r="F430" s="50"/>
      <c r="G430" s="50"/>
      <c r="H430" s="50"/>
      <c r="I430" s="50"/>
      <c r="J430" s="50"/>
      <c r="K430" s="50"/>
      <c r="L430" s="50"/>
      <c r="M430" s="50"/>
      <c r="N430" s="50"/>
      <c r="O430" s="50"/>
      <c r="P430" s="50"/>
      <c r="Q430" s="50"/>
      <c r="R430" s="50"/>
      <c r="S430" s="50"/>
      <c r="T430" s="50"/>
      <c r="U430" s="50"/>
      <c r="V430" s="50"/>
      <c r="W430" s="51"/>
      <c r="X430" s="51"/>
      <c r="Y430" s="216"/>
      <c r="Z430" s="216"/>
      <c r="AA430" s="51"/>
      <c r="AB430" s="51"/>
      <c r="AC430" s="51"/>
      <c r="AD430" s="51"/>
    </row>
    <row r="431" spans="1:30" customFormat="1">
      <c r="A431" s="50"/>
      <c r="B431" s="50"/>
      <c r="C431" s="50"/>
      <c r="D431" s="50"/>
      <c r="E431" s="50"/>
      <c r="F431" s="50"/>
      <c r="G431" s="50"/>
      <c r="H431" s="50"/>
      <c r="I431" s="50"/>
      <c r="J431" s="50"/>
      <c r="K431" s="50"/>
      <c r="L431" s="50"/>
      <c r="M431" s="50"/>
      <c r="N431" s="50"/>
      <c r="O431" s="50"/>
      <c r="P431" s="50"/>
      <c r="Q431" s="50"/>
      <c r="R431" s="50"/>
      <c r="S431" s="50"/>
      <c r="T431" s="50"/>
      <c r="U431" s="50"/>
      <c r="V431" s="50"/>
      <c r="W431" s="51"/>
      <c r="X431" s="51"/>
      <c r="Y431" s="216"/>
      <c r="Z431" s="216"/>
      <c r="AA431" s="51"/>
      <c r="AB431" s="51"/>
      <c r="AC431" s="51"/>
      <c r="AD431" s="51"/>
    </row>
    <row r="432" spans="1:30" customFormat="1">
      <c r="A432" s="50"/>
      <c r="B432" s="50"/>
      <c r="C432" s="50"/>
      <c r="D432" s="50"/>
      <c r="E432" s="50"/>
      <c r="F432" s="50"/>
      <c r="G432" s="50"/>
      <c r="H432" s="50"/>
      <c r="I432" s="50"/>
      <c r="J432" s="50"/>
      <c r="K432" s="50"/>
      <c r="L432" s="50"/>
      <c r="M432" s="50"/>
      <c r="N432" s="50"/>
      <c r="O432" s="50"/>
      <c r="P432" s="50"/>
      <c r="Q432" s="50"/>
      <c r="R432" s="50"/>
      <c r="S432" s="50"/>
      <c r="T432" s="50"/>
      <c r="U432" s="50"/>
      <c r="V432" s="50"/>
      <c r="W432" s="51"/>
      <c r="X432" s="51"/>
      <c r="Y432" s="216"/>
      <c r="Z432" s="216"/>
      <c r="AA432" s="51"/>
      <c r="AB432" s="51"/>
      <c r="AC432" s="51"/>
      <c r="AD432" s="51"/>
    </row>
    <row r="433" spans="1:30" customFormat="1">
      <c r="A433" s="50"/>
      <c r="B433" s="50"/>
      <c r="C433" s="50"/>
      <c r="D433" s="50"/>
      <c r="E433" s="50"/>
      <c r="F433" s="50"/>
      <c r="G433" s="50"/>
      <c r="H433" s="50"/>
      <c r="I433" s="50"/>
      <c r="J433" s="50"/>
      <c r="K433" s="50"/>
      <c r="L433" s="50"/>
      <c r="M433" s="50"/>
      <c r="N433" s="50"/>
      <c r="O433" s="50"/>
      <c r="P433" s="50"/>
      <c r="Q433" s="50"/>
      <c r="R433" s="50"/>
      <c r="S433" s="50"/>
      <c r="T433" s="50"/>
      <c r="U433" s="50"/>
      <c r="V433" s="50"/>
      <c r="W433" s="51"/>
      <c r="X433" s="51"/>
      <c r="Y433" s="216"/>
      <c r="Z433" s="216"/>
      <c r="AA433" s="51"/>
      <c r="AB433" s="51"/>
      <c r="AC433" s="51"/>
      <c r="AD433" s="51"/>
    </row>
    <row r="434" spans="1:30" customFormat="1">
      <c r="A434" s="50"/>
      <c r="B434" s="50"/>
      <c r="C434" s="50"/>
      <c r="D434" s="50"/>
      <c r="E434" s="50"/>
      <c r="F434" s="50"/>
      <c r="G434" s="50"/>
      <c r="H434" s="50"/>
      <c r="I434" s="50"/>
      <c r="J434" s="50"/>
      <c r="K434" s="50"/>
      <c r="L434" s="50"/>
      <c r="M434" s="50"/>
      <c r="N434" s="50"/>
      <c r="O434" s="50"/>
      <c r="P434" s="50"/>
      <c r="Q434" s="50"/>
      <c r="R434" s="50"/>
      <c r="S434" s="50"/>
      <c r="T434" s="50"/>
      <c r="U434" s="50"/>
      <c r="V434" s="50"/>
      <c r="W434" s="51"/>
      <c r="X434" s="51"/>
      <c r="Y434" s="216"/>
      <c r="Z434" s="216"/>
      <c r="AA434" s="51"/>
      <c r="AB434" s="51"/>
      <c r="AC434" s="51"/>
      <c r="AD434" s="51"/>
    </row>
    <row r="435" spans="1:30" customFormat="1">
      <c r="A435" s="50"/>
      <c r="B435" s="50"/>
      <c r="C435" s="50"/>
      <c r="D435" s="50"/>
      <c r="E435" s="50"/>
      <c r="F435" s="50"/>
      <c r="G435" s="50"/>
      <c r="H435" s="50"/>
      <c r="I435" s="50"/>
      <c r="J435" s="50"/>
      <c r="K435" s="50"/>
      <c r="L435" s="50"/>
      <c r="M435" s="50"/>
      <c r="N435" s="50"/>
      <c r="O435" s="50"/>
      <c r="P435" s="50"/>
      <c r="Q435" s="50"/>
      <c r="R435" s="50"/>
      <c r="S435" s="50"/>
      <c r="T435" s="50"/>
      <c r="U435" s="50"/>
      <c r="V435" s="50"/>
      <c r="W435" s="51"/>
      <c r="X435" s="51"/>
      <c r="Y435" s="216"/>
      <c r="Z435" s="216"/>
      <c r="AA435" s="51"/>
      <c r="AB435" s="51"/>
      <c r="AC435" s="51"/>
      <c r="AD435" s="51"/>
    </row>
    <row r="436" spans="1:30" customFormat="1">
      <c r="A436" s="50"/>
      <c r="B436" s="50"/>
      <c r="C436" s="50"/>
      <c r="D436" s="50"/>
      <c r="E436" s="50"/>
      <c r="F436" s="50"/>
      <c r="G436" s="50"/>
      <c r="H436" s="50"/>
      <c r="I436" s="50"/>
      <c r="J436" s="50"/>
      <c r="K436" s="50"/>
      <c r="L436" s="50"/>
      <c r="M436" s="50"/>
      <c r="N436" s="50"/>
      <c r="O436" s="50"/>
      <c r="P436" s="50"/>
      <c r="Q436" s="50"/>
      <c r="R436" s="50"/>
      <c r="S436" s="50"/>
      <c r="T436" s="50"/>
      <c r="U436" s="50"/>
      <c r="V436" s="50"/>
      <c r="W436" s="51"/>
      <c r="X436" s="51"/>
      <c r="Y436" s="216"/>
      <c r="Z436" s="216"/>
      <c r="AA436" s="51"/>
      <c r="AB436" s="51"/>
      <c r="AC436" s="51"/>
      <c r="AD436" s="51"/>
    </row>
    <row r="437" spans="1:30" customFormat="1">
      <c r="A437" s="50"/>
      <c r="B437" s="50"/>
      <c r="C437" s="50"/>
      <c r="D437" s="50"/>
      <c r="E437" s="50"/>
      <c r="F437" s="50"/>
      <c r="G437" s="50"/>
      <c r="H437" s="50"/>
      <c r="I437" s="50"/>
      <c r="J437" s="50"/>
      <c r="K437" s="50"/>
      <c r="L437" s="50"/>
      <c r="M437" s="50"/>
      <c r="N437" s="50"/>
      <c r="O437" s="50"/>
      <c r="P437" s="50"/>
      <c r="Q437" s="50"/>
      <c r="R437" s="50"/>
      <c r="S437" s="50"/>
      <c r="T437" s="50"/>
      <c r="U437" s="50"/>
      <c r="V437" s="50"/>
      <c r="W437" s="51"/>
      <c r="X437" s="51"/>
      <c r="Y437" s="216"/>
      <c r="Z437" s="216"/>
      <c r="AA437" s="51"/>
      <c r="AB437" s="51"/>
      <c r="AC437" s="51"/>
      <c r="AD437" s="51"/>
    </row>
    <row r="438" spans="1:30" customFormat="1">
      <c r="A438" s="50"/>
      <c r="B438" s="50"/>
      <c r="C438" s="50"/>
      <c r="D438" s="50"/>
      <c r="E438" s="50"/>
      <c r="F438" s="50"/>
      <c r="G438" s="50"/>
      <c r="H438" s="50"/>
      <c r="I438" s="50"/>
      <c r="J438" s="50"/>
      <c r="K438" s="50"/>
      <c r="L438" s="50"/>
      <c r="M438" s="50"/>
      <c r="N438" s="50"/>
      <c r="O438" s="50"/>
      <c r="P438" s="50"/>
      <c r="Q438" s="50"/>
      <c r="R438" s="50"/>
      <c r="S438" s="50"/>
      <c r="T438" s="50"/>
      <c r="U438" s="50"/>
      <c r="V438" s="50"/>
      <c r="W438" s="51"/>
      <c r="X438" s="51"/>
      <c r="Y438" s="216"/>
      <c r="Z438" s="216"/>
      <c r="AA438" s="51"/>
      <c r="AB438" s="51"/>
      <c r="AC438" s="51"/>
      <c r="AD438" s="51"/>
    </row>
    <row r="439" spans="1:30" customFormat="1">
      <c r="A439" s="50"/>
      <c r="B439" s="50"/>
      <c r="C439" s="50"/>
      <c r="D439" s="50"/>
      <c r="E439" s="50"/>
      <c r="F439" s="50"/>
      <c r="G439" s="50"/>
      <c r="H439" s="50"/>
      <c r="I439" s="50"/>
      <c r="J439" s="50"/>
      <c r="K439" s="50"/>
      <c r="L439" s="50"/>
      <c r="M439" s="50"/>
      <c r="N439" s="50"/>
      <c r="O439" s="50"/>
      <c r="P439" s="50"/>
      <c r="Q439" s="50"/>
      <c r="R439" s="50"/>
      <c r="S439" s="50"/>
      <c r="T439" s="50"/>
      <c r="U439" s="50"/>
      <c r="V439" s="50"/>
      <c r="W439" s="51"/>
      <c r="X439" s="51"/>
      <c r="Y439" s="216"/>
      <c r="Z439" s="216"/>
      <c r="AA439" s="51"/>
      <c r="AB439" s="51"/>
      <c r="AC439" s="51"/>
      <c r="AD439" s="51"/>
    </row>
    <row r="440" spans="1:30" customFormat="1">
      <c r="A440" s="50"/>
      <c r="B440" s="50"/>
      <c r="C440" s="50"/>
      <c r="D440" s="50"/>
      <c r="E440" s="50"/>
      <c r="F440" s="50"/>
      <c r="G440" s="50"/>
      <c r="H440" s="50"/>
      <c r="I440" s="50"/>
      <c r="J440" s="50"/>
      <c r="K440" s="50"/>
      <c r="L440" s="50"/>
      <c r="M440" s="50"/>
      <c r="N440" s="50"/>
      <c r="O440" s="50"/>
      <c r="P440" s="50"/>
      <c r="Q440" s="50"/>
      <c r="R440" s="50"/>
      <c r="S440" s="50"/>
      <c r="T440" s="50"/>
      <c r="U440" s="50"/>
      <c r="V440" s="50"/>
      <c r="W440" s="51"/>
      <c r="X440" s="51"/>
      <c r="Y440" s="216"/>
      <c r="Z440" s="216"/>
      <c r="AA440" s="51"/>
      <c r="AB440" s="51"/>
      <c r="AC440" s="51"/>
      <c r="AD440" s="51"/>
    </row>
    <row r="441" spans="1:30" customFormat="1">
      <c r="A441" s="50"/>
      <c r="B441" s="50"/>
      <c r="C441" s="50"/>
      <c r="D441" s="50"/>
      <c r="E441" s="50"/>
      <c r="F441" s="50"/>
      <c r="G441" s="50"/>
      <c r="H441" s="50"/>
      <c r="I441" s="50"/>
      <c r="J441" s="50"/>
      <c r="K441" s="50"/>
      <c r="L441" s="50"/>
      <c r="M441" s="50"/>
      <c r="N441" s="50"/>
      <c r="O441" s="50"/>
      <c r="P441" s="50"/>
      <c r="Q441" s="50"/>
      <c r="R441" s="50"/>
      <c r="S441" s="50"/>
      <c r="T441" s="50"/>
      <c r="U441" s="50"/>
      <c r="V441" s="50"/>
      <c r="W441" s="51"/>
      <c r="X441" s="51"/>
      <c r="Y441" s="216"/>
      <c r="Z441" s="216"/>
      <c r="AA441" s="51"/>
      <c r="AB441" s="51"/>
      <c r="AC441" s="51"/>
      <c r="AD441" s="51"/>
    </row>
    <row r="442" spans="1:30" customFormat="1">
      <c r="A442" s="50"/>
      <c r="B442" s="50"/>
      <c r="C442" s="50"/>
      <c r="D442" s="50"/>
      <c r="E442" s="50"/>
      <c r="F442" s="50"/>
      <c r="G442" s="50"/>
      <c r="H442" s="50"/>
      <c r="I442" s="50"/>
      <c r="J442" s="50"/>
      <c r="K442" s="50"/>
      <c r="L442" s="50"/>
      <c r="M442" s="50"/>
      <c r="N442" s="50"/>
      <c r="O442" s="50"/>
      <c r="P442" s="50"/>
      <c r="Q442" s="50"/>
      <c r="R442" s="50"/>
      <c r="S442" s="50"/>
      <c r="T442" s="50"/>
      <c r="U442" s="50"/>
      <c r="V442" s="50"/>
      <c r="W442" s="51"/>
      <c r="X442" s="51"/>
      <c r="Y442" s="216"/>
      <c r="Z442" s="216"/>
      <c r="AA442" s="51"/>
      <c r="AB442" s="51"/>
      <c r="AC442" s="51"/>
      <c r="AD442" s="51"/>
    </row>
    <row r="443" spans="1:30" customFormat="1">
      <c r="A443" s="50"/>
      <c r="B443" s="50"/>
      <c r="C443" s="50"/>
      <c r="D443" s="50"/>
      <c r="E443" s="50"/>
      <c r="F443" s="50"/>
      <c r="G443" s="50"/>
      <c r="H443" s="50"/>
      <c r="I443" s="50"/>
      <c r="J443" s="50"/>
      <c r="K443" s="50"/>
      <c r="L443" s="50"/>
      <c r="M443" s="50"/>
      <c r="N443" s="50"/>
      <c r="O443" s="50"/>
      <c r="P443" s="50"/>
      <c r="Q443" s="50"/>
      <c r="R443" s="50"/>
      <c r="S443" s="50"/>
      <c r="T443" s="50"/>
      <c r="U443" s="50"/>
      <c r="V443" s="50"/>
      <c r="W443" s="51"/>
      <c r="X443" s="51"/>
      <c r="Y443" s="216"/>
      <c r="Z443" s="216"/>
      <c r="AA443" s="51"/>
      <c r="AB443" s="51"/>
      <c r="AC443" s="51"/>
      <c r="AD443" s="51"/>
    </row>
    <row r="444" spans="1:30" customFormat="1">
      <c r="A444" s="50"/>
      <c r="B444" s="50"/>
      <c r="C444" s="50"/>
      <c r="D444" s="50"/>
      <c r="E444" s="50"/>
      <c r="F444" s="50"/>
      <c r="G444" s="50"/>
      <c r="H444" s="50"/>
      <c r="I444" s="50"/>
      <c r="J444" s="50"/>
      <c r="K444" s="50"/>
      <c r="L444" s="50"/>
      <c r="M444" s="50"/>
      <c r="N444" s="50"/>
      <c r="O444" s="50"/>
      <c r="P444" s="50"/>
      <c r="Q444" s="50"/>
      <c r="R444" s="50"/>
      <c r="S444" s="50"/>
      <c r="T444" s="50"/>
      <c r="U444" s="50"/>
      <c r="V444" s="50"/>
      <c r="W444" s="51"/>
      <c r="X444" s="51"/>
      <c r="Y444" s="216"/>
      <c r="Z444" s="216"/>
      <c r="AA444" s="51"/>
      <c r="AB444" s="51"/>
      <c r="AC444" s="51"/>
      <c r="AD444" s="51"/>
    </row>
    <row r="445" spans="1:30" customFormat="1">
      <c r="A445" s="50"/>
      <c r="B445" s="50"/>
      <c r="C445" s="50"/>
      <c r="D445" s="50"/>
      <c r="E445" s="50"/>
      <c r="F445" s="50"/>
      <c r="G445" s="50"/>
      <c r="H445" s="50"/>
      <c r="I445" s="50"/>
      <c r="J445" s="50"/>
      <c r="K445" s="50"/>
      <c r="L445" s="50"/>
      <c r="M445" s="50"/>
      <c r="N445" s="50"/>
      <c r="O445" s="50"/>
      <c r="P445" s="50"/>
      <c r="Q445" s="50"/>
      <c r="R445" s="50"/>
      <c r="S445" s="50"/>
      <c r="T445" s="50"/>
      <c r="U445" s="50"/>
      <c r="V445" s="50"/>
      <c r="W445" s="51"/>
      <c r="X445" s="51"/>
      <c r="Y445" s="216"/>
      <c r="Z445" s="216"/>
      <c r="AA445" s="51"/>
      <c r="AB445" s="51"/>
      <c r="AC445" s="51"/>
      <c r="AD445" s="51"/>
    </row>
    <row r="446" spans="1:30" customFormat="1">
      <c r="A446" s="50"/>
      <c r="B446" s="50"/>
      <c r="C446" s="50"/>
      <c r="D446" s="50"/>
      <c r="E446" s="50"/>
      <c r="F446" s="50"/>
      <c r="G446" s="50"/>
      <c r="H446" s="50"/>
      <c r="I446" s="50"/>
      <c r="J446" s="50"/>
      <c r="K446" s="50"/>
      <c r="L446" s="50"/>
      <c r="M446" s="50"/>
      <c r="N446" s="50"/>
      <c r="O446" s="50"/>
      <c r="P446" s="50"/>
      <c r="Q446" s="50"/>
      <c r="R446" s="50"/>
      <c r="S446" s="50"/>
      <c r="T446" s="50"/>
      <c r="U446" s="50"/>
      <c r="V446" s="50"/>
      <c r="W446" s="51"/>
      <c r="X446" s="51"/>
      <c r="Y446" s="216"/>
      <c r="Z446" s="216"/>
      <c r="AA446" s="51"/>
      <c r="AB446" s="51"/>
      <c r="AC446" s="51"/>
      <c r="AD446" s="51"/>
    </row>
    <row r="447" spans="1:30" customFormat="1">
      <c r="A447" s="50"/>
      <c r="B447" s="50"/>
      <c r="C447" s="50"/>
      <c r="D447" s="50"/>
      <c r="E447" s="50"/>
      <c r="F447" s="50"/>
      <c r="G447" s="50"/>
      <c r="H447" s="50"/>
      <c r="I447" s="50"/>
      <c r="J447" s="50"/>
      <c r="K447" s="50"/>
      <c r="L447" s="50"/>
      <c r="M447" s="50"/>
      <c r="N447" s="50"/>
      <c r="O447" s="50"/>
      <c r="P447" s="50"/>
      <c r="Q447" s="50"/>
      <c r="R447" s="50"/>
      <c r="S447" s="50"/>
      <c r="T447" s="50"/>
      <c r="U447" s="50"/>
      <c r="V447" s="50"/>
      <c r="W447" s="51"/>
      <c r="X447" s="51"/>
      <c r="Y447" s="216"/>
      <c r="Z447" s="216"/>
      <c r="AA447" s="51"/>
      <c r="AB447" s="51"/>
      <c r="AC447" s="51"/>
      <c r="AD447" s="51"/>
    </row>
    <row r="448" spans="1:30" customFormat="1">
      <c r="A448" s="50"/>
      <c r="B448" s="50"/>
      <c r="C448" s="50"/>
      <c r="D448" s="50"/>
      <c r="E448" s="50"/>
      <c r="F448" s="50"/>
      <c r="G448" s="50"/>
      <c r="H448" s="50"/>
      <c r="I448" s="50"/>
      <c r="J448" s="50"/>
      <c r="K448" s="50"/>
      <c r="L448" s="50"/>
      <c r="M448" s="50"/>
      <c r="N448" s="50"/>
      <c r="O448" s="50"/>
      <c r="P448" s="50"/>
      <c r="Q448" s="50"/>
      <c r="R448" s="50"/>
      <c r="S448" s="50"/>
      <c r="T448" s="50"/>
      <c r="U448" s="50"/>
      <c r="V448" s="50"/>
      <c r="W448" s="51"/>
      <c r="X448" s="51"/>
      <c r="Y448" s="216"/>
      <c r="Z448" s="216"/>
      <c r="AA448" s="51"/>
      <c r="AB448" s="51"/>
      <c r="AC448" s="51"/>
      <c r="AD448" s="51"/>
    </row>
    <row r="449" spans="1:30" customFormat="1">
      <c r="A449" s="50"/>
      <c r="B449" s="50"/>
      <c r="C449" s="50"/>
      <c r="D449" s="50"/>
      <c r="E449" s="50"/>
      <c r="F449" s="50"/>
      <c r="G449" s="50"/>
      <c r="H449" s="50"/>
      <c r="I449" s="50"/>
      <c r="J449" s="50"/>
      <c r="K449" s="50"/>
      <c r="L449" s="50"/>
      <c r="M449" s="50"/>
      <c r="N449" s="50"/>
      <c r="O449" s="50"/>
      <c r="P449" s="50"/>
      <c r="Q449" s="50"/>
      <c r="R449" s="50"/>
      <c r="S449" s="50"/>
      <c r="T449" s="50"/>
      <c r="U449" s="50"/>
      <c r="V449" s="50"/>
      <c r="W449" s="51"/>
      <c r="X449" s="51"/>
      <c r="Y449" s="216"/>
      <c r="Z449" s="216"/>
      <c r="AA449" s="51"/>
      <c r="AB449" s="51"/>
      <c r="AC449" s="51"/>
      <c r="AD449" s="51"/>
    </row>
    <row r="450" spans="1:30" customFormat="1">
      <c r="A450" s="50"/>
      <c r="B450" s="50"/>
      <c r="C450" s="50"/>
      <c r="D450" s="50"/>
      <c r="E450" s="50"/>
      <c r="F450" s="50"/>
      <c r="G450" s="50"/>
      <c r="H450" s="50"/>
      <c r="I450" s="50"/>
      <c r="J450" s="50"/>
      <c r="K450" s="50"/>
      <c r="L450" s="50"/>
      <c r="M450" s="50"/>
      <c r="N450" s="50"/>
      <c r="O450" s="50"/>
      <c r="P450" s="50"/>
      <c r="Q450" s="50"/>
      <c r="R450" s="50"/>
      <c r="S450" s="50"/>
      <c r="T450" s="50"/>
      <c r="U450" s="50"/>
      <c r="V450" s="50"/>
      <c r="W450" s="51"/>
      <c r="X450" s="51"/>
      <c r="Y450" s="216"/>
      <c r="Z450" s="216"/>
      <c r="AA450" s="51"/>
      <c r="AB450" s="51"/>
      <c r="AC450" s="51"/>
      <c r="AD450" s="51"/>
    </row>
    <row r="451" spans="1:30" customFormat="1">
      <c r="A451" s="50"/>
      <c r="B451" s="50"/>
      <c r="C451" s="50"/>
      <c r="D451" s="50"/>
      <c r="E451" s="50"/>
      <c r="F451" s="50"/>
      <c r="G451" s="50"/>
      <c r="H451" s="50"/>
      <c r="I451" s="50"/>
      <c r="J451" s="50"/>
      <c r="K451" s="50"/>
      <c r="L451" s="50"/>
      <c r="M451" s="50"/>
      <c r="N451" s="50"/>
      <c r="O451" s="50"/>
      <c r="P451" s="50"/>
      <c r="Q451" s="50"/>
      <c r="R451" s="50"/>
      <c r="S451" s="50"/>
      <c r="T451" s="50"/>
      <c r="U451" s="50"/>
      <c r="V451" s="50"/>
      <c r="W451" s="51"/>
      <c r="X451" s="51"/>
      <c r="Y451" s="216"/>
      <c r="Z451" s="216"/>
      <c r="AA451" s="51"/>
      <c r="AB451" s="51"/>
      <c r="AC451" s="51"/>
      <c r="AD451" s="51"/>
    </row>
    <row r="452" spans="1:30" customFormat="1">
      <c r="A452" s="50"/>
      <c r="B452" s="50"/>
      <c r="C452" s="50"/>
      <c r="D452" s="50"/>
      <c r="E452" s="50"/>
      <c r="F452" s="50"/>
      <c r="G452" s="50"/>
      <c r="H452" s="50"/>
      <c r="I452" s="50"/>
      <c r="J452" s="50"/>
      <c r="K452" s="50"/>
      <c r="L452" s="50"/>
      <c r="M452" s="50"/>
      <c r="N452" s="50"/>
      <c r="O452" s="50"/>
      <c r="P452" s="50"/>
      <c r="Q452" s="50"/>
      <c r="R452" s="50"/>
      <c r="S452" s="50"/>
      <c r="T452" s="50"/>
      <c r="U452" s="50"/>
      <c r="V452" s="50"/>
      <c r="W452" s="51"/>
      <c r="X452" s="51"/>
      <c r="Y452" s="216"/>
      <c r="Z452" s="216"/>
      <c r="AA452" s="51"/>
      <c r="AB452" s="51"/>
      <c r="AC452" s="51"/>
      <c r="AD452" s="51"/>
    </row>
    <row r="453" spans="1:30" customFormat="1">
      <c r="A453" s="50"/>
      <c r="B453" s="50"/>
      <c r="C453" s="50"/>
      <c r="D453" s="50"/>
      <c r="E453" s="50"/>
      <c r="F453" s="50"/>
      <c r="G453" s="50"/>
      <c r="H453" s="50"/>
      <c r="I453" s="50"/>
      <c r="J453" s="50"/>
      <c r="K453" s="50"/>
      <c r="L453" s="50"/>
      <c r="M453" s="50"/>
      <c r="N453" s="50"/>
      <c r="O453" s="50"/>
      <c r="P453" s="50"/>
      <c r="Q453" s="50"/>
      <c r="R453" s="50"/>
      <c r="S453" s="50"/>
      <c r="T453" s="50"/>
      <c r="U453" s="50"/>
      <c r="V453" s="50"/>
      <c r="W453" s="51"/>
      <c r="X453" s="51"/>
      <c r="Y453" s="216"/>
      <c r="Z453" s="216"/>
      <c r="AA453" s="51"/>
      <c r="AB453" s="51"/>
      <c r="AC453" s="51"/>
      <c r="AD453" s="51"/>
    </row>
    <row r="454" spans="1:30" customFormat="1">
      <c r="A454" s="50"/>
      <c r="B454" s="50"/>
      <c r="C454" s="50"/>
      <c r="D454" s="50"/>
      <c r="E454" s="50"/>
      <c r="F454" s="50"/>
      <c r="G454" s="50"/>
      <c r="H454" s="50"/>
      <c r="I454" s="50"/>
      <c r="J454" s="50"/>
      <c r="K454" s="50"/>
      <c r="L454" s="50"/>
      <c r="M454" s="50"/>
      <c r="N454" s="50"/>
      <c r="O454" s="50"/>
      <c r="P454" s="50"/>
      <c r="Q454" s="50"/>
      <c r="R454" s="50"/>
      <c r="S454" s="50"/>
      <c r="T454" s="50"/>
      <c r="U454" s="50"/>
      <c r="V454" s="50"/>
      <c r="W454" s="51"/>
      <c r="X454" s="51"/>
      <c r="Y454" s="216"/>
      <c r="Z454" s="216"/>
      <c r="AA454" s="51"/>
      <c r="AB454" s="51"/>
      <c r="AC454" s="51"/>
      <c r="AD454" s="51"/>
    </row>
    <row r="455" spans="1:30" customFormat="1">
      <c r="A455" s="50"/>
      <c r="B455" s="50"/>
      <c r="C455" s="50"/>
      <c r="D455" s="50"/>
      <c r="E455" s="50"/>
      <c r="F455" s="50"/>
      <c r="G455" s="50"/>
      <c r="H455" s="50"/>
      <c r="I455" s="50"/>
      <c r="J455" s="50"/>
      <c r="K455" s="50"/>
      <c r="L455" s="50"/>
      <c r="M455" s="50"/>
      <c r="N455" s="50"/>
      <c r="O455" s="50"/>
      <c r="P455" s="50"/>
      <c r="Q455" s="50"/>
      <c r="R455" s="50"/>
      <c r="S455" s="50"/>
      <c r="T455" s="50"/>
      <c r="U455" s="50"/>
      <c r="V455" s="50"/>
      <c r="W455" s="51"/>
      <c r="X455" s="51"/>
      <c r="Y455" s="216"/>
      <c r="Z455" s="216"/>
      <c r="AA455" s="51"/>
      <c r="AB455" s="51"/>
      <c r="AC455" s="51"/>
      <c r="AD455" s="51"/>
    </row>
    <row r="456" spans="1:30" customFormat="1">
      <c r="A456" s="50"/>
      <c r="B456" s="50"/>
      <c r="C456" s="50"/>
      <c r="D456" s="50"/>
      <c r="E456" s="50"/>
      <c r="F456" s="50"/>
      <c r="G456" s="50"/>
      <c r="H456" s="50"/>
      <c r="I456" s="50"/>
      <c r="J456" s="50"/>
      <c r="K456" s="50"/>
      <c r="L456" s="50"/>
      <c r="M456" s="50"/>
      <c r="N456" s="50"/>
      <c r="O456" s="50"/>
      <c r="P456" s="50"/>
      <c r="Q456" s="50"/>
      <c r="R456" s="50"/>
      <c r="S456" s="50"/>
      <c r="T456" s="50"/>
      <c r="U456" s="50"/>
      <c r="V456" s="50"/>
      <c r="W456" s="51"/>
      <c r="X456" s="51"/>
      <c r="Y456" s="216"/>
      <c r="Z456" s="216"/>
      <c r="AA456" s="51"/>
      <c r="AB456" s="51"/>
      <c r="AC456" s="51"/>
      <c r="AD456" s="51"/>
    </row>
    <row r="457" spans="1:30" customFormat="1">
      <c r="A457" s="50"/>
      <c r="B457" s="50"/>
      <c r="C457" s="50"/>
      <c r="D457" s="50"/>
      <c r="E457" s="50"/>
      <c r="F457" s="50"/>
      <c r="G457" s="50"/>
      <c r="H457" s="50"/>
      <c r="I457" s="50"/>
      <c r="J457" s="50"/>
      <c r="K457" s="50"/>
      <c r="L457" s="50"/>
      <c r="M457" s="50"/>
      <c r="N457" s="50"/>
      <c r="O457" s="50"/>
      <c r="P457" s="50"/>
      <c r="Q457" s="50"/>
      <c r="R457" s="50"/>
      <c r="S457" s="50"/>
      <c r="T457" s="50"/>
      <c r="U457" s="50"/>
      <c r="V457" s="50"/>
      <c r="W457" s="51"/>
      <c r="X457" s="51"/>
      <c r="Y457" s="216"/>
      <c r="Z457" s="216"/>
      <c r="AA457" s="51"/>
      <c r="AB457" s="51"/>
      <c r="AC457" s="51"/>
      <c r="AD457" s="51"/>
    </row>
    <row r="458" spans="1:30" customFormat="1">
      <c r="A458" s="50"/>
      <c r="B458" s="50"/>
      <c r="C458" s="50"/>
      <c r="D458" s="50"/>
      <c r="E458" s="50"/>
      <c r="F458" s="50"/>
      <c r="G458" s="50"/>
      <c r="H458" s="50"/>
      <c r="I458" s="50"/>
      <c r="J458" s="50"/>
      <c r="K458" s="50"/>
      <c r="L458" s="50"/>
      <c r="M458" s="50"/>
      <c r="N458" s="50"/>
      <c r="O458" s="50"/>
      <c r="P458" s="50"/>
      <c r="Q458" s="50"/>
      <c r="R458" s="50"/>
      <c r="S458" s="50"/>
      <c r="T458" s="50"/>
      <c r="U458" s="50"/>
      <c r="V458" s="50"/>
      <c r="W458" s="51"/>
      <c r="X458" s="51"/>
      <c r="Y458" s="216"/>
      <c r="Z458" s="216"/>
      <c r="AA458" s="51"/>
      <c r="AB458" s="51"/>
      <c r="AC458" s="51"/>
      <c r="AD458" s="51"/>
    </row>
    <row r="459" spans="1:30">
      <c r="A459" s="81"/>
      <c r="G459" s="81"/>
      <c r="H459" s="81"/>
      <c r="I459" s="81"/>
      <c r="J459" s="81"/>
      <c r="K459" s="81"/>
      <c r="L459" s="81"/>
      <c r="M459" s="81"/>
      <c r="N459" s="81"/>
      <c r="O459" s="81"/>
      <c r="P459" s="81"/>
      <c r="Q459" s="81"/>
      <c r="R459" s="81"/>
      <c r="S459" s="81"/>
      <c r="T459" s="81"/>
      <c r="U459" s="81"/>
      <c r="V459" s="81"/>
      <c r="W459" s="82"/>
      <c r="X459" s="82"/>
      <c r="Y459" s="216"/>
      <c r="Z459" s="216"/>
      <c r="AA459" s="82"/>
      <c r="AB459" s="82"/>
      <c r="AC459" s="82"/>
      <c r="AD459" s="82"/>
    </row>
    <row r="460" spans="1:30">
      <c r="H460" s="81"/>
      <c r="I460" s="81"/>
      <c r="J460" s="81"/>
      <c r="K460" s="81"/>
      <c r="L460" s="81"/>
      <c r="M460" s="81"/>
      <c r="N460" s="81"/>
      <c r="O460" s="81"/>
      <c r="P460" s="81"/>
      <c r="Q460" s="81"/>
      <c r="R460" s="81"/>
      <c r="S460" s="81"/>
      <c r="T460" s="81"/>
      <c r="U460" s="81"/>
      <c r="V460" s="81"/>
      <c r="W460" s="82"/>
      <c r="X460" s="82"/>
      <c r="Y460" s="216"/>
      <c r="Z460" s="216"/>
      <c r="AA460" s="82"/>
      <c r="AB460" s="82"/>
      <c r="AC460" s="82"/>
      <c r="AD460" s="82"/>
    </row>
    <row r="461" spans="1:30">
      <c r="H461" s="81"/>
      <c r="I461" s="81"/>
      <c r="J461" s="81"/>
      <c r="K461" s="81"/>
      <c r="L461" s="81"/>
      <c r="M461" s="81"/>
      <c r="N461" s="81"/>
      <c r="O461" s="81"/>
      <c r="P461" s="81"/>
      <c r="Q461" s="81"/>
      <c r="R461" s="81"/>
      <c r="S461" s="81"/>
      <c r="T461" s="81"/>
      <c r="U461" s="81"/>
      <c r="V461" s="81"/>
      <c r="W461" s="82"/>
      <c r="X461" s="82"/>
      <c r="Y461" s="216"/>
      <c r="Z461" s="216"/>
      <c r="AA461" s="82"/>
      <c r="AB461" s="82"/>
      <c r="AC461" s="82"/>
      <c r="AD461" s="82"/>
    </row>
    <row r="462" spans="1:30">
      <c r="H462" s="81"/>
      <c r="I462" s="81"/>
      <c r="J462" s="81"/>
      <c r="K462" s="81"/>
      <c r="L462" s="81"/>
      <c r="M462" s="81"/>
      <c r="N462" s="81"/>
      <c r="O462" s="81"/>
      <c r="P462" s="81"/>
      <c r="Q462" s="81"/>
      <c r="R462" s="81"/>
      <c r="S462" s="81"/>
      <c r="T462" s="81"/>
      <c r="U462" s="81"/>
      <c r="V462" s="81"/>
      <c r="W462" s="82"/>
      <c r="X462" s="82"/>
      <c r="Y462" s="216"/>
      <c r="Z462" s="216"/>
      <c r="AA462" s="82"/>
      <c r="AB462" s="82"/>
      <c r="AC462" s="82"/>
      <c r="AD462" s="82"/>
    </row>
    <row r="463" spans="1:30">
      <c r="H463" s="81"/>
      <c r="I463" s="81"/>
      <c r="J463" s="81"/>
      <c r="K463" s="81"/>
      <c r="L463" s="81"/>
      <c r="M463" s="81"/>
      <c r="N463" s="81"/>
      <c r="O463" s="81"/>
      <c r="P463" s="81"/>
      <c r="Q463" s="81"/>
      <c r="R463" s="81"/>
      <c r="S463" s="81"/>
      <c r="T463" s="81"/>
      <c r="U463" s="81"/>
      <c r="V463" s="81"/>
      <c r="W463" s="82"/>
      <c r="X463" s="82"/>
      <c r="Y463" s="216"/>
      <c r="Z463" s="216"/>
      <c r="AA463" s="82"/>
      <c r="AB463" s="82"/>
      <c r="AC463" s="82"/>
      <c r="AD463" s="82"/>
    </row>
    <row r="464" spans="1:30">
      <c r="H464" s="81"/>
      <c r="I464" s="81"/>
      <c r="J464" s="81"/>
      <c r="K464" s="81"/>
      <c r="L464" s="81"/>
      <c r="M464" s="81"/>
      <c r="N464" s="81"/>
      <c r="O464" s="81"/>
      <c r="P464" s="81"/>
      <c r="Q464" s="81"/>
      <c r="R464" s="81"/>
      <c r="S464" s="81"/>
      <c r="T464" s="81"/>
      <c r="U464" s="81"/>
      <c r="V464" s="81"/>
      <c r="W464" s="82"/>
      <c r="X464" s="82"/>
      <c r="Y464" s="216"/>
      <c r="Z464" s="216"/>
      <c r="AA464" s="82"/>
      <c r="AB464" s="82"/>
      <c r="AC464" s="82"/>
      <c r="AD464" s="82"/>
    </row>
    <row r="465" spans="8:30">
      <c r="H465" s="81"/>
      <c r="I465" s="81"/>
      <c r="J465" s="81"/>
      <c r="K465" s="81"/>
      <c r="L465" s="81"/>
      <c r="M465" s="81"/>
      <c r="N465" s="81"/>
      <c r="O465" s="81"/>
      <c r="P465" s="81"/>
      <c r="Q465" s="81"/>
      <c r="R465" s="81"/>
      <c r="S465" s="81"/>
      <c r="T465" s="81"/>
      <c r="U465" s="81"/>
      <c r="V465" s="81"/>
      <c r="W465" s="82"/>
      <c r="X465" s="82"/>
      <c r="Y465" s="216"/>
      <c r="Z465" s="216"/>
      <c r="AA465" s="82"/>
      <c r="AB465" s="82"/>
      <c r="AC465" s="82"/>
      <c r="AD465" s="82"/>
    </row>
    <row r="466" spans="8:30">
      <c r="H466" s="81"/>
      <c r="I466" s="81"/>
      <c r="J466" s="81"/>
      <c r="K466" s="81"/>
      <c r="L466" s="81"/>
      <c r="M466" s="81"/>
      <c r="N466" s="81"/>
      <c r="O466" s="81"/>
      <c r="P466" s="81"/>
      <c r="Q466" s="81"/>
      <c r="R466" s="81"/>
      <c r="S466" s="81"/>
      <c r="T466" s="81"/>
      <c r="U466" s="81"/>
      <c r="V466" s="81"/>
      <c r="W466" s="82"/>
      <c r="X466" s="82"/>
      <c r="Y466" s="216"/>
      <c r="Z466" s="216"/>
      <c r="AA466" s="82"/>
      <c r="AB466" s="82"/>
      <c r="AC466" s="82"/>
      <c r="AD466" s="82"/>
    </row>
    <row r="467" spans="8:30">
      <c r="H467" s="81"/>
      <c r="I467" s="81"/>
      <c r="J467" s="81"/>
      <c r="K467" s="81"/>
      <c r="L467" s="81"/>
      <c r="M467" s="81"/>
      <c r="N467" s="81"/>
      <c r="O467" s="81"/>
      <c r="P467" s="81"/>
      <c r="Q467" s="81"/>
      <c r="R467" s="81"/>
      <c r="S467" s="81"/>
      <c r="T467" s="81"/>
      <c r="U467" s="81"/>
      <c r="V467" s="81"/>
      <c r="W467" s="82"/>
      <c r="X467" s="82"/>
      <c r="Y467" s="216"/>
      <c r="Z467" s="216"/>
      <c r="AA467" s="82"/>
      <c r="AB467" s="82"/>
      <c r="AC467" s="82"/>
      <c r="AD467" s="82"/>
    </row>
    <row r="468" spans="8:30">
      <c r="H468" s="81"/>
      <c r="I468" s="81"/>
      <c r="J468" s="81"/>
      <c r="K468" s="81"/>
      <c r="L468" s="81"/>
      <c r="M468" s="81"/>
      <c r="N468" s="81"/>
      <c r="O468" s="81"/>
      <c r="P468" s="81"/>
      <c r="Q468" s="81"/>
      <c r="R468" s="81"/>
      <c r="S468" s="81"/>
      <c r="T468" s="81"/>
      <c r="U468" s="81"/>
      <c r="V468" s="81"/>
      <c r="W468" s="82"/>
      <c r="X468" s="82"/>
      <c r="Y468" s="216"/>
      <c r="Z468" s="216"/>
      <c r="AA468" s="82"/>
      <c r="AB468" s="82"/>
      <c r="AC468" s="82"/>
      <c r="AD468" s="82"/>
    </row>
    <row r="469" spans="8:30">
      <c r="H469" s="81"/>
      <c r="I469" s="81"/>
      <c r="J469" s="81"/>
      <c r="K469" s="81"/>
      <c r="L469" s="81"/>
      <c r="M469" s="81"/>
      <c r="N469" s="81"/>
      <c r="O469" s="81"/>
      <c r="P469" s="81"/>
      <c r="Q469" s="81"/>
      <c r="R469" s="81"/>
      <c r="S469" s="81"/>
      <c r="T469" s="81"/>
      <c r="U469" s="81"/>
      <c r="V469" s="81"/>
      <c r="W469" s="82"/>
      <c r="X469" s="82"/>
      <c r="Y469" s="216"/>
      <c r="Z469" s="216"/>
      <c r="AA469" s="82"/>
      <c r="AB469" s="82"/>
      <c r="AC469" s="82"/>
      <c r="AD469" s="82"/>
    </row>
    <row r="470" spans="8:30">
      <c r="H470" s="81"/>
      <c r="I470" s="81"/>
      <c r="J470" s="81"/>
      <c r="K470" s="81"/>
      <c r="L470" s="81"/>
      <c r="M470" s="81"/>
      <c r="N470" s="81"/>
      <c r="O470" s="81"/>
      <c r="P470" s="81"/>
      <c r="Q470" s="81"/>
      <c r="R470" s="81"/>
      <c r="S470" s="81"/>
      <c r="T470" s="81"/>
      <c r="U470" s="81"/>
      <c r="V470" s="81"/>
      <c r="W470" s="82"/>
      <c r="X470" s="82"/>
      <c r="Y470" s="216"/>
      <c r="Z470" s="216"/>
      <c r="AA470" s="82"/>
      <c r="AB470" s="82"/>
      <c r="AC470" s="82"/>
      <c r="AD470" s="82"/>
    </row>
    <row r="471" spans="8:30">
      <c r="H471" s="81"/>
      <c r="I471" s="81"/>
      <c r="J471" s="81"/>
      <c r="K471" s="81"/>
      <c r="L471" s="81"/>
      <c r="M471" s="81"/>
      <c r="N471" s="81"/>
      <c r="O471" s="81"/>
      <c r="P471" s="81"/>
      <c r="Q471" s="81"/>
      <c r="R471" s="81"/>
      <c r="S471" s="81"/>
      <c r="T471" s="81"/>
      <c r="U471" s="81"/>
      <c r="V471" s="81"/>
      <c r="W471" s="82"/>
      <c r="X471" s="82"/>
      <c r="Y471" s="216"/>
      <c r="Z471" s="216"/>
      <c r="AA471" s="82"/>
      <c r="AB471" s="82"/>
      <c r="AC471" s="82"/>
      <c r="AD471" s="82"/>
    </row>
    <row r="472" spans="8:30">
      <c r="H472" s="81"/>
      <c r="I472" s="81"/>
      <c r="J472" s="81"/>
      <c r="K472" s="81"/>
      <c r="L472" s="81"/>
      <c r="M472" s="81"/>
      <c r="N472" s="81"/>
      <c r="O472" s="81"/>
      <c r="P472" s="81"/>
      <c r="Q472" s="81"/>
      <c r="R472" s="81"/>
      <c r="S472" s="81"/>
      <c r="T472" s="81"/>
      <c r="U472" s="81"/>
      <c r="V472" s="81"/>
      <c r="W472" s="82"/>
      <c r="X472" s="82"/>
      <c r="Y472" s="216"/>
      <c r="Z472" s="216"/>
      <c r="AA472" s="82"/>
      <c r="AB472" s="82"/>
      <c r="AC472" s="82"/>
      <c r="AD472" s="82"/>
    </row>
    <row r="473" spans="8:30">
      <c r="H473" s="81"/>
      <c r="I473" s="81"/>
      <c r="J473" s="81"/>
      <c r="K473" s="81"/>
      <c r="L473" s="81"/>
      <c r="M473" s="81"/>
      <c r="N473" s="81"/>
      <c r="O473" s="81"/>
      <c r="P473" s="81"/>
      <c r="Q473" s="81"/>
      <c r="R473" s="81"/>
      <c r="S473" s="81"/>
      <c r="T473" s="81"/>
      <c r="U473" s="81"/>
      <c r="V473" s="81"/>
      <c r="W473" s="82"/>
      <c r="X473" s="82"/>
      <c r="Y473" s="216"/>
      <c r="Z473" s="216"/>
      <c r="AA473" s="82"/>
      <c r="AB473" s="82"/>
      <c r="AC473" s="82"/>
      <c r="AD473" s="82"/>
    </row>
    <row r="474" spans="8:30">
      <c r="H474" s="81"/>
      <c r="I474" s="81"/>
      <c r="J474" s="81"/>
      <c r="K474" s="81"/>
      <c r="L474" s="81"/>
      <c r="M474" s="81"/>
      <c r="N474" s="81"/>
      <c r="O474" s="81"/>
      <c r="P474" s="81"/>
      <c r="Q474" s="81"/>
      <c r="R474" s="81"/>
      <c r="S474" s="81"/>
      <c r="T474" s="81"/>
      <c r="U474" s="81"/>
      <c r="V474" s="81"/>
      <c r="W474" s="82"/>
      <c r="X474" s="82"/>
      <c r="Y474" s="216"/>
      <c r="Z474" s="216"/>
      <c r="AA474" s="82"/>
      <c r="AB474" s="82"/>
      <c r="AC474" s="82"/>
      <c r="AD474" s="82"/>
    </row>
    <row r="475" spans="8:30">
      <c r="H475" s="81"/>
      <c r="I475" s="81"/>
      <c r="J475" s="81"/>
      <c r="K475" s="81"/>
      <c r="L475" s="81"/>
      <c r="M475" s="81"/>
      <c r="N475" s="81"/>
      <c r="O475" s="81"/>
      <c r="P475" s="81"/>
      <c r="Q475" s="81"/>
      <c r="R475" s="81"/>
      <c r="S475" s="81"/>
      <c r="T475" s="81"/>
      <c r="U475" s="81"/>
      <c r="V475" s="81"/>
      <c r="W475" s="82"/>
      <c r="X475" s="82"/>
      <c r="Y475" s="216"/>
      <c r="Z475" s="216"/>
      <c r="AA475" s="82"/>
      <c r="AB475" s="82"/>
      <c r="AC475" s="82"/>
      <c r="AD475" s="82"/>
    </row>
    <row r="476" spans="8:30">
      <c r="H476" s="81"/>
      <c r="I476" s="81"/>
      <c r="J476" s="81"/>
      <c r="K476" s="81"/>
      <c r="L476" s="81"/>
      <c r="M476" s="81"/>
      <c r="N476" s="81"/>
      <c r="O476" s="81"/>
      <c r="P476" s="81"/>
      <c r="Q476" s="81"/>
      <c r="R476" s="81"/>
      <c r="S476" s="81"/>
      <c r="T476" s="81"/>
      <c r="U476" s="81"/>
      <c r="V476" s="81"/>
      <c r="W476" s="82"/>
      <c r="X476" s="82"/>
      <c r="Y476" s="216"/>
      <c r="Z476" s="216"/>
      <c r="AA476" s="82"/>
      <c r="AB476" s="82"/>
      <c r="AC476" s="82"/>
      <c r="AD476" s="82"/>
    </row>
    <row r="477" spans="8:30">
      <c r="H477" s="81"/>
      <c r="I477" s="81"/>
      <c r="J477" s="81"/>
      <c r="K477" s="81"/>
      <c r="L477" s="81"/>
      <c r="M477" s="81"/>
      <c r="N477" s="81"/>
      <c r="O477" s="81"/>
      <c r="P477" s="81"/>
      <c r="Q477" s="81"/>
      <c r="R477" s="81"/>
      <c r="S477" s="81"/>
      <c r="T477" s="81"/>
      <c r="U477" s="81"/>
      <c r="V477" s="81"/>
      <c r="W477" s="82"/>
      <c r="X477" s="82"/>
      <c r="Y477" s="216"/>
      <c r="Z477" s="216"/>
      <c r="AA477" s="82"/>
      <c r="AB477" s="82"/>
      <c r="AC477" s="82"/>
      <c r="AD477" s="82"/>
    </row>
    <row r="478" spans="8:30">
      <c r="H478" s="81"/>
      <c r="I478" s="81"/>
      <c r="J478" s="81"/>
      <c r="K478" s="81"/>
      <c r="L478" s="81"/>
      <c r="M478" s="81"/>
      <c r="N478" s="81"/>
      <c r="O478" s="81"/>
      <c r="P478" s="81"/>
      <c r="Q478" s="81"/>
      <c r="R478" s="81"/>
      <c r="S478" s="81"/>
      <c r="T478" s="81"/>
      <c r="U478" s="81"/>
      <c r="V478" s="81"/>
      <c r="W478" s="82"/>
      <c r="X478" s="82"/>
      <c r="Y478" s="216"/>
      <c r="Z478" s="216"/>
      <c r="AA478" s="82"/>
      <c r="AB478" s="82"/>
      <c r="AC478" s="82"/>
      <c r="AD478" s="82"/>
    </row>
    <row r="479" spans="8:30">
      <c r="H479" s="81"/>
      <c r="I479" s="81"/>
      <c r="J479" s="81"/>
      <c r="K479" s="81"/>
      <c r="L479" s="81"/>
      <c r="M479" s="81"/>
      <c r="N479" s="81"/>
      <c r="O479" s="81"/>
      <c r="P479" s="81"/>
      <c r="Q479" s="81"/>
      <c r="R479" s="81"/>
      <c r="S479" s="81"/>
      <c r="T479" s="81"/>
      <c r="U479" s="81"/>
      <c r="V479" s="81"/>
      <c r="W479" s="82"/>
      <c r="X479" s="82"/>
      <c r="Y479" s="216"/>
      <c r="Z479" s="216"/>
      <c r="AA479" s="82"/>
      <c r="AB479" s="82"/>
      <c r="AC479" s="82"/>
      <c r="AD479" s="82"/>
    </row>
    <row r="480" spans="8:30">
      <c r="H480" s="81"/>
      <c r="I480" s="81"/>
      <c r="J480" s="81"/>
      <c r="K480" s="81"/>
      <c r="L480" s="81"/>
      <c r="M480" s="81"/>
      <c r="N480" s="81"/>
      <c r="O480" s="81"/>
      <c r="P480" s="81"/>
      <c r="Q480" s="81"/>
      <c r="R480" s="81"/>
      <c r="S480" s="81"/>
      <c r="T480" s="81"/>
      <c r="U480" s="81"/>
      <c r="V480" s="81"/>
      <c r="W480" s="82"/>
      <c r="X480" s="82"/>
      <c r="Y480" s="216"/>
      <c r="Z480" s="216"/>
      <c r="AA480" s="82"/>
      <c r="AB480" s="82"/>
      <c r="AC480" s="82"/>
      <c r="AD480" s="82"/>
    </row>
    <row r="481" spans="8:30">
      <c r="H481" s="81"/>
      <c r="I481" s="81"/>
      <c r="J481" s="81"/>
      <c r="K481" s="81"/>
      <c r="L481" s="81"/>
      <c r="M481" s="81"/>
      <c r="N481" s="81"/>
      <c r="O481" s="81"/>
      <c r="P481" s="81"/>
      <c r="Q481" s="81"/>
      <c r="R481" s="81"/>
      <c r="S481" s="81"/>
      <c r="T481" s="81"/>
      <c r="U481" s="81"/>
      <c r="V481" s="81"/>
      <c r="W481" s="82"/>
      <c r="X481" s="82"/>
      <c r="Y481" s="216"/>
      <c r="Z481" s="216"/>
      <c r="AA481" s="82"/>
      <c r="AB481" s="82"/>
      <c r="AC481" s="82"/>
      <c r="AD481" s="82"/>
    </row>
    <row r="482" spans="8:30">
      <c r="H482" s="81"/>
      <c r="I482" s="81"/>
      <c r="J482" s="81"/>
      <c r="K482" s="81"/>
      <c r="L482" s="81"/>
      <c r="M482" s="81"/>
      <c r="N482" s="81"/>
      <c r="O482" s="81"/>
      <c r="P482" s="81"/>
      <c r="Q482" s="81"/>
      <c r="R482" s="81"/>
      <c r="S482" s="81"/>
      <c r="T482" s="81"/>
      <c r="U482" s="81"/>
      <c r="V482" s="81"/>
      <c r="W482" s="82"/>
      <c r="X482" s="82"/>
      <c r="Y482" s="216"/>
      <c r="Z482" s="216"/>
      <c r="AA482" s="82"/>
      <c r="AB482" s="82"/>
      <c r="AC482" s="82"/>
      <c r="AD482" s="82"/>
    </row>
    <row r="483" spans="8:30">
      <c r="H483" s="81"/>
      <c r="I483" s="81"/>
      <c r="J483" s="81"/>
      <c r="K483" s="81"/>
      <c r="L483" s="81"/>
      <c r="M483" s="81"/>
      <c r="N483" s="81"/>
      <c r="O483" s="81"/>
      <c r="P483" s="81"/>
      <c r="Q483" s="81"/>
      <c r="R483" s="81"/>
      <c r="S483" s="81"/>
      <c r="T483" s="81"/>
      <c r="U483" s="81"/>
      <c r="V483" s="81"/>
      <c r="W483" s="82"/>
      <c r="X483" s="82"/>
      <c r="Y483" s="216"/>
      <c r="Z483" s="216"/>
      <c r="AA483" s="82"/>
      <c r="AB483" s="82"/>
      <c r="AC483" s="82"/>
      <c r="AD483" s="82"/>
    </row>
    <row r="484" spans="8:30">
      <c r="H484" s="81"/>
      <c r="I484" s="81"/>
      <c r="J484" s="81"/>
      <c r="K484" s="81"/>
      <c r="L484" s="81"/>
      <c r="M484" s="81"/>
      <c r="N484" s="81"/>
      <c r="O484" s="81"/>
      <c r="P484" s="81"/>
      <c r="Q484" s="81"/>
      <c r="R484" s="81"/>
      <c r="S484" s="81"/>
      <c r="T484" s="81"/>
      <c r="U484" s="81"/>
      <c r="V484" s="81"/>
      <c r="W484" s="82"/>
      <c r="X484" s="82"/>
      <c r="Y484" s="216"/>
      <c r="Z484" s="216"/>
      <c r="AA484" s="82"/>
      <c r="AB484" s="82"/>
      <c r="AC484" s="82"/>
      <c r="AD484" s="82"/>
    </row>
    <row r="485" spans="8:30">
      <c r="H485" s="81"/>
      <c r="I485" s="81"/>
      <c r="J485" s="81"/>
      <c r="K485" s="81"/>
      <c r="L485" s="81"/>
      <c r="M485" s="81"/>
      <c r="N485" s="81"/>
      <c r="O485" s="81"/>
      <c r="P485" s="81"/>
      <c r="Q485" s="81"/>
      <c r="R485" s="81"/>
      <c r="S485" s="81"/>
      <c r="T485" s="81"/>
      <c r="U485" s="81"/>
      <c r="V485" s="81"/>
      <c r="W485" s="82"/>
      <c r="X485" s="82"/>
      <c r="Y485" s="216"/>
      <c r="Z485" s="216"/>
      <c r="AA485" s="82"/>
      <c r="AB485" s="82"/>
      <c r="AC485" s="82"/>
      <c r="AD485" s="82"/>
    </row>
    <row r="486" spans="8:30">
      <c r="H486" s="81"/>
      <c r="I486" s="81"/>
      <c r="J486" s="81"/>
      <c r="K486" s="81"/>
      <c r="L486" s="81"/>
      <c r="M486" s="81"/>
      <c r="N486" s="81"/>
      <c r="O486" s="81"/>
      <c r="P486" s="81"/>
      <c r="Q486" s="81"/>
      <c r="R486" s="81"/>
      <c r="S486" s="81"/>
      <c r="T486" s="81"/>
      <c r="U486" s="81"/>
      <c r="V486" s="81"/>
      <c r="W486" s="82"/>
      <c r="X486" s="82"/>
      <c r="Y486" s="216"/>
      <c r="Z486" s="216"/>
      <c r="AA486" s="82"/>
      <c r="AB486" s="82"/>
      <c r="AC486" s="82"/>
      <c r="AD486" s="82"/>
    </row>
    <row r="487" spans="8:30">
      <c r="H487" s="81"/>
      <c r="I487" s="81"/>
      <c r="J487" s="81"/>
      <c r="K487" s="81"/>
      <c r="L487" s="81"/>
      <c r="M487" s="81"/>
      <c r="N487" s="81"/>
      <c r="O487" s="81"/>
      <c r="P487" s="81"/>
      <c r="Q487" s="81"/>
      <c r="R487" s="81"/>
      <c r="S487" s="81"/>
      <c r="T487" s="81"/>
      <c r="U487" s="81"/>
      <c r="V487" s="81"/>
      <c r="W487" s="82"/>
      <c r="X487" s="82"/>
      <c r="Y487" s="216"/>
      <c r="Z487" s="216"/>
      <c r="AA487" s="82"/>
      <c r="AB487" s="82"/>
      <c r="AC487" s="82"/>
      <c r="AD487" s="82"/>
    </row>
    <row r="488" spans="8:30">
      <c r="H488" s="81"/>
      <c r="I488" s="81"/>
      <c r="J488" s="81"/>
      <c r="K488" s="81"/>
      <c r="L488" s="81"/>
      <c r="M488" s="81"/>
      <c r="N488" s="81"/>
      <c r="O488" s="81"/>
      <c r="P488" s="81"/>
      <c r="Q488" s="81"/>
      <c r="R488" s="81"/>
      <c r="S488" s="81"/>
      <c r="T488" s="81"/>
      <c r="U488" s="81"/>
      <c r="V488" s="81"/>
      <c r="W488" s="82"/>
      <c r="X488" s="82"/>
      <c r="Y488" s="216"/>
      <c r="Z488" s="216"/>
      <c r="AA488" s="82"/>
      <c r="AB488" s="82"/>
      <c r="AC488" s="82"/>
      <c r="AD488" s="82"/>
    </row>
    <row r="489" spans="8:30">
      <c r="H489" s="81"/>
      <c r="I489" s="81"/>
      <c r="J489" s="81"/>
      <c r="K489" s="81"/>
      <c r="L489" s="81"/>
      <c r="M489" s="81"/>
      <c r="N489" s="81"/>
      <c r="O489" s="81"/>
      <c r="P489" s="81"/>
      <c r="Q489" s="81"/>
      <c r="R489" s="81"/>
      <c r="S489" s="81"/>
      <c r="T489" s="81"/>
      <c r="U489" s="81"/>
      <c r="V489" s="81"/>
      <c r="W489" s="82"/>
      <c r="X489" s="82"/>
      <c r="Y489" s="216"/>
      <c r="Z489" s="216"/>
      <c r="AA489" s="82"/>
      <c r="AB489" s="82"/>
      <c r="AC489" s="82"/>
      <c r="AD489" s="82"/>
    </row>
    <row r="490" spans="8:30">
      <c r="H490" s="81"/>
      <c r="I490" s="81"/>
      <c r="J490" s="81"/>
      <c r="K490" s="81"/>
      <c r="L490" s="81"/>
      <c r="M490" s="81"/>
      <c r="N490" s="81"/>
      <c r="O490" s="81"/>
      <c r="P490" s="81"/>
      <c r="Q490" s="81"/>
      <c r="R490" s="81"/>
      <c r="S490" s="81"/>
      <c r="T490" s="81"/>
      <c r="U490" s="81"/>
      <c r="V490" s="81"/>
      <c r="W490" s="82"/>
      <c r="X490" s="82"/>
      <c r="Y490" s="216"/>
      <c r="Z490" s="216"/>
      <c r="AA490" s="82"/>
      <c r="AB490" s="82"/>
      <c r="AC490" s="82"/>
      <c r="AD490" s="82"/>
    </row>
    <row r="491" spans="8:30">
      <c r="H491" s="81"/>
      <c r="I491" s="81"/>
      <c r="J491" s="81"/>
      <c r="K491" s="81"/>
      <c r="L491" s="81"/>
      <c r="M491" s="81"/>
      <c r="N491" s="81"/>
      <c r="O491" s="81"/>
      <c r="P491" s="81"/>
      <c r="Q491" s="81"/>
      <c r="R491" s="81"/>
      <c r="S491" s="81"/>
      <c r="T491" s="81"/>
      <c r="U491" s="81"/>
      <c r="V491" s="81"/>
      <c r="W491" s="82"/>
      <c r="X491" s="82"/>
      <c r="Y491" s="216"/>
      <c r="Z491" s="216"/>
      <c r="AA491" s="82"/>
      <c r="AB491" s="82"/>
      <c r="AC491" s="82"/>
      <c r="AD491" s="82"/>
    </row>
    <row r="492" spans="8:30">
      <c r="H492" s="81"/>
      <c r="I492" s="81"/>
      <c r="J492" s="81"/>
      <c r="K492" s="81"/>
      <c r="L492" s="81"/>
      <c r="M492" s="81"/>
      <c r="N492" s="81"/>
      <c r="O492" s="81"/>
      <c r="P492" s="81"/>
      <c r="Q492" s="81"/>
      <c r="R492" s="81"/>
      <c r="S492" s="81"/>
      <c r="T492" s="81"/>
      <c r="U492" s="81"/>
      <c r="V492" s="81"/>
      <c r="W492" s="82"/>
      <c r="X492" s="82"/>
      <c r="Y492" s="216"/>
      <c r="Z492" s="216"/>
      <c r="AA492" s="82"/>
      <c r="AB492" s="82"/>
      <c r="AC492" s="82"/>
      <c r="AD492" s="82"/>
    </row>
    <row r="493" spans="8:30">
      <c r="H493" s="81"/>
      <c r="I493" s="81"/>
      <c r="J493" s="81"/>
      <c r="K493" s="81"/>
      <c r="L493" s="81"/>
      <c r="M493" s="81"/>
      <c r="N493" s="81"/>
      <c r="O493" s="81"/>
      <c r="P493" s="81"/>
      <c r="Q493" s="81"/>
      <c r="R493" s="81"/>
      <c r="S493" s="81"/>
      <c r="T493" s="81"/>
      <c r="U493" s="81"/>
      <c r="V493" s="81"/>
      <c r="W493" s="82"/>
      <c r="X493" s="82"/>
      <c r="Y493" s="216"/>
      <c r="Z493" s="216"/>
      <c r="AA493" s="82"/>
      <c r="AB493" s="82"/>
      <c r="AC493" s="82"/>
      <c r="AD493" s="82"/>
    </row>
    <row r="494" spans="8:30">
      <c r="H494" s="81"/>
      <c r="I494" s="81"/>
      <c r="J494" s="81"/>
      <c r="K494" s="81"/>
      <c r="L494" s="81"/>
      <c r="M494" s="81"/>
      <c r="N494" s="81"/>
      <c r="O494" s="81"/>
      <c r="P494" s="81"/>
      <c r="Q494" s="81"/>
      <c r="R494" s="81"/>
      <c r="S494" s="81"/>
      <c r="T494" s="81"/>
      <c r="U494" s="81"/>
      <c r="V494" s="81"/>
      <c r="W494" s="82"/>
      <c r="X494" s="82"/>
      <c r="Y494" s="216"/>
      <c r="Z494" s="216"/>
      <c r="AA494" s="82"/>
      <c r="AB494" s="82"/>
      <c r="AC494" s="82"/>
      <c r="AD494" s="82"/>
    </row>
    <row r="495" spans="8:30">
      <c r="H495" s="81"/>
      <c r="I495" s="81"/>
      <c r="J495" s="81"/>
      <c r="K495" s="81"/>
      <c r="L495" s="81"/>
      <c r="M495" s="81"/>
      <c r="N495" s="81"/>
      <c r="O495" s="81"/>
      <c r="P495" s="81"/>
      <c r="Q495" s="81"/>
      <c r="R495" s="81"/>
      <c r="S495" s="81"/>
      <c r="T495" s="81"/>
      <c r="U495" s="81"/>
      <c r="V495" s="81"/>
      <c r="W495" s="82"/>
      <c r="X495" s="82"/>
      <c r="Y495" s="216"/>
      <c r="Z495" s="216"/>
      <c r="AA495" s="82"/>
      <c r="AB495" s="82"/>
      <c r="AC495" s="82"/>
      <c r="AD495" s="82"/>
    </row>
    <row r="496" spans="8:30">
      <c r="H496" s="81"/>
      <c r="I496" s="81"/>
      <c r="J496" s="81"/>
      <c r="K496" s="81"/>
      <c r="L496" s="81"/>
      <c r="M496" s="81"/>
      <c r="N496" s="81"/>
      <c r="O496" s="81"/>
      <c r="P496" s="81"/>
      <c r="Q496" s="81"/>
      <c r="R496" s="81"/>
      <c r="S496" s="81"/>
      <c r="T496" s="81"/>
      <c r="U496" s="81"/>
      <c r="V496" s="81"/>
      <c r="W496" s="82"/>
      <c r="X496" s="82"/>
      <c r="Y496" s="216"/>
      <c r="Z496" s="216"/>
      <c r="AA496" s="82"/>
      <c r="AB496" s="82"/>
      <c r="AC496" s="82"/>
      <c r="AD496" s="82"/>
    </row>
    <row r="497" spans="8:30">
      <c r="H497" s="81"/>
      <c r="I497" s="81"/>
      <c r="J497" s="81"/>
      <c r="K497" s="81"/>
      <c r="L497" s="81"/>
      <c r="M497" s="81"/>
      <c r="N497" s="81"/>
      <c r="O497" s="81"/>
      <c r="P497" s="81"/>
      <c r="Q497" s="81"/>
      <c r="R497" s="81"/>
      <c r="S497" s="81"/>
      <c r="T497" s="81"/>
      <c r="U497" s="81"/>
      <c r="V497" s="81"/>
      <c r="W497" s="82"/>
      <c r="X497" s="82"/>
      <c r="Y497" s="216"/>
      <c r="Z497" s="216"/>
      <c r="AA497" s="82"/>
      <c r="AB497" s="82"/>
      <c r="AC497" s="82"/>
      <c r="AD497" s="82"/>
    </row>
    <row r="498" spans="8:30">
      <c r="H498" s="81"/>
      <c r="I498" s="81"/>
      <c r="J498" s="81"/>
      <c r="K498" s="81"/>
      <c r="L498" s="81"/>
      <c r="M498" s="81"/>
      <c r="N498" s="81"/>
      <c r="O498" s="81"/>
      <c r="P498" s="81"/>
      <c r="Q498" s="81"/>
      <c r="R498" s="81"/>
      <c r="S498" s="81"/>
      <c r="T498" s="81"/>
      <c r="U498" s="81"/>
      <c r="V498" s="81"/>
      <c r="W498" s="82"/>
      <c r="X498" s="82"/>
      <c r="Y498" s="216"/>
      <c r="Z498" s="216"/>
      <c r="AA498" s="82"/>
      <c r="AB498" s="82"/>
      <c r="AC498" s="82"/>
      <c r="AD498" s="82"/>
    </row>
    <row r="499" spans="8:30">
      <c r="H499" s="81"/>
      <c r="I499" s="81"/>
      <c r="J499" s="81"/>
      <c r="K499" s="81"/>
      <c r="L499" s="81"/>
      <c r="M499" s="81"/>
      <c r="N499" s="81"/>
      <c r="O499" s="81"/>
      <c r="P499" s="81"/>
      <c r="Q499" s="81"/>
      <c r="R499" s="81"/>
      <c r="S499" s="81"/>
      <c r="T499" s="81"/>
      <c r="U499" s="81"/>
      <c r="V499" s="81"/>
      <c r="W499" s="82"/>
      <c r="X499" s="82"/>
      <c r="Y499" s="216"/>
      <c r="Z499" s="216"/>
      <c r="AA499" s="82"/>
      <c r="AB499" s="82"/>
      <c r="AC499" s="82"/>
      <c r="AD499" s="82"/>
    </row>
    <row r="500" spans="8:30">
      <c r="H500" s="81"/>
      <c r="I500" s="81"/>
      <c r="J500" s="81"/>
      <c r="K500" s="81"/>
      <c r="L500" s="81"/>
      <c r="M500" s="81"/>
      <c r="N500" s="81"/>
      <c r="O500" s="81"/>
      <c r="P500" s="81"/>
      <c r="Q500" s="81"/>
      <c r="R500" s="81"/>
      <c r="S500" s="81"/>
      <c r="T500" s="81"/>
      <c r="U500" s="81"/>
      <c r="V500" s="81"/>
      <c r="W500" s="82"/>
      <c r="X500" s="82"/>
      <c r="Y500" s="216"/>
      <c r="Z500" s="216"/>
      <c r="AA500" s="82"/>
      <c r="AB500" s="82"/>
      <c r="AC500" s="82"/>
      <c r="AD500" s="82"/>
    </row>
    <row r="501" spans="8:30">
      <c r="H501" s="81"/>
      <c r="I501" s="81"/>
      <c r="J501" s="81"/>
      <c r="K501" s="81"/>
      <c r="L501" s="81"/>
      <c r="M501" s="81"/>
      <c r="N501" s="81"/>
      <c r="O501" s="81"/>
      <c r="P501" s="81"/>
      <c r="Q501" s="81"/>
      <c r="R501" s="81"/>
      <c r="S501" s="81"/>
      <c r="T501" s="81"/>
      <c r="U501" s="81"/>
      <c r="V501" s="81"/>
      <c r="W501" s="82"/>
      <c r="X501" s="82"/>
      <c r="Y501" s="216"/>
      <c r="Z501" s="216"/>
      <c r="AA501" s="82"/>
      <c r="AB501" s="82"/>
      <c r="AC501" s="82"/>
      <c r="AD501" s="82"/>
    </row>
    <row r="502" spans="8:30">
      <c r="H502" s="81"/>
      <c r="I502" s="81"/>
      <c r="J502" s="81"/>
      <c r="K502" s="81"/>
      <c r="L502" s="81"/>
      <c r="M502" s="81"/>
      <c r="N502" s="81"/>
      <c r="O502" s="81"/>
      <c r="P502" s="81"/>
      <c r="Q502" s="81"/>
      <c r="R502" s="81"/>
      <c r="S502" s="81"/>
      <c r="T502" s="81"/>
      <c r="U502" s="81"/>
      <c r="V502" s="81"/>
      <c r="W502" s="82"/>
      <c r="X502" s="82"/>
      <c r="Y502" s="216"/>
      <c r="Z502" s="216"/>
      <c r="AA502" s="82"/>
      <c r="AB502" s="82"/>
      <c r="AC502" s="82"/>
      <c r="AD502" s="82"/>
    </row>
    <row r="503" spans="8:30">
      <c r="H503" s="81"/>
      <c r="I503" s="81"/>
      <c r="J503" s="81"/>
      <c r="K503" s="81"/>
      <c r="L503" s="81"/>
      <c r="M503" s="81"/>
      <c r="N503" s="81"/>
      <c r="O503" s="81"/>
      <c r="P503" s="81"/>
      <c r="Q503" s="81"/>
      <c r="R503" s="81"/>
      <c r="S503" s="81"/>
      <c r="T503" s="81"/>
      <c r="U503" s="81"/>
      <c r="V503" s="81"/>
      <c r="W503" s="82"/>
      <c r="X503" s="82"/>
      <c r="Y503" s="216"/>
      <c r="Z503" s="216"/>
      <c r="AA503" s="82"/>
      <c r="AB503" s="82"/>
      <c r="AC503" s="82"/>
      <c r="AD503" s="82"/>
    </row>
    <row r="504" spans="8:30">
      <c r="H504" s="81"/>
      <c r="I504" s="81"/>
      <c r="J504" s="81"/>
      <c r="K504" s="81"/>
      <c r="L504" s="81"/>
      <c r="M504" s="81"/>
      <c r="N504" s="81"/>
      <c r="O504" s="81"/>
      <c r="P504" s="81"/>
      <c r="Q504" s="81"/>
      <c r="R504" s="81"/>
      <c r="S504" s="81"/>
      <c r="T504" s="81"/>
      <c r="U504" s="81"/>
      <c r="V504" s="81"/>
      <c r="W504" s="82"/>
      <c r="X504" s="82"/>
      <c r="Y504" s="216"/>
      <c r="Z504" s="216"/>
      <c r="AA504" s="82"/>
      <c r="AB504" s="82"/>
      <c r="AC504" s="82"/>
      <c r="AD504" s="82"/>
    </row>
    <row r="505" spans="8:30">
      <c r="H505" s="81"/>
      <c r="I505" s="81"/>
      <c r="J505" s="81"/>
      <c r="K505" s="81"/>
      <c r="L505" s="81"/>
      <c r="M505" s="81"/>
      <c r="N505" s="81"/>
      <c r="O505" s="81"/>
      <c r="P505" s="81"/>
      <c r="Q505" s="81"/>
      <c r="R505" s="81"/>
      <c r="S505" s="81"/>
      <c r="T505" s="81"/>
      <c r="U505" s="81"/>
      <c r="V505" s="81"/>
      <c r="W505" s="82"/>
      <c r="X505" s="82"/>
      <c r="Y505" s="216"/>
      <c r="Z505" s="216"/>
      <c r="AA505" s="82"/>
      <c r="AB505" s="82"/>
      <c r="AC505" s="82"/>
      <c r="AD505" s="82"/>
    </row>
    <row r="506" spans="8:30">
      <c r="H506" s="81"/>
      <c r="I506" s="81"/>
      <c r="J506" s="81"/>
      <c r="K506" s="81"/>
      <c r="L506" s="81"/>
      <c r="M506" s="81"/>
      <c r="N506" s="81"/>
      <c r="O506" s="81"/>
      <c r="P506" s="81"/>
      <c r="Q506" s="81"/>
      <c r="R506" s="81"/>
      <c r="S506" s="81"/>
      <c r="T506" s="81"/>
      <c r="U506" s="81"/>
      <c r="V506" s="81"/>
      <c r="W506" s="82"/>
      <c r="X506" s="82"/>
      <c r="Y506" s="216"/>
      <c r="Z506" s="216"/>
      <c r="AA506" s="82"/>
      <c r="AB506" s="82"/>
      <c r="AC506" s="82"/>
      <c r="AD506" s="82"/>
    </row>
    <row r="507" spans="8:30">
      <c r="H507" s="81"/>
      <c r="I507" s="81"/>
      <c r="J507" s="81"/>
      <c r="K507" s="81"/>
      <c r="L507" s="81"/>
      <c r="M507" s="81"/>
      <c r="N507" s="81"/>
      <c r="O507" s="81"/>
      <c r="P507" s="81"/>
      <c r="Q507" s="81"/>
      <c r="R507" s="81"/>
      <c r="S507" s="81"/>
      <c r="T507" s="81"/>
      <c r="U507" s="81"/>
      <c r="V507" s="81"/>
      <c r="W507" s="82"/>
      <c r="X507" s="82"/>
      <c r="Y507" s="216"/>
      <c r="Z507" s="216"/>
      <c r="AA507" s="82"/>
      <c r="AB507" s="82"/>
      <c r="AC507" s="82"/>
      <c r="AD507" s="82"/>
    </row>
    <row r="508" spans="8:30">
      <c r="H508" s="81"/>
      <c r="I508" s="81"/>
      <c r="J508" s="81"/>
      <c r="K508" s="81"/>
      <c r="L508" s="81"/>
      <c r="M508" s="81"/>
      <c r="N508" s="81"/>
      <c r="O508" s="81"/>
      <c r="P508" s="81"/>
      <c r="Q508" s="81"/>
      <c r="R508" s="81"/>
      <c r="S508" s="81"/>
      <c r="T508" s="81"/>
      <c r="U508" s="81"/>
      <c r="V508" s="81"/>
      <c r="W508" s="82"/>
      <c r="X508" s="82"/>
      <c r="Y508" s="216"/>
      <c r="Z508" s="216"/>
      <c r="AA508" s="82"/>
      <c r="AB508" s="82"/>
      <c r="AC508" s="82"/>
      <c r="AD508" s="82"/>
    </row>
    <row r="509" spans="8:30">
      <c r="H509" s="81"/>
      <c r="I509" s="81"/>
      <c r="J509" s="81"/>
      <c r="K509" s="81"/>
      <c r="L509" s="81"/>
      <c r="M509" s="81"/>
      <c r="N509" s="81"/>
      <c r="O509" s="81"/>
      <c r="P509" s="81"/>
      <c r="Q509" s="81"/>
      <c r="R509" s="81"/>
      <c r="S509" s="81"/>
      <c r="T509" s="81"/>
      <c r="U509" s="81"/>
      <c r="V509" s="81"/>
      <c r="W509" s="82"/>
      <c r="X509" s="82"/>
      <c r="Y509" s="216"/>
      <c r="Z509" s="216"/>
      <c r="AA509" s="82"/>
      <c r="AB509" s="82"/>
      <c r="AC509" s="82"/>
      <c r="AD509" s="82"/>
    </row>
    <row r="510" spans="8:30">
      <c r="H510" s="81"/>
      <c r="I510" s="81"/>
      <c r="J510" s="81"/>
      <c r="K510" s="81"/>
      <c r="L510" s="81"/>
      <c r="M510" s="81"/>
      <c r="N510" s="81"/>
      <c r="O510" s="81"/>
      <c r="P510" s="81"/>
      <c r="Q510" s="81"/>
      <c r="R510" s="81"/>
      <c r="S510" s="81"/>
      <c r="T510" s="81"/>
      <c r="U510" s="81"/>
      <c r="V510" s="81"/>
      <c r="W510" s="82"/>
      <c r="X510" s="82"/>
      <c r="Y510" s="216"/>
      <c r="Z510" s="216"/>
      <c r="AA510" s="82"/>
      <c r="AB510" s="82"/>
      <c r="AC510" s="82"/>
      <c r="AD510" s="82"/>
    </row>
    <row r="511" spans="8:30">
      <c r="H511" s="81"/>
      <c r="I511" s="81"/>
      <c r="J511" s="81"/>
      <c r="K511" s="81"/>
      <c r="L511" s="81"/>
      <c r="M511" s="81"/>
      <c r="N511" s="81"/>
      <c r="O511" s="81"/>
      <c r="P511" s="81"/>
      <c r="Q511" s="81"/>
      <c r="R511" s="81"/>
      <c r="S511" s="81"/>
      <c r="T511" s="81"/>
      <c r="U511" s="81"/>
      <c r="V511" s="81"/>
      <c r="W511" s="82"/>
      <c r="X511" s="82"/>
      <c r="Y511" s="216"/>
      <c r="Z511" s="216"/>
      <c r="AA511" s="82"/>
      <c r="AB511" s="82"/>
      <c r="AC511" s="82"/>
      <c r="AD511" s="82"/>
    </row>
    <row r="512" spans="8:30">
      <c r="H512" s="81"/>
      <c r="I512" s="81"/>
      <c r="J512" s="81"/>
      <c r="K512" s="81"/>
      <c r="L512" s="81"/>
      <c r="M512" s="81"/>
      <c r="N512" s="81"/>
      <c r="O512" s="81"/>
      <c r="P512" s="81"/>
      <c r="Q512" s="81"/>
      <c r="R512" s="81"/>
      <c r="S512" s="81"/>
      <c r="T512" s="81"/>
      <c r="U512" s="81"/>
      <c r="V512" s="81"/>
      <c r="W512" s="82"/>
      <c r="X512" s="82"/>
      <c r="Y512" s="216"/>
      <c r="Z512" s="216"/>
      <c r="AA512" s="82"/>
      <c r="AB512" s="82"/>
      <c r="AC512" s="82"/>
      <c r="AD512" s="82"/>
    </row>
    <row r="513" spans="8:30">
      <c r="H513" s="81"/>
      <c r="I513" s="81"/>
      <c r="J513" s="81"/>
      <c r="K513" s="81"/>
      <c r="L513" s="81"/>
      <c r="M513" s="81"/>
      <c r="N513" s="81"/>
      <c r="O513" s="81"/>
      <c r="P513" s="81"/>
      <c r="Q513" s="81"/>
      <c r="R513" s="81"/>
      <c r="S513" s="81"/>
      <c r="T513" s="81"/>
      <c r="U513" s="81"/>
      <c r="V513" s="81"/>
      <c r="W513" s="82"/>
      <c r="X513" s="82"/>
      <c r="Y513" s="216"/>
      <c r="Z513" s="216"/>
      <c r="AA513" s="82"/>
      <c r="AB513" s="82"/>
      <c r="AC513" s="82"/>
      <c r="AD513" s="82"/>
    </row>
    <row r="514" spans="8:30">
      <c r="H514" s="81"/>
      <c r="I514" s="81"/>
      <c r="J514" s="81"/>
      <c r="K514" s="81"/>
      <c r="L514" s="81"/>
      <c r="M514" s="81"/>
      <c r="N514" s="81"/>
      <c r="O514" s="81"/>
      <c r="P514" s="81"/>
      <c r="Q514" s="81"/>
      <c r="R514" s="81"/>
      <c r="S514" s="81"/>
      <c r="T514" s="81"/>
      <c r="U514" s="81"/>
      <c r="V514" s="81"/>
      <c r="W514" s="82"/>
      <c r="X514" s="82"/>
      <c r="Y514" s="216"/>
      <c r="Z514" s="216"/>
      <c r="AA514" s="82"/>
      <c r="AB514" s="82"/>
      <c r="AC514" s="82"/>
      <c r="AD514" s="82"/>
    </row>
    <row r="515" spans="8:30">
      <c r="H515" s="81"/>
      <c r="I515" s="81"/>
      <c r="J515" s="81"/>
      <c r="K515" s="81"/>
      <c r="L515" s="81"/>
      <c r="M515" s="81"/>
      <c r="N515" s="81"/>
      <c r="O515" s="81"/>
      <c r="P515" s="81"/>
      <c r="Q515" s="81"/>
      <c r="R515" s="81"/>
      <c r="S515" s="81"/>
      <c r="T515" s="81"/>
      <c r="U515" s="81"/>
      <c r="V515" s="81"/>
      <c r="W515" s="82"/>
      <c r="X515" s="82"/>
      <c r="Y515" s="216"/>
      <c r="Z515" s="216"/>
      <c r="AA515" s="82"/>
      <c r="AB515" s="82"/>
      <c r="AC515" s="82"/>
      <c r="AD515" s="82"/>
    </row>
    <row r="516" spans="8:30">
      <c r="H516" s="81"/>
      <c r="I516" s="81"/>
      <c r="J516" s="81"/>
      <c r="K516" s="81"/>
      <c r="L516" s="81"/>
      <c r="M516" s="81"/>
      <c r="N516" s="81"/>
      <c r="O516" s="81"/>
      <c r="P516" s="81"/>
      <c r="Q516" s="81"/>
      <c r="R516" s="81"/>
      <c r="S516" s="81"/>
      <c r="T516" s="81"/>
      <c r="U516" s="81"/>
      <c r="V516" s="81"/>
      <c r="W516" s="82"/>
      <c r="X516" s="82"/>
      <c r="Y516" s="216"/>
      <c r="Z516" s="216"/>
      <c r="AA516" s="82"/>
      <c r="AB516" s="82"/>
      <c r="AC516" s="82"/>
      <c r="AD516" s="82"/>
    </row>
    <row r="517" spans="8:30">
      <c r="H517" s="81"/>
      <c r="I517" s="81"/>
      <c r="J517" s="81"/>
      <c r="K517" s="81"/>
      <c r="L517" s="81"/>
      <c r="M517" s="81"/>
      <c r="N517" s="81"/>
      <c r="O517" s="81"/>
      <c r="P517" s="81"/>
      <c r="Q517" s="81"/>
      <c r="R517" s="81"/>
      <c r="S517" s="81"/>
      <c r="T517" s="81"/>
      <c r="U517" s="81"/>
      <c r="V517" s="81"/>
      <c r="W517" s="82"/>
      <c r="X517" s="82"/>
      <c r="Y517" s="216"/>
      <c r="Z517" s="216"/>
      <c r="AA517" s="82"/>
      <c r="AB517" s="82"/>
      <c r="AC517" s="82"/>
      <c r="AD517" s="82"/>
    </row>
    <row r="518" spans="8:30">
      <c r="H518" s="81"/>
      <c r="I518" s="81"/>
      <c r="J518" s="81"/>
      <c r="K518" s="81"/>
      <c r="L518" s="81"/>
      <c r="M518" s="81"/>
      <c r="N518" s="81"/>
      <c r="O518" s="81"/>
      <c r="P518" s="81"/>
      <c r="Q518" s="81"/>
      <c r="R518" s="81"/>
      <c r="S518" s="81"/>
      <c r="T518" s="81"/>
      <c r="U518" s="81"/>
      <c r="V518" s="81"/>
      <c r="W518" s="82"/>
      <c r="X518" s="82"/>
      <c r="Y518" s="216"/>
      <c r="Z518" s="216"/>
      <c r="AA518" s="82"/>
      <c r="AB518" s="82"/>
      <c r="AC518" s="82"/>
      <c r="AD518" s="82"/>
    </row>
    <row r="519" spans="8:30">
      <c r="H519" s="81"/>
      <c r="I519" s="81"/>
      <c r="J519" s="81"/>
      <c r="K519" s="81"/>
      <c r="L519" s="81"/>
      <c r="M519" s="81"/>
      <c r="N519" s="81"/>
      <c r="O519" s="81"/>
      <c r="P519" s="81"/>
      <c r="Q519" s="81"/>
      <c r="R519" s="81"/>
      <c r="S519" s="81"/>
      <c r="T519" s="81"/>
      <c r="U519" s="81"/>
      <c r="V519" s="81"/>
      <c r="W519" s="82"/>
      <c r="X519" s="82"/>
      <c r="Y519" s="216"/>
      <c r="Z519" s="216"/>
      <c r="AA519" s="82"/>
      <c r="AB519" s="82"/>
      <c r="AC519" s="82"/>
      <c r="AD519" s="82"/>
    </row>
    <row r="520" spans="8:30">
      <c r="H520" s="81"/>
      <c r="I520" s="81"/>
      <c r="J520" s="81"/>
      <c r="K520" s="81"/>
      <c r="L520" s="81"/>
      <c r="M520" s="81"/>
      <c r="N520" s="81"/>
      <c r="O520" s="81"/>
      <c r="P520" s="81"/>
      <c r="Q520" s="81"/>
      <c r="R520" s="81"/>
      <c r="S520" s="81"/>
      <c r="T520" s="81"/>
      <c r="U520" s="81"/>
      <c r="V520" s="81"/>
      <c r="W520" s="82"/>
      <c r="X520" s="82"/>
      <c r="Y520" s="216"/>
      <c r="Z520" s="216"/>
      <c r="AA520" s="82"/>
      <c r="AB520" s="82"/>
      <c r="AC520" s="82"/>
      <c r="AD520" s="82"/>
    </row>
    <row r="521" spans="8:30">
      <c r="H521" s="81"/>
      <c r="I521" s="81"/>
      <c r="J521" s="81"/>
      <c r="K521" s="81"/>
      <c r="L521" s="81"/>
      <c r="M521" s="81"/>
      <c r="N521" s="81"/>
      <c r="O521" s="81"/>
      <c r="P521" s="81"/>
      <c r="Q521" s="81"/>
      <c r="R521" s="81"/>
      <c r="S521" s="81"/>
      <c r="T521" s="81"/>
      <c r="U521" s="81"/>
      <c r="V521" s="81"/>
      <c r="W521" s="82"/>
      <c r="X521" s="82"/>
      <c r="Y521" s="216"/>
      <c r="Z521" s="216"/>
      <c r="AA521" s="82"/>
      <c r="AB521" s="82"/>
      <c r="AC521" s="82"/>
      <c r="AD521" s="82"/>
    </row>
    <row r="522" spans="8:30">
      <c r="H522" s="81"/>
      <c r="I522" s="81"/>
      <c r="J522" s="81"/>
      <c r="K522" s="81"/>
      <c r="L522" s="81"/>
      <c r="M522" s="81"/>
      <c r="N522" s="81"/>
      <c r="O522" s="81"/>
      <c r="P522" s="81"/>
      <c r="Q522" s="81"/>
      <c r="R522" s="81"/>
      <c r="S522" s="81"/>
      <c r="T522" s="81"/>
      <c r="U522" s="81"/>
      <c r="V522" s="81"/>
      <c r="W522" s="82"/>
      <c r="X522" s="82"/>
      <c r="Y522" s="216"/>
      <c r="Z522" s="216"/>
      <c r="AA522" s="82"/>
      <c r="AB522" s="82"/>
      <c r="AC522" s="82"/>
      <c r="AD522" s="82"/>
    </row>
    <row r="523" spans="8:30">
      <c r="H523" s="81"/>
      <c r="I523" s="81"/>
      <c r="J523" s="81"/>
      <c r="K523" s="81"/>
      <c r="L523" s="81"/>
      <c r="M523" s="81"/>
      <c r="N523" s="81"/>
      <c r="O523" s="81"/>
      <c r="P523" s="81"/>
      <c r="Q523" s="81"/>
      <c r="R523" s="81"/>
      <c r="S523" s="81"/>
      <c r="T523" s="81"/>
      <c r="U523" s="81"/>
      <c r="V523" s="81"/>
      <c r="W523" s="82"/>
      <c r="X523" s="82"/>
      <c r="Y523" s="216"/>
      <c r="Z523" s="216"/>
      <c r="AA523" s="82"/>
      <c r="AB523" s="82"/>
      <c r="AC523" s="82"/>
      <c r="AD523" s="82"/>
    </row>
    <row r="524" spans="8:30">
      <c r="H524" s="81"/>
      <c r="I524" s="81"/>
      <c r="J524" s="81"/>
      <c r="K524" s="81"/>
      <c r="L524" s="81"/>
      <c r="M524" s="81"/>
      <c r="N524" s="81"/>
      <c r="O524" s="81"/>
      <c r="P524" s="81"/>
      <c r="Q524" s="81"/>
      <c r="R524" s="81"/>
      <c r="S524" s="81"/>
      <c r="T524" s="81"/>
      <c r="U524" s="81"/>
      <c r="V524" s="81"/>
      <c r="W524" s="82"/>
      <c r="X524" s="82"/>
      <c r="Y524" s="216"/>
      <c r="Z524" s="216"/>
      <c r="AA524" s="82"/>
      <c r="AB524" s="82"/>
      <c r="AC524" s="82"/>
      <c r="AD524" s="82"/>
    </row>
    <row r="525" spans="8:30">
      <c r="H525" s="81"/>
      <c r="I525" s="81"/>
      <c r="J525" s="81"/>
      <c r="K525" s="81"/>
      <c r="L525" s="81"/>
      <c r="M525" s="81"/>
      <c r="N525" s="81"/>
      <c r="O525" s="81"/>
      <c r="P525" s="81"/>
      <c r="Q525" s="81"/>
      <c r="R525" s="81"/>
      <c r="S525" s="81"/>
      <c r="T525" s="81"/>
      <c r="U525" s="81"/>
      <c r="V525" s="81"/>
      <c r="W525" s="82"/>
      <c r="X525" s="82"/>
      <c r="Y525" s="216"/>
      <c r="Z525" s="216"/>
      <c r="AA525" s="82"/>
      <c r="AB525" s="82"/>
      <c r="AC525" s="82"/>
      <c r="AD525" s="82"/>
    </row>
    <row r="526" spans="8:30">
      <c r="H526" s="81"/>
      <c r="I526" s="81"/>
      <c r="J526" s="81"/>
      <c r="K526" s="81"/>
      <c r="L526" s="81"/>
      <c r="M526" s="81"/>
      <c r="N526" s="81"/>
      <c r="O526" s="81"/>
      <c r="P526" s="81"/>
      <c r="Q526" s="81"/>
      <c r="R526" s="81"/>
      <c r="S526" s="81"/>
      <c r="T526" s="81"/>
      <c r="U526" s="81"/>
      <c r="V526" s="81"/>
      <c r="W526" s="82"/>
      <c r="X526" s="82"/>
      <c r="Y526" s="216"/>
      <c r="Z526" s="216"/>
      <c r="AA526" s="82"/>
      <c r="AB526" s="82"/>
      <c r="AC526" s="82"/>
      <c r="AD526" s="82"/>
    </row>
    <row r="527" spans="8:30">
      <c r="H527" s="81"/>
      <c r="I527" s="81"/>
      <c r="J527" s="81"/>
      <c r="K527" s="81"/>
      <c r="L527" s="81"/>
      <c r="M527" s="81"/>
      <c r="N527" s="81"/>
      <c r="O527" s="81"/>
      <c r="P527" s="81"/>
      <c r="Q527" s="81"/>
      <c r="R527" s="81"/>
      <c r="S527" s="81"/>
      <c r="T527" s="81"/>
      <c r="U527" s="81"/>
      <c r="V527" s="81"/>
      <c r="W527" s="82"/>
      <c r="X527" s="82"/>
      <c r="Y527" s="216"/>
      <c r="Z527" s="216"/>
      <c r="AA527" s="82"/>
      <c r="AB527" s="82"/>
      <c r="AC527" s="82"/>
      <c r="AD527" s="82"/>
    </row>
    <row r="528" spans="8:30">
      <c r="H528" s="81"/>
      <c r="I528" s="81"/>
      <c r="J528" s="81"/>
      <c r="K528" s="81"/>
      <c r="L528" s="81"/>
      <c r="M528" s="81"/>
      <c r="N528" s="81"/>
      <c r="O528" s="81"/>
      <c r="P528" s="81"/>
      <c r="Q528" s="81"/>
      <c r="R528" s="81"/>
      <c r="S528" s="81"/>
      <c r="T528" s="81"/>
      <c r="U528" s="81"/>
      <c r="V528" s="81"/>
      <c r="W528" s="82"/>
      <c r="X528" s="82"/>
      <c r="Y528" s="216"/>
      <c r="Z528" s="216"/>
      <c r="AA528" s="82"/>
      <c r="AB528" s="82"/>
      <c r="AC528" s="82"/>
      <c r="AD528" s="82"/>
    </row>
    <row r="529" spans="8:30">
      <c r="H529" s="81"/>
      <c r="I529" s="81"/>
      <c r="J529" s="81"/>
      <c r="K529" s="81"/>
      <c r="L529" s="81"/>
      <c r="M529" s="81"/>
      <c r="N529" s="81"/>
      <c r="O529" s="81"/>
      <c r="P529" s="81"/>
      <c r="Q529" s="81"/>
      <c r="R529" s="81"/>
      <c r="S529" s="81"/>
      <c r="T529" s="81"/>
      <c r="U529" s="81"/>
      <c r="V529" s="81"/>
      <c r="W529" s="82"/>
      <c r="X529" s="82"/>
      <c r="Y529" s="216"/>
      <c r="Z529" s="216"/>
      <c r="AA529" s="82"/>
      <c r="AB529" s="82"/>
      <c r="AC529" s="82"/>
      <c r="AD529" s="82"/>
    </row>
    <row r="530" spans="8:30">
      <c r="H530" s="81"/>
      <c r="I530" s="81"/>
      <c r="J530" s="81"/>
      <c r="K530" s="81"/>
      <c r="L530" s="81"/>
      <c r="M530" s="81"/>
      <c r="N530" s="81"/>
      <c r="O530" s="81"/>
      <c r="P530" s="81"/>
      <c r="Q530" s="81"/>
      <c r="R530" s="81"/>
      <c r="S530" s="81"/>
      <c r="T530" s="81"/>
      <c r="U530" s="81"/>
      <c r="V530" s="81"/>
      <c r="W530" s="82"/>
      <c r="X530" s="82"/>
      <c r="Y530" s="216"/>
      <c r="Z530" s="216"/>
      <c r="AA530" s="82"/>
      <c r="AB530" s="82"/>
      <c r="AC530" s="82"/>
      <c r="AD530" s="82"/>
    </row>
    <row r="531" spans="8:30">
      <c r="H531" s="81"/>
      <c r="I531" s="81"/>
      <c r="J531" s="81"/>
      <c r="K531" s="81"/>
      <c r="L531" s="81"/>
      <c r="M531" s="81"/>
      <c r="N531" s="81"/>
      <c r="O531" s="81"/>
      <c r="P531" s="81"/>
      <c r="Q531" s="81"/>
      <c r="R531" s="81"/>
      <c r="S531" s="81"/>
      <c r="T531" s="81"/>
      <c r="U531" s="81"/>
      <c r="V531" s="81"/>
      <c r="W531" s="82"/>
      <c r="X531" s="82"/>
      <c r="Y531" s="216"/>
      <c r="Z531" s="216"/>
      <c r="AA531" s="82"/>
      <c r="AB531" s="82"/>
      <c r="AC531" s="82"/>
      <c r="AD531" s="82"/>
    </row>
    <row r="532" spans="8:30">
      <c r="H532" s="81"/>
      <c r="I532" s="81"/>
      <c r="J532" s="81"/>
      <c r="K532" s="81"/>
      <c r="L532" s="81"/>
      <c r="M532" s="81"/>
      <c r="N532" s="81"/>
      <c r="O532" s="81"/>
      <c r="P532" s="81"/>
      <c r="Q532" s="81"/>
      <c r="R532" s="81"/>
      <c r="S532" s="81"/>
      <c r="T532" s="81"/>
      <c r="U532" s="81"/>
      <c r="V532" s="81"/>
      <c r="W532" s="82"/>
      <c r="X532" s="82"/>
      <c r="Y532" s="216"/>
      <c r="Z532" s="216"/>
      <c r="AA532" s="82"/>
      <c r="AB532" s="82"/>
      <c r="AC532" s="82"/>
      <c r="AD532" s="82"/>
    </row>
    <row r="533" spans="8:30">
      <c r="H533" s="81"/>
      <c r="I533" s="81"/>
      <c r="J533" s="81"/>
      <c r="K533" s="81"/>
      <c r="L533" s="81"/>
      <c r="M533" s="81"/>
      <c r="N533" s="81"/>
      <c r="O533" s="81"/>
      <c r="P533" s="81"/>
      <c r="Q533" s="81"/>
      <c r="R533" s="81"/>
      <c r="S533" s="81"/>
      <c r="T533" s="81"/>
      <c r="U533" s="81"/>
      <c r="V533" s="81"/>
      <c r="W533" s="82"/>
      <c r="X533" s="82"/>
      <c r="Y533" s="216"/>
      <c r="Z533" s="216"/>
      <c r="AA533" s="82"/>
      <c r="AB533" s="82"/>
      <c r="AC533" s="82"/>
      <c r="AD533" s="82"/>
    </row>
    <row r="534" spans="8:30">
      <c r="H534" s="81"/>
      <c r="I534" s="81"/>
      <c r="J534" s="81"/>
      <c r="K534" s="81"/>
      <c r="L534" s="81"/>
      <c r="M534" s="81"/>
      <c r="N534" s="81"/>
      <c r="O534" s="81"/>
      <c r="P534" s="81"/>
      <c r="Q534" s="81"/>
      <c r="R534" s="81"/>
      <c r="S534" s="81"/>
      <c r="T534" s="81"/>
      <c r="U534" s="81"/>
      <c r="V534" s="81"/>
      <c r="W534" s="82"/>
      <c r="X534" s="82"/>
      <c r="Y534" s="216"/>
      <c r="Z534" s="216"/>
      <c r="AA534" s="82"/>
      <c r="AB534" s="82"/>
      <c r="AC534" s="82"/>
      <c r="AD534" s="82"/>
    </row>
    <row r="535" spans="8:30">
      <c r="H535" s="81"/>
      <c r="I535" s="81"/>
      <c r="J535" s="81"/>
      <c r="K535" s="81"/>
      <c r="L535" s="81"/>
      <c r="M535" s="81"/>
      <c r="N535" s="81"/>
      <c r="O535" s="81"/>
      <c r="P535" s="81"/>
      <c r="Q535" s="81"/>
      <c r="R535" s="81"/>
      <c r="S535" s="81"/>
      <c r="T535" s="81"/>
      <c r="U535" s="81"/>
      <c r="V535" s="81"/>
      <c r="W535" s="82"/>
      <c r="X535" s="82"/>
      <c r="Y535" s="216"/>
      <c r="Z535" s="216"/>
      <c r="AA535" s="82"/>
      <c r="AB535" s="82"/>
      <c r="AC535" s="82"/>
      <c r="AD535" s="82"/>
    </row>
    <row r="536" spans="8:30">
      <c r="H536" s="81"/>
      <c r="I536" s="81"/>
      <c r="J536" s="81"/>
      <c r="K536" s="81"/>
      <c r="L536" s="81"/>
      <c r="M536" s="81"/>
      <c r="N536" s="81"/>
      <c r="O536" s="81"/>
      <c r="P536" s="81"/>
      <c r="Q536" s="81"/>
      <c r="R536" s="81"/>
      <c r="S536" s="81"/>
      <c r="T536" s="81"/>
      <c r="U536" s="81"/>
      <c r="V536" s="81"/>
      <c r="W536" s="82"/>
      <c r="X536" s="82"/>
      <c r="Y536" s="216"/>
      <c r="Z536" s="216"/>
      <c r="AA536" s="82"/>
      <c r="AB536" s="82"/>
      <c r="AC536" s="82"/>
      <c r="AD536" s="82"/>
    </row>
    <row r="537" spans="8:30">
      <c r="H537" s="81"/>
      <c r="I537" s="81"/>
      <c r="J537" s="81"/>
      <c r="K537" s="81"/>
      <c r="L537" s="81"/>
      <c r="M537" s="81"/>
      <c r="N537" s="81"/>
      <c r="O537" s="81"/>
      <c r="P537" s="81"/>
      <c r="Q537" s="81"/>
      <c r="R537" s="81"/>
      <c r="S537" s="81"/>
      <c r="T537" s="81"/>
      <c r="U537" s="81"/>
      <c r="V537" s="81"/>
      <c r="W537" s="82"/>
      <c r="X537" s="82"/>
      <c r="Y537" s="216"/>
      <c r="Z537" s="216"/>
      <c r="AA537" s="82"/>
      <c r="AB537" s="82"/>
      <c r="AC537" s="82"/>
      <c r="AD537" s="82"/>
    </row>
    <row r="538" spans="8:30">
      <c r="H538" s="81"/>
      <c r="I538" s="81"/>
      <c r="J538" s="81"/>
      <c r="K538" s="81"/>
      <c r="L538" s="81"/>
      <c r="M538" s="81"/>
      <c r="N538" s="81"/>
      <c r="O538" s="81"/>
      <c r="P538" s="81"/>
      <c r="Q538" s="81"/>
      <c r="R538" s="81"/>
      <c r="S538" s="81"/>
      <c r="T538" s="81"/>
      <c r="U538" s="81"/>
      <c r="V538" s="81"/>
      <c r="W538" s="82"/>
      <c r="X538" s="82"/>
      <c r="Y538" s="216"/>
      <c r="Z538" s="216"/>
      <c r="AA538" s="82"/>
      <c r="AB538" s="82"/>
      <c r="AC538" s="82"/>
      <c r="AD538" s="82"/>
    </row>
    <row r="539" spans="8:30">
      <c r="H539" s="81"/>
      <c r="I539" s="81"/>
      <c r="J539" s="81"/>
      <c r="K539" s="81"/>
      <c r="L539" s="81"/>
      <c r="M539" s="81"/>
      <c r="N539" s="81"/>
      <c r="O539" s="81"/>
      <c r="P539" s="81"/>
      <c r="Q539" s="81"/>
      <c r="R539" s="81"/>
      <c r="S539" s="81"/>
      <c r="T539" s="81"/>
      <c r="U539" s="81"/>
      <c r="V539" s="81"/>
      <c r="W539" s="82"/>
      <c r="X539" s="82"/>
      <c r="Y539" s="216"/>
      <c r="Z539" s="216"/>
      <c r="AA539" s="82"/>
      <c r="AB539" s="82"/>
      <c r="AC539" s="82"/>
      <c r="AD539" s="82"/>
    </row>
    <row r="540" spans="8:30">
      <c r="H540" s="81"/>
      <c r="I540" s="81"/>
      <c r="J540" s="81"/>
      <c r="K540" s="81"/>
      <c r="L540" s="81"/>
      <c r="M540" s="81"/>
      <c r="N540" s="81"/>
      <c r="O540" s="81"/>
      <c r="P540" s="81"/>
      <c r="Q540" s="81"/>
      <c r="R540" s="81"/>
      <c r="S540" s="81"/>
      <c r="T540" s="81"/>
      <c r="U540" s="81"/>
      <c r="V540" s="81"/>
      <c r="W540" s="82"/>
      <c r="X540" s="82"/>
      <c r="Y540" s="216"/>
      <c r="Z540" s="216"/>
      <c r="AA540" s="82"/>
      <c r="AB540" s="82"/>
      <c r="AC540" s="82"/>
      <c r="AD540" s="82"/>
    </row>
    <row r="541" spans="8:30">
      <c r="H541" s="81"/>
      <c r="I541" s="81"/>
      <c r="J541" s="81"/>
      <c r="K541" s="81"/>
      <c r="L541" s="81"/>
      <c r="M541" s="81"/>
      <c r="N541" s="81"/>
      <c r="O541" s="81"/>
      <c r="P541" s="81"/>
      <c r="Q541" s="81"/>
      <c r="R541" s="81"/>
      <c r="S541" s="81"/>
      <c r="T541" s="81"/>
      <c r="U541" s="81"/>
      <c r="V541" s="81"/>
      <c r="W541" s="82"/>
      <c r="X541" s="82"/>
      <c r="Y541" s="216"/>
      <c r="Z541" s="216"/>
      <c r="AA541" s="82"/>
      <c r="AB541" s="82"/>
      <c r="AC541" s="82"/>
      <c r="AD541" s="82"/>
    </row>
    <row r="542" spans="8:30">
      <c r="H542" s="81"/>
      <c r="I542" s="81"/>
      <c r="J542" s="81"/>
      <c r="K542" s="81"/>
      <c r="L542" s="81"/>
      <c r="M542" s="81"/>
      <c r="N542" s="81"/>
      <c r="O542" s="81"/>
      <c r="P542" s="81"/>
      <c r="Q542" s="81"/>
      <c r="R542" s="81"/>
      <c r="S542" s="81"/>
      <c r="T542" s="81"/>
      <c r="U542" s="81"/>
      <c r="V542" s="81"/>
      <c r="W542" s="82"/>
      <c r="X542" s="82"/>
      <c r="Y542" s="216"/>
      <c r="Z542" s="216"/>
      <c r="AA542" s="82"/>
      <c r="AB542" s="82"/>
      <c r="AC542" s="82"/>
      <c r="AD542" s="82"/>
    </row>
    <row r="543" spans="8:30">
      <c r="H543" s="81"/>
      <c r="I543" s="81"/>
      <c r="J543" s="81"/>
      <c r="K543" s="81"/>
      <c r="L543" s="81"/>
      <c r="M543" s="81"/>
      <c r="N543" s="81"/>
      <c r="O543" s="81"/>
      <c r="P543" s="81"/>
      <c r="Q543" s="81"/>
      <c r="R543" s="81"/>
      <c r="S543" s="81"/>
      <c r="T543" s="81"/>
      <c r="U543" s="81"/>
      <c r="V543" s="81"/>
      <c r="W543" s="82"/>
      <c r="X543" s="82"/>
      <c r="Y543" s="216"/>
      <c r="Z543" s="216"/>
      <c r="AA543" s="82"/>
      <c r="AB543" s="82"/>
      <c r="AC543" s="82"/>
      <c r="AD543" s="82"/>
    </row>
    <row r="544" spans="8:30">
      <c r="H544" s="81"/>
      <c r="I544" s="81"/>
      <c r="J544" s="81"/>
      <c r="K544" s="81"/>
      <c r="L544" s="81"/>
      <c r="M544" s="81"/>
      <c r="N544" s="81"/>
      <c r="O544" s="81"/>
      <c r="P544" s="81"/>
      <c r="Q544" s="81"/>
      <c r="R544" s="81"/>
      <c r="S544" s="81"/>
      <c r="T544" s="81"/>
      <c r="U544" s="81"/>
      <c r="V544" s="81"/>
      <c r="W544" s="82"/>
      <c r="X544" s="82"/>
      <c r="Y544" s="216"/>
      <c r="Z544" s="216"/>
      <c r="AA544" s="82"/>
      <c r="AB544" s="82"/>
      <c r="AC544" s="82"/>
      <c r="AD544" s="82"/>
    </row>
    <row r="545" spans="8:30">
      <c r="H545" s="81"/>
      <c r="I545" s="81"/>
      <c r="J545" s="81"/>
      <c r="K545" s="81"/>
      <c r="L545" s="81"/>
      <c r="M545" s="81"/>
      <c r="N545" s="81"/>
      <c r="O545" s="81"/>
      <c r="P545" s="81"/>
      <c r="Q545" s="81"/>
      <c r="R545" s="81"/>
      <c r="S545" s="81"/>
      <c r="T545" s="81"/>
      <c r="U545" s="81"/>
      <c r="V545" s="81"/>
      <c r="W545" s="82"/>
      <c r="X545" s="82"/>
      <c r="Y545" s="216"/>
      <c r="Z545" s="216"/>
      <c r="AA545" s="82"/>
      <c r="AB545" s="82"/>
      <c r="AC545" s="82"/>
      <c r="AD545" s="82"/>
    </row>
    <row r="546" spans="8:30">
      <c r="H546" s="81"/>
      <c r="I546" s="81"/>
      <c r="J546" s="81"/>
      <c r="K546" s="81"/>
      <c r="L546" s="81"/>
      <c r="M546" s="81"/>
      <c r="N546" s="81"/>
      <c r="O546" s="81"/>
      <c r="P546" s="81"/>
      <c r="Q546" s="81"/>
      <c r="R546" s="81"/>
      <c r="S546" s="81"/>
      <c r="T546" s="81"/>
      <c r="U546" s="81"/>
      <c r="V546" s="81"/>
      <c r="W546" s="82"/>
      <c r="X546" s="82"/>
      <c r="Y546" s="216"/>
      <c r="Z546" s="216"/>
      <c r="AA546" s="82"/>
      <c r="AB546" s="82"/>
      <c r="AC546" s="82"/>
      <c r="AD546" s="82"/>
    </row>
    <row r="547" spans="8:30">
      <c r="H547" s="81"/>
      <c r="I547" s="81"/>
      <c r="J547" s="81"/>
      <c r="K547" s="81"/>
      <c r="L547" s="81"/>
      <c r="M547" s="81"/>
      <c r="N547" s="81"/>
      <c r="O547" s="81"/>
      <c r="P547" s="81"/>
      <c r="Q547" s="81"/>
      <c r="R547" s="81"/>
      <c r="S547" s="81"/>
      <c r="T547" s="81"/>
      <c r="U547" s="81"/>
      <c r="V547" s="81"/>
      <c r="W547" s="82"/>
      <c r="X547" s="82"/>
      <c r="Y547" s="216"/>
      <c r="Z547" s="216"/>
      <c r="AA547" s="82"/>
      <c r="AB547" s="82"/>
      <c r="AC547" s="82"/>
      <c r="AD547" s="82"/>
    </row>
    <row r="548" spans="8:30">
      <c r="H548" s="81"/>
      <c r="I548" s="81"/>
      <c r="J548" s="81"/>
      <c r="K548" s="81"/>
      <c r="L548" s="81"/>
      <c r="M548" s="81"/>
      <c r="N548" s="81"/>
      <c r="O548" s="81"/>
      <c r="P548" s="81"/>
      <c r="Q548" s="81"/>
      <c r="R548" s="81"/>
      <c r="S548" s="81"/>
      <c r="T548" s="81"/>
      <c r="U548" s="81"/>
      <c r="V548" s="81"/>
      <c r="W548" s="82"/>
      <c r="X548" s="82"/>
      <c r="Y548" s="216"/>
      <c r="Z548" s="216"/>
      <c r="AA548" s="82"/>
      <c r="AB548" s="82"/>
      <c r="AC548" s="82"/>
      <c r="AD548" s="82"/>
    </row>
    <row r="549" spans="8:30">
      <c r="H549" s="81"/>
      <c r="I549" s="81"/>
      <c r="J549" s="81"/>
      <c r="K549" s="81"/>
      <c r="L549" s="81"/>
      <c r="M549" s="81"/>
      <c r="N549" s="81"/>
      <c r="O549" s="81"/>
      <c r="P549" s="81"/>
      <c r="Q549" s="81"/>
      <c r="R549" s="81"/>
      <c r="S549" s="81"/>
      <c r="T549" s="81"/>
      <c r="U549" s="81"/>
      <c r="V549" s="81"/>
      <c r="W549" s="82"/>
      <c r="X549" s="82"/>
      <c r="Y549" s="216"/>
      <c r="Z549" s="216"/>
      <c r="AA549" s="82"/>
      <c r="AB549" s="82"/>
      <c r="AC549" s="82"/>
      <c r="AD549" s="82"/>
    </row>
    <row r="550" spans="8:30">
      <c r="H550" s="81"/>
      <c r="I550" s="81"/>
      <c r="J550" s="81"/>
      <c r="K550" s="81"/>
      <c r="L550" s="81"/>
      <c r="M550" s="81"/>
      <c r="N550" s="81"/>
      <c r="O550" s="81"/>
      <c r="P550" s="81"/>
      <c r="Q550" s="81"/>
      <c r="R550" s="81"/>
      <c r="S550" s="81"/>
      <c r="T550" s="81"/>
      <c r="U550" s="81"/>
      <c r="V550" s="81"/>
      <c r="W550" s="82"/>
      <c r="X550" s="82"/>
      <c r="Y550" s="216"/>
      <c r="Z550" s="216"/>
      <c r="AA550" s="82"/>
      <c r="AB550" s="82"/>
      <c r="AC550" s="82"/>
      <c r="AD550" s="82"/>
    </row>
    <row r="551" spans="8:30">
      <c r="H551" s="81"/>
      <c r="I551" s="81"/>
      <c r="J551" s="81"/>
      <c r="K551" s="81"/>
      <c r="L551" s="81"/>
      <c r="M551" s="81"/>
      <c r="N551" s="81"/>
      <c r="O551" s="81"/>
      <c r="P551" s="81"/>
      <c r="Q551" s="81"/>
      <c r="R551" s="81"/>
      <c r="S551" s="81"/>
      <c r="T551" s="81"/>
      <c r="U551" s="81"/>
      <c r="V551" s="81"/>
      <c r="W551" s="82"/>
      <c r="X551" s="82"/>
      <c r="Y551" s="216"/>
      <c r="Z551" s="216"/>
      <c r="AA551" s="82"/>
      <c r="AB551" s="82"/>
      <c r="AC551" s="82"/>
      <c r="AD551" s="82"/>
    </row>
    <row r="552" spans="8:30">
      <c r="H552" s="81"/>
      <c r="I552" s="81"/>
      <c r="J552" s="81"/>
      <c r="K552" s="81"/>
      <c r="L552" s="81"/>
      <c r="M552" s="81"/>
      <c r="N552" s="81"/>
      <c r="O552" s="81"/>
      <c r="P552" s="81"/>
      <c r="Q552" s="81"/>
      <c r="R552" s="81"/>
      <c r="S552" s="81"/>
      <c r="T552" s="81"/>
      <c r="U552" s="81"/>
      <c r="V552" s="81"/>
      <c r="W552" s="82"/>
      <c r="X552" s="82"/>
      <c r="Y552" s="216"/>
      <c r="Z552" s="216"/>
      <c r="AA552" s="82"/>
      <c r="AB552" s="82"/>
      <c r="AC552" s="82"/>
      <c r="AD552" s="82"/>
    </row>
    <row r="553" spans="8:30">
      <c r="H553" s="81"/>
      <c r="I553" s="81"/>
      <c r="J553" s="81"/>
      <c r="K553" s="81"/>
      <c r="L553" s="81"/>
      <c r="M553" s="81"/>
      <c r="N553" s="81"/>
      <c r="O553" s="81"/>
      <c r="P553" s="81"/>
      <c r="Q553" s="81"/>
      <c r="R553" s="81"/>
      <c r="S553" s="81"/>
      <c r="T553" s="81"/>
      <c r="U553" s="81"/>
      <c r="V553" s="81"/>
      <c r="W553" s="82"/>
      <c r="X553" s="82"/>
      <c r="Y553" s="216"/>
      <c r="Z553" s="216"/>
      <c r="AA553" s="82"/>
      <c r="AB553" s="82"/>
      <c r="AC553" s="82"/>
      <c r="AD553" s="82"/>
    </row>
    <row r="554" spans="8:30">
      <c r="H554" s="81"/>
      <c r="I554" s="81"/>
      <c r="J554" s="81"/>
      <c r="K554" s="81"/>
      <c r="L554" s="81"/>
      <c r="M554" s="81"/>
      <c r="N554" s="81"/>
      <c r="O554" s="81"/>
      <c r="P554" s="81"/>
      <c r="Q554" s="81"/>
      <c r="R554" s="81"/>
      <c r="S554" s="81"/>
      <c r="T554" s="81"/>
      <c r="U554" s="81"/>
      <c r="V554" s="81"/>
      <c r="W554" s="82"/>
      <c r="X554" s="82"/>
      <c r="Y554" s="216"/>
      <c r="Z554" s="216"/>
      <c r="AA554" s="82"/>
      <c r="AB554" s="82"/>
      <c r="AC554" s="82"/>
      <c r="AD554" s="82"/>
    </row>
    <row r="555" spans="8:30">
      <c r="H555" s="81"/>
      <c r="I555" s="81"/>
      <c r="J555" s="81"/>
      <c r="K555" s="81"/>
      <c r="L555" s="81"/>
      <c r="M555" s="81"/>
      <c r="N555" s="81"/>
      <c r="O555" s="81"/>
      <c r="P555" s="81"/>
      <c r="Q555" s="81"/>
      <c r="R555" s="81"/>
      <c r="S555" s="81"/>
      <c r="T555" s="81"/>
      <c r="U555" s="81"/>
      <c r="V555" s="81"/>
      <c r="W555" s="82"/>
      <c r="X555" s="82"/>
      <c r="Y555" s="216"/>
      <c r="Z555" s="216"/>
      <c r="AA555" s="82"/>
      <c r="AB555" s="82"/>
      <c r="AC555" s="82"/>
      <c r="AD555" s="82"/>
    </row>
    <row r="556" spans="8:30">
      <c r="H556" s="81"/>
      <c r="I556" s="81"/>
      <c r="J556" s="81"/>
      <c r="K556" s="81"/>
      <c r="L556" s="81"/>
      <c r="M556" s="81"/>
      <c r="N556" s="81"/>
      <c r="O556" s="81"/>
      <c r="P556" s="81"/>
      <c r="Q556" s="81"/>
      <c r="R556" s="81"/>
      <c r="S556" s="81"/>
      <c r="T556" s="81"/>
      <c r="U556" s="81"/>
      <c r="V556" s="81"/>
      <c r="W556" s="82"/>
      <c r="X556" s="82"/>
      <c r="Y556" s="216"/>
      <c r="Z556" s="216"/>
      <c r="AA556" s="82"/>
      <c r="AB556" s="82"/>
      <c r="AC556" s="82"/>
      <c r="AD556" s="82"/>
    </row>
    <row r="557" spans="8:30">
      <c r="H557" s="81"/>
      <c r="I557" s="81"/>
      <c r="J557" s="81"/>
      <c r="K557" s="81"/>
      <c r="L557" s="81"/>
      <c r="M557" s="81"/>
      <c r="N557" s="81"/>
      <c r="O557" s="81"/>
      <c r="P557" s="81"/>
      <c r="Q557" s="81"/>
      <c r="R557" s="81"/>
      <c r="S557" s="81"/>
      <c r="T557" s="81"/>
      <c r="U557" s="81"/>
      <c r="V557" s="81"/>
      <c r="W557" s="82"/>
      <c r="X557" s="82"/>
      <c r="Y557" s="216"/>
      <c r="Z557" s="216"/>
      <c r="AA557" s="82"/>
      <c r="AB557" s="82"/>
      <c r="AC557" s="82"/>
      <c r="AD557" s="82"/>
    </row>
    <row r="558" spans="8:30">
      <c r="H558" s="81"/>
      <c r="I558" s="81"/>
      <c r="J558" s="81"/>
      <c r="K558" s="81"/>
      <c r="L558" s="81"/>
      <c r="M558" s="81"/>
      <c r="N558" s="81"/>
      <c r="O558" s="81"/>
      <c r="P558" s="81"/>
      <c r="Q558" s="81"/>
      <c r="R558" s="81"/>
      <c r="S558" s="81"/>
      <c r="T558" s="81"/>
      <c r="U558" s="81"/>
      <c r="V558" s="81"/>
      <c r="W558" s="82"/>
      <c r="X558" s="82"/>
      <c r="Y558" s="216"/>
      <c r="Z558" s="216"/>
      <c r="AA558" s="82"/>
      <c r="AB558" s="82"/>
      <c r="AC558" s="82"/>
      <c r="AD558" s="82"/>
    </row>
    <row r="559" spans="8:30">
      <c r="H559" s="81"/>
      <c r="I559" s="81"/>
      <c r="J559" s="81"/>
      <c r="K559" s="81"/>
      <c r="L559" s="81"/>
      <c r="M559" s="81"/>
      <c r="N559" s="81"/>
      <c r="O559" s="81"/>
      <c r="P559" s="81"/>
      <c r="Q559" s="81"/>
      <c r="R559" s="81"/>
      <c r="S559" s="81"/>
      <c r="T559" s="81"/>
      <c r="U559" s="81"/>
      <c r="V559" s="81"/>
      <c r="W559" s="82"/>
      <c r="X559" s="82"/>
      <c r="Y559" s="216"/>
      <c r="Z559" s="216"/>
      <c r="AA559" s="82"/>
      <c r="AB559" s="82"/>
      <c r="AC559" s="82"/>
      <c r="AD559" s="82"/>
    </row>
    <row r="560" spans="8:30">
      <c r="H560" s="81"/>
      <c r="I560" s="81"/>
      <c r="J560" s="81"/>
      <c r="K560" s="81"/>
      <c r="L560" s="81"/>
      <c r="M560" s="81"/>
      <c r="N560" s="81"/>
      <c r="O560" s="81"/>
      <c r="P560" s="81"/>
      <c r="Q560" s="81"/>
      <c r="R560" s="81"/>
      <c r="S560" s="81"/>
      <c r="T560" s="81"/>
      <c r="U560" s="81"/>
      <c r="V560" s="81"/>
      <c r="W560" s="82"/>
      <c r="X560" s="82"/>
      <c r="Y560" s="216"/>
      <c r="Z560" s="216"/>
      <c r="AA560" s="82"/>
      <c r="AB560" s="82"/>
      <c r="AC560" s="82"/>
      <c r="AD560" s="82"/>
    </row>
    <row r="561" spans="8:30">
      <c r="H561" s="81"/>
      <c r="I561" s="81"/>
      <c r="J561" s="81"/>
      <c r="K561" s="81"/>
      <c r="L561" s="81"/>
      <c r="M561" s="81"/>
      <c r="N561" s="81"/>
      <c r="O561" s="81"/>
      <c r="P561" s="81"/>
      <c r="Q561" s="81"/>
      <c r="R561" s="81"/>
      <c r="S561" s="81"/>
      <c r="T561" s="81"/>
      <c r="U561" s="81"/>
      <c r="V561" s="81"/>
      <c r="W561" s="82"/>
      <c r="X561" s="82"/>
      <c r="Y561" s="216"/>
      <c r="Z561" s="216"/>
      <c r="AA561" s="82"/>
      <c r="AB561" s="82"/>
      <c r="AC561" s="82"/>
      <c r="AD561" s="82"/>
    </row>
    <row r="562" spans="8:30">
      <c r="H562" s="81"/>
      <c r="I562" s="81"/>
      <c r="J562" s="81"/>
      <c r="K562" s="81"/>
      <c r="L562" s="81"/>
      <c r="M562" s="81"/>
      <c r="N562" s="81"/>
      <c r="O562" s="81"/>
      <c r="P562" s="81"/>
      <c r="Q562" s="81"/>
      <c r="R562" s="81"/>
      <c r="S562" s="81"/>
      <c r="T562" s="81"/>
      <c r="U562" s="81"/>
      <c r="V562" s="81"/>
      <c r="W562" s="82"/>
      <c r="X562" s="82"/>
      <c r="Y562" s="216"/>
      <c r="Z562" s="216"/>
      <c r="AA562" s="82"/>
      <c r="AB562" s="82"/>
      <c r="AC562" s="82"/>
      <c r="AD562" s="82"/>
    </row>
    <row r="563" spans="8:30">
      <c r="H563" s="81"/>
      <c r="I563" s="81"/>
      <c r="J563" s="81"/>
      <c r="K563" s="81"/>
      <c r="L563" s="81"/>
      <c r="M563" s="81"/>
      <c r="N563" s="81"/>
      <c r="O563" s="81"/>
      <c r="P563" s="81"/>
      <c r="Q563" s="81"/>
      <c r="R563" s="81"/>
      <c r="S563" s="81"/>
      <c r="T563" s="81"/>
      <c r="U563" s="81"/>
      <c r="V563" s="81"/>
      <c r="W563" s="82"/>
      <c r="X563" s="82"/>
      <c r="Y563" s="216"/>
      <c r="Z563" s="216"/>
      <c r="AA563" s="82"/>
      <c r="AB563" s="82"/>
      <c r="AC563" s="82"/>
      <c r="AD563" s="82"/>
    </row>
    <row r="564" spans="8:30">
      <c r="H564" s="81"/>
      <c r="I564" s="81"/>
      <c r="J564" s="81"/>
      <c r="K564" s="81"/>
      <c r="L564" s="81"/>
      <c r="M564" s="81"/>
      <c r="N564" s="81"/>
      <c r="O564" s="81"/>
      <c r="P564" s="81"/>
      <c r="Q564" s="81"/>
      <c r="R564" s="81"/>
      <c r="S564" s="81"/>
      <c r="T564" s="81"/>
      <c r="U564" s="81"/>
      <c r="V564" s="81"/>
      <c r="W564" s="82"/>
      <c r="X564" s="82"/>
      <c r="Y564" s="216"/>
      <c r="Z564" s="216"/>
      <c r="AA564" s="82"/>
      <c r="AB564" s="82"/>
      <c r="AC564" s="82"/>
      <c r="AD564" s="82"/>
    </row>
    <row r="565" spans="8:30">
      <c r="H565" s="81"/>
      <c r="I565" s="81"/>
      <c r="J565" s="81"/>
      <c r="K565" s="81"/>
      <c r="L565" s="81"/>
      <c r="M565" s="81"/>
      <c r="N565" s="81"/>
      <c r="O565" s="81"/>
      <c r="P565" s="81"/>
      <c r="Q565" s="81"/>
      <c r="R565" s="81"/>
      <c r="S565" s="81"/>
      <c r="T565" s="81"/>
      <c r="U565" s="81"/>
      <c r="V565" s="81"/>
      <c r="W565" s="82"/>
      <c r="X565" s="82"/>
      <c r="Y565" s="216"/>
      <c r="Z565" s="216"/>
      <c r="AA565" s="82"/>
      <c r="AB565" s="82"/>
      <c r="AC565" s="82"/>
      <c r="AD565" s="82"/>
    </row>
    <row r="566" spans="8:30">
      <c r="H566" s="81"/>
      <c r="I566" s="81"/>
      <c r="J566" s="81"/>
      <c r="K566" s="81"/>
      <c r="L566" s="81"/>
      <c r="M566" s="81"/>
      <c r="N566" s="81"/>
      <c r="O566" s="81"/>
      <c r="P566" s="81"/>
      <c r="Q566" s="81"/>
      <c r="R566" s="81"/>
      <c r="S566" s="81"/>
      <c r="T566" s="81"/>
      <c r="U566" s="81"/>
      <c r="V566" s="81"/>
      <c r="W566" s="82"/>
      <c r="X566" s="82"/>
      <c r="Y566" s="216"/>
      <c r="Z566" s="216"/>
      <c r="AA566" s="82"/>
      <c r="AB566" s="82"/>
      <c r="AC566" s="82"/>
      <c r="AD566" s="82"/>
    </row>
    <row r="567" spans="8:30">
      <c r="H567" s="81"/>
      <c r="I567" s="81"/>
      <c r="J567" s="81"/>
      <c r="K567" s="81"/>
      <c r="L567" s="81"/>
      <c r="M567" s="81"/>
      <c r="N567" s="81"/>
      <c r="O567" s="81"/>
      <c r="P567" s="81"/>
      <c r="Q567" s="81"/>
      <c r="R567" s="81"/>
      <c r="S567" s="81"/>
      <c r="T567" s="81"/>
      <c r="U567" s="81"/>
      <c r="V567" s="81"/>
      <c r="W567" s="82"/>
      <c r="X567" s="82"/>
      <c r="Y567" s="216"/>
      <c r="Z567" s="216"/>
      <c r="AA567" s="82"/>
      <c r="AB567" s="82"/>
      <c r="AC567" s="82"/>
      <c r="AD567" s="82"/>
    </row>
    <row r="568" spans="8:30">
      <c r="H568" s="81"/>
      <c r="I568" s="81"/>
      <c r="J568" s="81"/>
      <c r="K568" s="81"/>
      <c r="L568" s="81"/>
      <c r="M568" s="81"/>
      <c r="N568" s="81"/>
      <c r="O568" s="81"/>
      <c r="P568" s="81"/>
      <c r="Q568" s="81"/>
      <c r="R568" s="81"/>
      <c r="S568" s="81"/>
      <c r="T568" s="81"/>
      <c r="U568" s="81"/>
      <c r="V568" s="81"/>
      <c r="W568" s="82"/>
      <c r="X568" s="82"/>
      <c r="Y568" s="216"/>
      <c r="Z568" s="216"/>
      <c r="AA568" s="82"/>
      <c r="AB568" s="82"/>
      <c r="AC568" s="82"/>
      <c r="AD568" s="82"/>
    </row>
    <row r="569" spans="8:30">
      <c r="H569" s="81"/>
      <c r="I569" s="81"/>
      <c r="J569" s="81"/>
      <c r="K569" s="81"/>
      <c r="L569" s="81"/>
      <c r="M569" s="81"/>
      <c r="N569" s="81"/>
      <c r="O569" s="81"/>
      <c r="P569" s="81"/>
      <c r="Q569" s="81"/>
      <c r="R569" s="81"/>
      <c r="S569" s="81"/>
      <c r="T569" s="81"/>
      <c r="U569" s="81"/>
      <c r="V569" s="81"/>
      <c r="W569" s="82"/>
      <c r="X569" s="82"/>
      <c r="Y569" s="216"/>
      <c r="Z569" s="216"/>
      <c r="AA569" s="82"/>
      <c r="AB569" s="82"/>
      <c r="AC569" s="82"/>
      <c r="AD569" s="82"/>
    </row>
    <row r="570" spans="8:30">
      <c r="H570" s="81"/>
      <c r="I570" s="81"/>
      <c r="J570" s="81"/>
      <c r="K570" s="81"/>
      <c r="L570" s="81"/>
      <c r="M570" s="81"/>
      <c r="N570" s="81"/>
      <c r="O570" s="81"/>
      <c r="P570" s="81"/>
      <c r="Q570" s="81"/>
      <c r="R570" s="81"/>
      <c r="S570" s="81"/>
      <c r="T570" s="81"/>
      <c r="U570" s="81"/>
      <c r="V570" s="81"/>
      <c r="W570" s="82"/>
      <c r="X570" s="82"/>
      <c r="Y570" s="216"/>
      <c r="Z570" s="216"/>
      <c r="AA570" s="82"/>
      <c r="AB570" s="82"/>
      <c r="AC570" s="82"/>
      <c r="AD570" s="82"/>
    </row>
    <row r="571" spans="8:30">
      <c r="H571" s="81"/>
      <c r="I571" s="81"/>
      <c r="J571" s="81"/>
      <c r="K571" s="81"/>
      <c r="L571" s="81"/>
      <c r="M571" s="81"/>
      <c r="N571" s="81"/>
      <c r="O571" s="81"/>
      <c r="P571" s="81"/>
      <c r="Q571" s="81"/>
      <c r="R571" s="81"/>
      <c r="S571" s="81"/>
      <c r="T571" s="81"/>
      <c r="U571" s="81"/>
      <c r="V571" s="81"/>
      <c r="W571" s="82"/>
      <c r="X571" s="82"/>
      <c r="Y571" s="216"/>
      <c r="Z571" s="216"/>
      <c r="AA571" s="82"/>
      <c r="AB571" s="82"/>
      <c r="AC571" s="82"/>
      <c r="AD571" s="82"/>
    </row>
    <row r="572" spans="8:30">
      <c r="H572" s="81"/>
      <c r="I572" s="81"/>
      <c r="J572" s="81"/>
      <c r="K572" s="81"/>
      <c r="L572" s="81"/>
      <c r="M572" s="81"/>
      <c r="N572" s="81"/>
      <c r="O572" s="81"/>
      <c r="P572" s="81"/>
      <c r="Q572" s="81"/>
      <c r="R572" s="81"/>
      <c r="S572" s="81"/>
      <c r="T572" s="81"/>
      <c r="U572" s="81"/>
      <c r="V572" s="81"/>
      <c r="W572" s="82"/>
      <c r="X572" s="82"/>
      <c r="Y572" s="216"/>
      <c r="Z572" s="216"/>
      <c r="AA572" s="82"/>
      <c r="AB572" s="82"/>
      <c r="AC572" s="82"/>
      <c r="AD572" s="82"/>
    </row>
    <row r="573" spans="8:30">
      <c r="H573" s="81"/>
      <c r="I573" s="81"/>
      <c r="J573" s="81"/>
      <c r="K573" s="81"/>
      <c r="L573" s="81"/>
      <c r="M573" s="81"/>
      <c r="N573" s="81"/>
      <c r="O573" s="81"/>
      <c r="P573" s="81"/>
      <c r="Q573" s="81"/>
      <c r="R573" s="81"/>
      <c r="S573" s="81"/>
      <c r="T573" s="81"/>
      <c r="U573" s="81"/>
      <c r="V573" s="81"/>
      <c r="W573" s="82"/>
      <c r="X573" s="82"/>
      <c r="Y573" s="216"/>
      <c r="Z573" s="216"/>
      <c r="AA573" s="82"/>
      <c r="AB573" s="82"/>
      <c r="AC573" s="82"/>
      <c r="AD573" s="82"/>
    </row>
    <row r="574" spans="8:30">
      <c r="H574" s="81"/>
      <c r="I574" s="81"/>
      <c r="J574" s="81"/>
      <c r="K574" s="81"/>
      <c r="L574" s="81"/>
      <c r="M574" s="81"/>
      <c r="N574" s="81"/>
      <c r="O574" s="81"/>
      <c r="P574" s="81"/>
      <c r="Q574" s="81"/>
      <c r="R574" s="81"/>
      <c r="S574" s="81"/>
      <c r="T574" s="81"/>
      <c r="U574" s="81"/>
      <c r="V574" s="81"/>
      <c r="W574" s="82"/>
      <c r="X574" s="82"/>
      <c r="Y574" s="216"/>
      <c r="Z574" s="216"/>
      <c r="AA574" s="82"/>
      <c r="AB574" s="82"/>
      <c r="AC574" s="82"/>
      <c r="AD574" s="82"/>
    </row>
    <row r="575" spans="8:30">
      <c r="H575" s="81"/>
      <c r="I575" s="81"/>
      <c r="J575" s="81"/>
      <c r="K575" s="81"/>
      <c r="L575" s="81"/>
      <c r="M575" s="81"/>
      <c r="N575" s="81"/>
      <c r="O575" s="81"/>
      <c r="P575" s="81"/>
      <c r="Q575" s="81"/>
      <c r="R575" s="81"/>
      <c r="S575" s="81"/>
      <c r="T575" s="81"/>
      <c r="U575" s="81"/>
      <c r="V575" s="81"/>
      <c r="W575" s="82"/>
      <c r="X575" s="82"/>
      <c r="Y575" s="216"/>
      <c r="Z575" s="216"/>
      <c r="AA575" s="82"/>
      <c r="AB575" s="82"/>
      <c r="AC575" s="82"/>
      <c r="AD575" s="82"/>
    </row>
    <row r="576" spans="8:30">
      <c r="H576" s="81"/>
      <c r="I576" s="81"/>
      <c r="J576" s="81"/>
      <c r="K576" s="81"/>
      <c r="L576" s="81"/>
      <c r="M576" s="81"/>
      <c r="N576" s="81"/>
      <c r="O576" s="81"/>
      <c r="P576" s="81"/>
      <c r="Q576" s="81"/>
      <c r="R576" s="81"/>
      <c r="S576" s="81"/>
      <c r="T576" s="81"/>
      <c r="U576" s="81"/>
      <c r="V576" s="81"/>
      <c r="W576" s="82"/>
      <c r="X576" s="82"/>
      <c r="Y576" s="216"/>
      <c r="Z576" s="216"/>
      <c r="AA576" s="82"/>
      <c r="AB576" s="82"/>
      <c r="AC576" s="82"/>
      <c r="AD576" s="82"/>
    </row>
    <row r="577" spans="8:30">
      <c r="H577" s="81"/>
      <c r="I577" s="81"/>
      <c r="J577" s="81"/>
      <c r="K577" s="81"/>
      <c r="L577" s="81"/>
      <c r="M577" s="81"/>
      <c r="N577" s="81"/>
      <c r="O577" s="81"/>
      <c r="P577" s="81"/>
      <c r="Q577" s="81"/>
      <c r="R577" s="81"/>
      <c r="S577" s="81"/>
      <c r="T577" s="81"/>
      <c r="U577" s="81"/>
      <c r="V577" s="81"/>
      <c r="W577" s="82"/>
      <c r="X577" s="82"/>
      <c r="Y577" s="216"/>
      <c r="Z577" s="216"/>
      <c r="AA577" s="82"/>
      <c r="AB577" s="82"/>
      <c r="AC577" s="82"/>
      <c r="AD577" s="82"/>
    </row>
    <row r="578" spans="8:30">
      <c r="H578" s="81"/>
      <c r="I578" s="81"/>
      <c r="J578" s="81"/>
      <c r="K578" s="81"/>
      <c r="L578" s="81"/>
      <c r="M578" s="81"/>
      <c r="N578" s="81"/>
      <c r="O578" s="81"/>
      <c r="P578" s="81"/>
      <c r="Q578" s="81"/>
      <c r="R578" s="81"/>
      <c r="S578" s="81"/>
      <c r="T578" s="81"/>
      <c r="U578" s="81"/>
      <c r="V578" s="81"/>
      <c r="W578" s="82"/>
      <c r="X578" s="82"/>
      <c r="Y578" s="216"/>
      <c r="Z578" s="216"/>
      <c r="AA578" s="82"/>
      <c r="AB578" s="82"/>
      <c r="AC578" s="82"/>
      <c r="AD578" s="82"/>
    </row>
    <row r="579" spans="8:30">
      <c r="H579" s="81"/>
      <c r="I579" s="81"/>
      <c r="J579" s="81"/>
      <c r="K579" s="81"/>
      <c r="L579" s="81"/>
      <c r="M579" s="81"/>
      <c r="N579" s="81"/>
      <c r="O579" s="81"/>
      <c r="P579" s="81"/>
      <c r="Q579" s="81"/>
      <c r="R579" s="81"/>
      <c r="S579" s="81"/>
      <c r="T579" s="81"/>
      <c r="U579" s="81"/>
      <c r="V579" s="81"/>
      <c r="W579" s="82"/>
      <c r="X579" s="82"/>
      <c r="Y579" s="216"/>
      <c r="Z579" s="216"/>
      <c r="AA579" s="82"/>
      <c r="AB579" s="82"/>
      <c r="AC579" s="82"/>
      <c r="AD579" s="82"/>
    </row>
    <row r="580" spans="8:30">
      <c r="H580" s="81"/>
      <c r="I580" s="81"/>
      <c r="J580" s="81"/>
      <c r="K580" s="81"/>
      <c r="L580" s="81"/>
      <c r="M580" s="81"/>
      <c r="N580" s="81"/>
      <c r="O580" s="81"/>
      <c r="P580" s="81"/>
      <c r="Q580" s="81"/>
      <c r="R580" s="81"/>
      <c r="S580" s="81"/>
      <c r="T580" s="81"/>
      <c r="U580" s="81"/>
      <c r="V580" s="81"/>
      <c r="W580" s="82"/>
      <c r="X580" s="82"/>
      <c r="Y580" s="216"/>
      <c r="Z580" s="216"/>
      <c r="AA580" s="82"/>
      <c r="AB580" s="82"/>
      <c r="AC580" s="82"/>
      <c r="AD580" s="82"/>
    </row>
    <row r="581" spans="8:30">
      <c r="H581" s="81"/>
      <c r="I581" s="81"/>
      <c r="J581" s="81"/>
      <c r="K581" s="81"/>
      <c r="L581" s="81"/>
      <c r="M581" s="81"/>
      <c r="N581" s="81"/>
      <c r="O581" s="81"/>
      <c r="P581" s="81"/>
      <c r="Q581" s="81"/>
      <c r="R581" s="81"/>
      <c r="S581" s="81"/>
      <c r="T581" s="81"/>
      <c r="U581" s="81"/>
      <c r="V581" s="81"/>
      <c r="W581" s="82"/>
      <c r="X581" s="82"/>
      <c r="Y581" s="216"/>
      <c r="Z581" s="216"/>
      <c r="AA581" s="82"/>
      <c r="AB581" s="82"/>
      <c r="AC581" s="82"/>
      <c r="AD581" s="82"/>
    </row>
    <row r="582" spans="8:30">
      <c r="H582" s="81"/>
      <c r="I582" s="81"/>
      <c r="J582" s="81"/>
      <c r="K582" s="81"/>
      <c r="L582" s="81"/>
      <c r="M582" s="81"/>
      <c r="N582" s="81"/>
      <c r="O582" s="81"/>
      <c r="P582" s="81"/>
      <c r="Q582" s="81"/>
      <c r="R582" s="81"/>
      <c r="S582" s="81"/>
      <c r="T582" s="81"/>
      <c r="U582" s="81"/>
      <c r="V582" s="81"/>
      <c r="W582" s="82"/>
      <c r="X582" s="82"/>
      <c r="Y582" s="216"/>
      <c r="Z582" s="216"/>
      <c r="AA582" s="82"/>
      <c r="AB582" s="82"/>
      <c r="AC582" s="82"/>
      <c r="AD582" s="82"/>
    </row>
    <row r="583" spans="8:30">
      <c r="H583" s="81"/>
      <c r="I583" s="81"/>
      <c r="J583" s="81"/>
      <c r="K583" s="81"/>
      <c r="L583" s="81"/>
      <c r="M583" s="81"/>
      <c r="N583" s="81"/>
      <c r="O583" s="81"/>
      <c r="P583" s="81"/>
      <c r="Q583" s="81"/>
      <c r="R583" s="81"/>
      <c r="S583" s="81"/>
      <c r="T583" s="81"/>
      <c r="U583" s="81"/>
      <c r="V583" s="81"/>
      <c r="W583" s="82"/>
      <c r="X583" s="82"/>
      <c r="Y583" s="216"/>
      <c r="Z583" s="216"/>
      <c r="AA583" s="82"/>
      <c r="AB583" s="82"/>
      <c r="AC583" s="82"/>
      <c r="AD583" s="82"/>
    </row>
    <row r="584" spans="8:30">
      <c r="H584" s="81"/>
      <c r="I584" s="81"/>
      <c r="J584" s="81"/>
      <c r="K584" s="81"/>
      <c r="L584" s="81"/>
      <c r="M584" s="81"/>
      <c r="N584" s="81"/>
      <c r="O584" s="81"/>
      <c r="P584" s="81"/>
      <c r="Q584" s="81"/>
      <c r="R584" s="81"/>
      <c r="S584" s="81"/>
      <c r="T584" s="81"/>
      <c r="U584" s="81"/>
      <c r="V584" s="81"/>
      <c r="W584" s="82"/>
      <c r="X584" s="82"/>
      <c r="Y584" s="216"/>
      <c r="Z584" s="216"/>
      <c r="AA584" s="82"/>
      <c r="AB584" s="82"/>
      <c r="AC584" s="82"/>
      <c r="AD584" s="82"/>
    </row>
    <row r="585" spans="8:30">
      <c r="H585" s="81"/>
      <c r="I585" s="81"/>
      <c r="J585" s="81"/>
      <c r="K585" s="81"/>
      <c r="L585" s="81"/>
      <c r="M585" s="81"/>
      <c r="N585" s="81"/>
      <c r="O585" s="81"/>
      <c r="P585" s="81"/>
      <c r="Q585" s="81"/>
      <c r="R585" s="81"/>
      <c r="S585" s="81"/>
      <c r="T585" s="81"/>
      <c r="U585" s="81"/>
      <c r="V585" s="81"/>
      <c r="W585" s="82"/>
      <c r="X585" s="82"/>
      <c r="Y585" s="216"/>
      <c r="Z585" s="216"/>
      <c r="AA585" s="82"/>
      <c r="AB585" s="82"/>
      <c r="AC585" s="82"/>
      <c r="AD585" s="82"/>
    </row>
    <row r="586" spans="8:30">
      <c r="H586" s="81"/>
      <c r="I586" s="81"/>
      <c r="J586" s="81"/>
      <c r="K586" s="81"/>
      <c r="L586" s="81"/>
      <c r="M586" s="81"/>
      <c r="N586" s="81"/>
      <c r="O586" s="81"/>
      <c r="P586" s="81"/>
      <c r="Q586" s="81"/>
      <c r="R586" s="81"/>
      <c r="S586" s="81"/>
      <c r="T586" s="81"/>
      <c r="U586" s="81"/>
      <c r="V586" s="81"/>
      <c r="W586" s="82"/>
      <c r="X586" s="82"/>
      <c r="Y586" s="216"/>
      <c r="Z586" s="216"/>
      <c r="AA586" s="82"/>
      <c r="AB586" s="82"/>
      <c r="AC586" s="82"/>
      <c r="AD586" s="82"/>
    </row>
    <row r="587" spans="8:30">
      <c r="H587" s="81"/>
      <c r="I587" s="81"/>
      <c r="J587" s="81"/>
      <c r="K587" s="81"/>
      <c r="L587" s="81"/>
      <c r="M587" s="81"/>
      <c r="N587" s="81"/>
      <c r="O587" s="81"/>
      <c r="P587" s="81"/>
      <c r="Q587" s="81"/>
      <c r="R587" s="81"/>
      <c r="S587" s="81"/>
      <c r="T587" s="81"/>
      <c r="U587" s="81"/>
      <c r="V587" s="81"/>
      <c r="W587" s="82"/>
      <c r="X587" s="82"/>
      <c r="Y587" s="216"/>
      <c r="Z587" s="216"/>
      <c r="AA587" s="82"/>
      <c r="AB587" s="82"/>
      <c r="AC587" s="82"/>
      <c r="AD587" s="82"/>
    </row>
    <row r="588" spans="8:30">
      <c r="H588" s="81"/>
      <c r="I588" s="81"/>
      <c r="J588" s="81"/>
      <c r="K588" s="81"/>
      <c r="L588" s="81"/>
      <c r="M588" s="81"/>
      <c r="N588" s="81"/>
      <c r="O588" s="81"/>
      <c r="P588" s="81"/>
      <c r="Q588" s="81"/>
      <c r="R588" s="81"/>
      <c r="S588" s="81"/>
      <c r="T588" s="81"/>
      <c r="U588" s="81"/>
      <c r="V588" s="81"/>
      <c r="W588" s="82"/>
      <c r="X588" s="82"/>
      <c r="Y588" s="216"/>
      <c r="Z588" s="216"/>
      <c r="AA588" s="82"/>
      <c r="AB588" s="82"/>
      <c r="AC588" s="82"/>
      <c r="AD588" s="82"/>
    </row>
    <row r="589" spans="8:30">
      <c r="H589" s="81"/>
      <c r="I589" s="81"/>
      <c r="J589" s="81"/>
      <c r="K589" s="81"/>
      <c r="L589" s="81"/>
      <c r="M589" s="81"/>
      <c r="N589" s="81"/>
      <c r="O589" s="81"/>
      <c r="P589" s="81"/>
      <c r="Q589" s="81"/>
      <c r="R589" s="81"/>
      <c r="S589" s="81"/>
      <c r="T589" s="81"/>
      <c r="U589" s="81"/>
      <c r="V589" s="81"/>
      <c r="W589" s="82"/>
      <c r="X589" s="82"/>
      <c r="Y589" s="216"/>
      <c r="Z589" s="216"/>
      <c r="AA589" s="82"/>
      <c r="AB589" s="82"/>
      <c r="AC589" s="82"/>
      <c r="AD589" s="82"/>
    </row>
    <row r="590" spans="8:30">
      <c r="H590" s="81"/>
      <c r="I590" s="81"/>
      <c r="J590" s="81"/>
      <c r="K590" s="81"/>
      <c r="L590" s="81"/>
      <c r="M590" s="81"/>
      <c r="N590" s="81"/>
      <c r="O590" s="81"/>
      <c r="P590" s="81"/>
      <c r="Q590" s="81"/>
      <c r="R590" s="81"/>
      <c r="S590" s="81"/>
      <c r="T590" s="81"/>
      <c r="U590" s="81"/>
      <c r="V590" s="81"/>
      <c r="W590" s="82"/>
      <c r="X590" s="82"/>
      <c r="Y590" s="216"/>
      <c r="Z590" s="216"/>
      <c r="AA590" s="82"/>
      <c r="AB590" s="82"/>
      <c r="AC590" s="82"/>
      <c r="AD590" s="82"/>
    </row>
    <row r="591" spans="8:30">
      <c r="H591" s="81"/>
      <c r="I591" s="81"/>
      <c r="J591" s="81"/>
      <c r="K591" s="81"/>
      <c r="L591" s="81"/>
      <c r="M591" s="81"/>
      <c r="N591" s="81"/>
      <c r="O591" s="81"/>
      <c r="P591" s="81"/>
      <c r="Q591" s="81"/>
      <c r="R591" s="81"/>
      <c r="S591" s="81"/>
      <c r="T591" s="81"/>
      <c r="U591" s="81"/>
      <c r="V591" s="81"/>
      <c r="W591" s="82"/>
      <c r="X591" s="82"/>
      <c r="Y591" s="216"/>
      <c r="Z591" s="216"/>
      <c r="AA591" s="82"/>
      <c r="AB591" s="82"/>
      <c r="AC591" s="82"/>
      <c r="AD591" s="82"/>
    </row>
    <row r="592" spans="8:30">
      <c r="H592" s="81"/>
      <c r="I592" s="81"/>
      <c r="J592" s="81"/>
      <c r="K592" s="81"/>
      <c r="L592" s="81"/>
      <c r="M592" s="81"/>
      <c r="N592" s="81"/>
      <c r="O592" s="81"/>
      <c r="P592" s="81"/>
      <c r="Q592" s="81"/>
      <c r="R592" s="81"/>
      <c r="S592" s="81"/>
      <c r="T592" s="81"/>
      <c r="U592" s="81"/>
      <c r="V592" s="81"/>
      <c r="W592" s="82"/>
      <c r="X592" s="82"/>
      <c r="Y592" s="216"/>
      <c r="Z592" s="216"/>
      <c r="AA592" s="82"/>
      <c r="AB592" s="82"/>
      <c r="AC592" s="82"/>
      <c r="AD592" s="82"/>
    </row>
    <row r="593" spans="8:30">
      <c r="H593" s="81"/>
      <c r="I593" s="81"/>
      <c r="J593" s="81"/>
      <c r="K593" s="81"/>
      <c r="L593" s="81"/>
      <c r="M593" s="81"/>
      <c r="N593" s="81"/>
      <c r="O593" s="81"/>
      <c r="P593" s="81"/>
      <c r="Q593" s="81"/>
      <c r="R593" s="81"/>
      <c r="S593" s="81"/>
      <c r="T593" s="81"/>
      <c r="U593" s="81"/>
      <c r="V593" s="81"/>
      <c r="W593" s="82"/>
      <c r="X593" s="82"/>
      <c r="Y593" s="216"/>
      <c r="Z593" s="216"/>
      <c r="AA593" s="82"/>
      <c r="AB593" s="82"/>
      <c r="AC593" s="82"/>
      <c r="AD593" s="82"/>
    </row>
    <row r="594" spans="8:30">
      <c r="H594" s="81"/>
      <c r="I594" s="81"/>
      <c r="J594" s="81"/>
      <c r="K594" s="81"/>
      <c r="L594" s="81"/>
      <c r="M594" s="81"/>
      <c r="N594" s="81"/>
      <c r="O594" s="81"/>
      <c r="P594" s="81"/>
      <c r="Q594" s="81"/>
      <c r="R594" s="81"/>
      <c r="S594" s="81"/>
      <c r="T594" s="81"/>
      <c r="U594" s="81"/>
      <c r="V594" s="81"/>
      <c r="W594" s="82"/>
      <c r="X594" s="82"/>
      <c r="Y594" s="216"/>
      <c r="Z594" s="216"/>
      <c r="AA594" s="82"/>
      <c r="AB594" s="82"/>
      <c r="AC594" s="82"/>
      <c r="AD594" s="82"/>
    </row>
    <row r="595" spans="8:30">
      <c r="H595" s="81"/>
      <c r="I595" s="81"/>
      <c r="J595" s="81"/>
      <c r="K595" s="81"/>
      <c r="L595" s="81"/>
      <c r="M595" s="81"/>
      <c r="N595" s="81"/>
      <c r="O595" s="81"/>
      <c r="P595" s="81"/>
      <c r="Q595" s="81"/>
      <c r="R595" s="81"/>
      <c r="S595" s="81"/>
      <c r="T595" s="81"/>
      <c r="U595" s="81"/>
      <c r="V595" s="81"/>
      <c r="W595" s="82"/>
      <c r="X595" s="82"/>
      <c r="Y595" s="216"/>
      <c r="Z595" s="216"/>
      <c r="AA595" s="82"/>
      <c r="AB595" s="82"/>
      <c r="AC595" s="82"/>
      <c r="AD595" s="82"/>
    </row>
    <row r="596" spans="8:30">
      <c r="H596" s="81"/>
      <c r="I596" s="81"/>
      <c r="J596" s="81"/>
      <c r="K596" s="81"/>
      <c r="L596" s="81"/>
      <c r="M596" s="81"/>
      <c r="N596" s="81"/>
      <c r="O596" s="81"/>
      <c r="P596" s="81"/>
      <c r="Q596" s="81"/>
      <c r="R596" s="81"/>
      <c r="S596" s="81"/>
      <c r="T596" s="81"/>
      <c r="U596" s="81"/>
      <c r="V596" s="81"/>
      <c r="W596" s="82"/>
      <c r="X596" s="82"/>
      <c r="Y596" s="216"/>
      <c r="Z596" s="216"/>
      <c r="AA596" s="82"/>
      <c r="AB596" s="82"/>
      <c r="AC596" s="82"/>
      <c r="AD596" s="82"/>
    </row>
    <row r="597" spans="8:30">
      <c r="H597" s="81"/>
      <c r="I597" s="81"/>
      <c r="J597" s="81"/>
      <c r="K597" s="81"/>
      <c r="L597" s="81"/>
      <c r="M597" s="81"/>
      <c r="N597" s="81"/>
      <c r="O597" s="81"/>
      <c r="P597" s="81"/>
      <c r="Q597" s="81"/>
      <c r="R597" s="81"/>
      <c r="S597" s="81"/>
      <c r="T597" s="81"/>
      <c r="U597" s="81"/>
      <c r="V597" s="81"/>
      <c r="W597" s="82"/>
      <c r="X597" s="82"/>
      <c r="Y597" s="216"/>
      <c r="Z597" s="216"/>
      <c r="AA597" s="82"/>
      <c r="AB597" s="82"/>
      <c r="AC597" s="82"/>
      <c r="AD597" s="82"/>
    </row>
    <row r="598" spans="8:30">
      <c r="H598" s="81"/>
      <c r="I598" s="81"/>
      <c r="J598" s="81"/>
      <c r="K598" s="81"/>
      <c r="L598" s="81"/>
      <c r="M598" s="81"/>
      <c r="N598" s="81"/>
      <c r="O598" s="81"/>
      <c r="P598" s="81"/>
      <c r="Q598" s="81"/>
      <c r="R598" s="81"/>
      <c r="S598" s="81"/>
      <c r="T598" s="81"/>
      <c r="U598" s="81"/>
      <c r="V598" s="81"/>
      <c r="W598" s="82"/>
      <c r="X598" s="82"/>
      <c r="Y598" s="216"/>
      <c r="Z598" s="216"/>
      <c r="AA598" s="82"/>
      <c r="AB598" s="82"/>
      <c r="AC598" s="82"/>
      <c r="AD598" s="82"/>
    </row>
    <row r="599" spans="8:30">
      <c r="H599" s="81"/>
      <c r="I599" s="81"/>
      <c r="J599" s="81"/>
      <c r="K599" s="81"/>
      <c r="L599" s="81"/>
      <c r="M599" s="81"/>
      <c r="N599" s="81"/>
      <c r="O599" s="81"/>
      <c r="P599" s="81"/>
      <c r="Q599" s="81"/>
      <c r="R599" s="81"/>
      <c r="S599" s="81"/>
      <c r="T599" s="81"/>
      <c r="U599" s="81"/>
      <c r="V599" s="81"/>
      <c r="W599" s="82"/>
      <c r="X599" s="82"/>
      <c r="Y599" s="216"/>
      <c r="Z599" s="216"/>
      <c r="AA599" s="82"/>
      <c r="AB599" s="82"/>
      <c r="AC599" s="82"/>
      <c r="AD599" s="82"/>
    </row>
    <row r="600" spans="8:30">
      <c r="H600" s="81"/>
      <c r="I600" s="81"/>
      <c r="J600" s="81"/>
      <c r="K600" s="81"/>
      <c r="L600" s="81"/>
      <c r="M600" s="81"/>
      <c r="N600" s="81"/>
      <c r="O600" s="81"/>
      <c r="P600" s="81"/>
      <c r="Q600" s="81"/>
      <c r="R600" s="81"/>
      <c r="S600" s="81"/>
      <c r="T600" s="81"/>
      <c r="U600" s="81"/>
      <c r="V600" s="81"/>
      <c r="W600" s="82"/>
      <c r="X600" s="82"/>
      <c r="Y600" s="216"/>
      <c r="Z600" s="216"/>
      <c r="AA600" s="82"/>
      <c r="AB600" s="82"/>
      <c r="AC600" s="82"/>
      <c r="AD600" s="82"/>
    </row>
    <row r="601" spans="8:30">
      <c r="H601" s="81"/>
      <c r="I601" s="81"/>
      <c r="J601" s="81"/>
      <c r="K601" s="81"/>
      <c r="L601" s="81"/>
      <c r="M601" s="81"/>
      <c r="N601" s="81"/>
      <c r="O601" s="81"/>
      <c r="P601" s="81"/>
      <c r="Q601" s="81"/>
      <c r="R601" s="81"/>
      <c r="S601" s="81"/>
      <c r="T601" s="81"/>
      <c r="U601" s="81"/>
      <c r="V601" s="81"/>
      <c r="W601" s="82"/>
      <c r="X601" s="82"/>
      <c r="Y601" s="216"/>
      <c r="Z601" s="216"/>
      <c r="AA601" s="82"/>
      <c r="AB601" s="82"/>
      <c r="AC601" s="82"/>
      <c r="AD601" s="82"/>
    </row>
    <row r="602" spans="8:30">
      <c r="H602" s="81"/>
      <c r="I602" s="81"/>
      <c r="J602" s="81"/>
      <c r="K602" s="81"/>
      <c r="L602" s="81"/>
      <c r="M602" s="81"/>
      <c r="N602" s="81"/>
      <c r="O602" s="81"/>
      <c r="P602" s="81"/>
      <c r="Q602" s="81"/>
      <c r="R602" s="81"/>
      <c r="S602" s="81"/>
      <c r="T602" s="81"/>
      <c r="U602" s="81"/>
      <c r="V602" s="81"/>
      <c r="W602" s="82"/>
      <c r="X602" s="82"/>
      <c r="Y602" s="216"/>
      <c r="Z602" s="216"/>
      <c r="AA602" s="82"/>
      <c r="AB602" s="82"/>
      <c r="AC602" s="82"/>
      <c r="AD602" s="82"/>
    </row>
    <row r="603" spans="8:30">
      <c r="H603" s="81"/>
      <c r="I603" s="81"/>
      <c r="J603" s="81"/>
      <c r="K603" s="81"/>
      <c r="L603" s="81"/>
      <c r="M603" s="81"/>
      <c r="N603" s="81"/>
      <c r="O603" s="81"/>
      <c r="P603" s="81"/>
      <c r="Q603" s="81"/>
      <c r="R603" s="81"/>
      <c r="S603" s="81"/>
      <c r="T603" s="81"/>
      <c r="U603" s="81"/>
      <c r="V603" s="81"/>
      <c r="W603" s="82"/>
      <c r="X603" s="82"/>
      <c r="Y603" s="216"/>
      <c r="Z603" s="216"/>
      <c r="AA603" s="82"/>
      <c r="AB603" s="82"/>
      <c r="AC603" s="82"/>
      <c r="AD603" s="82"/>
    </row>
    <row r="604" spans="8:30">
      <c r="H604" s="81"/>
      <c r="I604" s="81"/>
      <c r="J604" s="81"/>
      <c r="K604" s="81"/>
      <c r="L604" s="81"/>
      <c r="M604" s="81"/>
      <c r="N604" s="81"/>
      <c r="O604" s="81"/>
      <c r="P604" s="81"/>
      <c r="Q604" s="81"/>
      <c r="R604" s="81"/>
      <c r="S604" s="81"/>
      <c r="T604" s="81"/>
      <c r="U604" s="81"/>
      <c r="V604" s="81"/>
      <c r="W604" s="82"/>
      <c r="X604" s="82"/>
      <c r="Y604" s="216"/>
      <c r="Z604" s="216"/>
      <c r="AA604" s="82"/>
      <c r="AB604" s="82"/>
      <c r="AC604" s="82"/>
      <c r="AD604" s="82"/>
    </row>
    <row r="605" spans="8:30">
      <c r="H605" s="81"/>
      <c r="I605" s="81"/>
      <c r="J605" s="81"/>
      <c r="K605" s="81"/>
      <c r="L605" s="81"/>
      <c r="M605" s="81"/>
      <c r="N605" s="81"/>
      <c r="O605" s="81"/>
      <c r="P605" s="81"/>
      <c r="Q605" s="81"/>
      <c r="R605" s="81"/>
      <c r="S605" s="81"/>
      <c r="T605" s="81"/>
      <c r="U605" s="81"/>
      <c r="V605" s="81"/>
      <c r="W605" s="82"/>
      <c r="X605" s="82"/>
      <c r="Y605" s="216"/>
      <c r="Z605" s="216"/>
      <c r="AA605" s="82"/>
      <c r="AB605" s="82"/>
      <c r="AC605" s="82"/>
      <c r="AD605" s="82"/>
    </row>
  </sheetData>
  <autoFilter ref="A6:AE6"/>
  <mergeCells count="2">
    <mergeCell ref="F2:F4"/>
    <mergeCell ref="B2:B4"/>
  </mergeCells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3" filterMode="1"/>
  <dimension ref="A1:DL175"/>
  <sheetViews>
    <sheetView topLeftCell="A4" zoomScaleNormal="100" workbookViewId="0">
      <pane xSplit="4" ySplit="10" topLeftCell="AE115" activePane="bottomRight" state="frozen"/>
      <selection activeCell="B4" sqref="B4"/>
      <selection pane="topRight" activeCell="E4" sqref="E4"/>
      <selection pane="bottomLeft" activeCell="B10" sqref="B10"/>
      <selection pane="bottomRight" activeCell="AH14" sqref="AH14:AH135"/>
    </sheetView>
  </sheetViews>
  <sheetFormatPr defaultRowHeight="15"/>
  <cols>
    <col min="1" max="1" width="9.140625" style="6" hidden="1" customWidth="1"/>
    <col min="2" max="2" width="17.42578125" style="6" customWidth="1"/>
    <col min="3" max="3" width="16.7109375" style="6" customWidth="1"/>
    <col min="4" max="4" width="23" style="6" customWidth="1"/>
    <col min="5" max="5" width="19.28515625" style="6" customWidth="1"/>
    <col min="6" max="6" width="10.5703125" style="6" customWidth="1"/>
    <col min="7" max="7" width="37.7109375" style="6" customWidth="1"/>
    <col min="8" max="8" width="11.140625" style="6" customWidth="1"/>
    <col min="9" max="9" width="13.140625" style="6" customWidth="1"/>
    <col min="10" max="10" width="13.42578125" style="6" customWidth="1"/>
    <col min="11" max="11" width="12.5703125" style="6" customWidth="1"/>
    <col min="12" max="12" width="11.140625" style="6" customWidth="1"/>
    <col min="13" max="13" width="12.42578125" style="6" customWidth="1"/>
    <col min="14" max="17" width="11.140625" style="6" customWidth="1"/>
    <col min="18" max="18" width="13.140625" style="6" customWidth="1"/>
    <col min="19" max="19" width="11.140625" style="6" customWidth="1"/>
    <col min="20" max="20" width="16.7109375" style="30" customWidth="1"/>
    <col min="21" max="21" width="17.28515625" style="6" customWidth="1"/>
    <col min="22" max="22" width="13.85546875" style="222" customWidth="1"/>
    <col min="23" max="23" width="11.7109375" style="6" customWidth="1"/>
    <col min="24" max="24" width="12.5703125" style="6" customWidth="1"/>
    <col min="25" max="25" width="18.5703125" style="6" customWidth="1"/>
    <col min="26" max="26" width="16" style="6" customWidth="1"/>
    <col min="27" max="27" width="18.28515625" style="30" customWidth="1"/>
    <col min="28" max="28" width="17.85546875" style="6" customWidth="1"/>
    <col min="29" max="29" width="17.5703125" style="222" customWidth="1"/>
    <col min="30" max="30" width="14.5703125" style="6" customWidth="1"/>
    <col min="31" max="31" width="15" style="6" customWidth="1"/>
    <col min="32" max="32" width="12.5703125" style="6" customWidth="1"/>
    <col min="33" max="33" width="14.7109375" style="6" customWidth="1"/>
    <col min="34" max="34" width="24.42578125" style="6" customWidth="1"/>
    <col min="35" max="35" width="19.28515625" style="6" customWidth="1"/>
    <col min="36" max="36" width="19" style="6" customWidth="1"/>
    <col min="37" max="37" width="16" style="6" customWidth="1"/>
    <col min="38" max="38" width="13.7109375" style="6" customWidth="1"/>
    <col min="39" max="39" width="14.28515625" style="6" customWidth="1"/>
    <col min="40" max="40" width="12.7109375" style="6" customWidth="1"/>
    <col min="41" max="41" width="15.85546875" style="6" customWidth="1"/>
    <col min="42" max="42" width="16.5703125" style="6" customWidth="1"/>
    <col min="43" max="43" width="17" style="6" customWidth="1"/>
    <col min="44" max="44" width="17" style="42" hidden="1" customWidth="1"/>
    <col min="45" max="45" width="19.140625" style="6" hidden="1" customWidth="1"/>
    <col min="46" max="46" width="19.28515625" style="6" hidden="1" customWidth="1"/>
    <col min="47" max="47" width="19.140625" style="6" hidden="1" customWidth="1"/>
    <col min="48" max="48" width="19.7109375" style="6" hidden="1" customWidth="1"/>
    <col min="49" max="49" width="20" style="6" hidden="1" customWidth="1"/>
    <col min="50" max="50" width="21.28515625" style="6" hidden="1" customWidth="1"/>
    <col min="51" max="51" width="20.42578125" style="6" hidden="1" customWidth="1"/>
    <col min="52" max="52" width="21.7109375" style="6" hidden="1" customWidth="1"/>
    <col min="53" max="53" width="20.140625" style="6" hidden="1" customWidth="1"/>
    <col min="54" max="54" width="18.5703125" style="6" hidden="1" customWidth="1"/>
    <col min="55" max="55" width="19.42578125" style="6" hidden="1" customWidth="1"/>
    <col min="56" max="56" width="17.5703125" style="6" hidden="1" customWidth="1"/>
    <col min="57" max="57" width="20.140625" style="6" hidden="1" customWidth="1"/>
    <col min="58" max="58" width="20.85546875" style="6" hidden="1" customWidth="1"/>
    <col min="59" max="59" width="19.7109375" style="6" customWidth="1"/>
    <col min="60" max="60" width="17.140625" style="6" customWidth="1"/>
    <col min="61" max="61" width="18.85546875" style="6" customWidth="1"/>
    <col min="62" max="62" width="19.7109375" style="6" customWidth="1"/>
    <col min="63" max="63" width="18.85546875" style="6" customWidth="1"/>
    <col min="64" max="64" width="20.140625" style="6" hidden="1" customWidth="1"/>
    <col min="65" max="65" width="19.85546875" style="6" hidden="1" customWidth="1"/>
    <col min="66" max="66" width="21.42578125" style="6" hidden="1" customWidth="1"/>
    <col min="67" max="67" width="20.5703125" style="6" hidden="1" customWidth="1"/>
    <col min="68" max="68" width="16.28515625" style="6" hidden="1" customWidth="1"/>
    <col min="69" max="70" width="16" style="6" hidden="1" customWidth="1"/>
    <col min="71" max="71" width="16.28515625" style="6" hidden="1" customWidth="1"/>
    <col min="72" max="72" width="17.140625" style="6" hidden="1" customWidth="1"/>
    <col min="73" max="73" width="16.7109375" style="6" hidden="1" customWidth="1"/>
    <col min="74" max="74" width="15.42578125" style="6" hidden="1" customWidth="1"/>
    <col min="75" max="75" width="16" style="6" hidden="1" customWidth="1"/>
    <col min="76" max="76" width="16.140625" style="6" hidden="1" customWidth="1"/>
    <col min="77" max="79" width="16.5703125" style="6" hidden="1" customWidth="1"/>
    <col min="80" max="80" width="21" style="6" hidden="1" customWidth="1"/>
    <col min="81" max="81" width="23.42578125" style="6" hidden="1" customWidth="1"/>
    <col min="82" max="82" width="17.140625" style="6" hidden="1" customWidth="1"/>
    <col min="83" max="83" width="22.7109375" style="6" hidden="1" customWidth="1"/>
    <col min="84" max="84" width="20.85546875" style="6" hidden="1" customWidth="1"/>
    <col min="85" max="85" width="20.28515625" style="6" hidden="1" customWidth="1"/>
    <col min="86" max="86" width="18.7109375" style="6" hidden="1" customWidth="1"/>
    <col min="87" max="87" width="9.140625" style="6" hidden="1" customWidth="1"/>
    <col min="88" max="88" width="22.85546875" style="6" customWidth="1"/>
    <col min="89" max="89" width="20.28515625" style="6" customWidth="1"/>
    <col min="90" max="90" width="21" style="6" customWidth="1"/>
    <col min="91" max="91" width="21.7109375" style="6" customWidth="1"/>
    <col min="92" max="92" width="21.140625" style="6" customWidth="1"/>
    <col min="93" max="94" width="18.28515625" style="6" customWidth="1"/>
    <col min="95" max="97" width="20" style="6" customWidth="1"/>
    <col min="98" max="98" width="19.140625" style="6" customWidth="1"/>
    <col min="99" max="99" width="26.28515625" style="6" customWidth="1"/>
    <col min="100" max="100" width="20.42578125" style="6" customWidth="1"/>
    <col min="101" max="102" width="21.28515625" style="6" customWidth="1"/>
    <col min="103" max="103" width="21" style="6" customWidth="1"/>
    <col min="104" max="104" width="20.28515625" style="6" customWidth="1"/>
    <col min="105" max="110" width="9.140625" style="6" customWidth="1"/>
    <col min="111" max="111" width="14.28515625" style="219" bestFit="1" customWidth="1"/>
    <col min="112" max="113" width="14.28515625" style="6" bestFit="1" customWidth="1"/>
    <col min="114" max="114" width="9.140625" style="6" customWidth="1"/>
    <col min="115" max="16384" width="9.140625" style="6"/>
  </cols>
  <sheetData>
    <row r="1" spans="1:114">
      <c r="A1" s="6">
        <v>1</v>
      </c>
      <c r="B1" s="6">
        <v>2</v>
      </c>
      <c r="C1" s="6">
        <f>B1+1</f>
        <v>3</v>
      </c>
      <c r="D1" s="6">
        <f t="shared" ref="D1:BO1" si="0">C1+1</f>
        <v>4</v>
      </c>
      <c r="E1" s="6">
        <f t="shared" si="0"/>
        <v>5</v>
      </c>
      <c r="F1" s="6">
        <f t="shared" si="0"/>
        <v>6</v>
      </c>
      <c r="G1" s="6">
        <f t="shared" si="0"/>
        <v>7</v>
      </c>
      <c r="H1" s="6">
        <f t="shared" si="0"/>
        <v>8</v>
      </c>
      <c r="I1" s="6">
        <f t="shared" si="0"/>
        <v>9</v>
      </c>
      <c r="J1" s="6">
        <f t="shared" si="0"/>
        <v>10</v>
      </c>
      <c r="K1" s="6">
        <f t="shared" si="0"/>
        <v>11</v>
      </c>
      <c r="L1" s="6">
        <f t="shared" si="0"/>
        <v>12</v>
      </c>
      <c r="M1" s="6">
        <f t="shared" si="0"/>
        <v>13</v>
      </c>
      <c r="N1" s="6">
        <f t="shared" si="0"/>
        <v>14</v>
      </c>
      <c r="O1" s="6">
        <f t="shared" si="0"/>
        <v>15</v>
      </c>
      <c r="P1" s="6">
        <f t="shared" si="0"/>
        <v>16</v>
      </c>
      <c r="Q1" s="6">
        <f t="shared" si="0"/>
        <v>17</v>
      </c>
      <c r="R1" s="6">
        <f t="shared" si="0"/>
        <v>18</v>
      </c>
      <c r="S1" s="6">
        <f t="shared" si="0"/>
        <v>19</v>
      </c>
      <c r="T1" s="6">
        <f t="shared" si="0"/>
        <v>20</v>
      </c>
      <c r="U1" s="6">
        <f t="shared" si="0"/>
        <v>21</v>
      </c>
      <c r="V1" s="222">
        <f t="shared" si="0"/>
        <v>22</v>
      </c>
      <c r="W1" s="6">
        <f t="shared" si="0"/>
        <v>23</v>
      </c>
      <c r="X1" s="6">
        <f t="shared" si="0"/>
        <v>24</v>
      </c>
      <c r="Y1" s="6">
        <f t="shared" si="0"/>
        <v>25</v>
      </c>
      <c r="Z1" s="6">
        <f t="shared" si="0"/>
        <v>26</v>
      </c>
      <c r="AA1" s="6">
        <f t="shared" si="0"/>
        <v>27</v>
      </c>
      <c r="AB1" s="6">
        <f t="shared" si="0"/>
        <v>28</v>
      </c>
      <c r="AC1" s="222">
        <f t="shared" si="0"/>
        <v>29</v>
      </c>
      <c r="AD1" s="6">
        <f t="shared" si="0"/>
        <v>30</v>
      </c>
      <c r="AE1" s="6">
        <f t="shared" si="0"/>
        <v>31</v>
      </c>
      <c r="AF1" s="6">
        <f t="shared" si="0"/>
        <v>32</v>
      </c>
      <c r="AG1" s="6">
        <f t="shared" si="0"/>
        <v>33</v>
      </c>
      <c r="AH1" s="6">
        <f t="shared" si="0"/>
        <v>34</v>
      </c>
      <c r="AI1" s="6">
        <f t="shared" si="0"/>
        <v>35</v>
      </c>
      <c r="AJ1" s="6">
        <f t="shared" si="0"/>
        <v>36</v>
      </c>
      <c r="AK1" s="6">
        <f t="shared" si="0"/>
        <v>37</v>
      </c>
      <c r="AL1" s="6">
        <f t="shared" si="0"/>
        <v>38</v>
      </c>
      <c r="AM1" s="6">
        <f t="shared" si="0"/>
        <v>39</v>
      </c>
      <c r="AN1" s="6">
        <f t="shared" si="0"/>
        <v>40</v>
      </c>
      <c r="AO1" s="6">
        <f t="shared" si="0"/>
        <v>41</v>
      </c>
      <c r="AP1" s="6">
        <f t="shared" si="0"/>
        <v>42</v>
      </c>
      <c r="AQ1" s="6">
        <f t="shared" si="0"/>
        <v>43</v>
      </c>
      <c r="AR1" s="6">
        <f t="shared" si="0"/>
        <v>44</v>
      </c>
      <c r="AS1" s="6">
        <f t="shared" si="0"/>
        <v>45</v>
      </c>
      <c r="AT1" s="6">
        <f t="shared" si="0"/>
        <v>46</v>
      </c>
      <c r="AU1" s="6">
        <f t="shared" si="0"/>
        <v>47</v>
      </c>
      <c r="AV1" s="6">
        <f t="shared" si="0"/>
        <v>48</v>
      </c>
      <c r="AW1" s="6">
        <f t="shared" si="0"/>
        <v>49</v>
      </c>
      <c r="AX1" s="6">
        <f t="shared" si="0"/>
        <v>50</v>
      </c>
      <c r="AY1" s="6">
        <f t="shared" si="0"/>
        <v>51</v>
      </c>
      <c r="AZ1" s="6">
        <f t="shared" si="0"/>
        <v>52</v>
      </c>
      <c r="BA1" s="6">
        <f t="shared" si="0"/>
        <v>53</v>
      </c>
      <c r="BB1" s="6">
        <f t="shared" si="0"/>
        <v>54</v>
      </c>
      <c r="BC1" s="6">
        <f t="shared" si="0"/>
        <v>55</v>
      </c>
      <c r="BD1" s="6">
        <f t="shared" si="0"/>
        <v>56</v>
      </c>
      <c r="BE1" s="6">
        <f t="shared" si="0"/>
        <v>57</v>
      </c>
      <c r="BF1" s="6">
        <f t="shared" si="0"/>
        <v>58</v>
      </c>
      <c r="BG1" s="6">
        <f t="shared" si="0"/>
        <v>59</v>
      </c>
      <c r="BH1" s="6">
        <f t="shared" si="0"/>
        <v>60</v>
      </c>
      <c r="BI1" s="6">
        <f t="shared" si="0"/>
        <v>61</v>
      </c>
      <c r="BL1" s="6">
        <f>BI1+1</f>
        <v>62</v>
      </c>
      <c r="BM1" s="6">
        <f t="shared" si="0"/>
        <v>63</v>
      </c>
      <c r="BN1" s="6">
        <f t="shared" si="0"/>
        <v>64</v>
      </c>
      <c r="BO1" s="6">
        <f t="shared" si="0"/>
        <v>65</v>
      </c>
      <c r="BP1" s="6">
        <f t="shared" ref="BP1:CZ1" si="1">BO1+1</f>
        <v>66</v>
      </c>
      <c r="BQ1" s="6">
        <f t="shared" si="1"/>
        <v>67</v>
      </c>
      <c r="BR1" s="6">
        <f t="shared" si="1"/>
        <v>68</v>
      </c>
      <c r="BS1" s="6">
        <f t="shared" si="1"/>
        <v>69</v>
      </c>
      <c r="BT1" s="6">
        <f t="shared" si="1"/>
        <v>70</v>
      </c>
      <c r="BU1" s="6">
        <f t="shared" si="1"/>
        <v>71</v>
      </c>
      <c r="BV1" s="6">
        <f t="shared" si="1"/>
        <v>72</v>
      </c>
      <c r="BW1" s="6">
        <f t="shared" si="1"/>
        <v>73</v>
      </c>
      <c r="BX1" s="6">
        <f t="shared" si="1"/>
        <v>74</v>
      </c>
      <c r="BY1" s="6">
        <f t="shared" si="1"/>
        <v>75</v>
      </c>
      <c r="BZ1" s="6">
        <f t="shared" si="1"/>
        <v>76</v>
      </c>
      <c r="CA1" s="6">
        <f t="shared" si="1"/>
        <v>77</v>
      </c>
      <c r="CB1" s="6">
        <f t="shared" si="1"/>
        <v>78</v>
      </c>
      <c r="CC1" s="6">
        <f t="shared" si="1"/>
        <v>79</v>
      </c>
      <c r="CD1" s="6">
        <f t="shared" si="1"/>
        <v>80</v>
      </c>
      <c r="CE1" s="6">
        <f t="shared" si="1"/>
        <v>81</v>
      </c>
      <c r="CF1" s="6">
        <f t="shared" si="1"/>
        <v>82</v>
      </c>
      <c r="CG1" s="6">
        <f t="shared" si="1"/>
        <v>83</v>
      </c>
      <c r="CH1" s="6">
        <f t="shared" si="1"/>
        <v>84</v>
      </c>
      <c r="CI1" s="6">
        <f t="shared" si="1"/>
        <v>85</v>
      </c>
      <c r="CJ1" s="6">
        <f t="shared" si="1"/>
        <v>86</v>
      </c>
      <c r="CK1" s="6">
        <f t="shared" si="1"/>
        <v>87</v>
      </c>
      <c r="CL1" s="6">
        <f t="shared" si="1"/>
        <v>88</v>
      </c>
      <c r="CM1" s="6">
        <f t="shared" si="1"/>
        <v>89</v>
      </c>
      <c r="CN1" s="6">
        <f t="shared" si="1"/>
        <v>90</v>
      </c>
      <c r="CO1" s="6">
        <f t="shared" si="1"/>
        <v>91</v>
      </c>
      <c r="CP1" s="6">
        <f t="shared" si="1"/>
        <v>92</v>
      </c>
      <c r="CQ1" s="6">
        <f t="shared" si="1"/>
        <v>93</v>
      </c>
      <c r="CR1" s="6">
        <f t="shared" si="1"/>
        <v>94</v>
      </c>
      <c r="CS1" s="6">
        <f t="shared" si="1"/>
        <v>95</v>
      </c>
      <c r="CT1" s="6">
        <f t="shared" si="1"/>
        <v>96</v>
      </c>
      <c r="CU1" s="6">
        <f t="shared" si="1"/>
        <v>97</v>
      </c>
      <c r="CV1" s="6">
        <f t="shared" si="1"/>
        <v>98</v>
      </c>
      <c r="CW1" s="6">
        <f t="shared" si="1"/>
        <v>99</v>
      </c>
      <c r="CX1" s="6">
        <f t="shared" si="1"/>
        <v>100</v>
      </c>
      <c r="CY1" s="6">
        <f t="shared" si="1"/>
        <v>101</v>
      </c>
      <c r="CZ1" s="6">
        <f t="shared" si="1"/>
        <v>102</v>
      </c>
    </row>
    <row r="3" spans="1:114">
      <c r="B3" s="2"/>
      <c r="C3" s="2"/>
      <c r="D3" s="2"/>
      <c r="E3" s="2"/>
      <c r="F3" s="2"/>
      <c r="G3" s="2"/>
    </row>
    <row r="4" spans="1:114" hidden="1">
      <c r="B4" s="2"/>
      <c r="C4" s="2"/>
      <c r="D4" s="2"/>
      <c r="E4" s="2"/>
      <c r="F4" s="2"/>
      <c r="G4" s="2"/>
      <c r="CJ4" s="25">
        <f>CJ6*1000-CJ5</f>
        <v>1776288.4019960165</v>
      </c>
      <c r="CK4" s="25">
        <f>CK6*1000-CK5</f>
        <v>8756991.5133160651</v>
      </c>
    </row>
    <row r="5" spans="1:114" hidden="1">
      <c r="B5" s="2"/>
      <c r="C5" s="2"/>
      <c r="D5" s="2"/>
      <c r="E5" s="2"/>
      <c r="F5" s="2"/>
      <c r="G5" s="2"/>
      <c r="CJ5" s="6">
        <f>299808.113340764*1000</f>
        <v>299808113.34076399</v>
      </c>
      <c r="CK5" s="6">
        <f>203653.415106384*1000</f>
        <v>203653415.10638401</v>
      </c>
    </row>
    <row r="6" spans="1:114" hidden="1">
      <c r="B6" s="2"/>
      <c r="C6" s="2"/>
      <c r="D6" s="2"/>
      <c r="E6" s="2"/>
      <c r="F6" s="2"/>
      <c r="G6" s="2"/>
      <c r="V6" s="231"/>
      <c r="Z6" s="8" t="e">
        <f>R15*#REF!/1000</f>
        <v>#REF!</v>
      </c>
      <c r="BI6" s="6">
        <f>BI8/1.2</f>
        <v>62601.111574333692</v>
      </c>
      <c r="CG6" s="25"/>
      <c r="CH6" s="25"/>
      <c r="CJ6" s="8">
        <f>CJ8/1.2</f>
        <v>301584.40174275998</v>
      </c>
      <c r="CK6" s="8">
        <f>CK8/1.2</f>
        <v>212410.40661970008</v>
      </c>
      <c r="CL6" s="8">
        <f>CL8/1.2</f>
        <v>513994.80836246</v>
      </c>
    </row>
    <row r="7" spans="1:114">
      <c r="B7" s="2">
        <v>2023</v>
      </c>
      <c r="C7" s="2"/>
      <c r="D7" s="2"/>
      <c r="E7" s="2"/>
      <c r="F7" s="2"/>
      <c r="G7" s="2"/>
      <c r="H7" s="6">
        <f>H33/1.2</f>
        <v>2209.08</v>
      </c>
      <c r="I7" s="6">
        <f>2209.08*1.2</f>
        <v>2650.8959999999997</v>
      </c>
      <c r="N7" s="752">
        <f>2749.3*1.2</f>
        <v>3299.1600000000003</v>
      </c>
      <c r="O7" s="752">
        <f>2749.3*1.2</f>
        <v>3299.1600000000003</v>
      </c>
      <c r="P7" s="10"/>
      <c r="Q7" s="10"/>
      <c r="R7" s="752">
        <f>2749.3*1.2</f>
        <v>3299.1600000000003</v>
      </c>
      <c r="V7" s="231"/>
      <c r="Z7" s="8"/>
      <c r="BG7" s="623">
        <f>(I7-J7)/1.2*U7/1000+(I7-K7)/1.2*V7/1000</f>
        <v>0</v>
      </c>
      <c r="BH7" s="624">
        <f>(O7-P7)/1.2*AB7/1000+(O7-Q7)/1.2*AC7/1000</f>
        <v>0</v>
      </c>
      <c r="BI7" s="623">
        <f>BG7+BH7</f>
        <v>0</v>
      </c>
      <c r="BJ7" s="753"/>
      <c r="CG7" s="25"/>
      <c r="CH7" s="25"/>
      <c r="CJ7" s="159"/>
      <c r="CK7" s="159"/>
      <c r="CL7" s="8"/>
    </row>
    <row r="8" spans="1:114" ht="26.25">
      <c r="B8" s="7" t="s">
        <v>914</v>
      </c>
      <c r="C8" s="7"/>
      <c r="D8" s="7"/>
      <c r="E8" s="7"/>
      <c r="F8" s="7"/>
      <c r="G8" s="7"/>
      <c r="T8" s="610">
        <f>SUBTOTAL(9,T14:T141)</f>
        <v>60725.184500000003</v>
      </c>
      <c r="U8" s="611">
        <f>SUBTOTAL(9,U14:U141)</f>
        <v>51920.231000000014</v>
      </c>
      <c r="V8" s="612">
        <f>SUBTOTAL(9,V14:V141)</f>
        <v>2080.3429999999998</v>
      </c>
      <c r="W8" s="181">
        <f>SUBTOTAL(9,W14:W141)</f>
        <v>0</v>
      </c>
      <c r="X8" s="181">
        <v>-6.0000001394655555E-4</v>
      </c>
      <c r="Y8" s="611">
        <f>114919.892-Z8</f>
        <v>194.13349999999627</v>
      </c>
      <c r="Z8" s="611">
        <f>SUBTOTAL(9,Z14:Z141)</f>
        <v>114725.75850000001</v>
      </c>
      <c r="AA8" s="611">
        <f>SUBTOTAL(9,AA14:AA141)</f>
        <v>36729.701000000001</v>
      </c>
      <c r="AB8" s="613">
        <f>SUBTOTAL(9,AB14:AB141)</f>
        <v>38940.140999999996</v>
      </c>
      <c r="AC8" s="614">
        <f>SUBTOTAL(9,AC14:AC141)</f>
        <v>1766.9269999999999</v>
      </c>
      <c r="AD8" s="181">
        <f>SUBTOTAL(9,AD14:AD141)</f>
        <v>0</v>
      </c>
      <c r="AE8" s="181">
        <v>0</v>
      </c>
      <c r="AF8" s="615">
        <f>77580.827-AG8</f>
        <v>144.05800000000454</v>
      </c>
      <c r="AG8" s="611">
        <f t="shared" ref="AG8:AQ8" si="2">SUBTOTAL(9,AG14:AG141)</f>
        <v>77436.769</v>
      </c>
      <c r="AH8" s="616">
        <f t="shared" si="2"/>
        <v>192162.5275</v>
      </c>
      <c r="AI8" s="613">
        <f t="shared" si="2"/>
        <v>97454.885500000004</v>
      </c>
      <c r="AJ8" s="613">
        <f t="shared" si="2"/>
        <v>90860.371999999974</v>
      </c>
      <c r="AK8" s="613">
        <f t="shared" si="2"/>
        <v>3847.27</v>
      </c>
      <c r="AL8" s="181">
        <f t="shared" si="2"/>
        <v>0</v>
      </c>
      <c r="AM8" s="181">
        <f t="shared" si="2"/>
        <v>0</v>
      </c>
      <c r="AN8" s="181">
        <f t="shared" si="2"/>
        <v>0</v>
      </c>
      <c r="AO8" s="611">
        <f t="shared" si="2"/>
        <v>192162.5275</v>
      </c>
      <c r="AP8" s="611">
        <f t="shared" si="2"/>
        <v>192162.5275</v>
      </c>
      <c r="AQ8" s="613">
        <f t="shared" si="2"/>
        <v>192162.5275</v>
      </c>
      <c r="BG8" s="611">
        <f>SUBTOTAL(9,BG14:BG141)</f>
        <v>42414.515530606674</v>
      </c>
      <c r="BH8" s="611">
        <f>SUBTOTAL(9,BH14:BH141)</f>
        <v>32706.818358593748</v>
      </c>
      <c r="BI8" s="611">
        <f>SUBTOTAL(9,BI14:BI141)</f>
        <v>75121.333889200425</v>
      </c>
      <c r="BJ8" s="753">
        <f>BK8-BI8</f>
        <v>152613.85910843336</v>
      </c>
      <c r="BK8" s="773">
        <v>227735.19299763377</v>
      </c>
      <c r="CF8" s="25"/>
      <c r="CG8" s="8"/>
      <c r="CH8" s="8"/>
      <c r="CJ8" s="611">
        <f>SUBTOTAL(9,CJ14:CJ141)</f>
        <v>361901.28209131194</v>
      </c>
      <c r="CK8" s="611">
        <f>SUBTOTAL(9,CK14:CK141)</f>
        <v>254892.4879436401</v>
      </c>
      <c r="CL8" s="611">
        <f>SUBTOTAL(9,CL14:CL141)</f>
        <v>616793.77003495197</v>
      </c>
      <c r="CM8" s="754">
        <f>CL8/1.2</f>
        <v>513994.80836246</v>
      </c>
      <c r="CN8" s="25"/>
      <c r="CO8" s="158">
        <f>503461.528447148*1000</f>
        <v>503461528.44714797</v>
      </c>
      <c r="DG8" s="6"/>
    </row>
    <row r="9" spans="1:114" s="814" customFormat="1" ht="14.25">
      <c r="A9" s="814">
        <v>1</v>
      </c>
      <c r="B9" s="814">
        <v>2</v>
      </c>
      <c r="C9" s="814">
        <f>B9+1</f>
        <v>3</v>
      </c>
      <c r="D9" s="814">
        <f t="shared" ref="D9:BO9" si="3">C9+1</f>
        <v>4</v>
      </c>
      <c r="E9" s="814">
        <f t="shared" si="3"/>
        <v>5</v>
      </c>
      <c r="F9" s="814">
        <f t="shared" si="3"/>
        <v>6</v>
      </c>
      <c r="G9" s="814">
        <f t="shared" si="3"/>
        <v>7</v>
      </c>
      <c r="H9" s="814">
        <f t="shared" si="3"/>
        <v>8</v>
      </c>
      <c r="I9" s="814">
        <f t="shared" si="3"/>
        <v>9</v>
      </c>
      <c r="J9" s="814">
        <f t="shared" si="3"/>
        <v>10</v>
      </c>
      <c r="K9" s="814">
        <f t="shared" si="3"/>
        <v>11</v>
      </c>
      <c r="L9" s="814">
        <f t="shared" si="3"/>
        <v>12</v>
      </c>
      <c r="M9" s="814">
        <f t="shared" si="3"/>
        <v>13</v>
      </c>
      <c r="N9" s="814">
        <f t="shared" si="3"/>
        <v>14</v>
      </c>
      <c r="O9" s="814">
        <f t="shared" si="3"/>
        <v>15</v>
      </c>
      <c r="P9" s="814">
        <f t="shared" si="3"/>
        <v>16</v>
      </c>
      <c r="Q9" s="814">
        <f t="shared" si="3"/>
        <v>17</v>
      </c>
      <c r="R9" s="814">
        <f t="shared" si="3"/>
        <v>18</v>
      </c>
      <c r="S9" s="814">
        <f t="shared" si="3"/>
        <v>19</v>
      </c>
      <c r="T9" s="814">
        <f t="shared" si="3"/>
        <v>20</v>
      </c>
      <c r="U9" s="814">
        <f t="shared" si="3"/>
        <v>21</v>
      </c>
      <c r="V9" s="815">
        <f t="shared" si="3"/>
        <v>22</v>
      </c>
      <c r="W9" s="814">
        <f t="shared" si="3"/>
        <v>23</v>
      </c>
      <c r="X9" s="814">
        <f t="shared" si="3"/>
        <v>24</v>
      </c>
      <c r="Y9" s="814">
        <f t="shared" si="3"/>
        <v>25</v>
      </c>
      <c r="Z9" s="814">
        <f t="shared" si="3"/>
        <v>26</v>
      </c>
      <c r="AA9" s="814">
        <f t="shared" si="3"/>
        <v>27</v>
      </c>
      <c r="AB9" s="814">
        <f t="shared" si="3"/>
        <v>28</v>
      </c>
      <c r="AC9" s="815">
        <f t="shared" si="3"/>
        <v>29</v>
      </c>
      <c r="AD9" s="814">
        <f t="shared" si="3"/>
        <v>30</v>
      </c>
      <c r="AE9" s="814">
        <f t="shared" si="3"/>
        <v>31</v>
      </c>
      <c r="AF9" s="814">
        <f t="shared" si="3"/>
        <v>32</v>
      </c>
      <c r="AG9" s="814">
        <f t="shared" si="3"/>
        <v>33</v>
      </c>
      <c r="AH9" s="814">
        <f t="shared" si="3"/>
        <v>34</v>
      </c>
      <c r="AI9" s="814">
        <f t="shared" si="3"/>
        <v>35</v>
      </c>
      <c r="AJ9" s="814">
        <f t="shared" si="3"/>
        <v>36</v>
      </c>
      <c r="AK9" s="814">
        <f t="shared" si="3"/>
        <v>37</v>
      </c>
      <c r="AL9" s="814">
        <f t="shared" si="3"/>
        <v>38</v>
      </c>
      <c r="AM9" s="814">
        <f t="shared" si="3"/>
        <v>39</v>
      </c>
      <c r="AN9" s="814">
        <f t="shared" si="3"/>
        <v>40</v>
      </c>
      <c r="AO9" s="814">
        <f t="shared" si="3"/>
        <v>41</v>
      </c>
      <c r="AP9" s="814">
        <f t="shared" si="3"/>
        <v>42</v>
      </c>
      <c r="AQ9" s="814">
        <f t="shared" si="3"/>
        <v>43</v>
      </c>
      <c r="AR9" s="814">
        <f t="shared" si="3"/>
        <v>44</v>
      </c>
      <c r="AS9" s="814">
        <f t="shared" si="3"/>
        <v>45</v>
      </c>
      <c r="AT9" s="814">
        <f t="shared" si="3"/>
        <v>46</v>
      </c>
      <c r="AU9" s="814">
        <f t="shared" si="3"/>
        <v>47</v>
      </c>
      <c r="AV9" s="814">
        <f t="shared" si="3"/>
        <v>48</v>
      </c>
      <c r="AW9" s="814">
        <f t="shared" si="3"/>
        <v>49</v>
      </c>
      <c r="AX9" s="814">
        <f t="shared" si="3"/>
        <v>50</v>
      </c>
      <c r="AY9" s="814">
        <f t="shared" si="3"/>
        <v>51</v>
      </c>
      <c r="AZ9" s="814">
        <f t="shared" si="3"/>
        <v>52</v>
      </c>
      <c r="BA9" s="814">
        <f t="shared" si="3"/>
        <v>53</v>
      </c>
      <c r="BB9" s="814">
        <f t="shared" si="3"/>
        <v>54</v>
      </c>
      <c r="BC9" s="814">
        <f t="shared" si="3"/>
        <v>55</v>
      </c>
      <c r="BD9" s="814">
        <f t="shared" si="3"/>
        <v>56</v>
      </c>
      <c r="BE9" s="814">
        <f t="shared" si="3"/>
        <v>57</v>
      </c>
      <c r="BF9" s="814">
        <f t="shared" si="3"/>
        <v>58</v>
      </c>
      <c r="BG9" s="814">
        <f t="shared" si="3"/>
        <v>59</v>
      </c>
      <c r="BH9" s="814">
        <f t="shared" si="3"/>
        <v>60</v>
      </c>
      <c r="BI9" s="814">
        <f t="shared" si="3"/>
        <v>61</v>
      </c>
      <c r="BL9" s="814">
        <f>BI9+1</f>
        <v>62</v>
      </c>
      <c r="BM9" s="814">
        <f t="shared" si="3"/>
        <v>63</v>
      </c>
      <c r="BN9" s="814">
        <f t="shared" si="3"/>
        <v>64</v>
      </c>
      <c r="BO9" s="814">
        <f t="shared" si="3"/>
        <v>65</v>
      </c>
      <c r="BP9" s="814">
        <f t="shared" ref="BP9:CZ9" si="4">BO9+1</f>
        <v>66</v>
      </c>
      <c r="BQ9" s="814">
        <f t="shared" si="4"/>
        <v>67</v>
      </c>
      <c r="BR9" s="814">
        <f t="shared" si="4"/>
        <v>68</v>
      </c>
      <c r="BS9" s="814">
        <f t="shared" si="4"/>
        <v>69</v>
      </c>
      <c r="BT9" s="814">
        <f t="shared" si="4"/>
        <v>70</v>
      </c>
      <c r="BU9" s="814">
        <f t="shared" si="4"/>
        <v>71</v>
      </c>
      <c r="BV9" s="814">
        <f t="shared" si="4"/>
        <v>72</v>
      </c>
      <c r="BW9" s="814">
        <f t="shared" si="4"/>
        <v>73</v>
      </c>
      <c r="BX9" s="814">
        <f t="shared" si="4"/>
        <v>74</v>
      </c>
      <c r="BY9" s="814">
        <f t="shared" si="4"/>
        <v>75</v>
      </c>
      <c r="BZ9" s="814">
        <f t="shared" si="4"/>
        <v>76</v>
      </c>
      <c r="CA9" s="814">
        <f t="shared" si="4"/>
        <v>77</v>
      </c>
      <c r="CB9" s="814">
        <f t="shared" si="4"/>
        <v>78</v>
      </c>
      <c r="CC9" s="814">
        <f t="shared" si="4"/>
        <v>79</v>
      </c>
      <c r="CD9" s="814">
        <f t="shared" si="4"/>
        <v>80</v>
      </c>
      <c r="CE9" s="814">
        <f t="shared" si="4"/>
        <v>81</v>
      </c>
      <c r="CF9" s="814">
        <f t="shared" si="4"/>
        <v>82</v>
      </c>
      <c r="CG9" s="814">
        <f t="shared" si="4"/>
        <v>83</v>
      </c>
      <c r="CH9" s="814">
        <f t="shared" si="4"/>
        <v>84</v>
      </c>
      <c r="CI9" s="814">
        <f t="shared" si="4"/>
        <v>85</v>
      </c>
      <c r="CJ9" s="814">
        <f t="shared" si="4"/>
        <v>86</v>
      </c>
      <c r="CK9" s="814">
        <f t="shared" si="4"/>
        <v>87</v>
      </c>
      <c r="CL9" s="814">
        <f t="shared" si="4"/>
        <v>88</v>
      </c>
      <c r="CM9" s="814">
        <f t="shared" si="4"/>
        <v>89</v>
      </c>
      <c r="CN9" s="814">
        <f t="shared" si="4"/>
        <v>90</v>
      </c>
      <c r="CO9" s="814">
        <f t="shared" si="4"/>
        <v>91</v>
      </c>
      <c r="CP9" s="814">
        <f t="shared" si="4"/>
        <v>92</v>
      </c>
      <c r="CQ9" s="814">
        <f t="shared" si="4"/>
        <v>93</v>
      </c>
      <c r="CR9" s="814">
        <f t="shared" si="4"/>
        <v>94</v>
      </c>
      <c r="CS9" s="814">
        <f t="shared" si="4"/>
        <v>95</v>
      </c>
      <c r="CT9" s="814">
        <f t="shared" si="4"/>
        <v>96</v>
      </c>
      <c r="CU9" s="814">
        <f t="shared" si="4"/>
        <v>97</v>
      </c>
      <c r="CV9" s="814">
        <f t="shared" si="4"/>
        <v>98</v>
      </c>
      <c r="CW9" s="814">
        <f t="shared" si="4"/>
        <v>99</v>
      </c>
      <c r="CX9" s="814">
        <f t="shared" si="4"/>
        <v>100</v>
      </c>
      <c r="CY9" s="814">
        <f t="shared" si="4"/>
        <v>101</v>
      </c>
      <c r="CZ9" s="814">
        <f t="shared" si="4"/>
        <v>102</v>
      </c>
    </row>
    <row r="10" spans="1:114" ht="38.25" customHeight="1">
      <c r="A10" s="1501" t="s">
        <v>233</v>
      </c>
      <c r="B10" s="1502" t="s">
        <v>134</v>
      </c>
      <c r="C10" s="1502" t="s">
        <v>1</v>
      </c>
      <c r="D10" s="1502" t="s">
        <v>0</v>
      </c>
      <c r="E10" s="1502" t="s">
        <v>223</v>
      </c>
      <c r="F10" s="1505" t="s">
        <v>2</v>
      </c>
      <c r="G10" s="1502" t="s">
        <v>3</v>
      </c>
      <c r="H10" s="1508" t="s">
        <v>230</v>
      </c>
      <c r="I10" s="1508"/>
      <c r="J10" s="1508"/>
      <c r="K10" s="1508"/>
      <c r="L10" s="1508"/>
      <c r="M10" s="1508"/>
      <c r="N10" s="1508"/>
      <c r="O10" s="1508"/>
      <c r="P10" s="1508"/>
      <c r="Q10" s="1508"/>
      <c r="R10" s="1508"/>
      <c r="S10" s="1508"/>
      <c r="T10" s="1509" t="s">
        <v>918</v>
      </c>
      <c r="U10" s="1509"/>
      <c r="V10" s="1509"/>
      <c r="W10" s="1509"/>
      <c r="X10" s="1509"/>
      <c r="Y10" s="1509"/>
      <c r="Z10" s="1509"/>
      <c r="AA10" s="1509"/>
      <c r="AB10" s="1509"/>
      <c r="AC10" s="1509"/>
      <c r="AD10" s="1509"/>
      <c r="AE10" s="1509"/>
      <c r="AF10" s="1509"/>
      <c r="AG10" s="1509"/>
      <c r="AH10" s="1513" t="s">
        <v>267</v>
      </c>
      <c r="AI10" s="1514"/>
      <c r="AJ10" s="1514"/>
      <c r="AK10" s="1514"/>
      <c r="AL10" s="1514"/>
      <c r="AM10" s="1514"/>
      <c r="AN10" s="1514"/>
      <c r="AO10" s="1514"/>
      <c r="AP10" s="1514"/>
      <c r="AQ10" s="1515"/>
      <c r="AR10" s="148"/>
      <c r="AS10" s="1516" t="s">
        <v>268</v>
      </c>
      <c r="AT10" s="1516"/>
      <c r="AU10" s="1516"/>
      <c r="AV10" s="1516"/>
      <c r="AW10" s="1516"/>
      <c r="AX10" s="1516"/>
      <c r="AY10" s="1516"/>
      <c r="AZ10" s="1516"/>
      <c r="BA10" s="1516"/>
      <c r="BB10" s="1516"/>
      <c r="BC10" s="1516"/>
      <c r="BD10" s="1516"/>
      <c r="BE10" s="1516"/>
      <c r="BF10" s="1516"/>
      <c r="BG10" s="1517" t="s">
        <v>269</v>
      </c>
      <c r="BH10" s="1518"/>
      <c r="BI10" s="1519"/>
      <c r="BJ10" s="149" t="s">
        <v>270</v>
      </c>
      <c r="BK10" s="149" t="s">
        <v>271</v>
      </c>
      <c r="BL10" s="1537" t="s">
        <v>190</v>
      </c>
      <c r="BM10" s="1537"/>
      <c r="BN10" s="1537"/>
      <c r="BO10" s="1537"/>
      <c r="BP10" s="1537"/>
      <c r="BQ10" s="1537"/>
      <c r="BR10" s="1537"/>
      <c r="BS10" s="1537"/>
      <c r="BT10" s="1537"/>
      <c r="BU10" s="1537"/>
      <c r="BV10" s="1537"/>
      <c r="BW10" s="1537"/>
      <c r="BX10" s="1537"/>
      <c r="BY10" s="1537"/>
      <c r="BZ10" s="1538" t="s">
        <v>192</v>
      </c>
      <c r="CA10" s="1538" t="s">
        <v>193</v>
      </c>
      <c r="CB10" s="1539" t="s">
        <v>201</v>
      </c>
      <c r="CC10" s="103" t="s">
        <v>191</v>
      </c>
      <c r="CD10" s="103" t="s">
        <v>191</v>
      </c>
      <c r="CE10" s="103" t="s">
        <v>202</v>
      </c>
      <c r="CF10" s="103" t="s">
        <v>197</v>
      </c>
      <c r="CG10" s="104" t="s">
        <v>199</v>
      </c>
      <c r="CH10" s="105" t="s">
        <v>198</v>
      </c>
      <c r="CI10" s="106"/>
      <c r="CJ10" s="1542" t="s">
        <v>277</v>
      </c>
      <c r="CK10" s="1543"/>
      <c r="CL10" s="1544"/>
      <c r="CM10" s="107" t="s">
        <v>211</v>
      </c>
      <c r="CN10" s="1524" t="s">
        <v>228</v>
      </c>
      <c r="CO10" s="1525"/>
      <c r="CP10" s="1525"/>
      <c r="CQ10" s="1525"/>
      <c r="CR10" s="1525"/>
      <c r="CS10" s="1525"/>
      <c r="CT10" s="1525"/>
      <c r="CU10" s="1526"/>
      <c r="CV10" s="1524" t="s">
        <v>229</v>
      </c>
      <c r="CW10" s="1525"/>
      <c r="CX10" s="1526"/>
      <c r="CY10" s="1516" t="s">
        <v>221</v>
      </c>
      <c r="CZ10" s="1516"/>
      <c r="DA10" s="106"/>
      <c r="DB10" s="106" t="s">
        <v>263</v>
      </c>
      <c r="DC10" s="106"/>
      <c r="DD10" s="106"/>
      <c r="DE10" s="106"/>
      <c r="DF10" s="106"/>
      <c r="DG10" s="106"/>
      <c r="DH10" s="106"/>
      <c r="DI10" s="106"/>
      <c r="DJ10" s="106"/>
    </row>
    <row r="11" spans="1:114" ht="28.5" customHeight="1">
      <c r="A11" s="1501"/>
      <c r="B11" s="1503"/>
      <c r="C11" s="1503"/>
      <c r="D11" s="1503"/>
      <c r="E11" s="1503"/>
      <c r="F11" s="1506"/>
      <c r="G11" s="1503"/>
      <c r="H11" s="1510" t="s">
        <v>916</v>
      </c>
      <c r="I11" s="1511"/>
      <c r="J11" s="1511"/>
      <c r="K11" s="1511"/>
      <c r="L11" s="1511"/>
      <c r="M11" s="1512"/>
      <c r="N11" s="1510" t="s">
        <v>917</v>
      </c>
      <c r="O11" s="1511"/>
      <c r="P11" s="1511"/>
      <c r="Q11" s="1511"/>
      <c r="R11" s="1511"/>
      <c r="S11" s="1512"/>
      <c r="T11" s="1527" t="s">
        <v>265</v>
      </c>
      <c r="U11" s="1528"/>
      <c r="V11" s="1528"/>
      <c r="W11" s="1528"/>
      <c r="X11" s="1528"/>
      <c r="Y11" s="1528"/>
      <c r="Z11" s="1529"/>
      <c r="AA11" s="1527" t="s">
        <v>266</v>
      </c>
      <c r="AB11" s="1528"/>
      <c r="AC11" s="1528"/>
      <c r="AD11" s="1528"/>
      <c r="AE11" s="1528"/>
      <c r="AF11" s="1528"/>
      <c r="AG11" s="1529"/>
      <c r="AH11" s="813" t="s">
        <v>208</v>
      </c>
      <c r="AI11" s="1530"/>
      <c r="AJ11" s="1531"/>
      <c r="AK11" s="1531"/>
      <c r="AL11" s="1531"/>
      <c r="AM11" s="1531"/>
      <c r="AN11" s="1531"/>
      <c r="AO11" s="1531"/>
      <c r="AP11" s="1531"/>
      <c r="AQ11" s="1532"/>
      <c r="AR11" s="812" t="s">
        <v>210</v>
      </c>
      <c r="AS11" s="1533" t="s">
        <v>265</v>
      </c>
      <c r="AT11" s="1534"/>
      <c r="AU11" s="1534"/>
      <c r="AV11" s="1534"/>
      <c r="AW11" s="1534"/>
      <c r="AX11" s="1534"/>
      <c r="AY11" s="1535"/>
      <c r="AZ11" s="1533" t="s">
        <v>266</v>
      </c>
      <c r="BA11" s="1534"/>
      <c r="BB11" s="1534"/>
      <c r="BC11" s="1534"/>
      <c r="BD11" s="1534"/>
      <c r="BE11" s="1534"/>
      <c r="BF11" s="1535"/>
      <c r="BG11" s="108" t="s">
        <v>225</v>
      </c>
      <c r="BH11" s="108" t="s">
        <v>226</v>
      </c>
      <c r="BI11" s="109" t="s">
        <v>163</v>
      </c>
      <c r="BJ11" s="109"/>
      <c r="BK11" s="109"/>
      <c r="BL11" s="1536" t="s">
        <v>273</v>
      </c>
      <c r="BM11" s="1536"/>
      <c r="BN11" s="1536"/>
      <c r="BO11" s="1536"/>
      <c r="BP11" s="1536"/>
      <c r="BQ11" s="1536"/>
      <c r="BR11" s="1536"/>
      <c r="BS11" s="1536" t="s">
        <v>274</v>
      </c>
      <c r="BT11" s="1536"/>
      <c r="BU11" s="1536"/>
      <c r="BV11" s="1536"/>
      <c r="BW11" s="1536"/>
      <c r="BX11" s="1536"/>
      <c r="BY11" s="1536"/>
      <c r="BZ11" s="1538"/>
      <c r="CA11" s="1538"/>
      <c r="CB11" s="1540"/>
      <c r="CC11" s="109" t="s">
        <v>194</v>
      </c>
      <c r="CD11" s="110" t="s">
        <v>195</v>
      </c>
      <c r="CE11" s="109" t="s">
        <v>200</v>
      </c>
      <c r="CF11" s="109"/>
      <c r="CG11" s="111"/>
      <c r="CH11" s="106"/>
      <c r="CI11" s="106"/>
      <c r="CJ11" s="1545" t="s">
        <v>203</v>
      </c>
      <c r="CK11" s="1545" t="s">
        <v>204</v>
      </c>
      <c r="CL11" s="1545" t="s">
        <v>205</v>
      </c>
      <c r="CM11" s="1548"/>
      <c r="CN11" s="112"/>
      <c r="CO11" s="112"/>
      <c r="CP11" s="112"/>
      <c r="CQ11" s="112"/>
      <c r="CR11" s="112"/>
      <c r="CS11" s="112"/>
      <c r="CT11" s="112"/>
      <c r="CU11" s="112"/>
      <c r="CV11" s="112" t="s">
        <v>218</v>
      </c>
      <c r="CW11" s="112" t="s">
        <v>218</v>
      </c>
      <c r="CX11" s="112" t="s">
        <v>218</v>
      </c>
      <c r="CY11" s="1548" t="s">
        <v>203</v>
      </c>
      <c r="CZ11" s="1548" t="s">
        <v>204</v>
      </c>
      <c r="DA11" s="106"/>
      <c r="DB11" s="106" t="s">
        <v>264</v>
      </c>
      <c r="DC11" s="106"/>
      <c r="DD11" s="106"/>
      <c r="DE11" s="106"/>
      <c r="DF11" s="106"/>
      <c r="DG11" s="106"/>
      <c r="DH11" s="106"/>
      <c r="DI11" s="106"/>
      <c r="DJ11" s="106"/>
    </row>
    <row r="12" spans="1:114" ht="45" customHeight="1">
      <c r="A12" s="1501"/>
      <c r="B12" s="1503"/>
      <c r="C12" s="1503"/>
      <c r="D12" s="1503"/>
      <c r="E12" s="1503"/>
      <c r="F12" s="1506"/>
      <c r="G12" s="1503"/>
      <c r="H12" s="1502" t="s">
        <v>207</v>
      </c>
      <c r="I12" s="1502" t="s">
        <v>909</v>
      </c>
      <c r="J12" s="1520" t="s">
        <v>139</v>
      </c>
      <c r="K12" s="1521"/>
      <c r="L12" s="1502" t="s">
        <v>5</v>
      </c>
      <c r="M12" s="1502" t="s">
        <v>6</v>
      </c>
      <c r="N12" s="1502" t="s">
        <v>207</v>
      </c>
      <c r="O12" s="1502" t="s">
        <v>909</v>
      </c>
      <c r="P12" s="1520" t="s">
        <v>139</v>
      </c>
      <c r="Q12" s="1521"/>
      <c r="R12" s="1502" t="s">
        <v>5</v>
      </c>
      <c r="S12" s="1502" t="s">
        <v>6</v>
      </c>
      <c r="T12" s="1522" t="s">
        <v>909</v>
      </c>
      <c r="U12" s="1520" t="s">
        <v>139</v>
      </c>
      <c r="V12" s="1521"/>
      <c r="W12" s="1502" t="s">
        <v>5</v>
      </c>
      <c r="X12" s="1502" t="s">
        <v>6</v>
      </c>
      <c r="Y12" s="1502" t="s">
        <v>164</v>
      </c>
      <c r="Z12" s="1502" t="s">
        <v>206</v>
      </c>
      <c r="AA12" s="1522" t="s">
        <v>909</v>
      </c>
      <c r="AB12" s="1520" t="s">
        <v>139</v>
      </c>
      <c r="AC12" s="1521"/>
      <c r="AD12" s="1502" t="s">
        <v>5</v>
      </c>
      <c r="AE12" s="1502" t="s">
        <v>6</v>
      </c>
      <c r="AF12" s="1502" t="s">
        <v>164</v>
      </c>
      <c r="AG12" s="1502" t="s">
        <v>206</v>
      </c>
      <c r="AH12" s="801" t="s">
        <v>209</v>
      </c>
      <c r="AI12" s="1502" t="s">
        <v>909</v>
      </c>
      <c r="AJ12" s="1520" t="s">
        <v>139</v>
      </c>
      <c r="AK12" s="1521"/>
      <c r="AL12" s="1502" t="s">
        <v>5</v>
      </c>
      <c r="AM12" s="1502" t="s">
        <v>6</v>
      </c>
      <c r="AN12" s="1502" t="s">
        <v>164</v>
      </c>
      <c r="AO12" s="1502" t="s">
        <v>173</v>
      </c>
      <c r="AP12" s="1502" t="s">
        <v>174</v>
      </c>
      <c r="AQ12" s="1502" t="s">
        <v>175</v>
      </c>
      <c r="AR12" s="810"/>
      <c r="AS12" s="1551" t="s">
        <v>4</v>
      </c>
      <c r="AT12" s="1553" t="s">
        <v>139</v>
      </c>
      <c r="AU12" s="1554"/>
      <c r="AV12" s="1551" t="s">
        <v>5</v>
      </c>
      <c r="AW12" s="1551" t="s">
        <v>6</v>
      </c>
      <c r="AX12" s="1551" t="s">
        <v>171</v>
      </c>
      <c r="AY12" s="1551" t="s">
        <v>172</v>
      </c>
      <c r="AZ12" s="1551" t="s">
        <v>4</v>
      </c>
      <c r="BA12" s="1553" t="s">
        <v>139</v>
      </c>
      <c r="BB12" s="1554"/>
      <c r="BC12" s="1551" t="s">
        <v>5</v>
      </c>
      <c r="BD12" s="1559" t="s">
        <v>6</v>
      </c>
      <c r="BE12" s="1551" t="s">
        <v>171</v>
      </c>
      <c r="BF12" s="1551" t="s">
        <v>172</v>
      </c>
      <c r="BG12" s="112"/>
      <c r="BH12" s="112"/>
      <c r="BI12" s="112">
        <f>BG12+BH12</f>
        <v>0</v>
      </c>
      <c r="BJ12" s="150"/>
      <c r="BK12" s="150"/>
      <c r="BL12" s="1551" t="s">
        <v>4</v>
      </c>
      <c r="BM12" s="1553" t="s">
        <v>139</v>
      </c>
      <c r="BN12" s="1554"/>
      <c r="BO12" s="1551" t="s">
        <v>5</v>
      </c>
      <c r="BP12" s="1551" t="s">
        <v>6</v>
      </c>
      <c r="BQ12" s="1551" t="s">
        <v>171</v>
      </c>
      <c r="BR12" s="1551" t="s">
        <v>172</v>
      </c>
      <c r="BS12" s="1551" t="s">
        <v>4</v>
      </c>
      <c r="BT12" s="1553" t="s">
        <v>139</v>
      </c>
      <c r="BU12" s="1554"/>
      <c r="BV12" s="1551" t="s">
        <v>5</v>
      </c>
      <c r="BW12" s="1559" t="s">
        <v>6</v>
      </c>
      <c r="BX12" s="1551" t="s">
        <v>171</v>
      </c>
      <c r="BY12" s="1551" t="s">
        <v>172</v>
      </c>
      <c r="BZ12" s="1538"/>
      <c r="CA12" s="1538"/>
      <c r="CB12" s="1540"/>
      <c r="CC12" s="112"/>
      <c r="CD12" s="112"/>
      <c r="CE12" s="112"/>
      <c r="CF12" s="112"/>
      <c r="CG12" s="113"/>
      <c r="CH12" s="106"/>
      <c r="CI12" s="106"/>
      <c r="CJ12" s="1546"/>
      <c r="CK12" s="1546"/>
      <c r="CL12" s="1546"/>
      <c r="CM12" s="1549"/>
      <c r="CN12" s="107" t="s">
        <v>216</v>
      </c>
      <c r="CO12" s="107" t="s">
        <v>217</v>
      </c>
      <c r="CP12" s="112" t="s">
        <v>215</v>
      </c>
      <c r="CQ12" s="107" t="s">
        <v>216</v>
      </c>
      <c r="CR12" s="107" t="s">
        <v>217</v>
      </c>
      <c r="CS12" s="112" t="s">
        <v>215</v>
      </c>
      <c r="CT12" s="107" t="s">
        <v>216</v>
      </c>
      <c r="CU12" s="112"/>
      <c r="CV12" s="112" t="s">
        <v>203</v>
      </c>
      <c r="CW12" s="112" t="s">
        <v>204</v>
      </c>
      <c r="CX12" s="112" t="s">
        <v>205</v>
      </c>
      <c r="CY12" s="1549"/>
      <c r="CZ12" s="1549"/>
      <c r="DA12" s="106"/>
      <c r="DB12" s="106"/>
      <c r="DC12" s="106"/>
      <c r="DD12" s="106"/>
      <c r="DE12" s="106"/>
      <c r="DF12" s="106"/>
      <c r="DG12" s="220" t="s">
        <v>285</v>
      </c>
      <c r="DH12" s="220"/>
      <c r="DI12" s="220"/>
      <c r="DJ12" s="106"/>
    </row>
    <row r="13" spans="1:114" ht="42" customHeight="1">
      <c r="A13" s="1501"/>
      <c r="B13" s="1504"/>
      <c r="C13" s="1504"/>
      <c r="D13" s="1504"/>
      <c r="E13" s="1504"/>
      <c r="F13" s="1507"/>
      <c r="G13" s="1504"/>
      <c r="H13" s="1504"/>
      <c r="I13" s="1504"/>
      <c r="J13" s="803" t="s">
        <v>149</v>
      </c>
      <c r="K13" s="803" t="s">
        <v>150</v>
      </c>
      <c r="L13" s="1504"/>
      <c r="M13" s="1504"/>
      <c r="N13" s="1504"/>
      <c r="O13" s="1504"/>
      <c r="P13" s="803" t="s">
        <v>149</v>
      </c>
      <c r="Q13" s="803" t="s">
        <v>150</v>
      </c>
      <c r="R13" s="1504"/>
      <c r="S13" s="1504"/>
      <c r="T13" s="1523"/>
      <c r="U13" s="803" t="s">
        <v>149</v>
      </c>
      <c r="V13" s="223" t="s">
        <v>150</v>
      </c>
      <c r="W13" s="1504"/>
      <c r="X13" s="1504"/>
      <c r="Y13" s="1504"/>
      <c r="Z13" s="1504"/>
      <c r="AA13" s="1523"/>
      <c r="AB13" s="803" t="s">
        <v>149</v>
      </c>
      <c r="AC13" s="223" t="s">
        <v>150</v>
      </c>
      <c r="AD13" s="1504"/>
      <c r="AE13" s="1504"/>
      <c r="AF13" s="1504"/>
      <c r="AG13" s="1504"/>
      <c r="AH13" s="802"/>
      <c r="AI13" s="1504"/>
      <c r="AJ13" s="803" t="s">
        <v>149</v>
      </c>
      <c r="AK13" s="803" t="s">
        <v>150</v>
      </c>
      <c r="AL13" s="1504"/>
      <c r="AM13" s="1504"/>
      <c r="AN13" s="1504"/>
      <c r="AO13" s="1504"/>
      <c r="AP13" s="1504"/>
      <c r="AQ13" s="1504"/>
      <c r="AR13" s="811"/>
      <c r="AS13" s="1552"/>
      <c r="AT13" s="114" t="s">
        <v>149</v>
      </c>
      <c r="AU13" s="114" t="s">
        <v>150</v>
      </c>
      <c r="AV13" s="1552"/>
      <c r="AW13" s="1552"/>
      <c r="AX13" s="1552"/>
      <c r="AY13" s="1552"/>
      <c r="AZ13" s="1552"/>
      <c r="BA13" s="114" t="s">
        <v>149</v>
      </c>
      <c r="BB13" s="114" t="s">
        <v>150</v>
      </c>
      <c r="BC13" s="1552"/>
      <c r="BD13" s="1560"/>
      <c r="BE13" s="1552"/>
      <c r="BF13" s="1552"/>
      <c r="BG13" s="112"/>
      <c r="BH13" s="112"/>
      <c r="BI13" s="112">
        <f t="shared" ref="BI13:BI67" si="5">BG13+BH13</f>
        <v>0</v>
      </c>
      <c r="BJ13" s="151"/>
      <c r="BK13" s="151"/>
      <c r="BL13" s="1552"/>
      <c r="BM13" s="114" t="s">
        <v>149</v>
      </c>
      <c r="BN13" s="114" t="s">
        <v>150</v>
      </c>
      <c r="BO13" s="1552"/>
      <c r="BP13" s="1552"/>
      <c r="BQ13" s="1552"/>
      <c r="BR13" s="1552"/>
      <c r="BS13" s="1552"/>
      <c r="BT13" s="114" t="s">
        <v>149</v>
      </c>
      <c r="BU13" s="114" t="s">
        <v>150</v>
      </c>
      <c r="BV13" s="1552"/>
      <c r="BW13" s="1560"/>
      <c r="BX13" s="1552"/>
      <c r="BY13" s="1552"/>
      <c r="BZ13" s="1538"/>
      <c r="CA13" s="1538"/>
      <c r="CB13" s="1541"/>
      <c r="CC13" s="112"/>
      <c r="CD13" s="112"/>
      <c r="CE13" s="112"/>
      <c r="CF13" s="112"/>
      <c r="CG13" s="113"/>
      <c r="CH13" s="106"/>
      <c r="CI13" s="106"/>
      <c r="CJ13" s="1547"/>
      <c r="CK13" s="1547"/>
      <c r="CL13" s="1547"/>
      <c r="CM13" s="1550"/>
      <c r="CN13" s="112" t="s">
        <v>212</v>
      </c>
      <c r="CO13" s="112"/>
      <c r="CP13" s="112"/>
      <c r="CQ13" s="112" t="s">
        <v>213</v>
      </c>
      <c r="CR13" s="112"/>
      <c r="CS13" s="112"/>
      <c r="CT13" s="112" t="s">
        <v>227</v>
      </c>
      <c r="CU13" s="107" t="s">
        <v>214</v>
      </c>
      <c r="CV13" s="112"/>
      <c r="CW13" s="112"/>
      <c r="CX13" s="112"/>
      <c r="CY13" s="1550"/>
      <c r="CZ13" s="1550"/>
      <c r="DA13" s="106"/>
      <c r="DB13" s="106"/>
      <c r="DC13" s="106"/>
      <c r="DD13" s="106"/>
      <c r="DE13" s="106"/>
      <c r="DF13" s="221"/>
      <c r="DG13" s="221" t="s">
        <v>203</v>
      </c>
      <c r="DH13" s="221" t="s">
        <v>204</v>
      </c>
      <c r="DI13" s="221" t="s">
        <v>208</v>
      </c>
      <c r="DJ13" s="221"/>
    </row>
    <row r="14" spans="1:114" s="20" customFormat="1" ht="67.5" customHeight="1">
      <c r="A14" s="20">
        <v>1</v>
      </c>
      <c r="B14" s="1502" t="s">
        <v>7</v>
      </c>
      <c r="C14" s="22" t="s">
        <v>69</v>
      </c>
      <c r="D14" s="748" t="s">
        <v>141</v>
      </c>
      <c r="E14" s="617">
        <v>4632024035</v>
      </c>
      <c r="F14" s="803" t="s">
        <v>8</v>
      </c>
      <c r="G14" s="751" t="s">
        <v>890</v>
      </c>
      <c r="H14" s="16">
        <f>2653.36*1.2</f>
        <v>3184.0320000000002</v>
      </c>
      <c r="I14" s="16">
        <f>2653.36*1.2</f>
        <v>3184.0320000000002</v>
      </c>
      <c r="J14" s="38"/>
      <c r="K14" s="38"/>
      <c r="L14" s="16">
        <f>2653.36*1.2</f>
        <v>3184.0320000000002</v>
      </c>
      <c r="M14" s="10"/>
      <c r="N14" s="622">
        <f>2749.3*1.2</f>
        <v>3299.1600000000003</v>
      </c>
      <c r="O14" s="622">
        <f>2749.3*1.2</f>
        <v>3299.1600000000003</v>
      </c>
      <c r="P14" s="10"/>
      <c r="Q14" s="10"/>
      <c r="R14" s="622">
        <f>2749.3*1.2</f>
        <v>3299.1600000000003</v>
      </c>
      <c r="S14" s="10"/>
      <c r="T14" s="35">
        <v>667.96299999999997</v>
      </c>
      <c r="U14" s="15"/>
      <c r="V14" s="208"/>
      <c r="W14" s="15"/>
      <c r="X14" s="15"/>
      <c r="Y14" s="15"/>
      <c r="Z14" s="35">
        <f>SUM(T14:W14)</f>
        <v>667.96299999999997</v>
      </c>
      <c r="AA14" s="35">
        <v>392.226</v>
      </c>
      <c r="AB14" s="15"/>
      <c r="AC14" s="208"/>
      <c r="AD14" s="15"/>
      <c r="AE14" s="15"/>
      <c r="AF14" s="15"/>
      <c r="AG14" s="35">
        <f>SUM(AA14:AD14)</f>
        <v>392.226</v>
      </c>
      <c r="AH14" s="35">
        <f>Z14+AG14</f>
        <v>1060.1889999999999</v>
      </c>
      <c r="AI14" s="15">
        <f t="shared" ref="AI14:AM29" si="6">T14+AA14</f>
        <v>1060.1889999999999</v>
      </c>
      <c r="AJ14" s="15">
        <f t="shared" si="6"/>
        <v>0</v>
      </c>
      <c r="AK14" s="15">
        <f t="shared" si="6"/>
        <v>0</v>
      </c>
      <c r="AL14" s="15">
        <f t="shared" si="6"/>
        <v>0</v>
      </c>
      <c r="AM14" s="15">
        <f t="shared" si="6"/>
        <v>0</v>
      </c>
      <c r="AN14" s="15"/>
      <c r="AO14" s="15">
        <f t="shared" ref="AO14:AO75" si="7">SUM(AI14:AN14)</f>
        <v>1060.1889999999999</v>
      </c>
      <c r="AP14" s="15">
        <f>SUM(AI14:AM14)</f>
        <v>1060.1889999999999</v>
      </c>
      <c r="AQ14" s="15">
        <f>SUM(AI14:AL14)</f>
        <v>1060.1889999999999</v>
      </c>
      <c r="AR14" s="127">
        <f>AQ14-AH14</f>
        <v>0</v>
      </c>
      <c r="AS14" s="112">
        <f t="shared" ref="AS14:AW44" si="8">I14*AI14</f>
        <v>3375675.7020479995</v>
      </c>
      <c r="AT14" s="112">
        <f t="shared" si="8"/>
        <v>0</v>
      </c>
      <c r="AU14" s="112">
        <f t="shared" si="8"/>
        <v>0</v>
      </c>
      <c r="AV14" s="112">
        <f t="shared" si="8"/>
        <v>0</v>
      </c>
      <c r="AW14" s="112">
        <f t="shared" si="8"/>
        <v>0</v>
      </c>
      <c r="AX14" s="112">
        <f>SUM(AS14:AW14)</f>
        <v>3375675.7020479995</v>
      </c>
      <c r="AY14" s="112">
        <f>SUM(AS14:AV14)</f>
        <v>3375675.7020479995</v>
      </c>
      <c r="AZ14" s="112">
        <f t="shared" ref="AZ14:BD44" si="9">O14*AI14</f>
        <v>3497733.1412399998</v>
      </c>
      <c r="BA14" s="112">
        <f t="shared" si="9"/>
        <v>0</v>
      </c>
      <c r="BB14" s="112">
        <f t="shared" si="9"/>
        <v>0</v>
      </c>
      <c r="BC14" s="112">
        <f t="shared" si="9"/>
        <v>0</v>
      </c>
      <c r="BD14" s="112">
        <f t="shared" si="9"/>
        <v>0</v>
      </c>
      <c r="BE14" s="112">
        <f>SUM(AZ14:BD14)</f>
        <v>3497733.1412399998</v>
      </c>
      <c r="BF14" s="112">
        <f>SUM(AZ14:BC14)</f>
        <v>3497733.1412399998</v>
      </c>
      <c r="BG14" s="112"/>
      <c r="BH14" s="112"/>
      <c r="BI14" s="112">
        <f t="shared" si="5"/>
        <v>0</v>
      </c>
      <c r="BJ14" s="112"/>
      <c r="BK14" s="112"/>
      <c r="BL14" s="112">
        <f t="shared" ref="BL14:BP44" si="10">I14*T14</f>
        <v>2126815.5668159998</v>
      </c>
      <c r="BM14" s="112">
        <f t="shared" si="10"/>
        <v>0</v>
      </c>
      <c r="BN14" s="112">
        <f t="shared" si="10"/>
        <v>0</v>
      </c>
      <c r="BO14" s="112">
        <f t="shared" si="10"/>
        <v>0</v>
      </c>
      <c r="BP14" s="112">
        <f t="shared" si="10"/>
        <v>0</v>
      </c>
      <c r="BQ14" s="112">
        <f>BL14+BM14+BN14+BO14+BP14</f>
        <v>2126815.5668159998</v>
      </c>
      <c r="BR14" s="112">
        <f>BQ14-BP14</f>
        <v>2126815.5668159998</v>
      </c>
      <c r="BS14" s="112">
        <f t="shared" ref="BS14:BU44" si="11">O14*AA14</f>
        <v>1294016.3301600001</v>
      </c>
      <c r="BT14" s="112">
        <f t="shared" si="11"/>
        <v>0</v>
      </c>
      <c r="BU14" s="112">
        <f t="shared" si="11"/>
        <v>0</v>
      </c>
      <c r="BV14" s="112">
        <f t="shared" ref="BV14:BV77" si="12">R14*W14</f>
        <v>0</v>
      </c>
      <c r="BW14" s="112">
        <f t="shared" ref="BW14:BW77" si="13">S14*AE14</f>
        <v>0</v>
      </c>
      <c r="BX14" s="112">
        <f>BS14+BT14+BU14+BV14+BW14</f>
        <v>1294016.3301600001</v>
      </c>
      <c r="BY14" s="112">
        <f>BX14-BW14</f>
        <v>1294016.3301600001</v>
      </c>
      <c r="BZ14" s="113">
        <f>BM14+BT14</f>
        <v>0</v>
      </c>
      <c r="CA14" s="113">
        <f>BN14+BU14</f>
        <v>0</v>
      </c>
      <c r="CB14" s="113">
        <f>BZ14+CA14</f>
        <v>0</v>
      </c>
      <c r="CC14" s="113" t="e">
        <f>BZ14/AJ14</f>
        <v>#DIV/0!</v>
      </c>
      <c r="CD14" s="113" t="e">
        <f>CA14/AK14</f>
        <v>#DIV/0!</v>
      </c>
      <c r="CE14" s="113" t="e">
        <f>CB14/(AJ14+AK14)</f>
        <v>#DIV/0!</v>
      </c>
      <c r="CF14" s="113" t="e">
        <f t="shared" ref="CF14:CF77" si="14">CB14/(U14+V14+AB14+AC14)</f>
        <v>#DIV/0!</v>
      </c>
      <c r="CG14" s="113">
        <f t="shared" ref="CG14:CG77" si="15">I14*(U14+V14)+O14*(AB14+AC14)</f>
        <v>0</v>
      </c>
      <c r="CH14" s="106" t="e">
        <f>CG14/(AJ14+AK14)</f>
        <v>#DIV/0!</v>
      </c>
      <c r="CI14" s="106"/>
      <c r="CJ14" s="208">
        <f t="shared" ref="CJ14:CJ77" si="16">H14*Z14/1000</f>
        <v>2126.8155668159998</v>
      </c>
      <c r="CK14" s="208">
        <f t="shared" ref="CK14:CK77" si="17">N14*AG14/1000</f>
        <v>1294.0163301600001</v>
      </c>
      <c r="CL14" s="208">
        <f>CJ14+CK14</f>
        <v>3420.8318969759998</v>
      </c>
      <c r="CM14" s="112">
        <f t="shared" ref="CM14:CM77" si="18">H14*Z14+N14*AG14</f>
        <v>3420831.8969759997</v>
      </c>
      <c r="CN14" s="112">
        <f t="shared" ref="CN14:CN77" si="19">I14*AI14+J14*AJ14+K14*AK14+L14*AL14</f>
        <v>3375675.7020479995</v>
      </c>
      <c r="CO14" s="112">
        <f t="shared" ref="CO14:CO77" si="20">I14*AI14+J14*(AJ14+AK14)+L14*AL14</f>
        <v>3375675.7020479995</v>
      </c>
      <c r="CP14" s="112">
        <f t="shared" ref="CP14:CP77" si="21">I14*T14+J14*U14+K14*V14+L14*W14</f>
        <v>2126815.5668159998</v>
      </c>
      <c r="CQ14" s="112">
        <f t="shared" ref="CQ14:CQ77" si="22">O14*AI14+P14*AJ14+Q14*AK14+R14*AL14</f>
        <v>3497733.1412399998</v>
      </c>
      <c r="CR14" s="112">
        <f t="shared" ref="CR14:CR77" si="23">O14*AI14+P14*(AJ14+AK14)+R14*AL14</f>
        <v>3497733.1412399998</v>
      </c>
      <c r="CS14" s="112">
        <f t="shared" ref="CS14:CS77" si="24">O14*AA14+P14*AB14+Q14*AC14+R14*AD14</f>
        <v>1294016.3301600001</v>
      </c>
      <c r="CT14" s="112">
        <f>CN14+CQ14</f>
        <v>6873408.8432879988</v>
      </c>
      <c r="CU14" s="124">
        <f>CT14/AH14*1000</f>
        <v>6483192</v>
      </c>
      <c r="CV14" s="112">
        <f t="shared" ref="CV14:CV77" si="25">J14*AJ14+K14*AK14</f>
        <v>0</v>
      </c>
      <c r="CW14" s="112">
        <f t="shared" ref="CW14:CW77" si="26">P14*AJ14+Q14*AK14</f>
        <v>0</v>
      </c>
      <c r="CX14" s="112">
        <f>CV14+CW14</f>
        <v>0</v>
      </c>
      <c r="CY14" s="112">
        <f t="shared" ref="CY14:CY77" si="27">H14*AI14+H14*AJ14+H14*AK14+H14*AL14</f>
        <v>3375675.7020479995</v>
      </c>
      <c r="CZ14" s="112">
        <f t="shared" ref="CZ14:CZ77" si="28">N14*AI14+N14*AJ14+N14*AK14+N14*AL14</f>
        <v>3497733.1412399998</v>
      </c>
      <c r="DA14" s="106"/>
      <c r="DB14" s="128" t="e">
        <f>N14/J14*100</f>
        <v>#DIV/0!</v>
      </c>
      <c r="DC14" s="106"/>
      <c r="DD14" s="106"/>
      <c r="DE14" s="106"/>
      <c r="DF14" s="106"/>
      <c r="DG14" s="618">
        <f t="shared" ref="DG14:DG77" si="29">M14*X14/1000</f>
        <v>0</v>
      </c>
      <c r="DH14" s="618">
        <f t="shared" ref="DH14:DH77" si="30">S14*AE14/1000</f>
        <v>0</v>
      </c>
      <c r="DI14" s="618">
        <f t="shared" ref="DI14:DI77" si="31">DG14+DH14</f>
        <v>0</v>
      </c>
      <c r="DJ14" s="115"/>
    </row>
    <row r="15" spans="1:114" s="20" customFormat="1" ht="69" customHeight="1">
      <c r="A15" s="20">
        <f>A14+1</f>
        <v>2</v>
      </c>
      <c r="B15" s="1503"/>
      <c r="C15" s="803" t="s">
        <v>70</v>
      </c>
      <c r="D15" s="748" t="s">
        <v>141</v>
      </c>
      <c r="E15" s="617">
        <v>4632024035</v>
      </c>
      <c r="F15" s="803" t="s">
        <v>8</v>
      </c>
      <c r="G15" s="751" t="s">
        <v>890</v>
      </c>
      <c r="H15" s="16">
        <f t="shared" ref="H15:I17" si="32">2653.36*1.2</f>
        <v>3184.0320000000002</v>
      </c>
      <c r="I15" s="16">
        <f t="shared" si="32"/>
        <v>3184.0320000000002</v>
      </c>
      <c r="J15" s="38"/>
      <c r="K15" s="38"/>
      <c r="L15" s="16">
        <f>2653.36*1.2</f>
        <v>3184.0320000000002</v>
      </c>
      <c r="M15" s="10"/>
      <c r="N15" s="622">
        <f t="shared" ref="N15:O17" si="33">2749.3*1.2</f>
        <v>3299.1600000000003</v>
      </c>
      <c r="O15" s="622">
        <f t="shared" si="33"/>
        <v>3299.1600000000003</v>
      </c>
      <c r="P15" s="10"/>
      <c r="Q15" s="10"/>
      <c r="R15" s="622">
        <f>2749.3*1.2</f>
        <v>3299.1600000000003</v>
      </c>
      <c r="S15" s="10"/>
      <c r="T15" s="35">
        <v>215.745</v>
      </c>
      <c r="U15" s="15"/>
      <c r="V15" s="208"/>
      <c r="W15" s="15"/>
      <c r="X15" s="15"/>
      <c r="Y15" s="15"/>
      <c r="Z15" s="35">
        <f t="shared" ref="Z15:Z76" si="34">SUM(T15:W15)</f>
        <v>215.745</v>
      </c>
      <c r="AA15" s="35">
        <v>125.27999999999999</v>
      </c>
      <c r="AB15" s="15"/>
      <c r="AC15" s="208"/>
      <c r="AD15" s="15"/>
      <c r="AE15" s="15"/>
      <c r="AF15" s="15"/>
      <c r="AG15" s="35">
        <f t="shared" ref="AG15:AG76" si="35">SUM(AA15:AD15)</f>
        <v>125.27999999999999</v>
      </c>
      <c r="AH15" s="35">
        <f t="shared" ref="AH15:AH78" si="36">Z15+AG15</f>
        <v>341.02499999999998</v>
      </c>
      <c r="AI15" s="15">
        <f t="shared" si="6"/>
        <v>341.02499999999998</v>
      </c>
      <c r="AJ15" s="15">
        <f t="shared" si="6"/>
        <v>0</v>
      </c>
      <c r="AK15" s="15">
        <f t="shared" si="6"/>
        <v>0</v>
      </c>
      <c r="AL15" s="15">
        <f t="shared" si="6"/>
        <v>0</v>
      </c>
      <c r="AM15" s="15">
        <f t="shared" si="6"/>
        <v>0</v>
      </c>
      <c r="AN15" s="15"/>
      <c r="AO15" s="15">
        <f t="shared" si="7"/>
        <v>341.02499999999998</v>
      </c>
      <c r="AP15" s="15">
        <f t="shared" ref="AP15:AP75" si="37">SUM(AI15:AM15)</f>
        <v>341.02499999999998</v>
      </c>
      <c r="AQ15" s="15">
        <f t="shared" ref="AQ15:AQ71" si="38">SUM(AI15:AL15)</f>
        <v>341.02499999999998</v>
      </c>
      <c r="AR15" s="127">
        <f t="shared" ref="AR15:AR78" si="39">AQ15-AH15</f>
        <v>0</v>
      </c>
      <c r="AS15" s="112">
        <f t="shared" si="8"/>
        <v>1085834.5127999999</v>
      </c>
      <c r="AT15" s="112">
        <f t="shared" si="8"/>
        <v>0</v>
      </c>
      <c r="AU15" s="112">
        <f t="shared" si="8"/>
        <v>0</v>
      </c>
      <c r="AV15" s="112">
        <f t="shared" si="8"/>
        <v>0</v>
      </c>
      <c r="AW15" s="112">
        <f t="shared" si="8"/>
        <v>0</v>
      </c>
      <c r="AX15" s="112">
        <f t="shared" ref="AX15:AX78" si="40">SUM(AS15:AW15)</f>
        <v>1085834.5127999999</v>
      </c>
      <c r="AY15" s="112">
        <f t="shared" ref="AY15:AY78" si="41">SUM(AS15:AV15)</f>
        <v>1085834.5127999999</v>
      </c>
      <c r="AZ15" s="112">
        <f t="shared" si="9"/>
        <v>1125096.0390000001</v>
      </c>
      <c r="BA15" s="112">
        <f t="shared" si="9"/>
        <v>0</v>
      </c>
      <c r="BB15" s="112">
        <f t="shared" si="9"/>
        <v>0</v>
      </c>
      <c r="BC15" s="112">
        <f t="shared" si="9"/>
        <v>0</v>
      </c>
      <c r="BD15" s="112">
        <f t="shared" si="9"/>
        <v>0</v>
      </c>
      <c r="BE15" s="112">
        <f t="shared" ref="BE15:BE78" si="42">SUM(AZ15:BD15)</f>
        <v>1125096.0390000001</v>
      </c>
      <c r="BF15" s="112">
        <f t="shared" ref="BF15:BF78" si="43">SUM(AZ15:BC15)</f>
        <v>1125096.0390000001</v>
      </c>
      <c r="BG15" s="112"/>
      <c r="BH15" s="112"/>
      <c r="BI15" s="112">
        <f t="shared" si="5"/>
        <v>0</v>
      </c>
      <c r="BJ15" s="112"/>
      <c r="BK15" s="112"/>
      <c r="BL15" s="112">
        <f t="shared" si="10"/>
        <v>686938.98384</v>
      </c>
      <c r="BM15" s="112">
        <f t="shared" si="10"/>
        <v>0</v>
      </c>
      <c r="BN15" s="112">
        <f t="shared" si="10"/>
        <v>0</v>
      </c>
      <c r="BO15" s="112">
        <f t="shared" si="10"/>
        <v>0</v>
      </c>
      <c r="BP15" s="112">
        <f t="shared" si="10"/>
        <v>0</v>
      </c>
      <c r="BQ15" s="112">
        <f t="shared" ref="BQ15:BQ78" si="44">BL15+BM15+BN15+BO15+BP15</f>
        <v>686938.98384</v>
      </c>
      <c r="BR15" s="112">
        <f t="shared" ref="BR15:BR78" si="45">BQ15-BP15</f>
        <v>686938.98384</v>
      </c>
      <c r="BS15" s="112">
        <f t="shared" si="11"/>
        <v>413318.7648</v>
      </c>
      <c r="BT15" s="112">
        <f t="shared" si="11"/>
        <v>0</v>
      </c>
      <c r="BU15" s="112">
        <f t="shared" si="11"/>
        <v>0</v>
      </c>
      <c r="BV15" s="112">
        <f t="shared" si="12"/>
        <v>0</v>
      </c>
      <c r="BW15" s="112">
        <f t="shared" si="13"/>
        <v>0</v>
      </c>
      <c r="BX15" s="112">
        <f t="shared" ref="BX15:BX78" si="46">BS15+BT15+BU15+BV15+BW15</f>
        <v>413318.7648</v>
      </c>
      <c r="BY15" s="112">
        <f t="shared" ref="BY15:BY78" si="47">BX15-BW15</f>
        <v>413318.7648</v>
      </c>
      <c r="BZ15" s="113">
        <f t="shared" ref="BZ15:CA75" si="48">BM15+BT15</f>
        <v>0</v>
      </c>
      <c r="CA15" s="113">
        <f t="shared" si="48"/>
        <v>0</v>
      </c>
      <c r="CB15" s="113">
        <f t="shared" ref="CB15:CB78" si="49">BZ15+CA15</f>
        <v>0</v>
      </c>
      <c r="CC15" s="113" t="e">
        <f t="shared" ref="CC15:CD75" si="50">BZ15/AJ15</f>
        <v>#DIV/0!</v>
      </c>
      <c r="CD15" s="113" t="e">
        <f t="shared" si="50"/>
        <v>#DIV/0!</v>
      </c>
      <c r="CE15" s="113" t="e">
        <f t="shared" ref="CE15:CE78" si="51">CB15/(AJ15+AK15)</f>
        <v>#DIV/0!</v>
      </c>
      <c r="CF15" s="113" t="e">
        <f t="shared" si="14"/>
        <v>#DIV/0!</v>
      </c>
      <c r="CG15" s="113">
        <f t="shared" si="15"/>
        <v>0</v>
      </c>
      <c r="CH15" s="106" t="e">
        <f t="shared" ref="CH15:CH78" si="52">CG15/(AJ15+AK15)</f>
        <v>#DIV/0!</v>
      </c>
      <c r="CI15" s="106"/>
      <c r="CJ15" s="208">
        <f t="shared" si="16"/>
        <v>686.93898383999999</v>
      </c>
      <c r="CK15" s="208">
        <f t="shared" si="17"/>
        <v>413.3187648</v>
      </c>
      <c r="CL15" s="208">
        <f t="shared" ref="CL15:CL71" si="53">CJ15+CK15</f>
        <v>1100.25774864</v>
      </c>
      <c r="CM15" s="112">
        <f t="shared" si="18"/>
        <v>1100257.7486399999</v>
      </c>
      <c r="CN15" s="112">
        <f t="shared" si="19"/>
        <v>1085834.5127999999</v>
      </c>
      <c r="CO15" s="112">
        <f t="shared" si="20"/>
        <v>1085834.5127999999</v>
      </c>
      <c r="CP15" s="112">
        <f t="shared" si="21"/>
        <v>686938.98384</v>
      </c>
      <c r="CQ15" s="112">
        <f t="shared" si="22"/>
        <v>1125096.0390000001</v>
      </c>
      <c r="CR15" s="112">
        <f t="shared" si="23"/>
        <v>1125096.0390000001</v>
      </c>
      <c r="CS15" s="112">
        <f t="shared" si="24"/>
        <v>413318.7648</v>
      </c>
      <c r="CT15" s="112">
        <f t="shared" ref="CT15:CT78" si="54">CN15+CQ15</f>
        <v>2210930.5518</v>
      </c>
      <c r="CU15" s="124">
        <f t="shared" ref="CU15:CU78" si="55">CT15/AH15*1000</f>
        <v>6483192.0000000009</v>
      </c>
      <c r="CV15" s="112">
        <f t="shared" si="25"/>
        <v>0</v>
      </c>
      <c r="CW15" s="112">
        <f t="shared" si="26"/>
        <v>0</v>
      </c>
      <c r="CX15" s="112">
        <f t="shared" ref="CX15:CX78" si="56">CV15+CW15</f>
        <v>0</v>
      </c>
      <c r="CY15" s="112">
        <f t="shared" si="27"/>
        <v>1085834.5127999999</v>
      </c>
      <c r="CZ15" s="112">
        <f t="shared" si="28"/>
        <v>1125096.0390000001</v>
      </c>
      <c r="DA15" s="106"/>
      <c r="DB15" s="128" t="e">
        <f t="shared" ref="DB15:DB78" si="57">N15/J15*100</f>
        <v>#DIV/0!</v>
      </c>
      <c r="DC15" s="106"/>
      <c r="DD15" s="106"/>
      <c r="DE15" s="106"/>
      <c r="DF15" s="106"/>
      <c r="DG15" s="618">
        <f t="shared" si="29"/>
        <v>0</v>
      </c>
      <c r="DH15" s="618">
        <f t="shared" si="30"/>
        <v>0</v>
      </c>
      <c r="DI15" s="618">
        <f t="shared" si="31"/>
        <v>0</v>
      </c>
      <c r="DJ15" s="115"/>
    </row>
    <row r="16" spans="1:114" s="20" customFormat="1" ht="63.75" customHeight="1">
      <c r="A16" s="20">
        <f t="shared" ref="A16:A79" si="58">A15+1</f>
        <v>3</v>
      </c>
      <c r="B16" s="1503"/>
      <c r="C16" s="803" t="s">
        <v>71</v>
      </c>
      <c r="D16" s="748" t="s">
        <v>141</v>
      </c>
      <c r="E16" s="617">
        <v>4632024035</v>
      </c>
      <c r="F16" s="803" t="s">
        <v>8</v>
      </c>
      <c r="G16" s="751" t="s">
        <v>890</v>
      </c>
      <c r="H16" s="16">
        <f t="shared" si="32"/>
        <v>3184.0320000000002</v>
      </c>
      <c r="I16" s="16">
        <f t="shared" si="32"/>
        <v>3184.0320000000002</v>
      </c>
      <c r="J16" s="38"/>
      <c r="K16" s="38"/>
      <c r="L16" s="16">
        <f>2653.36*1.2</f>
        <v>3184.0320000000002</v>
      </c>
      <c r="M16" s="10"/>
      <c r="N16" s="622">
        <f t="shared" si="33"/>
        <v>3299.1600000000003</v>
      </c>
      <c r="O16" s="622">
        <f t="shared" si="33"/>
        <v>3299.1600000000003</v>
      </c>
      <c r="P16" s="10"/>
      <c r="Q16" s="10"/>
      <c r="R16" s="622">
        <f>2749.3*1.2</f>
        <v>3299.1600000000003</v>
      </c>
      <c r="S16" s="10"/>
      <c r="T16" s="35">
        <v>179.78700000000003</v>
      </c>
      <c r="U16" s="15"/>
      <c r="V16" s="208"/>
      <c r="W16" s="15"/>
      <c r="X16" s="15"/>
      <c r="Y16" s="15"/>
      <c r="Z16" s="35">
        <f t="shared" si="34"/>
        <v>179.78700000000003</v>
      </c>
      <c r="AA16" s="35">
        <v>104.4</v>
      </c>
      <c r="AB16" s="15"/>
      <c r="AC16" s="208"/>
      <c r="AD16" s="15"/>
      <c r="AE16" s="15"/>
      <c r="AF16" s="15"/>
      <c r="AG16" s="35">
        <f t="shared" si="35"/>
        <v>104.4</v>
      </c>
      <c r="AH16" s="35">
        <f t="shared" si="36"/>
        <v>284.18700000000001</v>
      </c>
      <c r="AI16" s="15">
        <f t="shared" si="6"/>
        <v>284.18700000000001</v>
      </c>
      <c r="AJ16" s="15">
        <f t="shared" si="6"/>
        <v>0</v>
      </c>
      <c r="AK16" s="15">
        <f t="shared" si="6"/>
        <v>0</v>
      </c>
      <c r="AL16" s="15">
        <f t="shared" si="6"/>
        <v>0</v>
      </c>
      <c r="AM16" s="15">
        <f t="shared" si="6"/>
        <v>0</v>
      </c>
      <c r="AN16" s="15"/>
      <c r="AO16" s="15">
        <f t="shared" si="7"/>
        <v>284.18700000000001</v>
      </c>
      <c r="AP16" s="15">
        <f t="shared" si="37"/>
        <v>284.18700000000001</v>
      </c>
      <c r="AQ16" s="15">
        <f t="shared" si="38"/>
        <v>284.18700000000001</v>
      </c>
      <c r="AR16" s="127">
        <f t="shared" si="39"/>
        <v>0</v>
      </c>
      <c r="AS16" s="112">
        <f t="shared" si="8"/>
        <v>904860.50198400009</v>
      </c>
      <c r="AT16" s="112">
        <f t="shared" si="8"/>
        <v>0</v>
      </c>
      <c r="AU16" s="112">
        <f t="shared" si="8"/>
        <v>0</v>
      </c>
      <c r="AV16" s="112">
        <f t="shared" si="8"/>
        <v>0</v>
      </c>
      <c r="AW16" s="112">
        <f t="shared" si="8"/>
        <v>0</v>
      </c>
      <c r="AX16" s="112">
        <f t="shared" si="40"/>
        <v>904860.50198400009</v>
      </c>
      <c r="AY16" s="112">
        <f t="shared" si="41"/>
        <v>904860.50198400009</v>
      </c>
      <c r="AZ16" s="112">
        <f t="shared" si="9"/>
        <v>937578.38292000012</v>
      </c>
      <c r="BA16" s="112">
        <f t="shared" si="9"/>
        <v>0</v>
      </c>
      <c r="BB16" s="112">
        <f t="shared" si="9"/>
        <v>0</v>
      </c>
      <c r="BC16" s="112">
        <f t="shared" si="9"/>
        <v>0</v>
      </c>
      <c r="BD16" s="112">
        <f t="shared" si="9"/>
        <v>0</v>
      </c>
      <c r="BE16" s="112">
        <f t="shared" si="42"/>
        <v>937578.38292000012</v>
      </c>
      <c r="BF16" s="112">
        <f t="shared" si="43"/>
        <v>937578.38292000012</v>
      </c>
      <c r="BG16" s="112"/>
      <c r="BH16" s="112"/>
      <c r="BI16" s="112">
        <f t="shared" si="5"/>
        <v>0</v>
      </c>
      <c r="BJ16" s="112"/>
      <c r="BK16" s="112"/>
      <c r="BL16" s="112">
        <f t="shared" si="10"/>
        <v>572447.56118400011</v>
      </c>
      <c r="BM16" s="112">
        <f t="shared" si="10"/>
        <v>0</v>
      </c>
      <c r="BN16" s="112">
        <f t="shared" si="10"/>
        <v>0</v>
      </c>
      <c r="BO16" s="112">
        <f t="shared" si="10"/>
        <v>0</v>
      </c>
      <c r="BP16" s="112">
        <f t="shared" si="10"/>
        <v>0</v>
      </c>
      <c r="BQ16" s="112">
        <f t="shared" si="44"/>
        <v>572447.56118400011</v>
      </c>
      <c r="BR16" s="112">
        <f t="shared" si="45"/>
        <v>572447.56118400011</v>
      </c>
      <c r="BS16" s="112">
        <f t="shared" si="11"/>
        <v>344432.30400000006</v>
      </c>
      <c r="BT16" s="112">
        <f t="shared" si="11"/>
        <v>0</v>
      </c>
      <c r="BU16" s="112">
        <f t="shared" si="11"/>
        <v>0</v>
      </c>
      <c r="BV16" s="112">
        <f t="shared" si="12"/>
        <v>0</v>
      </c>
      <c r="BW16" s="112">
        <f t="shared" si="13"/>
        <v>0</v>
      </c>
      <c r="BX16" s="112">
        <f t="shared" si="46"/>
        <v>344432.30400000006</v>
      </c>
      <c r="BY16" s="112">
        <f t="shared" si="47"/>
        <v>344432.30400000006</v>
      </c>
      <c r="BZ16" s="113">
        <f t="shared" si="48"/>
        <v>0</v>
      </c>
      <c r="CA16" s="113">
        <f t="shared" si="48"/>
        <v>0</v>
      </c>
      <c r="CB16" s="113">
        <f t="shared" si="49"/>
        <v>0</v>
      </c>
      <c r="CC16" s="113" t="e">
        <f t="shared" si="50"/>
        <v>#DIV/0!</v>
      </c>
      <c r="CD16" s="113" t="e">
        <f t="shared" si="50"/>
        <v>#DIV/0!</v>
      </c>
      <c r="CE16" s="113" t="e">
        <f t="shared" si="51"/>
        <v>#DIV/0!</v>
      </c>
      <c r="CF16" s="113" t="e">
        <f t="shared" si="14"/>
        <v>#DIV/0!</v>
      </c>
      <c r="CG16" s="113">
        <f t="shared" si="15"/>
        <v>0</v>
      </c>
      <c r="CH16" s="106" t="e">
        <f t="shared" si="52"/>
        <v>#DIV/0!</v>
      </c>
      <c r="CI16" s="106"/>
      <c r="CJ16" s="208">
        <f t="shared" si="16"/>
        <v>572.44756118400005</v>
      </c>
      <c r="CK16" s="208">
        <f t="shared" si="17"/>
        <v>344.43230400000004</v>
      </c>
      <c r="CL16" s="208">
        <f t="shared" si="53"/>
        <v>916.8798651840001</v>
      </c>
      <c r="CM16" s="112">
        <f t="shared" si="18"/>
        <v>916879.86518400023</v>
      </c>
      <c r="CN16" s="112">
        <f t="shared" si="19"/>
        <v>904860.50198400009</v>
      </c>
      <c r="CO16" s="112">
        <f t="shared" si="20"/>
        <v>904860.50198400009</v>
      </c>
      <c r="CP16" s="112">
        <f t="shared" si="21"/>
        <v>572447.56118400011</v>
      </c>
      <c r="CQ16" s="112">
        <f t="shared" si="22"/>
        <v>937578.38292000012</v>
      </c>
      <c r="CR16" s="112">
        <f t="shared" si="23"/>
        <v>937578.38292000012</v>
      </c>
      <c r="CS16" s="112">
        <f t="shared" si="24"/>
        <v>344432.30400000006</v>
      </c>
      <c r="CT16" s="112">
        <f t="shared" si="54"/>
        <v>1842438.8849040002</v>
      </c>
      <c r="CU16" s="124">
        <f t="shared" si="55"/>
        <v>6483192.0000000009</v>
      </c>
      <c r="CV16" s="112">
        <f t="shared" si="25"/>
        <v>0</v>
      </c>
      <c r="CW16" s="112">
        <f t="shared" si="26"/>
        <v>0</v>
      </c>
      <c r="CX16" s="112">
        <f t="shared" si="56"/>
        <v>0</v>
      </c>
      <c r="CY16" s="112">
        <f t="shared" si="27"/>
        <v>904860.50198400009</v>
      </c>
      <c r="CZ16" s="112">
        <f t="shared" si="28"/>
        <v>937578.38292000012</v>
      </c>
      <c r="DA16" s="106"/>
      <c r="DB16" s="128" t="e">
        <f t="shared" si="57"/>
        <v>#DIV/0!</v>
      </c>
      <c r="DC16" s="106"/>
      <c r="DD16" s="106"/>
      <c r="DE16" s="106"/>
      <c r="DF16" s="106"/>
      <c r="DG16" s="618">
        <f t="shared" si="29"/>
        <v>0</v>
      </c>
      <c r="DH16" s="618">
        <f t="shared" si="30"/>
        <v>0</v>
      </c>
      <c r="DI16" s="618">
        <f t="shared" si="31"/>
        <v>0</v>
      </c>
      <c r="DJ16" s="115"/>
    </row>
    <row r="17" spans="1:114" s="20" customFormat="1" ht="63.75" customHeight="1">
      <c r="A17" s="20">
        <f t="shared" si="58"/>
        <v>4</v>
      </c>
      <c r="B17" s="1504"/>
      <c r="C17" s="803" t="s">
        <v>72</v>
      </c>
      <c r="D17" s="748" t="s">
        <v>141</v>
      </c>
      <c r="E17" s="617">
        <v>4632024035</v>
      </c>
      <c r="F17" s="803" t="s">
        <v>8</v>
      </c>
      <c r="G17" s="751" t="s">
        <v>890</v>
      </c>
      <c r="H17" s="16">
        <f t="shared" si="32"/>
        <v>3184.0320000000002</v>
      </c>
      <c r="I17" s="16">
        <f t="shared" si="32"/>
        <v>3184.0320000000002</v>
      </c>
      <c r="J17" s="38"/>
      <c r="K17" s="38"/>
      <c r="L17" s="16">
        <f>2653.36*1.2</f>
        <v>3184.0320000000002</v>
      </c>
      <c r="M17" s="10"/>
      <c r="N17" s="622">
        <f t="shared" si="33"/>
        <v>3299.1600000000003</v>
      </c>
      <c r="O17" s="622">
        <f t="shared" si="33"/>
        <v>3299.1600000000003</v>
      </c>
      <c r="P17" s="10"/>
      <c r="Q17" s="10"/>
      <c r="R17" s="622">
        <f>2749.3*1.2</f>
        <v>3299.1600000000003</v>
      </c>
      <c r="S17" s="10"/>
      <c r="T17" s="35">
        <v>371.82</v>
      </c>
      <c r="U17" s="15"/>
      <c r="V17" s="208"/>
      <c r="W17" s="15"/>
      <c r="X17" s="15"/>
      <c r="Y17" s="15"/>
      <c r="Z17" s="35">
        <f t="shared" si="34"/>
        <v>371.82</v>
      </c>
      <c r="AA17" s="35">
        <v>259.10500000000002</v>
      </c>
      <c r="AB17" s="15"/>
      <c r="AC17" s="208"/>
      <c r="AD17" s="15"/>
      <c r="AE17" s="15"/>
      <c r="AF17" s="15"/>
      <c r="AG17" s="35">
        <f t="shared" si="35"/>
        <v>259.10500000000002</v>
      </c>
      <c r="AH17" s="35">
        <f t="shared" si="36"/>
        <v>630.92499999999995</v>
      </c>
      <c r="AI17" s="15">
        <f t="shared" si="6"/>
        <v>630.92499999999995</v>
      </c>
      <c r="AJ17" s="15">
        <f t="shared" si="6"/>
        <v>0</v>
      </c>
      <c r="AK17" s="15">
        <f t="shared" si="6"/>
        <v>0</v>
      </c>
      <c r="AL17" s="15">
        <f t="shared" si="6"/>
        <v>0</v>
      </c>
      <c r="AM17" s="15">
        <f t="shared" si="6"/>
        <v>0</v>
      </c>
      <c r="AN17" s="15"/>
      <c r="AO17" s="15">
        <f t="shared" si="7"/>
        <v>630.92499999999995</v>
      </c>
      <c r="AP17" s="15">
        <f t="shared" si="37"/>
        <v>630.92499999999995</v>
      </c>
      <c r="AQ17" s="15">
        <f t="shared" si="38"/>
        <v>630.92499999999995</v>
      </c>
      <c r="AR17" s="127">
        <f t="shared" si="39"/>
        <v>0</v>
      </c>
      <c r="AS17" s="112">
        <f t="shared" si="8"/>
        <v>2008885.3895999999</v>
      </c>
      <c r="AT17" s="112">
        <f t="shared" si="8"/>
        <v>0</v>
      </c>
      <c r="AU17" s="112">
        <f t="shared" si="8"/>
        <v>0</v>
      </c>
      <c r="AV17" s="112">
        <f t="shared" si="8"/>
        <v>0</v>
      </c>
      <c r="AW17" s="112">
        <f t="shared" si="8"/>
        <v>0</v>
      </c>
      <c r="AX17" s="112">
        <f t="shared" si="40"/>
        <v>2008885.3895999999</v>
      </c>
      <c r="AY17" s="112">
        <f t="shared" si="41"/>
        <v>2008885.3895999999</v>
      </c>
      <c r="AZ17" s="112">
        <f t="shared" si="9"/>
        <v>2081522.523</v>
      </c>
      <c r="BA17" s="112">
        <f t="shared" si="9"/>
        <v>0</v>
      </c>
      <c r="BB17" s="112">
        <f t="shared" si="9"/>
        <v>0</v>
      </c>
      <c r="BC17" s="112">
        <f t="shared" si="9"/>
        <v>0</v>
      </c>
      <c r="BD17" s="112">
        <f t="shared" si="9"/>
        <v>0</v>
      </c>
      <c r="BE17" s="112">
        <f t="shared" si="42"/>
        <v>2081522.523</v>
      </c>
      <c r="BF17" s="112">
        <f t="shared" si="43"/>
        <v>2081522.523</v>
      </c>
      <c r="BG17" s="112"/>
      <c r="BH17" s="112"/>
      <c r="BI17" s="112">
        <f t="shared" si="5"/>
        <v>0</v>
      </c>
      <c r="BJ17" s="112"/>
      <c r="BK17" s="112"/>
      <c r="BL17" s="112">
        <f t="shared" si="10"/>
        <v>1183886.7782400001</v>
      </c>
      <c r="BM17" s="112">
        <f t="shared" si="10"/>
        <v>0</v>
      </c>
      <c r="BN17" s="112">
        <f t="shared" si="10"/>
        <v>0</v>
      </c>
      <c r="BO17" s="112">
        <f t="shared" si="10"/>
        <v>0</v>
      </c>
      <c r="BP17" s="112">
        <f t="shared" si="10"/>
        <v>0</v>
      </c>
      <c r="BQ17" s="112">
        <f t="shared" si="44"/>
        <v>1183886.7782400001</v>
      </c>
      <c r="BR17" s="112">
        <f t="shared" si="45"/>
        <v>1183886.7782400001</v>
      </c>
      <c r="BS17" s="112">
        <f t="shared" si="11"/>
        <v>854828.85180000018</v>
      </c>
      <c r="BT17" s="112">
        <f t="shared" si="11"/>
        <v>0</v>
      </c>
      <c r="BU17" s="112">
        <f t="shared" si="11"/>
        <v>0</v>
      </c>
      <c r="BV17" s="112">
        <f t="shared" si="12"/>
        <v>0</v>
      </c>
      <c r="BW17" s="112">
        <f t="shared" si="13"/>
        <v>0</v>
      </c>
      <c r="BX17" s="112">
        <f t="shared" si="46"/>
        <v>854828.85180000018</v>
      </c>
      <c r="BY17" s="112">
        <f t="shared" si="47"/>
        <v>854828.85180000018</v>
      </c>
      <c r="BZ17" s="113">
        <f t="shared" si="48"/>
        <v>0</v>
      </c>
      <c r="CA17" s="113">
        <f t="shared" si="48"/>
        <v>0</v>
      </c>
      <c r="CB17" s="113">
        <f t="shared" si="49"/>
        <v>0</v>
      </c>
      <c r="CC17" s="113" t="e">
        <f t="shared" si="50"/>
        <v>#DIV/0!</v>
      </c>
      <c r="CD17" s="113" t="e">
        <f t="shared" si="50"/>
        <v>#DIV/0!</v>
      </c>
      <c r="CE17" s="113" t="e">
        <f t="shared" si="51"/>
        <v>#DIV/0!</v>
      </c>
      <c r="CF17" s="113" t="e">
        <f t="shared" si="14"/>
        <v>#DIV/0!</v>
      </c>
      <c r="CG17" s="113">
        <f t="shared" si="15"/>
        <v>0</v>
      </c>
      <c r="CH17" s="106" t="e">
        <f t="shared" si="52"/>
        <v>#DIV/0!</v>
      </c>
      <c r="CI17" s="106"/>
      <c r="CJ17" s="208">
        <f t="shared" si="16"/>
        <v>1183.8867782400002</v>
      </c>
      <c r="CK17" s="208">
        <f t="shared" si="17"/>
        <v>854.82885180000017</v>
      </c>
      <c r="CL17" s="208">
        <f t="shared" si="53"/>
        <v>2038.7156300400004</v>
      </c>
      <c r="CM17" s="112">
        <f t="shared" si="18"/>
        <v>2038715.6300400002</v>
      </c>
      <c r="CN17" s="112">
        <f t="shared" si="19"/>
        <v>2008885.3895999999</v>
      </c>
      <c r="CO17" s="112">
        <f t="shared" si="20"/>
        <v>2008885.3895999999</v>
      </c>
      <c r="CP17" s="112">
        <f t="shared" si="21"/>
        <v>1183886.7782400001</v>
      </c>
      <c r="CQ17" s="112">
        <f t="shared" si="22"/>
        <v>2081522.523</v>
      </c>
      <c r="CR17" s="112">
        <f t="shared" si="23"/>
        <v>2081522.523</v>
      </c>
      <c r="CS17" s="112">
        <f t="shared" si="24"/>
        <v>854828.85180000018</v>
      </c>
      <c r="CT17" s="112">
        <f t="shared" si="54"/>
        <v>4090407.9125999999</v>
      </c>
      <c r="CU17" s="124">
        <f t="shared" si="55"/>
        <v>6483192</v>
      </c>
      <c r="CV17" s="112">
        <f t="shared" si="25"/>
        <v>0</v>
      </c>
      <c r="CW17" s="112">
        <f t="shared" si="26"/>
        <v>0</v>
      </c>
      <c r="CX17" s="112">
        <f t="shared" si="56"/>
        <v>0</v>
      </c>
      <c r="CY17" s="112">
        <f t="shared" si="27"/>
        <v>2008885.3895999999</v>
      </c>
      <c r="CZ17" s="112">
        <f t="shared" si="28"/>
        <v>2081522.523</v>
      </c>
      <c r="DA17" s="106"/>
      <c r="DB17" s="128" t="e">
        <f t="shared" si="57"/>
        <v>#DIV/0!</v>
      </c>
      <c r="DC17" s="106"/>
      <c r="DD17" s="106"/>
      <c r="DE17" s="106"/>
      <c r="DF17" s="106"/>
      <c r="DG17" s="618">
        <f t="shared" si="29"/>
        <v>0</v>
      </c>
      <c r="DH17" s="618">
        <f t="shared" si="30"/>
        <v>0</v>
      </c>
      <c r="DI17" s="618">
        <f t="shared" si="31"/>
        <v>0</v>
      </c>
      <c r="DJ17" s="115"/>
    </row>
    <row r="18" spans="1:114" s="8" customFormat="1" ht="96" hidden="1" customHeight="1">
      <c r="A18" s="20">
        <f t="shared" si="58"/>
        <v>5</v>
      </c>
      <c r="B18" s="1555" t="s">
        <v>9</v>
      </c>
      <c r="C18" s="736" t="s">
        <v>73</v>
      </c>
      <c r="D18" s="736" t="s">
        <v>10</v>
      </c>
      <c r="E18" s="737">
        <v>4603009064</v>
      </c>
      <c r="F18" s="736" t="s">
        <v>8</v>
      </c>
      <c r="G18" s="736" t="s">
        <v>879</v>
      </c>
      <c r="H18" s="607">
        <v>2651.47</v>
      </c>
      <c r="I18" s="607">
        <v>2651.47</v>
      </c>
      <c r="J18" s="607">
        <v>2639.84</v>
      </c>
      <c r="K18" s="607">
        <v>0</v>
      </c>
      <c r="L18" s="607">
        <v>2651.47</v>
      </c>
      <c r="M18" s="36">
        <v>0</v>
      </c>
      <c r="N18" s="36">
        <v>2661.73</v>
      </c>
      <c r="O18" s="36">
        <v>2661.73</v>
      </c>
      <c r="P18" s="36">
        <v>2661.73</v>
      </c>
      <c r="Q18" s="36"/>
      <c r="R18" s="36">
        <v>2661.73</v>
      </c>
      <c r="S18" s="36"/>
      <c r="T18" s="173">
        <v>1077</v>
      </c>
      <c r="U18" s="173">
        <v>1388</v>
      </c>
      <c r="V18" s="224">
        <v>0</v>
      </c>
      <c r="W18" s="173">
        <v>170</v>
      </c>
      <c r="X18" s="173">
        <v>0</v>
      </c>
      <c r="Y18" s="173">
        <v>0</v>
      </c>
      <c r="Z18" s="35">
        <f>SUM(T18:W18)</f>
        <v>2635</v>
      </c>
      <c r="AA18" s="173">
        <v>827.06</v>
      </c>
      <c r="AB18" s="173">
        <v>816.18</v>
      </c>
      <c r="AC18" s="224">
        <v>0</v>
      </c>
      <c r="AD18" s="173">
        <v>87.33</v>
      </c>
      <c r="AE18" s="173">
        <v>0</v>
      </c>
      <c r="AF18" s="173">
        <v>0</v>
      </c>
      <c r="AG18" s="35">
        <f>SUM(AA18:AD18)</f>
        <v>1730.5699999999997</v>
      </c>
      <c r="AH18" s="35">
        <f>Z18+AG18</f>
        <v>4365.57</v>
      </c>
      <c r="AI18" s="23">
        <f>T18+AA18</f>
        <v>1904.06</v>
      </c>
      <c r="AJ18" s="23">
        <f>U18+AB18</f>
        <v>2204.1799999999998</v>
      </c>
      <c r="AK18" s="23">
        <f>V18+AC18</f>
        <v>0</v>
      </c>
      <c r="AL18" s="23">
        <f>W18+AD18</f>
        <v>257.33</v>
      </c>
      <c r="AM18" s="15">
        <f t="shared" si="6"/>
        <v>0</v>
      </c>
      <c r="AN18" s="15"/>
      <c r="AO18" s="23">
        <f>SUM(AI18:AN18)</f>
        <v>4365.57</v>
      </c>
      <c r="AP18" s="23">
        <f>SUM(AI18:AM18)</f>
        <v>4365.57</v>
      </c>
      <c r="AQ18" s="23">
        <f>SUM(AI18:AL18)</f>
        <v>4365.57</v>
      </c>
      <c r="AR18" s="127">
        <f t="shared" si="39"/>
        <v>0</v>
      </c>
      <c r="AS18" s="112">
        <f t="shared" si="8"/>
        <v>5048557.9681999991</v>
      </c>
      <c r="AT18" s="112">
        <f t="shared" si="8"/>
        <v>5818682.5312000001</v>
      </c>
      <c r="AU18" s="112">
        <f t="shared" si="8"/>
        <v>0</v>
      </c>
      <c r="AV18" s="112">
        <f t="shared" si="8"/>
        <v>682302.77509999985</v>
      </c>
      <c r="AW18" s="112">
        <f t="shared" si="8"/>
        <v>0</v>
      </c>
      <c r="AX18" s="112">
        <f t="shared" si="40"/>
        <v>11549543.274499999</v>
      </c>
      <c r="AY18" s="112">
        <f t="shared" si="41"/>
        <v>11549543.274499999</v>
      </c>
      <c r="AZ18" s="112">
        <f t="shared" si="9"/>
        <v>5068093.6238000002</v>
      </c>
      <c r="BA18" s="112">
        <f t="shared" si="9"/>
        <v>5866932.0313999997</v>
      </c>
      <c r="BB18" s="112">
        <f t="shared" si="9"/>
        <v>0</v>
      </c>
      <c r="BC18" s="112">
        <f t="shared" si="9"/>
        <v>684942.98089999997</v>
      </c>
      <c r="BD18" s="112">
        <f t="shared" si="9"/>
        <v>0</v>
      </c>
      <c r="BE18" s="112">
        <f t="shared" si="42"/>
        <v>11619968.636100002</v>
      </c>
      <c r="BF18" s="112">
        <f t="shared" si="43"/>
        <v>11619968.636100002</v>
      </c>
      <c r="BG18" s="156">
        <v>16.138999999999999</v>
      </c>
      <c r="BH18" s="118">
        <v>0</v>
      </c>
      <c r="BI18" s="157">
        <f>BG18+BH18</f>
        <v>16.138999999999999</v>
      </c>
      <c r="BJ18" s="112">
        <v>11824.02</v>
      </c>
      <c r="BK18" s="112">
        <v>12321.16</v>
      </c>
      <c r="BL18" s="112">
        <f>I18*T18</f>
        <v>2855633.19</v>
      </c>
      <c r="BM18" s="112">
        <f>J18*U18</f>
        <v>3664097.9200000004</v>
      </c>
      <c r="BN18" s="112">
        <f t="shared" si="10"/>
        <v>0</v>
      </c>
      <c r="BO18" s="112">
        <f>L18*W18</f>
        <v>450749.89999999997</v>
      </c>
      <c r="BP18" s="112">
        <f t="shared" si="10"/>
        <v>0</v>
      </c>
      <c r="BQ18" s="112">
        <f>BL18+BM18+BN18+BO18+BP18</f>
        <v>6970481.0100000007</v>
      </c>
      <c r="BR18" s="112">
        <f>BQ18-BP18</f>
        <v>6970481.0100000007</v>
      </c>
      <c r="BS18" s="112">
        <f>O18*AA18</f>
        <v>2201410.4137999997</v>
      </c>
      <c r="BT18" s="112">
        <f>P18*AB18</f>
        <v>2172450.7914</v>
      </c>
      <c r="BU18" s="112">
        <f t="shared" si="11"/>
        <v>0</v>
      </c>
      <c r="BV18" s="112">
        <f>R18*W18</f>
        <v>452494.1</v>
      </c>
      <c r="BW18" s="112">
        <f t="shared" si="13"/>
        <v>0</v>
      </c>
      <c r="BX18" s="112">
        <f>BS18+BT18+BU18+BV18+BW18</f>
        <v>4826355.3051999994</v>
      </c>
      <c r="BY18" s="112">
        <f>BX18-BW18</f>
        <v>4826355.3051999994</v>
      </c>
      <c r="BZ18" s="113">
        <f>BM18+BT18</f>
        <v>5836548.7114000004</v>
      </c>
      <c r="CA18" s="113">
        <f t="shared" si="48"/>
        <v>0</v>
      </c>
      <c r="CB18" s="113">
        <f>BZ18+CA18</f>
        <v>5836548.7114000004</v>
      </c>
      <c r="CC18" s="119">
        <f>BZ18/AJ18</f>
        <v>2647.9455903782818</v>
      </c>
      <c r="CD18" s="119" t="e">
        <f t="shared" si="50"/>
        <v>#DIV/0!</v>
      </c>
      <c r="CE18" s="119">
        <f t="shared" si="51"/>
        <v>2647.9455903782818</v>
      </c>
      <c r="CF18" s="119">
        <f t="shared" si="14"/>
        <v>2647.9455903782818</v>
      </c>
      <c r="CG18" s="619">
        <f t="shared" si="15"/>
        <v>5852691.1513999999</v>
      </c>
      <c r="CH18" s="132">
        <f t="shared" si="52"/>
        <v>2655.2691483454164</v>
      </c>
      <c r="CI18" s="120"/>
      <c r="CJ18" s="112">
        <f t="shared" si="16"/>
        <v>6986.6234499999991</v>
      </c>
      <c r="CK18" s="112">
        <f t="shared" si="17"/>
        <v>4606.3100860999994</v>
      </c>
      <c r="CL18" s="112">
        <f t="shared" si="53"/>
        <v>11592.933536099998</v>
      </c>
      <c r="CM18" s="112">
        <f t="shared" si="18"/>
        <v>11592933.536099998</v>
      </c>
      <c r="CN18" s="112">
        <f t="shared" si="19"/>
        <v>11549543.274499999</v>
      </c>
      <c r="CO18" s="112">
        <f t="shared" si="20"/>
        <v>11549543.274499999</v>
      </c>
      <c r="CP18" s="112">
        <f t="shared" si="21"/>
        <v>6970481.0100000007</v>
      </c>
      <c r="CQ18" s="112">
        <f t="shared" si="22"/>
        <v>11619968.636100002</v>
      </c>
      <c r="CR18" s="112">
        <f t="shared" si="23"/>
        <v>11619968.636100002</v>
      </c>
      <c r="CS18" s="112">
        <f t="shared" si="24"/>
        <v>4606310.0861</v>
      </c>
      <c r="CT18" s="112">
        <f t="shared" si="54"/>
        <v>23169511.910599999</v>
      </c>
      <c r="CU18" s="124">
        <f t="shared" si="55"/>
        <v>5307328.0031244485</v>
      </c>
      <c r="CV18" s="112">
        <f t="shared" si="25"/>
        <v>5818682.5312000001</v>
      </c>
      <c r="CW18" s="112">
        <f t="shared" si="26"/>
        <v>5866932.0313999997</v>
      </c>
      <c r="CX18" s="112">
        <f t="shared" si="56"/>
        <v>11685614.5626</v>
      </c>
      <c r="CY18" s="112">
        <f t="shared" si="27"/>
        <v>11575177.887899999</v>
      </c>
      <c r="CZ18" s="112">
        <f t="shared" si="28"/>
        <v>11619968.636100002</v>
      </c>
      <c r="DA18" s="120"/>
      <c r="DB18" s="128">
        <f t="shared" si="57"/>
        <v>100.82921692223769</v>
      </c>
      <c r="DC18" s="120"/>
      <c r="DD18" s="120"/>
      <c r="DE18" s="120"/>
      <c r="DF18" s="120"/>
      <c r="DG18" s="618">
        <f t="shared" si="29"/>
        <v>0</v>
      </c>
      <c r="DH18" s="618">
        <f t="shared" si="30"/>
        <v>0</v>
      </c>
      <c r="DI18" s="618">
        <f t="shared" si="31"/>
        <v>0</v>
      </c>
      <c r="DJ18" s="120"/>
    </row>
    <row r="19" spans="1:114" s="724" customFormat="1" ht="89.25" hidden="1" customHeight="1">
      <c r="A19" s="695">
        <f t="shared" si="58"/>
        <v>6</v>
      </c>
      <c r="B19" s="1556"/>
      <c r="C19" s="713" t="s">
        <v>167</v>
      </c>
      <c r="D19" s="696" t="s">
        <v>232</v>
      </c>
      <c r="E19" s="696">
        <v>4603004186</v>
      </c>
      <c r="F19" s="696" t="s">
        <v>8</v>
      </c>
      <c r="G19" s="805" t="s">
        <v>869</v>
      </c>
      <c r="H19" s="697">
        <v>2312.06</v>
      </c>
      <c r="I19" s="697">
        <v>2312.06</v>
      </c>
      <c r="J19" s="697">
        <v>2312.06</v>
      </c>
      <c r="K19" s="697">
        <v>0</v>
      </c>
      <c r="L19" s="697">
        <v>2312.06</v>
      </c>
      <c r="M19" s="714">
        <v>0</v>
      </c>
      <c r="N19" s="714">
        <v>2344.94</v>
      </c>
      <c r="O19" s="714">
        <v>2344.94</v>
      </c>
      <c r="P19" s="714">
        <v>2344.94</v>
      </c>
      <c r="Q19" s="714">
        <v>0</v>
      </c>
      <c r="R19" s="714">
        <v>2344.94</v>
      </c>
      <c r="S19" s="714">
        <v>0</v>
      </c>
      <c r="T19" s="715">
        <v>2356.9499999999998</v>
      </c>
      <c r="U19" s="715">
        <v>1254</v>
      </c>
      <c r="V19" s="715">
        <v>0</v>
      </c>
      <c r="W19" s="715">
        <v>346.56</v>
      </c>
      <c r="X19" s="716">
        <v>0</v>
      </c>
      <c r="Y19" s="716">
        <v>0</v>
      </c>
      <c r="Z19" s="717">
        <f t="shared" si="34"/>
        <v>3957.5099999999998</v>
      </c>
      <c r="AA19" s="715">
        <v>1778.05</v>
      </c>
      <c r="AB19" s="715">
        <v>946</v>
      </c>
      <c r="AC19" s="715">
        <v>0</v>
      </c>
      <c r="AD19" s="715">
        <v>261.44</v>
      </c>
      <c r="AE19" s="716">
        <v>0</v>
      </c>
      <c r="AF19" s="716">
        <v>0</v>
      </c>
      <c r="AG19" s="714">
        <f t="shared" si="35"/>
        <v>2985.4900000000002</v>
      </c>
      <c r="AH19" s="714">
        <f t="shared" si="36"/>
        <v>6943</v>
      </c>
      <c r="AI19" s="714">
        <f t="shared" si="6"/>
        <v>4135</v>
      </c>
      <c r="AJ19" s="714">
        <f t="shared" si="6"/>
        <v>2200</v>
      </c>
      <c r="AK19" s="716">
        <f t="shared" si="6"/>
        <v>0</v>
      </c>
      <c r="AL19" s="714">
        <f t="shared" si="6"/>
        <v>608</v>
      </c>
      <c r="AM19" s="716">
        <f t="shared" si="6"/>
        <v>0</v>
      </c>
      <c r="AN19" s="716">
        <v>0</v>
      </c>
      <c r="AO19" s="714">
        <f>SUM(AI19:AN19)</f>
        <v>6943</v>
      </c>
      <c r="AP19" s="714">
        <f>SUM(AI19:AM19)</f>
        <v>6943</v>
      </c>
      <c r="AQ19" s="714">
        <f>SUM(AI19:AL19)</f>
        <v>6943</v>
      </c>
      <c r="AR19" s="717">
        <f t="shared" si="39"/>
        <v>0</v>
      </c>
      <c r="AS19" s="716">
        <f t="shared" si="8"/>
        <v>9560368.0999999996</v>
      </c>
      <c r="AT19" s="716">
        <f t="shared" si="8"/>
        <v>5086532</v>
      </c>
      <c r="AU19" s="716">
        <f t="shared" si="8"/>
        <v>0</v>
      </c>
      <c r="AV19" s="716">
        <f t="shared" si="8"/>
        <v>1405732.48</v>
      </c>
      <c r="AW19" s="716">
        <f t="shared" si="8"/>
        <v>0</v>
      </c>
      <c r="AX19" s="716">
        <f t="shared" si="40"/>
        <v>16052632.58</v>
      </c>
      <c r="AY19" s="716">
        <f t="shared" si="41"/>
        <v>16052632.58</v>
      </c>
      <c r="AZ19" s="716">
        <f t="shared" si="9"/>
        <v>9696326.9000000004</v>
      </c>
      <c r="BA19" s="716">
        <f t="shared" si="9"/>
        <v>5158868</v>
      </c>
      <c r="BB19" s="716">
        <f t="shared" si="9"/>
        <v>0</v>
      </c>
      <c r="BC19" s="716">
        <f t="shared" si="9"/>
        <v>1425723.52</v>
      </c>
      <c r="BD19" s="716">
        <f t="shared" si="9"/>
        <v>0</v>
      </c>
      <c r="BE19" s="716">
        <f t="shared" si="42"/>
        <v>16280918.42</v>
      </c>
      <c r="BF19" s="716">
        <f t="shared" si="43"/>
        <v>16280918.42</v>
      </c>
      <c r="BG19" s="716">
        <v>0</v>
      </c>
      <c r="BH19" s="716">
        <v>0</v>
      </c>
      <c r="BI19" s="716">
        <f t="shared" si="5"/>
        <v>0</v>
      </c>
      <c r="BJ19" s="716">
        <v>16150.79</v>
      </c>
      <c r="BK19" s="716">
        <v>17925.28</v>
      </c>
      <c r="BL19" s="716">
        <f t="shared" si="10"/>
        <v>5449409.8169999998</v>
      </c>
      <c r="BM19" s="716">
        <f t="shared" si="10"/>
        <v>2899323.2399999998</v>
      </c>
      <c r="BN19" s="716">
        <f t="shared" si="10"/>
        <v>0</v>
      </c>
      <c r="BO19" s="716">
        <f t="shared" si="10"/>
        <v>801267.51359999995</v>
      </c>
      <c r="BP19" s="716">
        <f t="shared" si="10"/>
        <v>0</v>
      </c>
      <c r="BQ19" s="716">
        <f t="shared" si="44"/>
        <v>9150000.5705999993</v>
      </c>
      <c r="BR19" s="716">
        <f t="shared" si="45"/>
        <v>9150000.5705999993</v>
      </c>
      <c r="BS19" s="716">
        <f t="shared" si="11"/>
        <v>4169420.5669999998</v>
      </c>
      <c r="BT19" s="716">
        <f t="shared" si="11"/>
        <v>2218313.2400000002</v>
      </c>
      <c r="BU19" s="716">
        <f t="shared" si="11"/>
        <v>0</v>
      </c>
      <c r="BV19" s="716">
        <f t="shared" si="12"/>
        <v>812662.40639999998</v>
      </c>
      <c r="BW19" s="716">
        <f t="shared" si="13"/>
        <v>0</v>
      </c>
      <c r="BX19" s="716">
        <f t="shared" si="46"/>
        <v>7200396.2133999998</v>
      </c>
      <c r="BY19" s="716">
        <f t="shared" si="47"/>
        <v>7200396.2133999998</v>
      </c>
      <c r="BZ19" s="718">
        <f t="shared" si="48"/>
        <v>5117636.4800000004</v>
      </c>
      <c r="CA19" s="718">
        <f t="shared" si="48"/>
        <v>0</v>
      </c>
      <c r="CB19" s="718">
        <f t="shared" si="49"/>
        <v>5117636.4800000004</v>
      </c>
      <c r="CC19" s="719">
        <f t="shared" si="50"/>
        <v>2326.1984000000002</v>
      </c>
      <c r="CD19" s="719" t="e">
        <f t="shared" si="50"/>
        <v>#DIV/0!</v>
      </c>
      <c r="CE19" s="719">
        <f t="shared" si="51"/>
        <v>2326.1984000000002</v>
      </c>
      <c r="CF19" s="720">
        <f t="shared" si="14"/>
        <v>2326.1984000000002</v>
      </c>
      <c r="CG19" s="721">
        <f t="shared" si="15"/>
        <v>5117636.4800000004</v>
      </c>
      <c r="CH19" s="722">
        <f t="shared" si="52"/>
        <v>2326.1984000000002</v>
      </c>
      <c r="CI19" s="723"/>
      <c r="CJ19" s="716">
        <f t="shared" si="16"/>
        <v>9150.0005705999993</v>
      </c>
      <c r="CK19" s="716">
        <f t="shared" si="17"/>
        <v>7000.7949206000012</v>
      </c>
      <c r="CL19" s="716">
        <f t="shared" si="53"/>
        <v>16150.7954912</v>
      </c>
      <c r="CM19" s="716">
        <f t="shared" si="18"/>
        <v>16150795.4912</v>
      </c>
      <c r="CN19" s="716">
        <f t="shared" si="19"/>
        <v>16052632.58</v>
      </c>
      <c r="CO19" s="716">
        <f t="shared" si="20"/>
        <v>16052632.58</v>
      </c>
      <c r="CP19" s="716">
        <f t="shared" si="21"/>
        <v>9150000.5705999993</v>
      </c>
      <c r="CQ19" s="716">
        <f t="shared" si="22"/>
        <v>16280918.42</v>
      </c>
      <c r="CR19" s="716">
        <f t="shared" si="23"/>
        <v>16280918.42</v>
      </c>
      <c r="CS19" s="716">
        <f t="shared" si="24"/>
        <v>7000794.9205999998</v>
      </c>
      <c r="CT19" s="716">
        <f t="shared" si="54"/>
        <v>32333551</v>
      </c>
      <c r="CU19" s="714">
        <f t="shared" si="55"/>
        <v>4657000</v>
      </c>
      <c r="CV19" s="716">
        <f t="shared" si="25"/>
        <v>5086532</v>
      </c>
      <c r="CW19" s="716">
        <f t="shared" si="26"/>
        <v>5158868</v>
      </c>
      <c r="CX19" s="716">
        <f t="shared" si="56"/>
        <v>10245400</v>
      </c>
      <c r="CY19" s="716">
        <f t="shared" si="27"/>
        <v>16052632.58</v>
      </c>
      <c r="CZ19" s="716">
        <f t="shared" si="28"/>
        <v>16280918.42</v>
      </c>
      <c r="DA19" s="723"/>
      <c r="DB19" s="653">
        <f t="shared" si="57"/>
        <v>101.42210842279181</v>
      </c>
      <c r="DC19" s="723"/>
      <c r="DD19" s="723"/>
      <c r="DE19" s="723"/>
      <c r="DF19" s="723"/>
      <c r="DG19" s="701">
        <f t="shared" si="29"/>
        <v>0</v>
      </c>
      <c r="DH19" s="701">
        <f t="shared" si="30"/>
        <v>0</v>
      </c>
      <c r="DI19" s="701">
        <f t="shared" si="31"/>
        <v>0</v>
      </c>
    </row>
    <row r="20" spans="1:114" s="20" customFormat="1" ht="67.5" customHeight="1">
      <c r="A20" s="20">
        <f t="shared" si="58"/>
        <v>7</v>
      </c>
      <c r="B20" s="1556"/>
      <c r="C20" s="803" t="s">
        <v>132</v>
      </c>
      <c r="D20" s="748" t="s">
        <v>142</v>
      </c>
      <c r="E20" s="617">
        <v>4632024035</v>
      </c>
      <c r="F20" s="803" t="s">
        <v>8</v>
      </c>
      <c r="G20" s="751" t="s">
        <v>890</v>
      </c>
      <c r="H20" s="816">
        <f t="shared" ref="H20:I28" si="59">2653.36*1.2</f>
        <v>3184.0320000000002</v>
      </c>
      <c r="I20" s="816">
        <f t="shared" si="59"/>
        <v>3184.0320000000002</v>
      </c>
      <c r="J20" s="38"/>
      <c r="K20" s="38"/>
      <c r="L20" s="816">
        <f t="shared" ref="L20:L28" si="60">2653.36*1.2</f>
        <v>3184.0320000000002</v>
      </c>
      <c r="M20" s="10"/>
      <c r="N20" s="622">
        <f t="shared" ref="N20:O22" si="61">2749.3*1.2</f>
        <v>3299.1600000000003</v>
      </c>
      <c r="O20" s="622">
        <f t="shared" si="61"/>
        <v>3299.1600000000003</v>
      </c>
      <c r="P20" s="10"/>
      <c r="Q20" s="10"/>
      <c r="R20" s="622">
        <f t="shared" ref="R20:R28" si="62">2749.3*1.2</f>
        <v>3299.1600000000003</v>
      </c>
      <c r="S20" s="10"/>
      <c r="T20" s="35">
        <v>540</v>
      </c>
      <c r="U20" s="15"/>
      <c r="V20" s="208"/>
      <c r="W20" s="15"/>
      <c r="X20" s="15"/>
      <c r="Y20" s="15"/>
      <c r="Z20" s="35">
        <f t="shared" si="34"/>
        <v>540</v>
      </c>
      <c r="AA20" s="35">
        <v>375</v>
      </c>
      <c r="AB20" s="15"/>
      <c r="AC20" s="208"/>
      <c r="AD20" s="15"/>
      <c r="AE20" s="15"/>
      <c r="AF20" s="15"/>
      <c r="AG20" s="35">
        <f t="shared" si="35"/>
        <v>375</v>
      </c>
      <c r="AH20" s="35">
        <f t="shared" si="36"/>
        <v>915</v>
      </c>
      <c r="AI20" s="15">
        <f t="shared" si="6"/>
        <v>915</v>
      </c>
      <c r="AJ20" s="15">
        <f t="shared" si="6"/>
        <v>0</v>
      </c>
      <c r="AK20" s="15">
        <f t="shared" si="6"/>
        <v>0</v>
      </c>
      <c r="AL20" s="15">
        <f t="shared" si="6"/>
        <v>0</v>
      </c>
      <c r="AM20" s="15">
        <f t="shared" si="6"/>
        <v>0</v>
      </c>
      <c r="AN20" s="15"/>
      <c r="AO20" s="15">
        <f t="shared" si="7"/>
        <v>915</v>
      </c>
      <c r="AP20" s="15">
        <f t="shared" si="37"/>
        <v>915</v>
      </c>
      <c r="AQ20" s="15">
        <f t="shared" si="38"/>
        <v>915</v>
      </c>
      <c r="AR20" s="127">
        <f t="shared" si="39"/>
        <v>0</v>
      </c>
      <c r="AS20" s="112">
        <f t="shared" si="8"/>
        <v>2913389.2800000003</v>
      </c>
      <c r="AT20" s="112">
        <f t="shared" si="8"/>
        <v>0</v>
      </c>
      <c r="AU20" s="112">
        <f t="shared" si="8"/>
        <v>0</v>
      </c>
      <c r="AV20" s="112">
        <f t="shared" si="8"/>
        <v>0</v>
      </c>
      <c r="AW20" s="112">
        <f t="shared" si="8"/>
        <v>0</v>
      </c>
      <c r="AX20" s="112">
        <f t="shared" si="40"/>
        <v>2913389.2800000003</v>
      </c>
      <c r="AY20" s="112">
        <f t="shared" si="41"/>
        <v>2913389.2800000003</v>
      </c>
      <c r="AZ20" s="112">
        <f t="shared" si="9"/>
        <v>3018731.4000000004</v>
      </c>
      <c r="BA20" s="112">
        <f t="shared" si="9"/>
        <v>0</v>
      </c>
      <c r="BB20" s="112">
        <f t="shared" si="9"/>
        <v>0</v>
      </c>
      <c r="BC20" s="112">
        <f t="shared" si="9"/>
        <v>0</v>
      </c>
      <c r="BD20" s="112">
        <f t="shared" si="9"/>
        <v>0</v>
      </c>
      <c r="BE20" s="112">
        <f t="shared" si="42"/>
        <v>3018731.4000000004</v>
      </c>
      <c r="BF20" s="112">
        <f t="shared" si="43"/>
        <v>3018731.4000000004</v>
      </c>
      <c r="BG20" s="112"/>
      <c r="BH20" s="112"/>
      <c r="BI20" s="112">
        <f t="shared" si="5"/>
        <v>0</v>
      </c>
      <c r="BJ20" s="112"/>
      <c r="BK20" s="112"/>
      <c r="BL20" s="112">
        <f t="shared" si="10"/>
        <v>1719377.28</v>
      </c>
      <c r="BM20" s="112">
        <f t="shared" si="10"/>
        <v>0</v>
      </c>
      <c r="BN20" s="112">
        <f t="shared" si="10"/>
        <v>0</v>
      </c>
      <c r="BO20" s="112">
        <f t="shared" si="10"/>
        <v>0</v>
      </c>
      <c r="BP20" s="112">
        <f t="shared" si="10"/>
        <v>0</v>
      </c>
      <c r="BQ20" s="112">
        <f t="shared" si="44"/>
        <v>1719377.28</v>
      </c>
      <c r="BR20" s="112">
        <f t="shared" si="45"/>
        <v>1719377.28</v>
      </c>
      <c r="BS20" s="112">
        <f t="shared" si="11"/>
        <v>1237185</v>
      </c>
      <c r="BT20" s="112">
        <f t="shared" si="11"/>
        <v>0</v>
      </c>
      <c r="BU20" s="112">
        <f t="shared" si="11"/>
        <v>0</v>
      </c>
      <c r="BV20" s="112">
        <f t="shared" si="12"/>
        <v>0</v>
      </c>
      <c r="BW20" s="112">
        <f t="shared" si="13"/>
        <v>0</v>
      </c>
      <c r="BX20" s="112">
        <f t="shared" si="46"/>
        <v>1237185</v>
      </c>
      <c r="BY20" s="112">
        <f t="shared" si="47"/>
        <v>1237185</v>
      </c>
      <c r="BZ20" s="113">
        <f t="shared" si="48"/>
        <v>0</v>
      </c>
      <c r="CA20" s="113">
        <f t="shared" si="48"/>
        <v>0</v>
      </c>
      <c r="CB20" s="113">
        <f t="shared" si="49"/>
        <v>0</v>
      </c>
      <c r="CC20" s="122" t="e">
        <f t="shared" si="50"/>
        <v>#DIV/0!</v>
      </c>
      <c r="CD20" s="122" t="e">
        <f t="shared" si="50"/>
        <v>#DIV/0!</v>
      </c>
      <c r="CE20" s="122" t="e">
        <f t="shared" si="51"/>
        <v>#DIV/0!</v>
      </c>
      <c r="CF20" s="113" t="e">
        <f t="shared" si="14"/>
        <v>#DIV/0!</v>
      </c>
      <c r="CG20" s="619">
        <f t="shared" si="15"/>
        <v>0</v>
      </c>
      <c r="CH20" s="132" t="e">
        <f t="shared" si="52"/>
        <v>#DIV/0!</v>
      </c>
      <c r="CI20" s="106"/>
      <c r="CJ20" s="208">
        <f t="shared" si="16"/>
        <v>1719.3772799999999</v>
      </c>
      <c r="CK20" s="208">
        <f t="shared" si="17"/>
        <v>1237.1849999999999</v>
      </c>
      <c r="CL20" s="208">
        <f t="shared" si="53"/>
        <v>2956.5622800000001</v>
      </c>
      <c r="CM20" s="112">
        <f t="shared" si="18"/>
        <v>2956562.2800000003</v>
      </c>
      <c r="CN20" s="112">
        <f t="shared" si="19"/>
        <v>2913389.2800000003</v>
      </c>
      <c r="CO20" s="112">
        <f t="shared" si="20"/>
        <v>2913389.2800000003</v>
      </c>
      <c r="CP20" s="112">
        <f t="shared" si="21"/>
        <v>1719377.28</v>
      </c>
      <c r="CQ20" s="112">
        <f t="shared" si="22"/>
        <v>3018731.4000000004</v>
      </c>
      <c r="CR20" s="112">
        <f t="shared" si="23"/>
        <v>3018731.4000000004</v>
      </c>
      <c r="CS20" s="112">
        <f t="shared" si="24"/>
        <v>1237185</v>
      </c>
      <c r="CT20" s="112">
        <f t="shared" si="54"/>
        <v>5932120.6800000006</v>
      </c>
      <c r="CU20" s="124">
        <f t="shared" si="55"/>
        <v>6483192.0000000009</v>
      </c>
      <c r="CV20" s="112">
        <f t="shared" si="25"/>
        <v>0</v>
      </c>
      <c r="CW20" s="112">
        <f t="shared" si="26"/>
        <v>0</v>
      </c>
      <c r="CX20" s="112">
        <f t="shared" si="56"/>
        <v>0</v>
      </c>
      <c r="CY20" s="112">
        <f t="shared" si="27"/>
        <v>2913389.2800000003</v>
      </c>
      <c r="CZ20" s="112">
        <f t="shared" si="28"/>
        <v>3018731.4000000004</v>
      </c>
      <c r="DA20" s="106"/>
      <c r="DB20" s="128" t="e">
        <f t="shared" si="57"/>
        <v>#DIV/0!</v>
      </c>
      <c r="DC20" s="106"/>
      <c r="DD20" s="106"/>
      <c r="DE20" s="106"/>
      <c r="DF20" s="106"/>
      <c r="DG20" s="618">
        <f t="shared" si="29"/>
        <v>0</v>
      </c>
      <c r="DH20" s="618">
        <f t="shared" si="30"/>
        <v>0</v>
      </c>
      <c r="DI20" s="618">
        <f t="shared" si="31"/>
        <v>0</v>
      </c>
      <c r="DJ20" s="115"/>
    </row>
    <row r="21" spans="1:114" s="20" customFormat="1" ht="66" customHeight="1">
      <c r="A21" s="20">
        <f t="shared" si="58"/>
        <v>8</v>
      </c>
      <c r="B21" s="1557"/>
      <c r="C21" s="803" t="s">
        <v>74</v>
      </c>
      <c r="D21" s="748" t="s">
        <v>141</v>
      </c>
      <c r="E21" s="617">
        <v>4632024035</v>
      </c>
      <c r="F21" s="803" t="s">
        <v>8</v>
      </c>
      <c r="G21" s="751" t="s">
        <v>890</v>
      </c>
      <c r="H21" s="816">
        <f t="shared" si="59"/>
        <v>3184.0320000000002</v>
      </c>
      <c r="I21" s="816">
        <f t="shared" si="59"/>
        <v>3184.0320000000002</v>
      </c>
      <c r="J21" s="38"/>
      <c r="K21" s="38"/>
      <c r="L21" s="816">
        <f t="shared" si="60"/>
        <v>3184.0320000000002</v>
      </c>
      <c r="M21" s="10"/>
      <c r="N21" s="622">
        <f t="shared" si="61"/>
        <v>3299.1600000000003</v>
      </c>
      <c r="O21" s="622">
        <f t="shared" si="61"/>
        <v>3299.1600000000003</v>
      </c>
      <c r="P21" s="10"/>
      <c r="Q21" s="10"/>
      <c r="R21" s="622">
        <f t="shared" si="62"/>
        <v>3299.1600000000003</v>
      </c>
      <c r="S21" s="10"/>
      <c r="T21" s="35">
        <v>375.15600000000001</v>
      </c>
      <c r="U21" s="15"/>
      <c r="V21" s="208"/>
      <c r="W21" s="15"/>
      <c r="X21" s="15"/>
      <c r="Y21" s="15"/>
      <c r="Z21" s="35">
        <f t="shared" si="34"/>
        <v>375.15600000000001</v>
      </c>
      <c r="AA21" s="35">
        <v>217.84800000000001</v>
      </c>
      <c r="AB21" s="15"/>
      <c r="AC21" s="208"/>
      <c r="AD21" s="15"/>
      <c r="AE21" s="15"/>
      <c r="AF21" s="15"/>
      <c r="AG21" s="35">
        <f t="shared" si="35"/>
        <v>217.84800000000001</v>
      </c>
      <c r="AH21" s="35">
        <f t="shared" si="36"/>
        <v>593.00400000000002</v>
      </c>
      <c r="AI21" s="15">
        <f t="shared" si="6"/>
        <v>593.00400000000002</v>
      </c>
      <c r="AJ21" s="15">
        <f t="shared" si="6"/>
        <v>0</v>
      </c>
      <c r="AK21" s="15">
        <f t="shared" si="6"/>
        <v>0</v>
      </c>
      <c r="AL21" s="15">
        <f t="shared" si="6"/>
        <v>0</v>
      </c>
      <c r="AM21" s="15">
        <f t="shared" si="6"/>
        <v>0</v>
      </c>
      <c r="AN21" s="15"/>
      <c r="AO21" s="15">
        <f t="shared" si="7"/>
        <v>593.00400000000002</v>
      </c>
      <c r="AP21" s="15">
        <f t="shared" si="37"/>
        <v>593.00400000000002</v>
      </c>
      <c r="AQ21" s="15">
        <f t="shared" si="38"/>
        <v>593.00400000000002</v>
      </c>
      <c r="AR21" s="127">
        <f t="shared" si="39"/>
        <v>0</v>
      </c>
      <c r="AS21" s="112">
        <f t="shared" si="8"/>
        <v>1888143.7121280001</v>
      </c>
      <c r="AT21" s="112">
        <f t="shared" si="8"/>
        <v>0</v>
      </c>
      <c r="AU21" s="112">
        <f t="shared" si="8"/>
        <v>0</v>
      </c>
      <c r="AV21" s="112">
        <f t="shared" si="8"/>
        <v>0</v>
      </c>
      <c r="AW21" s="112">
        <f t="shared" si="8"/>
        <v>0</v>
      </c>
      <c r="AX21" s="112">
        <f t="shared" si="40"/>
        <v>1888143.7121280001</v>
      </c>
      <c r="AY21" s="112">
        <f t="shared" si="41"/>
        <v>1888143.7121280001</v>
      </c>
      <c r="AZ21" s="112">
        <f t="shared" si="9"/>
        <v>1956415.0766400003</v>
      </c>
      <c r="BA21" s="112">
        <f t="shared" si="9"/>
        <v>0</v>
      </c>
      <c r="BB21" s="112">
        <f t="shared" si="9"/>
        <v>0</v>
      </c>
      <c r="BC21" s="112">
        <f t="shared" si="9"/>
        <v>0</v>
      </c>
      <c r="BD21" s="112">
        <f t="shared" si="9"/>
        <v>0</v>
      </c>
      <c r="BE21" s="112">
        <f t="shared" si="42"/>
        <v>1956415.0766400003</v>
      </c>
      <c r="BF21" s="112">
        <f t="shared" si="43"/>
        <v>1956415.0766400003</v>
      </c>
      <c r="BG21" s="112"/>
      <c r="BH21" s="112"/>
      <c r="BI21" s="112">
        <f t="shared" si="5"/>
        <v>0</v>
      </c>
      <c r="BJ21" s="112"/>
      <c r="BK21" s="112"/>
      <c r="BL21" s="112">
        <f t="shared" si="10"/>
        <v>1194508.708992</v>
      </c>
      <c r="BM21" s="112">
        <f t="shared" si="10"/>
        <v>0</v>
      </c>
      <c r="BN21" s="112">
        <f t="shared" si="10"/>
        <v>0</v>
      </c>
      <c r="BO21" s="112">
        <f t="shared" si="10"/>
        <v>0</v>
      </c>
      <c r="BP21" s="112">
        <f t="shared" si="10"/>
        <v>0</v>
      </c>
      <c r="BQ21" s="112">
        <f t="shared" si="44"/>
        <v>1194508.708992</v>
      </c>
      <c r="BR21" s="112">
        <f t="shared" si="45"/>
        <v>1194508.708992</v>
      </c>
      <c r="BS21" s="112">
        <f t="shared" si="11"/>
        <v>718715.40768000006</v>
      </c>
      <c r="BT21" s="112">
        <f t="shared" si="11"/>
        <v>0</v>
      </c>
      <c r="BU21" s="112">
        <f t="shared" si="11"/>
        <v>0</v>
      </c>
      <c r="BV21" s="112">
        <f t="shared" si="12"/>
        <v>0</v>
      </c>
      <c r="BW21" s="112">
        <f t="shared" si="13"/>
        <v>0</v>
      </c>
      <c r="BX21" s="112">
        <f t="shared" si="46"/>
        <v>718715.40768000006</v>
      </c>
      <c r="BY21" s="112">
        <f t="shared" si="47"/>
        <v>718715.40768000006</v>
      </c>
      <c r="BZ21" s="113">
        <f t="shared" si="48"/>
        <v>0</v>
      </c>
      <c r="CA21" s="113">
        <f t="shared" si="48"/>
        <v>0</v>
      </c>
      <c r="CB21" s="113">
        <f t="shared" si="49"/>
        <v>0</v>
      </c>
      <c r="CC21" s="122" t="e">
        <f t="shared" si="50"/>
        <v>#DIV/0!</v>
      </c>
      <c r="CD21" s="122" t="e">
        <f t="shared" si="50"/>
        <v>#DIV/0!</v>
      </c>
      <c r="CE21" s="122" t="e">
        <f t="shared" si="51"/>
        <v>#DIV/0!</v>
      </c>
      <c r="CF21" s="113" t="e">
        <f t="shared" si="14"/>
        <v>#DIV/0!</v>
      </c>
      <c r="CG21" s="619">
        <f t="shared" si="15"/>
        <v>0</v>
      </c>
      <c r="CH21" s="132" t="e">
        <f t="shared" si="52"/>
        <v>#DIV/0!</v>
      </c>
      <c r="CI21" s="106"/>
      <c r="CJ21" s="208">
        <f t="shared" si="16"/>
        <v>1194.508708992</v>
      </c>
      <c r="CK21" s="208">
        <f t="shared" si="17"/>
        <v>718.71540768000011</v>
      </c>
      <c r="CL21" s="208">
        <f t="shared" si="53"/>
        <v>1913.224116672</v>
      </c>
      <c r="CM21" s="112">
        <f t="shared" si="18"/>
        <v>1913224.1166719999</v>
      </c>
      <c r="CN21" s="112">
        <f t="shared" si="19"/>
        <v>1888143.7121280001</v>
      </c>
      <c r="CO21" s="112">
        <f t="shared" si="20"/>
        <v>1888143.7121280001</v>
      </c>
      <c r="CP21" s="112">
        <f t="shared" si="21"/>
        <v>1194508.708992</v>
      </c>
      <c r="CQ21" s="112">
        <f t="shared" si="22"/>
        <v>1956415.0766400003</v>
      </c>
      <c r="CR21" s="112">
        <f t="shared" si="23"/>
        <v>1956415.0766400003</v>
      </c>
      <c r="CS21" s="112">
        <f t="shared" si="24"/>
        <v>718715.40768000006</v>
      </c>
      <c r="CT21" s="112">
        <f t="shared" si="54"/>
        <v>3844558.7887680004</v>
      </c>
      <c r="CU21" s="124">
        <f t="shared" si="55"/>
        <v>6483192.0000000009</v>
      </c>
      <c r="CV21" s="112">
        <f t="shared" si="25"/>
        <v>0</v>
      </c>
      <c r="CW21" s="112">
        <f t="shared" si="26"/>
        <v>0</v>
      </c>
      <c r="CX21" s="112">
        <f t="shared" si="56"/>
        <v>0</v>
      </c>
      <c r="CY21" s="112">
        <f t="shared" si="27"/>
        <v>1888143.7121280001</v>
      </c>
      <c r="CZ21" s="112">
        <f t="shared" si="28"/>
        <v>1956415.0766400003</v>
      </c>
      <c r="DA21" s="106"/>
      <c r="DB21" s="128" t="e">
        <f t="shared" si="57"/>
        <v>#DIV/0!</v>
      </c>
      <c r="DC21" s="106"/>
      <c r="DD21" s="106"/>
      <c r="DE21" s="106"/>
      <c r="DF21" s="106"/>
      <c r="DG21" s="618">
        <f t="shared" si="29"/>
        <v>0</v>
      </c>
      <c r="DH21" s="618">
        <f t="shared" si="30"/>
        <v>0</v>
      </c>
      <c r="DI21" s="618">
        <f t="shared" si="31"/>
        <v>0</v>
      </c>
      <c r="DJ21" s="115"/>
    </row>
    <row r="22" spans="1:114" s="32" customFormat="1" ht="63.75" customHeight="1">
      <c r="A22" s="20">
        <f t="shared" si="58"/>
        <v>9</v>
      </c>
      <c r="B22" s="1502" t="s">
        <v>11</v>
      </c>
      <c r="C22" s="803" t="s">
        <v>75</v>
      </c>
      <c r="D22" s="748" t="s">
        <v>142</v>
      </c>
      <c r="E22" s="617">
        <v>4632024035</v>
      </c>
      <c r="F22" s="803" t="s">
        <v>8</v>
      </c>
      <c r="G22" s="751" t="s">
        <v>890</v>
      </c>
      <c r="H22" s="816">
        <f t="shared" si="59"/>
        <v>3184.0320000000002</v>
      </c>
      <c r="I22" s="816">
        <f t="shared" si="59"/>
        <v>3184.0320000000002</v>
      </c>
      <c r="J22" s="38">
        <v>2103.35</v>
      </c>
      <c r="K22" s="38"/>
      <c r="L22" s="816">
        <f t="shared" si="60"/>
        <v>3184.0320000000002</v>
      </c>
      <c r="M22" s="38"/>
      <c r="N22" s="622">
        <f t="shared" si="61"/>
        <v>3299.1600000000003</v>
      </c>
      <c r="O22" s="622">
        <f t="shared" si="61"/>
        <v>3299.1600000000003</v>
      </c>
      <c r="P22" s="38">
        <v>2239.86</v>
      </c>
      <c r="Q22" s="38"/>
      <c r="R22" s="622">
        <f t="shared" si="62"/>
        <v>3299.1600000000003</v>
      </c>
      <c r="S22" s="38"/>
      <c r="T22" s="16">
        <f>3184.688+141.433</f>
        <v>3326.1210000000001</v>
      </c>
      <c r="U22" s="16">
        <v>565.57600000000002</v>
      </c>
      <c r="V22" s="227"/>
      <c r="W22" s="16"/>
      <c r="X22" s="16"/>
      <c r="Y22" s="16"/>
      <c r="Z22" s="178">
        <f t="shared" si="34"/>
        <v>3891.6970000000001</v>
      </c>
      <c r="AA22" s="16">
        <f>1810.608+82.128</f>
        <v>1892.7359999999999</v>
      </c>
      <c r="AB22" s="16">
        <v>424.18200000000002</v>
      </c>
      <c r="AC22" s="227"/>
      <c r="AD22" s="16"/>
      <c r="AE22" s="16"/>
      <c r="AF22" s="16"/>
      <c r="AG22" s="178">
        <f t="shared" si="35"/>
        <v>2316.9179999999997</v>
      </c>
      <c r="AH22" s="178">
        <f t="shared" si="36"/>
        <v>6208.6149999999998</v>
      </c>
      <c r="AI22" s="16">
        <f t="shared" si="6"/>
        <v>5218.857</v>
      </c>
      <c r="AJ22" s="16">
        <f t="shared" si="6"/>
        <v>989.75800000000004</v>
      </c>
      <c r="AK22" s="16">
        <f t="shared" si="6"/>
        <v>0</v>
      </c>
      <c r="AL22" s="16">
        <f t="shared" si="6"/>
        <v>0</v>
      </c>
      <c r="AM22" s="16">
        <f t="shared" si="6"/>
        <v>0</v>
      </c>
      <c r="AN22" s="16"/>
      <c r="AO22" s="16">
        <f t="shared" si="7"/>
        <v>6208.6149999999998</v>
      </c>
      <c r="AP22" s="16">
        <f t="shared" si="37"/>
        <v>6208.6149999999998</v>
      </c>
      <c r="AQ22" s="16">
        <f t="shared" si="38"/>
        <v>6208.6149999999998</v>
      </c>
      <c r="AR22" s="127">
        <f t="shared" si="39"/>
        <v>0</v>
      </c>
      <c r="AS22" s="112">
        <f t="shared" si="8"/>
        <v>16617007.691424001</v>
      </c>
      <c r="AT22" s="112">
        <f t="shared" si="8"/>
        <v>2081807.4893</v>
      </c>
      <c r="AU22" s="112">
        <f t="shared" si="8"/>
        <v>0</v>
      </c>
      <c r="AV22" s="112">
        <f t="shared" si="8"/>
        <v>0</v>
      </c>
      <c r="AW22" s="112">
        <f t="shared" si="8"/>
        <v>0</v>
      </c>
      <c r="AX22" s="112">
        <f t="shared" si="40"/>
        <v>18698815.180724002</v>
      </c>
      <c r="AY22" s="112">
        <f t="shared" si="41"/>
        <v>18698815.180724002</v>
      </c>
      <c r="AZ22" s="112">
        <f t="shared" si="9"/>
        <v>17217844.260120001</v>
      </c>
      <c r="BA22" s="112">
        <f t="shared" si="9"/>
        <v>2216919.3538800003</v>
      </c>
      <c r="BB22" s="112">
        <f t="shared" si="9"/>
        <v>0</v>
      </c>
      <c r="BC22" s="112">
        <f t="shared" si="9"/>
        <v>0</v>
      </c>
      <c r="BD22" s="112">
        <f t="shared" si="9"/>
        <v>0</v>
      </c>
      <c r="BE22" s="112">
        <f t="shared" si="42"/>
        <v>19434763.614</v>
      </c>
      <c r="BF22" s="112">
        <f t="shared" si="43"/>
        <v>19434763.614</v>
      </c>
      <c r="BG22" s="623">
        <f>(I22-J22)/1.2*U22/1000</f>
        <v>509.33983569333355</v>
      </c>
      <c r="BH22" s="624">
        <f>(O22-P22)/1.2*AB22/1000</f>
        <v>374.44666050000012</v>
      </c>
      <c r="BI22" s="623">
        <f t="shared" si="5"/>
        <v>883.78649619333373</v>
      </c>
      <c r="BJ22" s="169"/>
      <c r="BK22" s="169"/>
      <c r="BL22" s="112">
        <f t="shared" si="10"/>
        <v>10590475.699872</v>
      </c>
      <c r="BM22" s="112">
        <f t="shared" si="10"/>
        <v>1189604.2796</v>
      </c>
      <c r="BN22" s="112">
        <f t="shared" si="10"/>
        <v>0</v>
      </c>
      <c r="BO22" s="112">
        <f t="shared" si="10"/>
        <v>0</v>
      </c>
      <c r="BP22" s="112">
        <f t="shared" si="10"/>
        <v>0</v>
      </c>
      <c r="BQ22" s="112">
        <f t="shared" si="44"/>
        <v>11780079.979472</v>
      </c>
      <c r="BR22" s="112">
        <f t="shared" si="45"/>
        <v>11780079.979472</v>
      </c>
      <c r="BS22" s="112">
        <f t="shared" si="11"/>
        <v>6244438.9017599998</v>
      </c>
      <c r="BT22" s="112">
        <f t="shared" si="11"/>
        <v>950108.29452000011</v>
      </c>
      <c r="BU22" s="112">
        <f t="shared" si="11"/>
        <v>0</v>
      </c>
      <c r="BV22" s="112">
        <f t="shared" si="12"/>
        <v>0</v>
      </c>
      <c r="BW22" s="112">
        <f t="shared" si="13"/>
        <v>0</v>
      </c>
      <c r="BX22" s="112">
        <f t="shared" si="46"/>
        <v>7194547.1962799998</v>
      </c>
      <c r="BY22" s="112">
        <f t="shared" si="47"/>
        <v>7194547.1962799998</v>
      </c>
      <c r="BZ22" s="113">
        <f t="shared" si="48"/>
        <v>2139712.57412</v>
      </c>
      <c r="CA22" s="113">
        <f t="shared" si="48"/>
        <v>0</v>
      </c>
      <c r="CB22" s="113">
        <f t="shared" si="49"/>
        <v>2139712.57412</v>
      </c>
      <c r="CC22" s="119">
        <f t="shared" si="50"/>
        <v>2161.8542857142857</v>
      </c>
      <c r="CD22" s="119" t="e">
        <f t="shared" si="50"/>
        <v>#DIV/0!</v>
      </c>
      <c r="CE22" s="119">
        <f t="shared" si="51"/>
        <v>2161.8542857142857</v>
      </c>
      <c r="CF22" s="119">
        <f t="shared" si="14"/>
        <v>2161.8542857142857</v>
      </c>
      <c r="CG22" s="619">
        <f t="shared" si="15"/>
        <v>3200256.3695520004</v>
      </c>
      <c r="CH22" s="132">
        <f t="shared" si="52"/>
        <v>3233.3725714285715</v>
      </c>
      <c r="CI22" s="625"/>
      <c r="CJ22" s="208">
        <f t="shared" si="16"/>
        <v>12391.287782304</v>
      </c>
      <c r="CK22" s="208">
        <f t="shared" si="17"/>
        <v>7643.8831888799996</v>
      </c>
      <c r="CL22" s="208">
        <f t="shared" si="53"/>
        <v>20035.170971184001</v>
      </c>
      <c r="CM22" s="112">
        <f t="shared" si="18"/>
        <v>20035170.971184</v>
      </c>
      <c r="CN22" s="112">
        <f t="shared" si="19"/>
        <v>18698815.180724002</v>
      </c>
      <c r="CO22" s="112">
        <f t="shared" si="20"/>
        <v>18698815.180724002</v>
      </c>
      <c r="CP22" s="112">
        <f t="shared" si="21"/>
        <v>11780079.979472</v>
      </c>
      <c r="CQ22" s="112">
        <f t="shared" si="22"/>
        <v>19434763.614</v>
      </c>
      <c r="CR22" s="112">
        <f t="shared" si="23"/>
        <v>19434763.614</v>
      </c>
      <c r="CS22" s="112">
        <f t="shared" si="24"/>
        <v>7194547.1962799998</v>
      </c>
      <c r="CT22" s="112">
        <f t="shared" si="54"/>
        <v>38133578.794724002</v>
      </c>
      <c r="CU22" s="124">
        <f t="shared" si="55"/>
        <v>6142042.7574787615</v>
      </c>
      <c r="CV22" s="112">
        <f t="shared" si="25"/>
        <v>2081807.4893</v>
      </c>
      <c r="CW22" s="112">
        <f t="shared" si="26"/>
        <v>2216919.3538800003</v>
      </c>
      <c r="CX22" s="112">
        <f t="shared" si="56"/>
        <v>4298726.8431800008</v>
      </c>
      <c r="CY22" s="112">
        <f t="shared" si="27"/>
        <v>19768428.83568</v>
      </c>
      <c r="CZ22" s="112">
        <f t="shared" si="28"/>
        <v>20483214.2634</v>
      </c>
      <c r="DA22" s="625"/>
      <c r="DB22" s="128">
        <f t="shared" si="57"/>
        <v>156.8526398364514</v>
      </c>
      <c r="DC22" s="625"/>
      <c r="DD22" s="625"/>
      <c r="DE22" s="625"/>
      <c r="DF22" s="625"/>
      <c r="DG22" s="618">
        <f t="shared" si="29"/>
        <v>0</v>
      </c>
      <c r="DH22" s="618">
        <f t="shared" si="30"/>
        <v>0</v>
      </c>
      <c r="DI22" s="618">
        <f t="shared" si="31"/>
        <v>0</v>
      </c>
      <c r="DJ22" s="123"/>
    </row>
    <row r="23" spans="1:114" s="20" customFormat="1" ht="63.75" customHeight="1">
      <c r="A23" s="20">
        <f t="shared" si="58"/>
        <v>10</v>
      </c>
      <c r="B23" s="1503"/>
      <c r="C23" s="803" t="s">
        <v>76</v>
      </c>
      <c r="D23" s="748" t="s">
        <v>141</v>
      </c>
      <c r="E23" s="617">
        <v>4632024035</v>
      </c>
      <c r="F23" s="803" t="s">
        <v>8</v>
      </c>
      <c r="G23" s="751" t="s">
        <v>890</v>
      </c>
      <c r="H23" s="816">
        <f t="shared" si="59"/>
        <v>3184.0320000000002</v>
      </c>
      <c r="I23" s="816">
        <f t="shared" si="59"/>
        <v>3184.0320000000002</v>
      </c>
      <c r="J23" s="38"/>
      <c r="K23" s="38"/>
      <c r="L23" s="816">
        <f t="shared" si="60"/>
        <v>3184.0320000000002</v>
      </c>
      <c r="M23" s="10"/>
      <c r="N23" s="622">
        <f t="shared" ref="N23:O27" si="63">2749.3*1.2</f>
        <v>3299.1600000000003</v>
      </c>
      <c r="O23" s="622">
        <f t="shared" si="63"/>
        <v>3299.1600000000003</v>
      </c>
      <c r="P23" s="10"/>
      <c r="Q23" s="10"/>
      <c r="R23" s="622">
        <f t="shared" si="62"/>
        <v>3299.1600000000003</v>
      </c>
      <c r="S23" s="10"/>
      <c r="T23" s="35">
        <f>203.758</f>
        <v>203.75800000000001</v>
      </c>
      <c r="U23" s="15"/>
      <c r="V23" s="208"/>
      <c r="W23" s="15"/>
      <c r="X23" s="15"/>
      <c r="Y23" s="15"/>
      <c r="Z23" s="35">
        <f t="shared" si="34"/>
        <v>203.75800000000001</v>
      </c>
      <c r="AA23" s="35">
        <v>118.32000000000001</v>
      </c>
      <c r="AB23" s="15"/>
      <c r="AC23" s="208"/>
      <c r="AD23" s="15"/>
      <c r="AE23" s="15"/>
      <c r="AF23" s="15"/>
      <c r="AG23" s="35">
        <f t="shared" si="35"/>
        <v>118.32000000000001</v>
      </c>
      <c r="AH23" s="35">
        <f t="shared" si="36"/>
        <v>322.07800000000003</v>
      </c>
      <c r="AI23" s="15">
        <f t="shared" si="6"/>
        <v>322.07800000000003</v>
      </c>
      <c r="AJ23" s="15">
        <f t="shared" si="6"/>
        <v>0</v>
      </c>
      <c r="AK23" s="15">
        <f t="shared" si="6"/>
        <v>0</v>
      </c>
      <c r="AL23" s="15">
        <f t="shared" si="6"/>
        <v>0</v>
      </c>
      <c r="AM23" s="15">
        <f t="shared" si="6"/>
        <v>0</v>
      </c>
      <c r="AN23" s="15"/>
      <c r="AO23" s="15">
        <f t="shared" si="7"/>
        <v>322.07800000000003</v>
      </c>
      <c r="AP23" s="15">
        <f t="shared" si="37"/>
        <v>322.07800000000003</v>
      </c>
      <c r="AQ23" s="15">
        <f t="shared" si="38"/>
        <v>322.07800000000003</v>
      </c>
      <c r="AR23" s="127">
        <f t="shared" si="39"/>
        <v>0</v>
      </c>
      <c r="AS23" s="112">
        <f t="shared" si="8"/>
        <v>1025506.6584960001</v>
      </c>
      <c r="AT23" s="112">
        <f t="shared" si="8"/>
        <v>0</v>
      </c>
      <c r="AU23" s="112">
        <f t="shared" si="8"/>
        <v>0</v>
      </c>
      <c r="AV23" s="112">
        <f t="shared" si="8"/>
        <v>0</v>
      </c>
      <c r="AW23" s="112">
        <f t="shared" si="8"/>
        <v>0</v>
      </c>
      <c r="AX23" s="112">
        <f t="shared" si="40"/>
        <v>1025506.6584960001</v>
      </c>
      <c r="AY23" s="112">
        <f t="shared" si="41"/>
        <v>1025506.6584960001</v>
      </c>
      <c r="AZ23" s="112">
        <f t="shared" si="9"/>
        <v>1062586.8544800002</v>
      </c>
      <c r="BA23" s="112">
        <f t="shared" si="9"/>
        <v>0</v>
      </c>
      <c r="BB23" s="112">
        <f t="shared" si="9"/>
        <v>0</v>
      </c>
      <c r="BC23" s="112">
        <f t="shared" si="9"/>
        <v>0</v>
      </c>
      <c r="BD23" s="112">
        <f t="shared" si="9"/>
        <v>0</v>
      </c>
      <c r="BE23" s="112">
        <f t="shared" si="42"/>
        <v>1062586.8544800002</v>
      </c>
      <c r="BF23" s="112">
        <f t="shared" si="43"/>
        <v>1062586.8544800002</v>
      </c>
      <c r="BG23" s="112"/>
      <c r="BH23" s="112"/>
      <c r="BI23" s="112">
        <f t="shared" si="5"/>
        <v>0</v>
      </c>
      <c r="BJ23" s="112"/>
      <c r="BK23" s="112"/>
      <c r="BL23" s="112">
        <f t="shared" si="10"/>
        <v>648771.99225600006</v>
      </c>
      <c r="BM23" s="112">
        <f t="shared" si="10"/>
        <v>0</v>
      </c>
      <c r="BN23" s="112">
        <f t="shared" si="10"/>
        <v>0</v>
      </c>
      <c r="BO23" s="112">
        <f t="shared" si="10"/>
        <v>0</v>
      </c>
      <c r="BP23" s="112">
        <f t="shared" si="10"/>
        <v>0</v>
      </c>
      <c r="BQ23" s="112">
        <f t="shared" si="44"/>
        <v>648771.99225600006</v>
      </c>
      <c r="BR23" s="112">
        <f t="shared" si="45"/>
        <v>648771.99225600006</v>
      </c>
      <c r="BS23" s="112">
        <f t="shared" si="11"/>
        <v>390356.61120000004</v>
      </c>
      <c r="BT23" s="112">
        <f t="shared" si="11"/>
        <v>0</v>
      </c>
      <c r="BU23" s="112">
        <f t="shared" si="11"/>
        <v>0</v>
      </c>
      <c r="BV23" s="112">
        <f t="shared" si="12"/>
        <v>0</v>
      </c>
      <c r="BW23" s="112">
        <f t="shared" si="13"/>
        <v>0</v>
      </c>
      <c r="BX23" s="112">
        <f t="shared" si="46"/>
        <v>390356.61120000004</v>
      </c>
      <c r="BY23" s="112">
        <f t="shared" si="47"/>
        <v>390356.61120000004</v>
      </c>
      <c r="BZ23" s="113">
        <f t="shared" si="48"/>
        <v>0</v>
      </c>
      <c r="CA23" s="113">
        <f t="shared" si="48"/>
        <v>0</v>
      </c>
      <c r="CB23" s="113">
        <f t="shared" si="49"/>
        <v>0</v>
      </c>
      <c r="CC23" s="119" t="e">
        <f t="shared" si="50"/>
        <v>#DIV/0!</v>
      </c>
      <c r="CD23" s="119" t="e">
        <f t="shared" si="50"/>
        <v>#DIV/0!</v>
      </c>
      <c r="CE23" s="119" t="e">
        <f t="shared" si="51"/>
        <v>#DIV/0!</v>
      </c>
      <c r="CF23" s="113" t="e">
        <f t="shared" si="14"/>
        <v>#DIV/0!</v>
      </c>
      <c r="CG23" s="619">
        <f t="shared" si="15"/>
        <v>0</v>
      </c>
      <c r="CH23" s="132" t="e">
        <f t="shared" si="52"/>
        <v>#DIV/0!</v>
      </c>
      <c r="CI23" s="106"/>
      <c r="CJ23" s="208">
        <f t="shared" si="16"/>
        <v>648.77199225600009</v>
      </c>
      <c r="CK23" s="208">
        <f t="shared" si="17"/>
        <v>390.35661120000003</v>
      </c>
      <c r="CL23" s="208">
        <f t="shared" si="53"/>
        <v>1039.1286034560001</v>
      </c>
      <c r="CM23" s="112">
        <f t="shared" si="18"/>
        <v>1039128.6034560001</v>
      </c>
      <c r="CN23" s="112">
        <f t="shared" si="19"/>
        <v>1025506.6584960001</v>
      </c>
      <c r="CO23" s="112">
        <f t="shared" si="20"/>
        <v>1025506.6584960001</v>
      </c>
      <c r="CP23" s="112">
        <f t="shared" si="21"/>
        <v>648771.99225600006</v>
      </c>
      <c r="CQ23" s="112">
        <f t="shared" si="22"/>
        <v>1062586.8544800002</v>
      </c>
      <c r="CR23" s="112">
        <f t="shared" si="23"/>
        <v>1062586.8544800002</v>
      </c>
      <c r="CS23" s="112">
        <f t="shared" si="24"/>
        <v>390356.61120000004</v>
      </c>
      <c r="CT23" s="112">
        <f t="shared" si="54"/>
        <v>2088093.5129760003</v>
      </c>
      <c r="CU23" s="124">
        <f t="shared" si="55"/>
        <v>6483192</v>
      </c>
      <c r="CV23" s="112">
        <f t="shared" si="25"/>
        <v>0</v>
      </c>
      <c r="CW23" s="112">
        <f t="shared" si="26"/>
        <v>0</v>
      </c>
      <c r="CX23" s="112">
        <f t="shared" si="56"/>
        <v>0</v>
      </c>
      <c r="CY23" s="112">
        <f t="shared" si="27"/>
        <v>1025506.6584960001</v>
      </c>
      <c r="CZ23" s="112">
        <f t="shared" si="28"/>
        <v>1062586.8544800002</v>
      </c>
      <c r="DA23" s="106"/>
      <c r="DB23" s="128" t="e">
        <f t="shared" si="57"/>
        <v>#DIV/0!</v>
      </c>
      <c r="DC23" s="106"/>
      <c r="DD23" s="106"/>
      <c r="DE23" s="106"/>
      <c r="DF23" s="106"/>
      <c r="DG23" s="618">
        <f t="shared" si="29"/>
        <v>0</v>
      </c>
      <c r="DH23" s="618">
        <f t="shared" si="30"/>
        <v>0</v>
      </c>
      <c r="DI23" s="618">
        <f t="shared" si="31"/>
        <v>0</v>
      </c>
      <c r="DJ23" s="115"/>
    </row>
    <row r="24" spans="1:114" s="20" customFormat="1" ht="63.75" customHeight="1">
      <c r="A24" s="20">
        <f t="shared" si="58"/>
        <v>11</v>
      </c>
      <c r="B24" s="1503"/>
      <c r="C24" s="803" t="s">
        <v>77</v>
      </c>
      <c r="D24" s="748" t="s">
        <v>141</v>
      </c>
      <c r="E24" s="617">
        <v>4632024035</v>
      </c>
      <c r="F24" s="803" t="s">
        <v>8</v>
      </c>
      <c r="G24" s="751" t="s">
        <v>890</v>
      </c>
      <c r="H24" s="816">
        <f t="shared" si="59"/>
        <v>3184.0320000000002</v>
      </c>
      <c r="I24" s="816">
        <f t="shared" si="59"/>
        <v>3184.0320000000002</v>
      </c>
      <c r="J24" s="38"/>
      <c r="K24" s="38"/>
      <c r="L24" s="816">
        <f t="shared" si="60"/>
        <v>3184.0320000000002</v>
      </c>
      <c r="M24" s="10"/>
      <c r="N24" s="622">
        <f t="shared" si="63"/>
        <v>3299.1600000000003</v>
      </c>
      <c r="O24" s="622">
        <f t="shared" si="63"/>
        <v>3299.1600000000003</v>
      </c>
      <c r="P24" s="10"/>
      <c r="Q24" s="10"/>
      <c r="R24" s="622">
        <f t="shared" si="62"/>
        <v>3299.1600000000003</v>
      </c>
      <c r="S24" s="10"/>
      <c r="T24" s="35">
        <v>239.71700000000001</v>
      </c>
      <c r="U24" s="15"/>
      <c r="V24" s="208"/>
      <c r="W24" s="15"/>
      <c r="X24" s="15"/>
      <c r="Y24" s="15"/>
      <c r="Z24" s="35">
        <f t="shared" si="34"/>
        <v>239.71700000000001</v>
      </c>
      <c r="AA24" s="35">
        <v>139.20000000000002</v>
      </c>
      <c r="AB24" s="15"/>
      <c r="AC24" s="208"/>
      <c r="AD24" s="15"/>
      <c r="AE24" s="15"/>
      <c r="AF24" s="15"/>
      <c r="AG24" s="35">
        <f t="shared" si="35"/>
        <v>139.20000000000002</v>
      </c>
      <c r="AH24" s="35">
        <f t="shared" si="36"/>
        <v>378.91700000000003</v>
      </c>
      <c r="AI24" s="15">
        <f t="shared" si="6"/>
        <v>378.91700000000003</v>
      </c>
      <c r="AJ24" s="15">
        <f t="shared" si="6"/>
        <v>0</v>
      </c>
      <c r="AK24" s="15">
        <f t="shared" si="6"/>
        <v>0</v>
      </c>
      <c r="AL24" s="15">
        <f t="shared" si="6"/>
        <v>0</v>
      </c>
      <c r="AM24" s="15">
        <f t="shared" si="6"/>
        <v>0</v>
      </c>
      <c r="AN24" s="15"/>
      <c r="AO24" s="15">
        <f t="shared" si="7"/>
        <v>378.91700000000003</v>
      </c>
      <c r="AP24" s="15">
        <f t="shared" si="37"/>
        <v>378.91700000000003</v>
      </c>
      <c r="AQ24" s="15">
        <f t="shared" si="38"/>
        <v>378.91700000000003</v>
      </c>
      <c r="AR24" s="127">
        <f t="shared" si="39"/>
        <v>0</v>
      </c>
      <c r="AS24" s="112">
        <f t="shared" si="8"/>
        <v>1206483.8533440002</v>
      </c>
      <c r="AT24" s="112">
        <f t="shared" si="8"/>
        <v>0</v>
      </c>
      <c r="AU24" s="112">
        <f t="shared" si="8"/>
        <v>0</v>
      </c>
      <c r="AV24" s="112">
        <f t="shared" si="8"/>
        <v>0</v>
      </c>
      <c r="AW24" s="112">
        <f t="shared" si="8"/>
        <v>0</v>
      </c>
      <c r="AX24" s="112">
        <f t="shared" si="40"/>
        <v>1206483.8533440002</v>
      </c>
      <c r="AY24" s="112">
        <f t="shared" si="41"/>
        <v>1206483.8533440002</v>
      </c>
      <c r="AZ24" s="112">
        <f t="shared" si="9"/>
        <v>1250107.8097200003</v>
      </c>
      <c r="BA24" s="112">
        <f t="shared" si="9"/>
        <v>0</v>
      </c>
      <c r="BB24" s="112">
        <f t="shared" si="9"/>
        <v>0</v>
      </c>
      <c r="BC24" s="112">
        <f t="shared" si="9"/>
        <v>0</v>
      </c>
      <c r="BD24" s="112">
        <f t="shared" si="9"/>
        <v>0</v>
      </c>
      <c r="BE24" s="112">
        <f t="shared" si="42"/>
        <v>1250107.8097200003</v>
      </c>
      <c r="BF24" s="112">
        <f t="shared" si="43"/>
        <v>1250107.8097200003</v>
      </c>
      <c r="BG24" s="112"/>
      <c r="BH24" s="112"/>
      <c r="BI24" s="112">
        <f t="shared" si="5"/>
        <v>0</v>
      </c>
      <c r="BJ24" s="112"/>
      <c r="BK24" s="112"/>
      <c r="BL24" s="112">
        <f t="shared" si="10"/>
        <v>763266.59894400008</v>
      </c>
      <c r="BM24" s="112">
        <f t="shared" si="10"/>
        <v>0</v>
      </c>
      <c r="BN24" s="112">
        <f t="shared" si="10"/>
        <v>0</v>
      </c>
      <c r="BO24" s="112">
        <f t="shared" si="10"/>
        <v>0</v>
      </c>
      <c r="BP24" s="112">
        <f t="shared" si="10"/>
        <v>0</v>
      </c>
      <c r="BQ24" s="112">
        <f t="shared" si="44"/>
        <v>763266.59894400008</v>
      </c>
      <c r="BR24" s="112">
        <f t="shared" si="45"/>
        <v>763266.59894400008</v>
      </c>
      <c r="BS24" s="112">
        <f t="shared" si="11"/>
        <v>459243.0720000001</v>
      </c>
      <c r="BT24" s="112">
        <f t="shared" si="11"/>
        <v>0</v>
      </c>
      <c r="BU24" s="112">
        <f t="shared" si="11"/>
        <v>0</v>
      </c>
      <c r="BV24" s="112">
        <f t="shared" si="12"/>
        <v>0</v>
      </c>
      <c r="BW24" s="112">
        <f t="shared" si="13"/>
        <v>0</v>
      </c>
      <c r="BX24" s="112">
        <f t="shared" si="46"/>
        <v>459243.0720000001</v>
      </c>
      <c r="BY24" s="112">
        <f t="shared" si="47"/>
        <v>459243.0720000001</v>
      </c>
      <c r="BZ24" s="113">
        <f t="shared" si="48"/>
        <v>0</v>
      </c>
      <c r="CA24" s="113">
        <f t="shared" si="48"/>
        <v>0</v>
      </c>
      <c r="CB24" s="113">
        <f t="shared" si="49"/>
        <v>0</v>
      </c>
      <c r="CC24" s="119" t="e">
        <f t="shared" si="50"/>
        <v>#DIV/0!</v>
      </c>
      <c r="CD24" s="119" t="e">
        <f t="shared" si="50"/>
        <v>#DIV/0!</v>
      </c>
      <c r="CE24" s="119" t="e">
        <f t="shared" si="51"/>
        <v>#DIV/0!</v>
      </c>
      <c r="CF24" s="113" t="e">
        <f t="shared" si="14"/>
        <v>#DIV/0!</v>
      </c>
      <c r="CG24" s="619">
        <f t="shared" si="15"/>
        <v>0</v>
      </c>
      <c r="CH24" s="132" t="e">
        <f t="shared" si="52"/>
        <v>#DIV/0!</v>
      </c>
      <c r="CI24" s="106"/>
      <c r="CJ24" s="208">
        <f t="shared" si="16"/>
        <v>763.26659894400007</v>
      </c>
      <c r="CK24" s="208">
        <f t="shared" si="17"/>
        <v>459.2430720000001</v>
      </c>
      <c r="CL24" s="208">
        <f t="shared" si="53"/>
        <v>1222.5096709440002</v>
      </c>
      <c r="CM24" s="112">
        <f t="shared" si="18"/>
        <v>1222509.6709440001</v>
      </c>
      <c r="CN24" s="112">
        <f t="shared" si="19"/>
        <v>1206483.8533440002</v>
      </c>
      <c r="CO24" s="112">
        <f t="shared" si="20"/>
        <v>1206483.8533440002</v>
      </c>
      <c r="CP24" s="112">
        <f t="shared" si="21"/>
        <v>763266.59894400008</v>
      </c>
      <c r="CQ24" s="112">
        <f t="shared" si="22"/>
        <v>1250107.8097200003</v>
      </c>
      <c r="CR24" s="112">
        <f t="shared" si="23"/>
        <v>1250107.8097200003</v>
      </c>
      <c r="CS24" s="112">
        <f t="shared" si="24"/>
        <v>459243.0720000001</v>
      </c>
      <c r="CT24" s="112">
        <f t="shared" si="54"/>
        <v>2456591.6630640002</v>
      </c>
      <c r="CU24" s="124">
        <f t="shared" si="55"/>
        <v>6483192</v>
      </c>
      <c r="CV24" s="112">
        <f t="shared" si="25"/>
        <v>0</v>
      </c>
      <c r="CW24" s="112">
        <f t="shared" si="26"/>
        <v>0</v>
      </c>
      <c r="CX24" s="112">
        <f t="shared" si="56"/>
        <v>0</v>
      </c>
      <c r="CY24" s="112">
        <f t="shared" si="27"/>
        <v>1206483.8533440002</v>
      </c>
      <c r="CZ24" s="112">
        <f t="shared" si="28"/>
        <v>1250107.8097200003</v>
      </c>
      <c r="DA24" s="106"/>
      <c r="DB24" s="128" t="e">
        <f t="shared" si="57"/>
        <v>#DIV/0!</v>
      </c>
      <c r="DC24" s="106"/>
      <c r="DD24" s="106"/>
      <c r="DE24" s="106"/>
      <c r="DF24" s="106"/>
      <c r="DG24" s="618">
        <f t="shared" si="29"/>
        <v>0</v>
      </c>
      <c r="DH24" s="618">
        <f t="shared" si="30"/>
        <v>0</v>
      </c>
      <c r="DI24" s="618">
        <f t="shared" si="31"/>
        <v>0</v>
      </c>
      <c r="DJ24" s="115"/>
    </row>
    <row r="25" spans="1:114" s="20" customFormat="1" ht="63.75" customHeight="1">
      <c r="A25" s="20">
        <f t="shared" si="58"/>
        <v>12</v>
      </c>
      <c r="B25" s="1503"/>
      <c r="C25" s="803" t="s">
        <v>78</v>
      </c>
      <c r="D25" s="748" t="s">
        <v>141</v>
      </c>
      <c r="E25" s="617">
        <v>4632024035</v>
      </c>
      <c r="F25" s="803" t="s">
        <v>8</v>
      </c>
      <c r="G25" s="751" t="s">
        <v>890</v>
      </c>
      <c r="H25" s="816">
        <f t="shared" si="59"/>
        <v>3184.0320000000002</v>
      </c>
      <c r="I25" s="816">
        <f t="shared" si="59"/>
        <v>3184.0320000000002</v>
      </c>
      <c r="J25" s="38"/>
      <c r="K25" s="38"/>
      <c r="L25" s="816">
        <f t="shared" si="60"/>
        <v>3184.0320000000002</v>
      </c>
      <c r="M25" s="10"/>
      <c r="N25" s="622">
        <f t="shared" si="63"/>
        <v>3299.1600000000003</v>
      </c>
      <c r="O25" s="622">
        <f t="shared" si="63"/>
        <v>3299.1600000000003</v>
      </c>
      <c r="P25" s="10"/>
      <c r="Q25" s="10"/>
      <c r="R25" s="622">
        <f t="shared" si="62"/>
        <v>3299.1600000000003</v>
      </c>
      <c r="S25" s="10"/>
      <c r="T25" s="35">
        <v>155.815</v>
      </c>
      <c r="U25" s="15"/>
      <c r="V25" s="208"/>
      <c r="W25" s="15"/>
      <c r="X25" s="15"/>
      <c r="Y25" s="15"/>
      <c r="Z25" s="35">
        <f t="shared" si="34"/>
        <v>155.815</v>
      </c>
      <c r="AA25" s="35">
        <v>90.48</v>
      </c>
      <c r="AB25" s="15"/>
      <c r="AC25" s="208"/>
      <c r="AD25" s="15"/>
      <c r="AE25" s="15"/>
      <c r="AF25" s="15"/>
      <c r="AG25" s="35">
        <f t="shared" si="35"/>
        <v>90.48</v>
      </c>
      <c r="AH25" s="35">
        <f t="shared" si="36"/>
        <v>246.29500000000002</v>
      </c>
      <c r="AI25" s="15">
        <f t="shared" si="6"/>
        <v>246.29500000000002</v>
      </c>
      <c r="AJ25" s="15">
        <f t="shared" si="6"/>
        <v>0</v>
      </c>
      <c r="AK25" s="15">
        <f t="shared" si="6"/>
        <v>0</v>
      </c>
      <c r="AL25" s="15">
        <f t="shared" si="6"/>
        <v>0</v>
      </c>
      <c r="AM25" s="15">
        <f t="shared" si="6"/>
        <v>0</v>
      </c>
      <c r="AN25" s="15"/>
      <c r="AO25" s="15">
        <f t="shared" si="7"/>
        <v>246.29500000000002</v>
      </c>
      <c r="AP25" s="15">
        <f t="shared" si="37"/>
        <v>246.29500000000002</v>
      </c>
      <c r="AQ25" s="15">
        <f t="shared" si="38"/>
        <v>246.29500000000002</v>
      </c>
      <c r="AR25" s="127">
        <f t="shared" si="39"/>
        <v>0</v>
      </c>
      <c r="AS25" s="112">
        <f t="shared" si="8"/>
        <v>784211.16144000005</v>
      </c>
      <c r="AT25" s="112">
        <f t="shared" si="8"/>
        <v>0</v>
      </c>
      <c r="AU25" s="112">
        <f t="shared" si="8"/>
        <v>0</v>
      </c>
      <c r="AV25" s="112">
        <f t="shared" si="8"/>
        <v>0</v>
      </c>
      <c r="AW25" s="112">
        <f t="shared" si="8"/>
        <v>0</v>
      </c>
      <c r="AX25" s="112">
        <f t="shared" si="40"/>
        <v>784211.16144000005</v>
      </c>
      <c r="AY25" s="112">
        <f t="shared" si="41"/>
        <v>784211.16144000005</v>
      </c>
      <c r="AZ25" s="112">
        <f t="shared" si="9"/>
        <v>812566.61220000009</v>
      </c>
      <c r="BA25" s="112">
        <f t="shared" si="9"/>
        <v>0</v>
      </c>
      <c r="BB25" s="112">
        <f t="shared" si="9"/>
        <v>0</v>
      </c>
      <c r="BC25" s="112">
        <f t="shared" si="9"/>
        <v>0</v>
      </c>
      <c r="BD25" s="112">
        <f t="shared" si="9"/>
        <v>0</v>
      </c>
      <c r="BE25" s="112">
        <f t="shared" si="42"/>
        <v>812566.61220000009</v>
      </c>
      <c r="BF25" s="112">
        <f t="shared" si="43"/>
        <v>812566.61220000009</v>
      </c>
      <c r="BG25" s="112"/>
      <c r="BH25" s="112"/>
      <c r="BI25" s="112">
        <f t="shared" si="5"/>
        <v>0</v>
      </c>
      <c r="BJ25" s="112"/>
      <c r="BK25" s="112"/>
      <c r="BL25" s="112">
        <f t="shared" si="10"/>
        <v>496119.94608000002</v>
      </c>
      <c r="BM25" s="112">
        <f t="shared" si="10"/>
        <v>0</v>
      </c>
      <c r="BN25" s="112">
        <f t="shared" si="10"/>
        <v>0</v>
      </c>
      <c r="BO25" s="112">
        <f t="shared" si="10"/>
        <v>0</v>
      </c>
      <c r="BP25" s="112">
        <f t="shared" si="10"/>
        <v>0</v>
      </c>
      <c r="BQ25" s="112">
        <f t="shared" si="44"/>
        <v>496119.94608000002</v>
      </c>
      <c r="BR25" s="112">
        <f t="shared" si="45"/>
        <v>496119.94608000002</v>
      </c>
      <c r="BS25" s="112">
        <f t="shared" si="11"/>
        <v>298507.99680000002</v>
      </c>
      <c r="BT25" s="112">
        <f t="shared" si="11"/>
        <v>0</v>
      </c>
      <c r="BU25" s="112">
        <f t="shared" si="11"/>
        <v>0</v>
      </c>
      <c r="BV25" s="112">
        <f t="shared" si="12"/>
        <v>0</v>
      </c>
      <c r="BW25" s="112">
        <f t="shared" si="13"/>
        <v>0</v>
      </c>
      <c r="BX25" s="112">
        <f t="shared" si="46"/>
        <v>298507.99680000002</v>
      </c>
      <c r="BY25" s="112">
        <f t="shared" si="47"/>
        <v>298507.99680000002</v>
      </c>
      <c r="BZ25" s="113">
        <f t="shared" si="48"/>
        <v>0</v>
      </c>
      <c r="CA25" s="113">
        <f t="shared" si="48"/>
        <v>0</v>
      </c>
      <c r="CB25" s="113">
        <f t="shared" si="49"/>
        <v>0</v>
      </c>
      <c r="CC25" s="119" t="e">
        <f t="shared" si="50"/>
        <v>#DIV/0!</v>
      </c>
      <c r="CD25" s="119" t="e">
        <f t="shared" si="50"/>
        <v>#DIV/0!</v>
      </c>
      <c r="CE25" s="119" t="e">
        <f t="shared" si="51"/>
        <v>#DIV/0!</v>
      </c>
      <c r="CF25" s="113" t="e">
        <f t="shared" si="14"/>
        <v>#DIV/0!</v>
      </c>
      <c r="CG25" s="619">
        <f t="shared" si="15"/>
        <v>0</v>
      </c>
      <c r="CH25" s="132" t="e">
        <f t="shared" si="52"/>
        <v>#DIV/0!</v>
      </c>
      <c r="CI25" s="106"/>
      <c r="CJ25" s="208">
        <f t="shared" si="16"/>
        <v>496.11994608000003</v>
      </c>
      <c r="CK25" s="208">
        <f t="shared" si="17"/>
        <v>298.5079968</v>
      </c>
      <c r="CL25" s="208">
        <f t="shared" si="53"/>
        <v>794.62794288000009</v>
      </c>
      <c r="CM25" s="112">
        <f t="shared" si="18"/>
        <v>794627.94287999999</v>
      </c>
      <c r="CN25" s="112">
        <f t="shared" si="19"/>
        <v>784211.16144000005</v>
      </c>
      <c r="CO25" s="112">
        <f t="shared" si="20"/>
        <v>784211.16144000005</v>
      </c>
      <c r="CP25" s="112">
        <f t="shared" si="21"/>
        <v>496119.94608000002</v>
      </c>
      <c r="CQ25" s="112">
        <f t="shared" si="22"/>
        <v>812566.61220000009</v>
      </c>
      <c r="CR25" s="112">
        <f t="shared" si="23"/>
        <v>812566.61220000009</v>
      </c>
      <c r="CS25" s="112">
        <f t="shared" si="24"/>
        <v>298507.99680000002</v>
      </c>
      <c r="CT25" s="112">
        <f t="shared" si="54"/>
        <v>1596777.7736400003</v>
      </c>
      <c r="CU25" s="124">
        <f t="shared" si="55"/>
        <v>6483192.0000000009</v>
      </c>
      <c r="CV25" s="112">
        <f t="shared" si="25"/>
        <v>0</v>
      </c>
      <c r="CW25" s="112">
        <f t="shared" si="26"/>
        <v>0</v>
      </c>
      <c r="CX25" s="112">
        <f t="shared" si="56"/>
        <v>0</v>
      </c>
      <c r="CY25" s="112">
        <f t="shared" si="27"/>
        <v>784211.16144000005</v>
      </c>
      <c r="CZ25" s="112">
        <f t="shared" si="28"/>
        <v>812566.61220000009</v>
      </c>
      <c r="DA25" s="106"/>
      <c r="DB25" s="128" t="e">
        <f t="shared" si="57"/>
        <v>#DIV/0!</v>
      </c>
      <c r="DC25" s="106"/>
      <c r="DD25" s="106"/>
      <c r="DE25" s="106"/>
      <c r="DF25" s="106"/>
      <c r="DG25" s="618">
        <f t="shared" si="29"/>
        <v>0</v>
      </c>
      <c r="DH25" s="618">
        <f t="shared" si="30"/>
        <v>0</v>
      </c>
      <c r="DI25" s="618">
        <f t="shared" si="31"/>
        <v>0</v>
      </c>
      <c r="DJ25" s="115"/>
    </row>
    <row r="26" spans="1:114" s="20" customFormat="1" ht="63.75" customHeight="1">
      <c r="A26" s="20">
        <f t="shared" si="58"/>
        <v>13</v>
      </c>
      <c r="B26" s="1503"/>
      <c r="C26" s="803" t="s">
        <v>79</v>
      </c>
      <c r="D26" s="748" t="s">
        <v>141</v>
      </c>
      <c r="E26" s="617">
        <v>4632024035</v>
      </c>
      <c r="F26" s="803" t="s">
        <v>8</v>
      </c>
      <c r="G26" s="751" t="s">
        <v>890</v>
      </c>
      <c r="H26" s="816">
        <f t="shared" si="59"/>
        <v>3184.0320000000002</v>
      </c>
      <c r="I26" s="816">
        <f t="shared" si="59"/>
        <v>3184.0320000000002</v>
      </c>
      <c r="J26" s="38"/>
      <c r="K26" s="38"/>
      <c r="L26" s="816">
        <f t="shared" si="60"/>
        <v>3184.0320000000002</v>
      </c>
      <c r="M26" s="10"/>
      <c r="N26" s="622">
        <f t="shared" si="63"/>
        <v>3299.1600000000003</v>
      </c>
      <c r="O26" s="622">
        <f t="shared" si="63"/>
        <v>3299.1600000000003</v>
      </c>
      <c r="P26" s="10"/>
      <c r="Q26" s="10"/>
      <c r="R26" s="622">
        <f t="shared" si="62"/>
        <v>3299.1600000000003</v>
      </c>
      <c r="S26" s="10"/>
      <c r="T26" s="35">
        <v>179.78700000000003</v>
      </c>
      <c r="U26" s="15"/>
      <c r="V26" s="208"/>
      <c r="W26" s="15"/>
      <c r="X26" s="15"/>
      <c r="Y26" s="15"/>
      <c r="Z26" s="35">
        <f t="shared" si="34"/>
        <v>179.78700000000003</v>
      </c>
      <c r="AA26" s="35">
        <v>104.4</v>
      </c>
      <c r="AB26" s="15"/>
      <c r="AC26" s="208"/>
      <c r="AD26" s="15"/>
      <c r="AE26" s="15"/>
      <c r="AF26" s="15"/>
      <c r="AG26" s="35">
        <f t="shared" si="35"/>
        <v>104.4</v>
      </c>
      <c r="AH26" s="35">
        <f t="shared" si="36"/>
        <v>284.18700000000001</v>
      </c>
      <c r="AI26" s="15">
        <f t="shared" si="6"/>
        <v>284.18700000000001</v>
      </c>
      <c r="AJ26" s="15">
        <f t="shared" si="6"/>
        <v>0</v>
      </c>
      <c r="AK26" s="15">
        <f t="shared" si="6"/>
        <v>0</v>
      </c>
      <c r="AL26" s="15">
        <f t="shared" si="6"/>
        <v>0</v>
      </c>
      <c r="AM26" s="15">
        <f t="shared" si="6"/>
        <v>0</v>
      </c>
      <c r="AN26" s="15"/>
      <c r="AO26" s="15">
        <f t="shared" si="7"/>
        <v>284.18700000000001</v>
      </c>
      <c r="AP26" s="15">
        <f t="shared" si="37"/>
        <v>284.18700000000001</v>
      </c>
      <c r="AQ26" s="15">
        <f t="shared" si="38"/>
        <v>284.18700000000001</v>
      </c>
      <c r="AR26" s="127">
        <f t="shared" si="39"/>
        <v>0</v>
      </c>
      <c r="AS26" s="112">
        <f t="shared" si="8"/>
        <v>904860.50198400009</v>
      </c>
      <c r="AT26" s="112">
        <f t="shared" si="8"/>
        <v>0</v>
      </c>
      <c r="AU26" s="112">
        <f t="shared" si="8"/>
        <v>0</v>
      </c>
      <c r="AV26" s="112">
        <f t="shared" si="8"/>
        <v>0</v>
      </c>
      <c r="AW26" s="112">
        <f t="shared" si="8"/>
        <v>0</v>
      </c>
      <c r="AX26" s="112">
        <f t="shared" si="40"/>
        <v>904860.50198400009</v>
      </c>
      <c r="AY26" s="112">
        <f t="shared" si="41"/>
        <v>904860.50198400009</v>
      </c>
      <c r="AZ26" s="112">
        <f t="shared" si="9"/>
        <v>937578.38292000012</v>
      </c>
      <c r="BA26" s="112">
        <f t="shared" si="9"/>
        <v>0</v>
      </c>
      <c r="BB26" s="112">
        <f t="shared" si="9"/>
        <v>0</v>
      </c>
      <c r="BC26" s="112">
        <f t="shared" si="9"/>
        <v>0</v>
      </c>
      <c r="BD26" s="112">
        <f t="shared" si="9"/>
        <v>0</v>
      </c>
      <c r="BE26" s="112">
        <f t="shared" si="42"/>
        <v>937578.38292000012</v>
      </c>
      <c r="BF26" s="112">
        <f t="shared" si="43"/>
        <v>937578.38292000012</v>
      </c>
      <c r="BG26" s="112"/>
      <c r="BH26" s="112"/>
      <c r="BI26" s="112">
        <f t="shared" si="5"/>
        <v>0</v>
      </c>
      <c r="BJ26" s="112"/>
      <c r="BK26" s="112"/>
      <c r="BL26" s="112">
        <f t="shared" si="10"/>
        <v>572447.56118400011</v>
      </c>
      <c r="BM26" s="112">
        <f t="shared" si="10"/>
        <v>0</v>
      </c>
      <c r="BN26" s="112">
        <f t="shared" si="10"/>
        <v>0</v>
      </c>
      <c r="BO26" s="112">
        <f t="shared" si="10"/>
        <v>0</v>
      </c>
      <c r="BP26" s="112">
        <f t="shared" si="10"/>
        <v>0</v>
      </c>
      <c r="BQ26" s="112">
        <f t="shared" si="44"/>
        <v>572447.56118400011</v>
      </c>
      <c r="BR26" s="112">
        <f t="shared" si="45"/>
        <v>572447.56118400011</v>
      </c>
      <c r="BS26" s="112">
        <f t="shared" si="11"/>
        <v>344432.30400000006</v>
      </c>
      <c r="BT26" s="112">
        <f t="shared" si="11"/>
        <v>0</v>
      </c>
      <c r="BU26" s="112">
        <f t="shared" si="11"/>
        <v>0</v>
      </c>
      <c r="BV26" s="112">
        <f t="shared" si="12"/>
        <v>0</v>
      </c>
      <c r="BW26" s="112">
        <f t="shared" si="13"/>
        <v>0</v>
      </c>
      <c r="BX26" s="112">
        <f t="shared" si="46"/>
        <v>344432.30400000006</v>
      </c>
      <c r="BY26" s="112">
        <f t="shared" si="47"/>
        <v>344432.30400000006</v>
      </c>
      <c r="BZ26" s="113">
        <f t="shared" si="48"/>
        <v>0</v>
      </c>
      <c r="CA26" s="113">
        <f t="shared" si="48"/>
        <v>0</v>
      </c>
      <c r="CB26" s="113">
        <f t="shared" si="49"/>
        <v>0</v>
      </c>
      <c r="CC26" s="119" t="e">
        <f t="shared" si="50"/>
        <v>#DIV/0!</v>
      </c>
      <c r="CD26" s="119" t="e">
        <f t="shared" si="50"/>
        <v>#DIV/0!</v>
      </c>
      <c r="CE26" s="119" t="e">
        <f t="shared" si="51"/>
        <v>#DIV/0!</v>
      </c>
      <c r="CF26" s="113" t="e">
        <f t="shared" si="14"/>
        <v>#DIV/0!</v>
      </c>
      <c r="CG26" s="619">
        <f t="shared" si="15"/>
        <v>0</v>
      </c>
      <c r="CH26" s="132" t="e">
        <f t="shared" si="52"/>
        <v>#DIV/0!</v>
      </c>
      <c r="CI26" s="106"/>
      <c r="CJ26" s="208">
        <f t="shared" si="16"/>
        <v>572.44756118400005</v>
      </c>
      <c r="CK26" s="208">
        <f t="shared" si="17"/>
        <v>344.43230400000004</v>
      </c>
      <c r="CL26" s="208">
        <f t="shared" si="53"/>
        <v>916.8798651840001</v>
      </c>
      <c r="CM26" s="112">
        <f t="shared" si="18"/>
        <v>916879.86518400023</v>
      </c>
      <c r="CN26" s="112">
        <f t="shared" si="19"/>
        <v>904860.50198400009</v>
      </c>
      <c r="CO26" s="112">
        <f t="shared" si="20"/>
        <v>904860.50198400009</v>
      </c>
      <c r="CP26" s="112">
        <f t="shared" si="21"/>
        <v>572447.56118400011</v>
      </c>
      <c r="CQ26" s="112">
        <f t="shared" si="22"/>
        <v>937578.38292000012</v>
      </c>
      <c r="CR26" s="112">
        <f t="shared" si="23"/>
        <v>937578.38292000012</v>
      </c>
      <c r="CS26" s="112">
        <f t="shared" si="24"/>
        <v>344432.30400000006</v>
      </c>
      <c r="CT26" s="112">
        <f t="shared" si="54"/>
        <v>1842438.8849040002</v>
      </c>
      <c r="CU26" s="124">
        <f t="shared" si="55"/>
        <v>6483192.0000000009</v>
      </c>
      <c r="CV26" s="112">
        <f t="shared" si="25"/>
        <v>0</v>
      </c>
      <c r="CW26" s="112">
        <f t="shared" si="26"/>
        <v>0</v>
      </c>
      <c r="CX26" s="112">
        <f t="shared" si="56"/>
        <v>0</v>
      </c>
      <c r="CY26" s="112">
        <f t="shared" si="27"/>
        <v>904860.50198400009</v>
      </c>
      <c r="CZ26" s="112">
        <f t="shared" si="28"/>
        <v>937578.38292000012</v>
      </c>
      <c r="DA26" s="106"/>
      <c r="DB26" s="128" t="e">
        <f t="shared" si="57"/>
        <v>#DIV/0!</v>
      </c>
      <c r="DC26" s="106"/>
      <c r="DD26" s="106"/>
      <c r="DE26" s="106"/>
      <c r="DF26" s="106"/>
      <c r="DG26" s="618">
        <f t="shared" si="29"/>
        <v>0</v>
      </c>
      <c r="DH26" s="618">
        <f t="shared" si="30"/>
        <v>0</v>
      </c>
      <c r="DI26" s="618">
        <f t="shared" si="31"/>
        <v>0</v>
      </c>
      <c r="DJ26" s="115"/>
    </row>
    <row r="27" spans="1:114" s="20" customFormat="1" ht="63.75" customHeight="1">
      <c r="A27" s="20">
        <f t="shared" si="58"/>
        <v>14</v>
      </c>
      <c r="B27" s="1504"/>
      <c r="C27" s="803" t="s">
        <v>80</v>
      </c>
      <c r="D27" s="748" t="s">
        <v>141</v>
      </c>
      <c r="E27" s="617">
        <v>4632024035</v>
      </c>
      <c r="F27" s="803" t="s">
        <v>8</v>
      </c>
      <c r="G27" s="751" t="s">
        <v>890</v>
      </c>
      <c r="H27" s="816">
        <f t="shared" si="59"/>
        <v>3184.0320000000002</v>
      </c>
      <c r="I27" s="816">
        <f t="shared" si="59"/>
        <v>3184.0320000000002</v>
      </c>
      <c r="J27" s="38"/>
      <c r="K27" s="38"/>
      <c r="L27" s="816">
        <f t="shared" si="60"/>
        <v>3184.0320000000002</v>
      </c>
      <c r="M27" s="10"/>
      <c r="N27" s="622">
        <f t="shared" si="63"/>
        <v>3299.1600000000003</v>
      </c>
      <c r="O27" s="622">
        <f t="shared" si="63"/>
        <v>3299.1600000000003</v>
      </c>
      <c r="P27" s="10"/>
      <c r="Q27" s="10"/>
      <c r="R27" s="622">
        <f t="shared" si="62"/>
        <v>3299.1600000000003</v>
      </c>
      <c r="S27" s="10"/>
      <c r="T27" s="35">
        <v>179.78700000000003</v>
      </c>
      <c r="U27" s="15"/>
      <c r="V27" s="208"/>
      <c r="W27" s="15"/>
      <c r="X27" s="15"/>
      <c r="Y27" s="15"/>
      <c r="Z27" s="35">
        <f t="shared" si="34"/>
        <v>179.78700000000003</v>
      </c>
      <c r="AA27" s="35">
        <v>104.4</v>
      </c>
      <c r="AB27" s="15"/>
      <c r="AC27" s="208"/>
      <c r="AD27" s="15"/>
      <c r="AE27" s="15"/>
      <c r="AF27" s="15"/>
      <c r="AG27" s="35">
        <f t="shared" si="35"/>
        <v>104.4</v>
      </c>
      <c r="AH27" s="35">
        <f t="shared" si="36"/>
        <v>284.18700000000001</v>
      </c>
      <c r="AI27" s="15">
        <f t="shared" si="6"/>
        <v>284.18700000000001</v>
      </c>
      <c r="AJ27" s="15">
        <f t="shared" si="6"/>
        <v>0</v>
      </c>
      <c r="AK27" s="15">
        <f t="shared" si="6"/>
        <v>0</v>
      </c>
      <c r="AL27" s="15">
        <f t="shared" si="6"/>
        <v>0</v>
      </c>
      <c r="AM27" s="15">
        <f t="shared" si="6"/>
        <v>0</v>
      </c>
      <c r="AN27" s="15"/>
      <c r="AO27" s="15">
        <f t="shared" si="7"/>
        <v>284.18700000000001</v>
      </c>
      <c r="AP27" s="15">
        <f t="shared" si="37"/>
        <v>284.18700000000001</v>
      </c>
      <c r="AQ27" s="15">
        <f t="shared" si="38"/>
        <v>284.18700000000001</v>
      </c>
      <c r="AR27" s="127">
        <f t="shared" si="39"/>
        <v>0</v>
      </c>
      <c r="AS27" s="112">
        <f t="shared" si="8"/>
        <v>904860.50198400009</v>
      </c>
      <c r="AT27" s="112">
        <f t="shared" si="8"/>
        <v>0</v>
      </c>
      <c r="AU27" s="112">
        <f t="shared" si="8"/>
        <v>0</v>
      </c>
      <c r="AV27" s="112">
        <f t="shared" si="8"/>
        <v>0</v>
      </c>
      <c r="AW27" s="112">
        <f t="shared" si="8"/>
        <v>0</v>
      </c>
      <c r="AX27" s="112">
        <f t="shared" si="40"/>
        <v>904860.50198400009</v>
      </c>
      <c r="AY27" s="112">
        <f t="shared" si="41"/>
        <v>904860.50198400009</v>
      </c>
      <c r="AZ27" s="112">
        <f t="shared" si="9"/>
        <v>937578.38292000012</v>
      </c>
      <c r="BA27" s="112">
        <f t="shared" si="9"/>
        <v>0</v>
      </c>
      <c r="BB27" s="112">
        <f t="shared" si="9"/>
        <v>0</v>
      </c>
      <c r="BC27" s="112">
        <f t="shared" si="9"/>
        <v>0</v>
      </c>
      <c r="BD27" s="112">
        <f t="shared" si="9"/>
        <v>0</v>
      </c>
      <c r="BE27" s="112">
        <f t="shared" si="42"/>
        <v>937578.38292000012</v>
      </c>
      <c r="BF27" s="112">
        <f t="shared" si="43"/>
        <v>937578.38292000012</v>
      </c>
      <c r="BG27" s="112"/>
      <c r="BH27" s="112"/>
      <c r="BI27" s="112">
        <f t="shared" si="5"/>
        <v>0</v>
      </c>
      <c r="BJ27" s="112"/>
      <c r="BK27" s="112"/>
      <c r="BL27" s="112">
        <f t="shared" si="10"/>
        <v>572447.56118400011</v>
      </c>
      <c r="BM27" s="112">
        <f t="shared" si="10"/>
        <v>0</v>
      </c>
      <c r="BN27" s="112">
        <f t="shared" si="10"/>
        <v>0</v>
      </c>
      <c r="BO27" s="112">
        <f t="shared" si="10"/>
        <v>0</v>
      </c>
      <c r="BP27" s="112">
        <f t="shared" si="10"/>
        <v>0</v>
      </c>
      <c r="BQ27" s="112">
        <f t="shared" si="44"/>
        <v>572447.56118400011</v>
      </c>
      <c r="BR27" s="112">
        <f t="shared" si="45"/>
        <v>572447.56118400011</v>
      </c>
      <c r="BS27" s="112">
        <f t="shared" si="11"/>
        <v>344432.30400000006</v>
      </c>
      <c r="BT27" s="112">
        <f t="shared" si="11"/>
        <v>0</v>
      </c>
      <c r="BU27" s="112">
        <f t="shared" si="11"/>
        <v>0</v>
      </c>
      <c r="BV27" s="112">
        <f t="shared" si="12"/>
        <v>0</v>
      </c>
      <c r="BW27" s="112">
        <f t="shared" si="13"/>
        <v>0</v>
      </c>
      <c r="BX27" s="112">
        <f t="shared" si="46"/>
        <v>344432.30400000006</v>
      </c>
      <c r="BY27" s="112">
        <f t="shared" si="47"/>
        <v>344432.30400000006</v>
      </c>
      <c r="BZ27" s="113">
        <f t="shared" si="48"/>
        <v>0</v>
      </c>
      <c r="CA27" s="113">
        <f t="shared" si="48"/>
        <v>0</v>
      </c>
      <c r="CB27" s="113">
        <f t="shared" si="49"/>
        <v>0</v>
      </c>
      <c r="CC27" s="119" t="e">
        <f t="shared" si="50"/>
        <v>#DIV/0!</v>
      </c>
      <c r="CD27" s="119" t="e">
        <f t="shared" si="50"/>
        <v>#DIV/0!</v>
      </c>
      <c r="CE27" s="119" t="e">
        <f t="shared" si="51"/>
        <v>#DIV/0!</v>
      </c>
      <c r="CF27" s="113" t="e">
        <f t="shared" si="14"/>
        <v>#DIV/0!</v>
      </c>
      <c r="CG27" s="619">
        <f t="shared" si="15"/>
        <v>0</v>
      </c>
      <c r="CH27" s="132" t="e">
        <f t="shared" si="52"/>
        <v>#DIV/0!</v>
      </c>
      <c r="CI27" s="106"/>
      <c r="CJ27" s="208">
        <f t="shared" si="16"/>
        <v>572.44756118400005</v>
      </c>
      <c r="CK27" s="208">
        <f t="shared" si="17"/>
        <v>344.43230400000004</v>
      </c>
      <c r="CL27" s="208">
        <f t="shared" si="53"/>
        <v>916.8798651840001</v>
      </c>
      <c r="CM27" s="112">
        <f t="shared" si="18"/>
        <v>916879.86518400023</v>
      </c>
      <c r="CN27" s="112">
        <f t="shared" si="19"/>
        <v>904860.50198400009</v>
      </c>
      <c r="CO27" s="112">
        <f t="shared" si="20"/>
        <v>904860.50198400009</v>
      </c>
      <c r="CP27" s="112">
        <f t="shared" si="21"/>
        <v>572447.56118400011</v>
      </c>
      <c r="CQ27" s="112">
        <f t="shared" si="22"/>
        <v>937578.38292000012</v>
      </c>
      <c r="CR27" s="112">
        <f t="shared" si="23"/>
        <v>937578.38292000012</v>
      </c>
      <c r="CS27" s="112">
        <f t="shared" si="24"/>
        <v>344432.30400000006</v>
      </c>
      <c r="CT27" s="112">
        <f t="shared" si="54"/>
        <v>1842438.8849040002</v>
      </c>
      <c r="CU27" s="124">
        <f t="shared" si="55"/>
        <v>6483192.0000000009</v>
      </c>
      <c r="CV27" s="112">
        <f t="shared" si="25"/>
        <v>0</v>
      </c>
      <c r="CW27" s="112">
        <f t="shared" si="26"/>
        <v>0</v>
      </c>
      <c r="CX27" s="112">
        <f t="shared" si="56"/>
        <v>0</v>
      </c>
      <c r="CY27" s="112">
        <f t="shared" si="27"/>
        <v>904860.50198400009</v>
      </c>
      <c r="CZ27" s="112">
        <f t="shared" si="28"/>
        <v>937578.38292000012</v>
      </c>
      <c r="DA27" s="106"/>
      <c r="DB27" s="128" t="e">
        <f t="shared" si="57"/>
        <v>#DIV/0!</v>
      </c>
      <c r="DC27" s="106"/>
      <c r="DD27" s="106"/>
      <c r="DE27" s="106"/>
      <c r="DF27" s="106"/>
      <c r="DG27" s="618">
        <f t="shared" si="29"/>
        <v>0</v>
      </c>
      <c r="DH27" s="618">
        <f t="shared" si="30"/>
        <v>0</v>
      </c>
      <c r="DI27" s="618">
        <f t="shared" si="31"/>
        <v>0</v>
      </c>
      <c r="DJ27" s="115"/>
    </row>
    <row r="28" spans="1:114" s="32" customFormat="1" ht="63.75" customHeight="1">
      <c r="A28" s="20">
        <f t="shared" si="58"/>
        <v>15</v>
      </c>
      <c r="B28" s="22" t="s">
        <v>12</v>
      </c>
      <c r="C28" s="22" t="s">
        <v>81</v>
      </c>
      <c r="D28" s="748" t="s">
        <v>141</v>
      </c>
      <c r="E28" s="617">
        <v>4632024035</v>
      </c>
      <c r="F28" s="803" t="s">
        <v>8</v>
      </c>
      <c r="G28" s="751" t="s">
        <v>890</v>
      </c>
      <c r="H28" s="816">
        <f t="shared" si="59"/>
        <v>3184.0320000000002</v>
      </c>
      <c r="I28" s="816">
        <f t="shared" si="59"/>
        <v>3184.0320000000002</v>
      </c>
      <c r="J28" s="38">
        <v>2103.35</v>
      </c>
      <c r="K28" s="38"/>
      <c r="L28" s="816">
        <f t="shared" si="60"/>
        <v>3184.0320000000002</v>
      </c>
      <c r="M28" s="10"/>
      <c r="N28" s="622">
        <f>2749.3*1.2</f>
        <v>3299.1600000000003</v>
      </c>
      <c r="O28" s="622">
        <f>2749.3*1.2</f>
        <v>3299.1600000000003</v>
      </c>
      <c r="P28" s="38">
        <v>2239.86</v>
      </c>
      <c r="Q28" s="10"/>
      <c r="R28" s="622">
        <f t="shared" si="62"/>
        <v>3299.1600000000003</v>
      </c>
      <c r="S28" s="10"/>
      <c r="T28" s="16">
        <f>3707.4+0.0025</f>
        <v>3707.4025000000001</v>
      </c>
      <c r="U28" s="16">
        <f>5726.128</f>
        <v>5726.1279999999997</v>
      </c>
      <c r="V28" s="227"/>
      <c r="W28" s="16"/>
      <c r="X28" s="16"/>
      <c r="Y28" s="16"/>
      <c r="Z28" s="35">
        <f t="shared" si="34"/>
        <v>9433.5305000000008</v>
      </c>
      <c r="AA28" s="178">
        <v>2180.0500000000002</v>
      </c>
      <c r="AB28" s="16">
        <v>4294.5959999999995</v>
      </c>
      <c r="AC28" s="227"/>
      <c r="AD28" s="16"/>
      <c r="AE28" s="16"/>
      <c r="AF28" s="16"/>
      <c r="AG28" s="35">
        <f t="shared" si="35"/>
        <v>6474.6459999999997</v>
      </c>
      <c r="AH28" s="35">
        <f t="shared" si="36"/>
        <v>15908.176500000001</v>
      </c>
      <c r="AI28" s="15">
        <f t="shared" si="6"/>
        <v>5887.4525000000003</v>
      </c>
      <c r="AJ28" s="15">
        <f t="shared" si="6"/>
        <v>10020.723999999998</v>
      </c>
      <c r="AK28" s="15">
        <f t="shared" si="6"/>
        <v>0</v>
      </c>
      <c r="AL28" s="15">
        <f t="shared" si="6"/>
        <v>0</v>
      </c>
      <c r="AM28" s="15">
        <f t="shared" si="6"/>
        <v>0</v>
      </c>
      <c r="AN28" s="15"/>
      <c r="AO28" s="15">
        <f t="shared" si="7"/>
        <v>15908.176499999998</v>
      </c>
      <c r="AP28" s="15">
        <f t="shared" si="37"/>
        <v>15908.176499999998</v>
      </c>
      <c r="AQ28" s="15">
        <f t="shared" si="38"/>
        <v>15908.176499999998</v>
      </c>
      <c r="AR28" s="127">
        <f t="shared" si="39"/>
        <v>0</v>
      </c>
      <c r="AS28" s="112">
        <f t="shared" si="8"/>
        <v>18745837.158480003</v>
      </c>
      <c r="AT28" s="112">
        <f t="shared" si="8"/>
        <v>21077089.825399995</v>
      </c>
      <c r="AU28" s="112">
        <f t="shared" si="8"/>
        <v>0</v>
      </c>
      <c r="AV28" s="112">
        <f t="shared" si="8"/>
        <v>0</v>
      </c>
      <c r="AW28" s="112">
        <f t="shared" si="8"/>
        <v>0</v>
      </c>
      <c r="AX28" s="112">
        <f t="shared" si="40"/>
        <v>39822926.983879998</v>
      </c>
      <c r="AY28" s="112">
        <f t="shared" si="41"/>
        <v>39822926.983879998</v>
      </c>
      <c r="AZ28" s="112">
        <f t="shared" si="9"/>
        <v>19423647.789900001</v>
      </c>
      <c r="BA28" s="112">
        <f t="shared" si="9"/>
        <v>22445018.858639996</v>
      </c>
      <c r="BB28" s="112">
        <f t="shared" si="9"/>
        <v>0</v>
      </c>
      <c r="BC28" s="112">
        <f t="shared" si="9"/>
        <v>0</v>
      </c>
      <c r="BD28" s="112">
        <f t="shared" si="9"/>
        <v>0</v>
      </c>
      <c r="BE28" s="112">
        <f t="shared" si="42"/>
        <v>41868666.648539998</v>
      </c>
      <c r="BF28" s="112">
        <f t="shared" si="43"/>
        <v>41868666.648539998</v>
      </c>
      <c r="BG28" s="623">
        <f>(I28-J28)/1.2*U28/1000</f>
        <v>5156.769549413335</v>
      </c>
      <c r="BH28" s="624">
        <f>(O28-P28)/1.2*AB28/1000-0.0519074645999353</f>
        <v>3791.0027115354005</v>
      </c>
      <c r="BI28" s="623">
        <f t="shared" si="5"/>
        <v>8947.7722609487355</v>
      </c>
      <c r="BJ28" s="169"/>
      <c r="BK28" s="169"/>
      <c r="BL28" s="112">
        <f t="shared" si="10"/>
        <v>11804488.196880002</v>
      </c>
      <c r="BM28" s="112">
        <f t="shared" si="10"/>
        <v>12044051.328799998</v>
      </c>
      <c r="BN28" s="112">
        <f t="shared" si="10"/>
        <v>0</v>
      </c>
      <c r="BO28" s="112">
        <f t="shared" si="10"/>
        <v>0</v>
      </c>
      <c r="BP28" s="112">
        <f t="shared" si="10"/>
        <v>0</v>
      </c>
      <c r="BQ28" s="112">
        <f t="shared" si="44"/>
        <v>23848539.525679998</v>
      </c>
      <c r="BR28" s="112">
        <f t="shared" si="45"/>
        <v>23848539.525679998</v>
      </c>
      <c r="BS28" s="112">
        <f t="shared" si="11"/>
        <v>7192333.7580000013</v>
      </c>
      <c r="BT28" s="112">
        <f t="shared" si="11"/>
        <v>9619293.7965599988</v>
      </c>
      <c r="BU28" s="112">
        <f t="shared" si="11"/>
        <v>0</v>
      </c>
      <c r="BV28" s="112">
        <f t="shared" si="12"/>
        <v>0</v>
      </c>
      <c r="BW28" s="112">
        <f t="shared" si="13"/>
        <v>0</v>
      </c>
      <c r="BX28" s="112">
        <f t="shared" si="46"/>
        <v>16811627.554559998</v>
      </c>
      <c r="BY28" s="112">
        <f t="shared" si="47"/>
        <v>16811627.554559998</v>
      </c>
      <c r="BZ28" s="113">
        <f t="shared" si="48"/>
        <v>21663345.125359997</v>
      </c>
      <c r="CA28" s="113">
        <f t="shared" si="48"/>
        <v>0</v>
      </c>
      <c r="CB28" s="113">
        <f t="shared" si="49"/>
        <v>21663345.125359997</v>
      </c>
      <c r="CC28" s="119">
        <f t="shared" si="50"/>
        <v>2161.8542857142857</v>
      </c>
      <c r="CD28" s="119" t="e">
        <f t="shared" si="50"/>
        <v>#DIV/0!</v>
      </c>
      <c r="CE28" s="119">
        <f t="shared" si="51"/>
        <v>2161.8542857142857</v>
      </c>
      <c r="CF28" s="119">
        <f t="shared" si="14"/>
        <v>2161.8542857142857</v>
      </c>
      <c r="CG28" s="619">
        <f t="shared" si="15"/>
        <v>32400734.127456002</v>
      </c>
      <c r="CH28" s="132">
        <f t="shared" si="52"/>
        <v>3233.372571428572</v>
      </c>
      <c r="CI28" s="625"/>
      <c r="CJ28" s="208">
        <f t="shared" si="16"/>
        <v>30036.662984976007</v>
      </c>
      <c r="CK28" s="208">
        <f t="shared" si="17"/>
        <v>21360.89309736</v>
      </c>
      <c r="CL28" s="208">
        <f t="shared" si="53"/>
        <v>51397.556082336007</v>
      </c>
      <c r="CM28" s="112">
        <f t="shared" si="18"/>
        <v>51397556.082336009</v>
      </c>
      <c r="CN28" s="112">
        <f t="shared" si="19"/>
        <v>39822926.983879998</v>
      </c>
      <c r="CO28" s="112">
        <f t="shared" si="20"/>
        <v>39822926.983879998</v>
      </c>
      <c r="CP28" s="112">
        <f t="shared" si="21"/>
        <v>23848539.525679998</v>
      </c>
      <c r="CQ28" s="112">
        <f t="shared" si="22"/>
        <v>41868666.648539998</v>
      </c>
      <c r="CR28" s="112">
        <f t="shared" si="23"/>
        <v>41868666.648539998</v>
      </c>
      <c r="CS28" s="112">
        <f t="shared" si="24"/>
        <v>16811627.554559998</v>
      </c>
      <c r="CT28" s="112">
        <f t="shared" si="54"/>
        <v>81691593.632420003</v>
      </c>
      <c r="CU28" s="124">
        <f t="shared" si="55"/>
        <v>5135195.3275361257</v>
      </c>
      <c r="CV28" s="112">
        <f t="shared" si="25"/>
        <v>21077089.825399995</v>
      </c>
      <c r="CW28" s="112">
        <f t="shared" si="26"/>
        <v>22445018.858639996</v>
      </c>
      <c r="CX28" s="112">
        <f t="shared" si="56"/>
        <v>43522108.684039995</v>
      </c>
      <c r="CY28" s="112">
        <f t="shared" si="27"/>
        <v>50652143.037648</v>
      </c>
      <c r="CZ28" s="112">
        <f t="shared" si="28"/>
        <v>52483619.581739999</v>
      </c>
      <c r="DA28" s="625"/>
      <c r="DB28" s="128">
        <f t="shared" si="57"/>
        <v>156.8526398364514</v>
      </c>
      <c r="DC28" s="625"/>
      <c r="DD28" s="625"/>
      <c r="DE28" s="625"/>
      <c r="DF28" s="625"/>
      <c r="DG28" s="618">
        <f t="shared" si="29"/>
        <v>0</v>
      </c>
      <c r="DH28" s="618">
        <f t="shared" si="30"/>
        <v>0</v>
      </c>
      <c r="DI28" s="618">
        <f t="shared" si="31"/>
        <v>0</v>
      </c>
      <c r="DJ28" s="123"/>
    </row>
    <row r="29" spans="1:114" s="19" customFormat="1" ht="63.75" hidden="1" customHeight="1">
      <c r="A29" s="20">
        <f t="shared" si="58"/>
        <v>16</v>
      </c>
      <c r="B29" s="1502" t="s">
        <v>13</v>
      </c>
      <c r="C29" s="1" t="s">
        <v>83</v>
      </c>
      <c r="D29" s="1" t="s">
        <v>82</v>
      </c>
      <c r="E29" s="626">
        <v>4633037132</v>
      </c>
      <c r="F29" s="1" t="s">
        <v>8</v>
      </c>
      <c r="G29" s="804" t="s">
        <v>891</v>
      </c>
      <c r="H29" s="38">
        <v>2465.09</v>
      </c>
      <c r="I29" s="38">
        <v>2465.09</v>
      </c>
      <c r="J29" s="607">
        <v>2084.33</v>
      </c>
      <c r="K29" s="38">
        <v>1678.95</v>
      </c>
      <c r="L29" s="38"/>
      <c r="M29" s="10"/>
      <c r="N29" s="38">
        <v>2678.7</v>
      </c>
      <c r="O29" s="38">
        <v>2678.7</v>
      </c>
      <c r="P29" s="38">
        <v>2208.35</v>
      </c>
      <c r="Q29" s="38">
        <v>1788.0817500000001</v>
      </c>
      <c r="R29" s="10"/>
      <c r="S29" s="10"/>
      <c r="T29" s="23">
        <v>756.523708751198</v>
      </c>
      <c r="U29" s="23">
        <v>4137.6493259255258</v>
      </c>
      <c r="V29" s="206">
        <v>600.45333333333338</v>
      </c>
      <c r="W29" s="23"/>
      <c r="X29" s="23"/>
      <c r="Y29" s="23"/>
      <c r="Z29" s="35">
        <f t="shared" si="34"/>
        <v>5494.6263680100565</v>
      </c>
      <c r="AA29" s="23">
        <v>571.40311826983293</v>
      </c>
      <c r="AB29" s="23">
        <v>3103.9993916646345</v>
      </c>
      <c r="AC29" s="206">
        <v>602.27565334831763</v>
      </c>
      <c r="AD29" s="23"/>
      <c r="AE29" s="23"/>
      <c r="AF29" s="23"/>
      <c r="AG29" s="35">
        <f t="shared" si="35"/>
        <v>4277.6781632827851</v>
      </c>
      <c r="AH29" s="35">
        <f t="shared" si="36"/>
        <v>9772.3045312928407</v>
      </c>
      <c r="AI29" s="15">
        <f t="shared" si="6"/>
        <v>1327.9268270210309</v>
      </c>
      <c r="AJ29" s="15">
        <f t="shared" si="6"/>
        <v>7241.6487175901602</v>
      </c>
      <c r="AK29" s="15">
        <f t="shared" si="6"/>
        <v>1202.7289866816509</v>
      </c>
      <c r="AL29" s="15">
        <f t="shared" si="6"/>
        <v>0</v>
      </c>
      <c r="AM29" s="15">
        <f t="shared" si="6"/>
        <v>0</v>
      </c>
      <c r="AN29" s="15"/>
      <c r="AO29" s="15">
        <f t="shared" si="7"/>
        <v>9772.3045312928407</v>
      </c>
      <c r="AP29" s="15">
        <f t="shared" si="37"/>
        <v>9772.3045312928407</v>
      </c>
      <c r="AQ29" s="15">
        <f t="shared" si="38"/>
        <v>9772.3045312928407</v>
      </c>
      <c r="AR29" s="127">
        <f t="shared" si="39"/>
        <v>0</v>
      </c>
      <c r="AS29" s="112">
        <f t="shared" si="8"/>
        <v>3273459.1420212733</v>
      </c>
      <c r="AT29" s="112">
        <f t="shared" si="8"/>
        <v>15093985.671534698</v>
      </c>
      <c r="AU29" s="112">
        <f t="shared" si="8"/>
        <v>2019321.8321891578</v>
      </c>
      <c r="AV29" s="118">
        <f t="shared" si="8"/>
        <v>0</v>
      </c>
      <c r="AW29" s="118">
        <f t="shared" si="8"/>
        <v>0</v>
      </c>
      <c r="AX29" s="112">
        <f t="shared" si="40"/>
        <v>20386766.645745128</v>
      </c>
      <c r="AY29" s="112">
        <f t="shared" si="41"/>
        <v>20386766.645745128</v>
      </c>
      <c r="AZ29" s="112">
        <f t="shared" si="9"/>
        <v>3557117.5915412353</v>
      </c>
      <c r="BA29" s="112">
        <f t="shared" si="9"/>
        <v>15992094.94549023</v>
      </c>
      <c r="BB29" s="112">
        <f t="shared" si="9"/>
        <v>2150577.7512814533</v>
      </c>
      <c r="BC29" s="112">
        <f t="shared" si="9"/>
        <v>0</v>
      </c>
      <c r="BD29" s="112">
        <f t="shared" si="9"/>
        <v>0</v>
      </c>
      <c r="BE29" s="112">
        <f t="shared" si="42"/>
        <v>21699790.288312919</v>
      </c>
      <c r="BF29" s="112">
        <f t="shared" si="43"/>
        <v>21699790.288312919</v>
      </c>
      <c r="BG29" s="169">
        <f>(I29-J29)*U29/1000+(I29-K29)*V29/1000+0.022577566363907</f>
        <v>2047.5143183724347</v>
      </c>
      <c r="BH29" s="170">
        <f>(O29-P29)*AB29/1000+(O29-Q29)*AC29/1000</f>
        <v>1996.3638022721457</v>
      </c>
      <c r="BI29" s="169">
        <f t="shared" si="5"/>
        <v>4043.8781206445801</v>
      </c>
      <c r="BJ29" s="169"/>
      <c r="BK29" s="169"/>
      <c r="BL29" s="112">
        <f t="shared" si="10"/>
        <v>1864899.0292054908</v>
      </c>
      <c r="BM29" s="112">
        <f t="shared" si="10"/>
        <v>8624226.6195063516</v>
      </c>
      <c r="BN29" s="112">
        <f t="shared" si="10"/>
        <v>1008131.1240000001</v>
      </c>
      <c r="BO29" s="112">
        <f t="shared" si="10"/>
        <v>0</v>
      </c>
      <c r="BP29" s="112">
        <f t="shared" si="10"/>
        <v>0</v>
      </c>
      <c r="BQ29" s="112">
        <f t="shared" si="44"/>
        <v>11497256.772711841</v>
      </c>
      <c r="BR29" s="112">
        <f t="shared" si="45"/>
        <v>11497256.772711841</v>
      </c>
      <c r="BS29" s="112">
        <f t="shared" si="11"/>
        <v>1530617.5329094015</v>
      </c>
      <c r="BT29" s="112">
        <f t="shared" si="11"/>
        <v>6854717.0565825952</v>
      </c>
      <c r="BU29" s="112">
        <f t="shared" si="11"/>
        <v>1076918.1042214532</v>
      </c>
      <c r="BV29" s="112">
        <f t="shared" si="12"/>
        <v>0</v>
      </c>
      <c r="BW29" s="112">
        <f t="shared" si="13"/>
        <v>0</v>
      </c>
      <c r="BX29" s="112">
        <f t="shared" si="46"/>
        <v>9462252.6937134508</v>
      </c>
      <c r="BY29" s="112">
        <f t="shared" si="47"/>
        <v>9462252.6937134508</v>
      </c>
      <c r="BZ29" s="113">
        <f t="shared" si="48"/>
        <v>15478943.676088948</v>
      </c>
      <c r="CA29" s="113">
        <f t="shared" si="48"/>
        <v>2085049.2282214533</v>
      </c>
      <c r="CB29" s="113">
        <f t="shared" si="49"/>
        <v>17563992.904310402</v>
      </c>
      <c r="CC29" s="119">
        <f t="shared" si="50"/>
        <v>2137.488889579824</v>
      </c>
      <c r="CD29" s="119">
        <f t="shared" si="50"/>
        <v>1733.5985507210053</v>
      </c>
      <c r="CE29" s="119">
        <f t="shared" si="51"/>
        <v>2079.9629670076451</v>
      </c>
      <c r="CF29" s="119">
        <f t="shared" si="14"/>
        <v>2079.9629670076451</v>
      </c>
      <c r="CG29" s="619">
        <f t="shared" si="15"/>
        <v>21607848.447388612</v>
      </c>
      <c r="CH29" s="132">
        <f t="shared" si="52"/>
        <v>2558.8443819202585</v>
      </c>
      <c r="CI29" s="128"/>
      <c r="CJ29" s="112">
        <f t="shared" si="16"/>
        <v>13544.74851351791</v>
      </c>
      <c r="CK29" s="112">
        <f t="shared" si="17"/>
        <v>11458.616495985596</v>
      </c>
      <c r="CL29" s="112">
        <f t="shared" si="53"/>
        <v>25003.365009503505</v>
      </c>
      <c r="CM29" s="112">
        <f t="shared" si="18"/>
        <v>25003365.009503506</v>
      </c>
      <c r="CN29" s="112">
        <f t="shared" si="19"/>
        <v>20386766.645745128</v>
      </c>
      <c r="CO29" s="112">
        <f t="shared" si="20"/>
        <v>20874328.922366135</v>
      </c>
      <c r="CP29" s="112">
        <f t="shared" si="21"/>
        <v>11497256.772711841</v>
      </c>
      <c r="CQ29" s="112">
        <f t="shared" si="22"/>
        <v>21699790.288312919</v>
      </c>
      <c r="CR29" s="112">
        <f t="shared" si="23"/>
        <v>22205259.094769884</v>
      </c>
      <c r="CS29" s="112">
        <f t="shared" si="24"/>
        <v>9462252.6937134508</v>
      </c>
      <c r="CT29" s="112">
        <f t="shared" si="54"/>
        <v>42086556.934058048</v>
      </c>
      <c r="CU29" s="124">
        <f t="shared" si="55"/>
        <v>4306717.7040265799</v>
      </c>
      <c r="CV29" s="112">
        <f t="shared" si="25"/>
        <v>17113307.503723856</v>
      </c>
      <c r="CW29" s="112">
        <f t="shared" si="26"/>
        <v>18142672.696771681</v>
      </c>
      <c r="CX29" s="112">
        <f t="shared" si="56"/>
        <v>35255980.200495541</v>
      </c>
      <c r="CY29" s="112">
        <f t="shared" si="27"/>
        <v>24089610.177044671</v>
      </c>
      <c r="CZ29" s="112">
        <f t="shared" si="28"/>
        <v>26177072.147974133</v>
      </c>
      <c r="DA29" s="128"/>
      <c r="DB29" s="128">
        <f t="shared" si="57"/>
        <v>128.51611788920181</v>
      </c>
      <c r="DC29" s="128"/>
      <c r="DD29" s="128"/>
      <c r="DE29" s="128"/>
      <c r="DF29" s="128"/>
      <c r="DG29" s="618">
        <f t="shared" si="29"/>
        <v>0</v>
      </c>
      <c r="DH29" s="618">
        <f t="shared" si="30"/>
        <v>0</v>
      </c>
      <c r="DI29" s="618">
        <f t="shared" si="31"/>
        <v>0</v>
      </c>
      <c r="DJ29" s="116"/>
    </row>
    <row r="30" spans="1:114" s="21" customFormat="1" ht="63.75" hidden="1" customHeight="1">
      <c r="A30" s="20">
        <f t="shared" si="58"/>
        <v>17</v>
      </c>
      <c r="B30" s="1503"/>
      <c r="C30" s="5" t="s">
        <v>84</v>
      </c>
      <c r="D30" s="5" t="s">
        <v>82</v>
      </c>
      <c r="E30" s="5" t="s">
        <v>231</v>
      </c>
      <c r="F30" s="5" t="s">
        <v>8</v>
      </c>
      <c r="G30" s="804" t="s">
        <v>891</v>
      </c>
      <c r="H30" s="607">
        <v>2465.09</v>
      </c>
      <c r="I30" s="38">
        <v>2465.09</v>
      </c>
      <c r="J30" s="607">
        <v>2155.5</v>
      </c>
      <c r="K30" s="607">
        <v>2155.5</v>
      </c>
      <c r="L30" s="607"/>
      <c r="M30" s="36"/>
      <c r="N30" s="38">
        <v>2678.7</v>
      </c>
      <c r="O30" s="38">
        <v>2678.7</v>
      </c>
      <c r="P30" s="607">
        <v>2283.75</v>
      </c>
      <c r="Q30" s="607">
        <v>2283.75</v>
      </c>
      <c r="R30" s="36"/>
      <c r="S30" s="36"/>
      <c r="T30" s="173">
        <v>433.61266867392601</v>
      </c>
      <c r="U30" s="173">
        <v>1479.0271673647794</v>
      </c>
      <c r="V30" s="224">
        <v>62.375546541186658</v>
      </c>
      <c r="W30" s="173"/>
      <c r="X30" s="173"/>
      <c r="Y30" s="173"/>
      <c r="Z30" s="35">
        <f t="shared" si="34"/>
        <v>1975.015382579892</v>
      </c>
      <c r="AA30" s="173">
        <v>316.36987422482815</v>
      </c>
      <c r="AB30" s="173">
        <v>1109.2679279192307</v>
      </c>
      <c r="AC30" s="224">
        <v>24.169369808709387</v>
      </c>
      <c r="AD30" s="173"/>
      <c r="AE30" s="173"/>
      <c r="AF30" s="173"/>
      <c r="AG30" s="35">
        <f t="shared" si="35"/>
        <v>1449.8071719527684</v>
      </c>
      <c r="AH30" s="35">
        <f t="shared" si="36"/>
        <v>3424.8225545326604</v>
      </c>
      <c r="AI30" s="15">
        <f t="shared" ref="AI30:AM84" si="64">T30+AA30</f>
        <v>749.98254289875422</v>
      </c>
      <c r="AJ30" s="15">
        <f t="shared" si="64"/>
        <v>2588.2950952840101</v>
      </c>
      <c r="AK30" s="15">
        <f t="shared" si="64"/>
        <v>86.544916349896042</v>
      </c>
      <c r="AL30" s="15">
        <f t="shared" si="64"/>
        <v>0</v>
      </c>
      <c r="AM30" s="15">
        <f t="shared" si="64"/>
        <v>0</v>
      </c>
      <c r="AN30" s="15"/>
      <c r="AO30" s="15">
        <f t="shared" si="7"/>
        <v>3424.8225545326604</v>
      </c>
      <c r="AP30" s="15">
        <f t="shared" si="37"/>
        <v>3424.8225545326604</v>
      </c>
      <c r="AQ30" s="15">
        <f t="shared" si="38"/>
        <v>3424.8225545326604</v>
      </c>
      <c r="AR30" s="127">
        <f t="shared" si="39"/>
        <v>0</v>
      </c>
      <c r="AS30" s="112">
        <f t="shared" si="8"/>
        <v>1848774.4666742901</v>
      </c>
      <c r="AT30" s="112">
        <f t="shared" si="8"/>
        <v>5579070.0778846834</v>
      </c>
      <c r="AU30" s="112">
        <f t="shared" si="8"/>
        <v>186547.56719220092</v>
      </c>
      <c r="AV30" s="118">
        <f t="shared" si="8"/>
        <v>0</v>
      </c>
      <c r="AW30" s="118">
        <f t="shared" si="8"/>
        <v>0</v>
      </c>
      <c r="AX30" s="112">
        <f t="shared" si="40"/>
        <v>7614392.1117511746</v>
      </c>
      <c r="AY30" s="112">
        <f t="shared" si="41"/>
        <v>7614392.1117511746</v>
      </c>
      <c r="AZ30" s="112">
        <f t="shared" si="9"/>
        <v>2008978.2376628928</v>
      </c>
      <c r="BA30" s="112">
        <f t="shared" si="9"/>
        <v>5911018.9238548577</v>
      </c>
      <c r="BB30" s="112">
        <f t="shared" si="9"/>
        <v>197646.95271407507</v>
      </c>
      <c r="BC30" s="112">
        <f t="shared" si="9"/>
        <v>0</v>
      </c>
      <c r="BD30" s="112">
        <f t="shared" si="9"/>
        <v>0</v>
      </c>
      <c r="BE30" s="112">
        <f t="shared" si="42"/>
        <v>8117644.1142318258</v>
      </c>
      <c r="BF30" s="112">
        <f t="shared" si="43"/>
        <v>8117644.1142318258</v>
      </c>
      <c r="BG30" s="169">
        <f>(I30-J30)*U30/1000+(I30-K30)*V30/1000</f>
        <v>477.20286619814829</v>
      </c>
      <c r="BH30" s="170">
        <f>(O30-P30)*AB30/1000+(O30-Q30)*AC30/1000</f>
        <v>447.65106073764969</v>
      </c>
      <c r="BI30" s="169">
        <f t="shared" si="5"/>
        <v>924.85392693579797</v>
      </c>
      <c r="BJ30" s="169"/>
      <c r="BK30" s="169"/>
      <c r="BL30" s="112">
        <f t="shared" si="10"/>
        <v>1068894.2534214084</v>
      </c>
      <c r="BM30" s="112">
        <f t="shared" si="10"/>
        <v>3188043.0592547818</v>
      </c>
      <c r="BN30" s="112">
        <f t="shared" si="10"/>
        <v>134450.49056952784</v>
      </c>
      <c r="BO30" s="112">
        <f t="shared" si="10"/>
        <v>0</v>
      </c>
      <c r="BP30" s="112">
        <f t="shared" si="10"/>
        <v>0</v>
      </c>
      <c r="BQ30" s="112">
        <f t="shared" si="44"/>
        <v>4391387.8032457186</v>
      </c>
      <c r="BR30" s="112">
        <f t="shared" si="45"/>
        <v>4391387.8032457186</v>
      </c>
      <c r="BS30" s="112">
        <f t="shared" si="11"/>
        <v>847459.98208604706</v>
      </c>
      <c r="BT30" s="112">
        <f t="shared" si="11"/>
        <v>2533290.6303855432</v>
      </c>
      <c r="BU30" s="112">
        <f t="shared" si="11"/>
        <v>55196.798300640061</v>
      </c>
      <c r="BV30" s="112">
        <f t="shared" si="12"/>
        <v>0</v>
      </c>
      <c r="BW30" s="112">
        <f t="shared" si="13"/>
        <v>0</v>
      </c>
      <c r="BX30" s="112">
        <f t="shared" si="46"/>
        <v>3435947.4107722305</v>
      </c>
      <c r="BY30" s="112">
        <f t="shared" si="47"/>
        <v>3435947.4107722305</v>
      </c>
      <c r="BZ30" s="113">
        <f t="shared" si="48"/>
        <v>5721333.6896403246</v>
      </c>
      <c r="CA30" s="113">
        <f t="shared" si="48"/>
        <v>189647.28887016792</v>
      </c>
      <c r="CB30" s="113">
        <f t="shared" si="49"/>
        <v>5910980.9785104925</v>
      </c>
      <c r="CC30" s="119">
        <f t="shared" si="50"/>
        <v>2210.4642164121283</v>
      </c>
      <c r="CD30" s="119">
        <f t="shared" si="50"/>
        <v>2191.3163345543603</v>
      </c>
      <c r="CE30" s="119">
        <f t="shared" si="51"/>
        <v>2209.8446833460566</v>
      </c>
      <c r="CF30" s="119">
        <f t="shared" si="14"/>
        <v>2209.8446833460566</v>
      </c>
      <c r="CG30" s="619">
        <f t="shared" si="15"/>
        <v>6835834.905446291</v>
      </c>
      <c r="CH30" s="132">
        <f t="shared" si="52"/>
        <v>2555.6051486124852</v>
      </c>
      <c r="CI30" s="171"/>
      <c r="CJ30" s="112">
        <f t="shared" si="16"/>
        <v>4868.5906694438663</v>
      </c>
      <c r="CK30" s="112">
        <f t="shared" si="17"/>
        <v>3883.5984715098803</v>
      </c>
      <c r="CL30" s="112">
        <f t="shared" si="53"/>
        <v>8752.1891409537457</v>
      </c>
      <c r="CM30" s="112">
        <f t="shared" si="18"/>
        <v>8752189.1409537457</v>
      </c>
      <c r="CN30" s="112">
        <f t="shared" si="19"/>
        <v>7614392.1117511746</v>
      </c>
      <c r="CO30" s="112">
        <f t="shared" si="20"/>
        <v>7614392.1117511746</v>
      </c>
      <c r="CP30" s="112">
        <f t="shared" si="21"/>
        <v>4391387.8032457186</v>
      </c>
      <c r="CQ30" s="112">
        <f t="shared" si="22"/>
        <v>8117644.1142318258</v>
      </c>
      <c r="CR30" s="112">
        <f t="shared" si="23"/>
        <v>8117644.1142318258</v>
      </c>
      <c r="CS30" s="112">
        <f t="shared" si="24"/>
        <v>3435947.4107722305</v>
      </c>
      <c r="CT30" s="112">
        <f t="shared" si="54"/>
        <v>15732036.225983001</v>
      </c>
      <c r="CU30" s="124">
        <f t="shared" si="55"/>
        <v>4593533.2343458422</v>
      </c>
      <c r="CV30" s="112">
        <f t="shared" si="25"/>
        <v>5765617.645076884</v>
      </c>
      <c r="CW30" s="112">
        <f t="shared" si="26"/>
        <v>6108665.876568933</v>
      </c>
      <c r="CX30" s="112">
        <f t="shared" si="56"/>
        <v>11874283.521645818</v>
      </c>
      <c r="CY30" s="112">
        <f t="shared" si="27"/>
        <v>8442495.8309529163</v>
      </c>
      <c r="CZ30" s="112">
        <f t="shared" si="28"/>
        <v>9174072.1768266372</v>
      </c>
      <c r="DA30" s="171"/>
      <c r="DB30" s="128">
        <f t="shared" si="57"/>
        <v>124.27279053583855</v>
      </c>
      <c r="DC30" s="171"/>
      <c r="DD30" s="171"/>
      <c r="DE30" s="171"/>
      <c r="DF30" s="171"/>
      <c r="DG30" s="618">
        <f t="shared" si="29"/>
        <v>0</v>
      </c>
      <c r="DH30" s="618">
        <f t="shared" si="30"/>
        <v>0</v>
      </c>
      <c r="DI30" s="618">
        <f t="shared" si="31"/>
        <v>0</v>
      </c>
      <c r="DJ30" s="125"/>
    </row>
    <row r="31" spans="1:114" s="21" customFormat="1" ht="63.75" hidden="1" customHeight="1">
      <c r="A31" s="20">
        <f t="shared" si="58"/>
        <v>18</v>
      </c>
      <c r="B31" s="1503"/>
      <c r="C31" s="5" t="s">
        <v>85</v>
      </c>
      <c r="D31" s="5" t="s">
        <v>82</v>
      </c>
      <c r="E31" s="5" t="s">
        <v>231</v>
      </c>
      <c r="F31" s="5" t="s">
        <v>8</v>
      </c>
      <c r="G31" s="804" t="s">
        <v>891</v>
      </c>
      <c r="H31" s="607">
        <v>2465.09</v>
      </c>
      <c r="I31" s="38">
        <v>2465.09</v>
      </c>
      <c r="J31" s="607">
        <v>2324.5218100000002</v>
      </c>
      <c r="K31" s="607"/>
      <c r="L31" s="607"/>
      <c r="M31" s="36"/>
      <c r="N31" s="38">
        <v>2678.7</v>
      </c>
      <c r="O31" s="38">
        <v>2678.7</v>
      </c>
      <c r="P31" s="36">
        <v>2462.83</v>
      </c>
      <c r="Q31" s="36"/>
      <c r="R31" s="36"/>
      <c r="S31" s="36"/>
      <c r="T31" s="173">
        <v>14.881335084541357</v>
      </c>
      <c r="U31" s="173">
        <v>1197.6402942713037</v>
      </c>
      <c r="V31" s="224"/>
      <c r="W31" s="173"/>
      <c r="X31" s="173"/>
      <c r="Y31" s="173"/>
      <c r="Z31" s="35">
        <f t="shared" si="34"/>
        <v>1212.5216293558451</v>
      </c>
      <c r="AA31" s="173">
        <v>11.166671044686728</v>
      </c>
      <c r="AB31" s="173">
        <v>899.34060236022469</v>
      </c>
      <c r="AC31" s="224"/>
      <c r="AD31" s="173"/>
      <c r="AE31" s="173"/>
      <c r="AF31" s="173"/>
      <c r="AG31" s="35">
        <f t="shared" si="35"/>
        <v>910.50727340491142</v>
      </c>
      <c r="AH31" s="35">
        <f t="shared" si="36"/>
        <v>2123.0289027607564</v>
      </c>
      <c r="AI31" s="15">
        <f t="shared" si="64"/>
        <v>26.048006129228085</v>
      </c>
      <c r="AJ31" s="15">
        <f t="shared" si="64"/>
        <v>2096.9808966315286</v>
      </c>
      <c r="AK31" s="15">
        <f t="shared" si="64"/>
        <v>0</v>
      </c>
      <c r="AL31" s="15">
        <f t="shared" si="64"/>
        <v>0</v>
      </c>
      <c r="AM31" s="15">
        <f t="shared" si="64"/>
        <v>0</v>
      </c>
      <c r="AN31" s="15"/>
      <c r="AO31" s="15">
        <f t="shared" si="7"/>
        <v>2123.0289027607569</v>
      </c>
      <c r="AP31" s="15">
        <f t="shared" si="37"/>
        <v>2123.0289027607569</v>
      </c>
      <c r="AQ31" s="15">
        <f t="shared" si="38"/>
        <v>2123.0289027607569</v>
      </c>
      <c r="AR31" s="127">
        <f t="shared" si="39"/>
        <v>0</v>
      </c>
      <c r="AS31" s="112">
        <f t="shared" si="8"/>
        <v>64210.679429098862</v>
      </c>
      <c r="AT31" s="112">
        <f t="shared" si="8"/>
        <v>4874477.8293733438</v>
      </c>
      <c r="AU31" s="112">
        <f t="shared" si="8"/>
        <v>0</v>
      </c>
      <c r="AV31" s="118">
        <f t="shared" si="8"/>
        <v>0</v>
      </c>
      <c r="AW31" s="118">
        <f t="shared" si="8"/>
        <v>0</v>
      </c>
      <c r="AX31" s="112">
        <f t="shared" si="40"/>
        <v>4938688.5088024428</v>
      </c>
      <c r="AY31" s="112">
        <f t="shared" si="41"/>
        <v>4938688.5088024428</v>
      </c>
      <c r="AZ31" s="112">
        <f t="shared" si="9"/>
        <v>69774.79401836326</v>
      </c>
      <c r="BA31" s="112">
        <f t="shared" si="9"/>
        <v>5164507.4616510272</v>
      </c>
      <c r="BB31" s="112">
        <f t="shared" si="9"/>
        <v>0</v>
      </c>
      <c r="BC31" s="112">
        <f t="shared" si="9"/>
        <v>0</v>
      </c>
      <c r="BD31" s="112">
        <f t="shared" si="9"/>
        <v>0</v>
      </c>
      <c r="BE31" s="112">
        <f t="shared" si="42"/>
        <v>5234282.2556693908</v>
      </c>
      <c r="BF31" s="112">
        <f t="shared" si="43"/>
        <v>5234282.2556693908</v>
      </c>
      <c r="BG31" s="169">
        <f>(I31-J31)*U31/1000+(I31-K31)*V31/1000</f>
        <v>168.35012843678447</v>
      </c>
      <c r="BH31" s="170">
        <f>(O31-P31)*AB31/1000+(O31-Q31)*AC31/1000</f>
        <v>194.14065583150162</v>
      </c>
      <c r="BI31" s="169">
        <f t="shared" si="5"/>
        <v>362.49078426828612</v>
      </c>
      <c r="BJ31" s="169"/>
      <c r="BK31" s="169"/>
      <c r="BL31" s="112">
        <f t="shared" si="10"/>
        <v>36683.830303552058</v>
      </c>
      <c r="BM31" s="112">
        <f t="shared" si="10"/>
        <v>2783940.9845684636</v>
      </c>
      <c r="BN31" s="112">
        <f t="shared" si="10"/>
        <v>0</v>
      </c>
      <c r="BO31" s="112">
        <f t="shared" si="10"/>
        <v>0</v>
      </c>
      <c r="BP31" s="112">
        <f t="shared" si="10"/>
        <v>0</v>
      </c>
      <c r="BQ31" s="112">
        <f t="shared" si="44"/>
        <v>2820624.8148720157</v>
      </c>
      <c r="BR31" s="112">
        <f t="shared" si="45"/>
        <v>2820624.8148720157</v>
      </c>
      <c r="BS31" s="112">
        <f t="shared" si="11"/>
        <v>29912.161727402337</v>
      </c>
      <c r="BT31" s="112">
        <f t="shared" si="11"/>
        <v>2214923.0157108321</v>
      </c>
      <c r="BU31" s="112">
        <f t="shared" si="11"/>
        <v>0</v>
      </c>
      <c r="BV31" s="112">
        <f t="shared" si="12"/>
        <v>0</v>
      </c>
      <c r="BW31" s="112">
        <f t="shared" si="13"/>
        <v>0</v>
      </c>
      <c r="BX31" s="112">
        <f t="shared" si="46"/>
        <v>2244835.1774382344</v>
      </c>
      <c r="BY31" s="112">
        <f t="shared" si="47"/>
        <v>2244835.1774382344</v>
      </c>
      <c r="BZ31" s="113">
        <f t="shared" si="48"/>
        <v>4998864.0002792962</v>
      </c>
      <c r="CA31" s="113">
        <f t="shared" si="48"/>
        <v>0</v>
      </c>
      <c r="CB31" s="113">
        <f t="shared" si="49"/>
        <v>4998864.0002792962</v>
      </c>
      <c r="CC31" s="119">
        <f t="shared" si="50"/>
        <v>2383.8385978189826</v>
      </c>
      <c r="CD31" s="119" t="e">
        <f t="shared" si="50"/>
        <v>#DIV/0!</v>
      </c>
      <c r="CE31" s="119">
        <f t="shared" si="51"/>
        <v>2383.8385978189826</v>
      </c>
      <c r="CF31" s="119">
        <f t="shared" si="14"/>
        <v>2383.8385978189826</v>
      </c>
      <c r="CG31" s="619">
        <f t="shared" si="15"/>
        <v>5361354.7845475823</v>
      </c>
      <c r="CH31" s="132">
        <f t="shared" si="52"/>
        <v>2556.7017769020972</v>
      </c>
      <c r="CI31" s="171"/>
      <c r="CJ31" s="112">
        <f t="shared" si="16"/>
        <v>2988.9749433088004</v>
      </c>
      <c r="CK31" s="112">
        <f t="shared" si="17"/>
        <v>2438.9758332697361</v>
      </c>
      <c r="CL31" s="112">
        <f t="shared" si="53"/>
        <v>5427.9507765785365</v>
      </c>
      <c r="CM31" s="112">
        <f t="shared" si="18"/>
        <v>5427950.7765785363</v>
      </c>
      <c r="CN31" s="112">
        <f t="shared" si="19"/>
        <v>4938688.5088024428</v>
      </c>
      <c r="CO31" s="112">
        <f t="shared" si="20"/>
        <v>4938688.5088024428</v>
      </c>
      <c r="CP31" s="112">
        <f t="shared" si="21"/>
        <v>2820624.8148720157</v>
      </c>
      <c r="CQ31" s="112">
        <f t="shared" si="22"/>
        <v>5234282.2556693908</v>
      </c>
      <c r="CR31" s="112">
        <f t="shared" si="23"/>
        <v>5234282.2556693908</v>
      </c>
      <c r="CS31" s="112">
        <f t="shared" si="24"/>
        <v>2244835.1774382344</v>
      </c>
      <c r="CT31" s="112">
        <f t="shared" si="54"/>
        <v>10172970.764471833</v>
      </c>
      <c r="CU31" s="124">
        <f t="shared" si="55"/>
        <v>4791725.0449313456</v>
      </c>
      <c r="CV31" s="112">
        <f t="shared" si="25"/>
        <v>4874477.8293733438</v>
      </c>
      <c r="CW31" s="112">
        <f t="shared" si="26"/>
        <v>5164507.4616510272</v>
      </c>
      <c r="CX31" s="112">
        <f t="shared" si="56"/>
        <v>10038985.291024372</v>
      </c>
      <c r="CY31" s="112">
        <f t="shared" si="27"/>
        <v>5233457.3179065138</v>
      </c>
      <c r="CZ31" s="112">
        <f t="shared" si="28"/>
        <v>5686957.5218252391</v>
      </c>
      <c r="DA31" s="171"/>
      <c r="DB31" s="128">
        <f t="shared" si="57"/>
        <v>115.23660429755228</v>
      </c>
      <c r="DC31" s="171"/>
      <c r="DD31" s="171"/>
      <c r="DE31" s="171"/>
      <c r="DF31" s="171"/>
      <c r="DG31" s="618">
        <f t="shared" si="29"/>
        <v>0</v>
      </c>
      <c r="DH31" s="618">
        <f t="shared" si="30"/>
        <v>0</v>
      </c>
      <c r="DI31" s="618">
        <f t="shared" si="31"/>
        <v>0</v>
      </c>
      <c r="DJ31" s="125"/>
    </row>
    <row r="32" spans="1:114" s="21" customFormat="1" ht="63.75" hidden="1" customHeight="1">
      <c r="A32" s="20">
        <f t="shared" si="58"/>
        <v>19</v>
      </c>
      <c r="B32" s="1503"/>
      <c r="C32" s="5" t="s">
        <v>86</v>
      </c>
      <c r="D32" s="5" t="s">
        <v>82</v>
      </c>
      <c r="E32" s="5" t="s">
        <v>231</v>
      </c>
      <c r="F32" s="5" t="s">
        <v>8</v>
      </c>
      <c r="G32" s="804" t="s">
        <v>891</v>
      </c>
      <c r="H32" s="607">
        <v>2465.09</v>
      </c>
      <c r="I32" s="38">
        <v>2465.09</v>
      </c>
      <c r="J32" s="607">
        <v>2155.5</v>
      </c>
      <c r="K32" s="607">
        <v>2155.5</v>
      </c>
      <c r="L32" s="607"/>
      <c r="M32" s="36"/>
      <c r="N32" s="38">
        <v>2678.7</v>
      </c>
      <c r="O32" s="38">
        <v>2678.7</v>
      </c>
      <c r="P32" s="36">
        <v>2283.75</v>
      </c>
      <c r="Q32" s="36">
        <v>2283.75</v>
      </c>
      <c r="R32" s="36"/>
      <c r="S32" s="36"/>
      <c r="T32" s="173">
        <v>930.17866072034951</v>
      </c>
      <c r="U32" s="173">
        <v>1553.8574283584805</v>
      </c>
      <c r="V32" s="224">
        <v>204.08571291356853</v>
      </c>
      <c r="W32" s="173"/>
      <c r="X32" s="173"/>
      <c r="Y32" s="173"/>
      <c r="Z32" s="35">
        <f t="shared" si="34"/>
        <v>2688.1218019923986</v>
      </c>
      <c r="AA32" s="173">
        <v>662.56690310446049</v>
      </c>
      <c r="AB32" s="173">
        <v>1165.4152363198393</v>
      </c>
      <c r="AC32" s="224">
        <v>174.43395375309811</v>
      </c>
      <c r="AD32" s="173"/>
      <c r="AE32" s="173"/>
      <c r="AF32" s="173"/>
      <c r="AG32" s="35">
        <f t="shared" si="35"/>
        <v>2002.4160931773981</v>
      </c>
      <c r="AH32" s="35">
        <f t="shared" si="36"/>
        <v>4690.5378951697967</v>
      </c>
      <c r="AI32" s="15">
        <f t="shared" si="64"/>
        <v>1592.74556382481</v>
      </c>
      <c r="AJ32" s="15">
        <f t="shared" si="64"/>
        <v>2719.2726646783199</v>
      </c>
      <c r="AK32" s="15">
        <f t="shared" si="64"/>
        <v>378.51966666666664</v>
      </c>
      <c r="AL32" s="15">
        <f t="shared" si="64"/>
        <v>0</v>
      </c>
      <c r="AM32" s="15">
        <f t="shared" si="64"/>
        <v>0</v>
      </c>
      <c r="AN32" s="15"/>
      <c r="AO32" s="15">
        <f t="shared" si="7"/>
        <v>4690.5378951697967</v>
      </c>
      <c r="AP32" s="15">
        <f t="shared" si="37"/>
        <v>4690.5378951697967</v>
      </c>
      <c r="AQ32" s="17">
        <f t="shared" si="38"/>
        <v>4690.5378951697967</v>
      </c>
      <c r="AR32" s="127">
        <f t="shared" si="39"/>
        <v>0</v>
      </c>
      <c r="AS32" s="112">
        <f t="shared" si="8"/>
        <v>3926261.161928901</v>
      </c>
      <c r="AT32" s="112">
        <f t="shared" si="8"/>
        <v>5861392.2287141187</v>
      </c>
      <c r="AU32" s="112">
        <f t="shared" si="8"/>
        <v>815899.14149999991</v>
      </c>
      <c r="AV32" s="112">
        <f t="shared" si="8"/>
        <v>0</v>
      </c>
      <c r="AW32" s="112">
        <f t="shared" si="8"/>
        <v>0</v>
      </c>
      <c r="AX32" s="112">
        <f t="shared" si="40"/>
        <v>10603552.532143019</v>
      </c>
      <c r="AY32" s="112">
        <f t="shared" si="41"/>
        <v>10603552.532143019</v>
      </c>
      <c r="AZ32" s="112">
        <f t="shared" si="9"/>
        <v>4266487.541817518</v>
      </c>
      <c r="BA32" s="112">
        <f t="shared" si="9"/>
        <v>6210138.9479591129</v>
      </c>
      <c r="BB32" s="112">
        <f t="shared" si="9"/>
        <v>864444.28874999995</v>
      </c>
      <c r="BC32" s="112">
        <f t="shared" si="9"/>
        <v>0</v>
      </c>
      <c r="BD32" s="112">
        <f t="shared" si="9"/>
        <v>0</v>
      </c>
      <c r="BE32" s="112">
        <f t="shared" si="42"/>
        <v>11341070.77852663</v>
      </c>
      <c r="BF32" s="112">
        <f t="shared" si="43"/>
        <v>11341070.77852663</v>
      </c>
      <c r="BG32" s="169">
        <f>(I32-J32)*U32/1000+(I32-K32)*V32/1000</f>
        <v>544.24161710641397</v>
      </c>
      <c r="BH32" s="170">
        <f>(O32-P32)*AB32/1000+(O32-Q32)*AC32/1000</f>
        <v>529.17343761930636</v>
      </c>
      <c r="BI32" s="169">
        <f t="shared" si="5"/>
        <v>1073.4150547257204</v>
      </c>
      <c r="BJ32" s="169"/>
      <c r="BK32" s="169"/>
      <c r="BL32" s="112">
        <f t="shared" si="10"/>
        <v>2292974.1147551266</v>
      </c>
      <c r="BM32" s="112">
        <f t="shared" si="10"/>
        <v>3349339.686826705</v>
      </c>
      <c r="BN32" s="112">
        <f t="shared" si="10"/>
        <v>439906.75418519694</v>
      </c>
      <c r="BO32" s="112">
        <f t="shared" si="10"/>
        <v>0</v>
      </c>
      <c r="BP32" s="112">
        <f t="shared" si="10"/>
        <v>0</v>
      </c>
      <c r="BQ32" s="112">
        <f t="shared" si="44"/>
        <v>6082220.5557670286</v>
      </c>
      <c r="BR32" s="112">
        <f t="shared" si="45"/>
        <v>6082220.5557670286</v>
      </c>
      <c r="BS32" s="112">
        <f t="shared" si="11"/>
        <v>1774817.9633459181</v>
      </c>
      <c r="BT32" s="112">
        <f t="shared" si="11"/>
        <v>2661517.045945433</v>
      </c>
      <c r="BU32" s="112">
        <f t="shared" si="11"/>
        <v>398363.54188363778</v>
      </c>
      <c r="BV32" s="112">
        <f t="shared" si="12"/>
        <v>0</v>
      </c>
      <c r="BW32" s="112">
        <f t="shared" si="13"/>
        <v>0</v>
      </c>
      <c r="BX32" s="112">
        <f t="shared" si="46"/>
        <v>4834698.551174989</v>
      </c>
      <c r="BY32" s="112">
        <f t="shared" si="47"/>
        <v>4834698.551174989</v>
      </c>
      <c r="BZ32" s="113">
        <f t="shared" si="48"/>
        <v>6010856.732772138</v>
      </c>
      <c r="CA32" s="113">
        <f t="shared" si="48"/>
        <v>838270.29606883472</v>
      </c>
      <c r="CB32" s="113">
        <f t="shared" si="49"/>
        <v>6849127.028840973</v>
      </c>
      <c r="CC32" s="119">
        <f t="shared" si="50"/>
        <v>2210.4648830731362</v>
      </c>
      <c r="CD32" s="119">
        <f t="shared" si="50"/>
        <v>2214.6016967911878</v>
      </c>
      <c r="CE32" s="119">
        <f t="shared" si="51"/>
        <v>2210.9703609044859</v>
      </c>
      <c r="CF32" s="119">
        <f t="shared" si="14"/>
        <v>2210.9703609044855</v>
      </c>
      <c r="CG32" s="619">
        <f t="shared" si="15"/>
        <v>7922542.0835666936</v>
      </c>
      <c r="CH32" s="132">
        <f t="shared" si="52"/>
        <v>2557.4800490667226</v>
      </c>
      <c r="CI32" s="171"/>
      <c r="CJ32" s="112">
        <f t="shared" si="16"/>
        <v>6626.4621728734419</v>
      </c>
      <c r="CK32" s="112">
        <f t="shared" si="17"/>
        <v>5363.8719887942962</v>
      </c>
      <c r="CL32" s="112">
        <f t="shared" si="53"/>
        <v>11990.334161667739</v>
      </c>
      <c r="CM32" s="112">
        <f t="shared" si="18"/>
        <v>11990334.161667738</v>
      </c>
      <c r="CN32" s="112">
        <f t="shared" si="19"/>
        <v>10603552.532143019</v>
      </c>
      <c r="CO32" s="112">
        <f t="shared" si="20"/>
        <v>10603552.532143019</v>
      </c>
      <c r="CP32" s="112">
        <f t="shared" si="21"/>
        <v>6082220.5557670286</v>
      </c>
      <c r="CQ32" s="112">
        <f t="shared" si="22"/>
        <v>11341070.77852663</v>
      </c>
      <c r="CR32" s="112">
        <f t="shared" si="23"/>
        <v>11341070.77852663</v>
      </c>
      <c r="CS32" s="112">
        <f t="shared" si="24"/>
        <v>4834698.551174989</v>
      </c>
      <c r="CT32" s="112">
        <f t="shared" si="54"/>
        <v>21944623.310669649</v>
      </c>
      <c r="CU32" s="124">
        <f t="shared" si="55"/>
        <v>4678487.5852442626</v>
      </c>
      <c r="CV32" s="112">
        <f t="shared" si="25"/>
        <v>6677291.3702141186</v>
      </c>
      <c r="CW32" s="112">
        <f t="shared" si="26"/>
        <v>7074583.2367091132</v>
      </c>
      <c r="CX32" s="112">
        <f t="shared" si="56"/>
        <v>13751874.606923232</v>
      </c>
      <c r="CY32" s="112">
        <f t="shared" si="27"/>
        <v>11562598.060004115</v>
      </c>
      <c r="CZ32" s="112">
        <f t="shared" si="28"/>
        <v>12564543.859791331</v>
      </c>
      <c r="DA32" s="171"/>
      <c r="DB32" s="128">
        <f t="shared" si="57"/>
        <v>124.27279053583855</v>
      </c>
      <c r="DC32" s="171"/>
      <c r="DD32" s="171"/>
      <c r="DE32" s="171"/>
      <c r="DF32" s="171"/>
      <c r="DG32" s="618">
        <f t="shared" si="29"/>
        <v>0</v>
      </c>
      <c r="DH32" s="618">
        <f t="shared" si="30"/>
        <v>0</v>
      </c>
      <c r="DI32" s="618">
        <f t="shared" si="31"/>
        <v>0</v>
      </c>
      <c r="DJ32" s="125"/>
    </row>
    <row r="33" spans="1:114" s="218" customFormat="1" ht="63.75" customHeight="1">
      <c r="A33" s="218">
        <f t="shared" si="58"/>
        <v>20</v>
      </c>
      <c r="B33" s="1558"/>
      <c r="C33" s="627" t="s">
        <v>55</v>
      </c>
      <c r="D33" s="748" t="s">
        <v>141</v>
      </c>
      <c r="E33" s="628">
        <v>4632024035</v>
      </c>
      <c r="F33" s="627" t="s">
        <v>8</v>
      </c>
      <c r="G33" s="751" t="s">
        <v>890</v>
      </c>
      <c r="H33" s="609">
        <f>2209.08*1.2</f>
        <v>2650.8959999999997</v>
      </c>
      <c r="I33" s="609">
        <f>2209.08*1.2</f>
        <v>2650.8959999999997</v>
      </c>
      <c r="J33" s="609">
        <v>1507.12</v>
      </c>
      <c r="K33" s="609">
        <v>1507.12</v>
      </c>
      <c r="L33" s="609">
        <f>2209.08*1.2</f>
        <v>2650.8959999999997</v>
      </c>
      <c r="M33" s="609"/>
      <c r="N33" s="609">
        <f>2650.9*1.2</f>
        <v>3181.08</v>
      </c>
      <c r="O33" s="609">
        <f>2650.9*1.2</f>
        <v>3181.08</v>
      </c>
      <c r="P33" s="609">
        <v>1604.93</v>
      </c>
      <c r="Q33" s="609">
        <v>1604.93</v>
      </c>
      <c r="R33" s="609">
        <f>2650.9*1.2</f>
        <v>3181.08</v>
      </c>
      <c r="S33" s="609"/>
      <c r="T33" s="629">
        <v>712.08999999999992</v>
      </c>
      <c r="U33" s="630">
        <f>4672.31</f>
        <v>4672.3100000000004</v>
      </c>
      <c r="V33" s="631">
        <v>972.71</v>
      </c>
      <c r="W33" s="629"/>
      <c r="X33" s="629"/>
      <c r="Y33" s="629"/>
      <c r="Z33" s="632">
        <f>SUM(T33:W33)</f>
        <v>6357.1100000000006</v>
      </c>
      <c r="AA33" s="633">
        <v>467.19</v>
      </c>
      <c r="AB33" s="634">
        <v>3504.23</v>
      </c>
      <c r="AC33" s="635">
        <v>972.71</v>
      </c>
      <c r="AD33" s="629"/>
      <c r="AE33" s="629"/>
      <c r="AF33" s="629"/>
      <c r="AG33" s="636">
        <f>SUM(AA33:AD33)</f>
        <v>4944.13</v>
      </c>
      <c r="AH33" s="636">
        <f t="shared" si="36"/>
        <v>11301.240000000002</v>
      </c>
      <c r="AI33" s="629">
        <f t="shared" si="64"/>
        <v>1179.28</v>
      </c>
      <c r="AJ33" s="629">
        <f t="shared" si="64"/>
        <v>8176.5400000000009</v>
      </c>
      <c r="AK33" s="629">
        <f t="shared" si="64"/>
        <v>1945.42</v>
      </c>
      <c r="AL33" s="629">
        <f t="shared" si="64"/>
        <v>0</v>
      </c>
      <c r="AM33" s="629">
        <f t="shared" si="64"/>
        <v>0</v>
      </c>
      <c r="AN33" s="629"/>
      <c r="AO33" s="629">
        <f t="shared" si="7"/>
        <v>11301.240000000002</v>
      </c>
      <c r="AP33" s="629">
        <f t="shared" si="37"/>
        <v>11301.240000000002</v>
      </c>
      <c r="AQ33" s="637">
        <f t="shared" si="38"/>
        <v>11301.240000000002</v>
      </c>
      <c r="AR33" s="636">
        <f t="shared" si="39"/>
        <v>0</v>
      </c>
      <c r="AS33" s="629">
        <f t="shared" si="8"/>
        <v>3126148.6348799998</v>
      </c>
      <c r="AT33" s="629">
        <f t="shared" si="8"/>
        <v>12323026.9648</v>
      </c>
      <c r="AU33" s="629">
        <f t="shared" si="8"/>
        <v>2931981.3903999999</v>
      </c>
      <c r="AV33" s="629">
        <f t="shared" si="8"/>
        <v>0</v>
      </c>
      <c r="AW33" s="629">
        <f t="shared" si="8"/>
        <v>0</v>
      </c>
      <c r="AX33" s="629">
        <f t="shared" si="40"/>
        <v>18381156.990079999</v>
      </c>
      <c r="AY33" s="629">
        <f t="shared" si="41"/>
        <v>18381156.990079999</v>
      </c>
      <c r="AZ33" s="629">
        <f>O33*AI33</f>
        <v>3751384.0223999997</v>
      </c>
      <c r="BA33" s="629">
        <f t="shared" si="9"/>
        <v>13122774.342200002</v>
      </c>
      <c r="BB33" s="629">
        <f t="shared" si="9"/>
        <v>3122262.9206000003</v>
      </c>
      <c r="BC33" s="629">
        <f t="shared" si="9"/>
        <v>0</v>
      </c>
      <c r="BD33" s="629">
        <f t="shared" si="9"/>
        <v>0</v>
      </c>
      <c r="BE33" s="629">
        <f t="shared" si="42"/>
        <v>19996421.285200004</v>
      </c>
      <c r="BF33" s="629">
        <f t="shared" si="43"/>
        <v>19996421.285200004</v>
      </c>
      <c r="BG33" s="623">
        <f>(I33-J33)*U33/1000/1.2+(I33-K33)*V33/1000/1.2</f>
        <v>5380.5319962666672</v>
      </c>
      <c r="BH33" s="624">
        <f>(O33-P33)*AB33/1000/1.2+(O33-Q33)*AC33/1000/1.2</f>
        <v>5880.2741508333338</v>
      </c>
      <c r="BI33" s="623">
        <f>BG33+BH33</f>
        <v>11260.8061471</v>
      </c>
      <c r="BJ33" s="623"/>
      <c r="BK33" s="623"/>
      <c r="BL33" s="629">
        <f t="shared" si="10"/>
        <v>1887676.5326399996</v>
      </c>
      <c r="BM33" s="629">
        <f t="shared" si="10"/>
        <v>7041731.8471999997</v>
      </c>
      <c r="BN33" s="629">
        <f t="shared" si="10"/>
        <v>1465990.6952</v>
      </c>
      <c r="BO33" s="629">
        <f t="shared" si="10"/>
        <v>0</v>
      </c>
      <c r="BP33" s="629">
        <f t="shared" si="10"/>
        <v>0</v>
      </c>
      <c r="BQ33" s="629">
        <f t="shared" si="44"/>
        <v>10395399.07504</v>
      </c>
      <c r="BR33" s="629">
        <f t="shared" si="45"/>
        <v>10395399.07504</v>
      </c>
      <c r="BS33" s="629">
        <f>O33*AA33</f>
        <v>1486168.7652</v>
      </c>
      <c r="BT33" s="629">
        <f t="shared" si="11"/>
        <v>5624043.8539000005</v>
      </c>
      <c r="BU33" s="629">
        <f t="shared" si="11"/>
        <v>1561131.4603000002</v>
      </c>
      <c r="BV33" s="629">
        <f t="shared" si="12"/>
        <v>0</v>
      </c>
      <c r="BW33" s="629">
        <f t="shared" si="13"/>
        <v>0</v>
      </c>
      <c r="BX33" s="629">
        <f t="shared" si="46"/>
        <v>8671344.0794000011</v>
      </c>
      <c r="BY33" s="629">
        <f t="shared" si="47"/>
        <v>8671344.0794000011</v>
      </c>
      <c r="BZ33" s="638">
        <f t="shared" si="48"/>
        <v>12665775.701099999</v>
      </c>
      <c r="CA33" s="638">
        <f t="shared" si="48"/>
        <v>3027122.1555000003</v>
      </c>
      <c r="CB33" s="638">
        <f t="shared" si="49"/>
        <v>15692897.8566</v>
      </c>
      <c r="CC33" s="639">
        <f t="shared" si="50"/>
        <v>1549.0385543396103</v>
      </c>
      <c r="CD33" s="639">
        <f t="shared" si="50"/>
        <v>1556.0250000000001</v>
      </c>
      <c r="CE33" s="639">
        <f t="shared" si="51"/>
        <v>1550.3813348995648</v>
      </c>
      <c r="CF33" s="639">
        <f t="shared" si="14"/>
        <v>1550.381334899565</v>
      </c>
      <c r="CG33" s="640">
        <f>I33*(U33+V33)+O33*(AB33+AC33)</f>
        <v>29205865.233120002</v>
      </c>
      <c r="CH33" s="641">
        <f t="shared" si="52"/>
        <v>2885.3962308801852</v>
      </c>
      <c r="CI33" s="642"/>
      <c r="CJ33" s="643">
        <f t="shared" si="16"/>
        <v>16852.037470560001</v>
      </c>
      <c r="CK33" s="644">
        <f>N33*AG33/1000</f>
        <v>15727.6730604</v>
      </c>
      <c r="CL33" s="644">
        <f t="shared" si="53"/>
        <v>32579.710530960001</v>
      </c>
      <c r="CM33" s="645">
        <f>H33*Z33+N33*AG33</f>
        <v>32579710.530960001</v>
      </c>
      <c r="CN33" s="629">
        <f t="shared" si="19"/>
        <v>18381156.990079999</v>
      </c>
      <c r="CO33" s="629">
        <f t="shared" si="20"/>
        <v>18381156.990079999</v>
      </c>
      <c r="CP33" s="629">
        <f t="shared" si="21"/>
        <v>10395399.07504</v>
      </c>
      <c r="CQ33" s="629">
        <f>O33*AI33+P33*AJ33+Q33*AK33+R33*AL33</f>
        <v>19996421.285200004</v>
      </c>
      <c r="CR33" s="629">
        <f>O33*AI33+P33*(AJ33+AK33)+R33*AL33</f>
        <v>19996421.285200004</v>
      </c>
      <c r="CS33" s="629">
        <f>O33*AA33+P33*AB33+Q33*AC33+R33*AD33</f>
        <v>8671344.0794000011</v>
      </c>
      <c r="CT33" s="629">
        <f t="shared" si="54"/>
        <v>38377578.275279999</v>
      </c>
      <c r="CU33" s="646">
        <f t="shared" si="55"/>
        <v>3395873.2205740246</v>
      </c>
      <c r="CV33" s="629">
        <f t="shared" si="25"/>
        <v>15255008.3552</v>
      </c>
      <c r="CW33" s="629">
        <f t="shared" si="26"/>
        <v>16245037.262800002</v>
      </c>
      <c r="CX33" s="629">
        <f t="shared" si="56"/>
        <v>31500045.618000001</v>
      </c>
      <c r="CY33" s="629">
        <f t="shared" si="27"/>
        <v>29958411.911039997</v>
      </c>
      <c r="CZ33" s="629">
        <f>N33*AI33+N33*AJ33+N33*AK33+N33*AL33</f>
        <v>35950148.5392</v>
      </c>
      <c r="DA33" s="642"/>
      <c r="DB33" s="647">
        <f>N33/J33*100</f>
        <v>211.07012049471842</v>
      </c>
      <c r="DC33" s="642"/>
      <c r="DD33" s="642"/>
      <c r="DE33" s="642"/>
      <c r="DF33" s="642"/>
      <c r="DG33" s="618">
        <f t="shared" si="29"/>
        <v>0</v>
      </c>
      <c r="DH33" s="618">
        <f t="shared" si="30"/>
        <v>0</v>
      </c>
      <c r="DI33" s="618">
        <f t="shared" si="31"/>
        <v>0</v>
      </c>
    </row>
    <row r="34" spans="1:114" s="32" customFormat="1" ht="63.75" customHeight="1">
      <c r="A34" s="20">
        <f t="shared" si="58"/>
        <v>21</v>
      </c>
      <c r="B34" s="1502" t="s">
        <v>14</v>
      </c>
      <c r="C34" s="22" t="s">
        <v>87</v>
      </c>
      <c r="D34" s="748" t="s">
        <v>142</v>
      </c>
      <c r="E34" s="617">
        <v>4632024035</v>
      </c>
      <c r="F34" s="803" t="s">
        <v>8</v>
      </c>
      <c r="G34" s="751" t="s">
        <v>890</v>
      </c>
      <c r="H34" s="816">
        <f>2653.36*1.2</f>
        <v>3184.0320000000002</v>
      </c>
      <c r="I34" s="816">
        <f>2653.36*1.2</f>
        <v>3184.0320000000002</v>
      </c>
      <c r="J34" s="38">
        <v>2103.35</v>
      </c>
      <c r="K34" s="38"/>
      <c r="L34" s="816">
        <f>2653.36*1.2</f>
        <v>3184.0320000000002</v>
      </c>
      <c r="M34" s="10"/>
      <c r="N34" s="622">
        <f>2749.3*1.2</f>
        <v>3299.1600000000003</v>
      </c>
      <c r="O34" s="622">
        <f>2749.3*1.2</f>
        <v>3299.1600000000003</v>
      </c>
      <c r="P34" s="38">
        <v>2239.86</v>
      </c>
      <c r="Q34" s="10"/>
      <c r="R34" s="622">
        <f>2749.3*1.2</f>
        <v>3299.1600000000003</v>
      </c>
      <c r="S34" s="10"/>
      <c r="T34" s="178">
        <v>1558.2</v>
      </c>
      <c r="U34" s="16">
        <v>1244.0519999999999</v>
      </c>
      <c r="V34" s="227"/>
      <c r="W34" s="16"/>
      <c r="X34" s="16"/>
      <c r="Y34" s="16"/>
      <c r="Z34" s="35">
        <f t="shared" si="34"/>
        <v>2802.252</v>
      </c>
      <c r="AA34" s="178">
        <v>904.8</v>
      </c>
      <c r="AB34" s="16">
        <v>933.03899999999999</v>
      </c>
      <c r="AC34" s="227"/>
      <c r="AD34" s="16"/>
      <c r="AE34" s="16"/>
      <c r="AF34" s="16"/>
      <c r="AG34" s="35">
        <f t="shared" si="35"/>
        <v>1837.8389999999999</v>
      </c>
      <c r="AH34" s="35">
        <f t="shared" si="36"/>
        <v>4640.0910000000003</v>
      </c>
      <c r="AI34" s="15">
        <f t="shared" si="64"/>
        <v>2463</v>
      </c>
      <c r="AJ34" s="15">
        <f t="shared" si="64"/>
        <v>2177.0909999999999</v>
      </c>
      <c r="AK34" s="15">
        <f t="shared" si="64"/>
        <v>0</v>
      </c>
      <c r="AL34" s="15">
        <f t="shared" si="64"/>
        <v>0</v>
      </c>
      <c r="AM34" s="15">
        <f t="shared" si="64"/>
        <v>0</v>
      </c>
      <c r="AN34" s="15"/>
      <c r="AO34" s="15">
        <f t="shared" si="7"/>
        <v>4640.0910000000003</v>
      </c>
      <c r="AP34" s="15">
        <f t="shared" si="37"/>
        <v>4640.0910000000003</v>
      </c>
      <c r="AQ34" s="15">
        <f t="shared" si="38"/>
        <v>4640.0910000000003</v>
      </c>
      <c r="AR34" s="127">
        <f t="shared" si="39"/>
        <v>0</v>
      </c>
      <c r="AS34" s="112">
        <f t="shared" si="8"/>
        <v>7842270.8160000006</v>
      </c>
      <c r="AT34" s="112">
        <f t="shared" si="8"/>
        <v>4579184.3548499998</v>
      </c>
      <c r="AU34" s="112">
        <f t="shared" si="8"/>
        <v>0</v>
      </c>
      <c r="AV34" s="112">
        <f t="shared" si="8"/>
        <v>0</v>
      </c>
      <c r="AW34" s="112">
        <f t="shared" si="8"/>
        <v>0</v>
      </c>
      <c r="AX34" s="112">
        <f t="shared" si="40"/>
        <v>12421455.170850001</v>
      </c>
      <c r="AY34" s="112">
        <f t="shared" si="41"/>
        <v>12421455.170850001</v>
      </c>
      <c r="AZ34" s="112">
        <f t="shared" si="9"/>
        <v>8125831.080000001</v>
      </c>
      <c r="BA34" s="112">
        <f t="shared" si="9"/>
        <v>4876379.0472600004</v>
      </c>
      <c r="BB34" s="112">
        <f t="shared" si="9"/>
        <v>0</v>
      </c>
      <c r="BC34" s="112">
        <f t="shared" si="9"/>
        <v>0</v>
      </c>
      <c r="BD34" s="112">
        <f t="shared" si="9"/>
        <v>0</v>
      </c>
      <c r="BE34" s="112">
        <f t="shared" si="42"/>
        <v>13002210.127260001</v>
      </c>
      <c r="BF34" s="112">
        <f t="shared" si="43"/>
        <v>13002210.127260001</v>
      </c>
      <c r="BG34" s="623">
        <f>(I34-J34)/1.2*U34/1000</f>
        <v>1120.3538362200002</v>
      </c>
      <c r="BH34" s="624">
        <f>(O34-P34)/1.2*AB34/1000</f>
        <v>823.64017725000019</v>
      </c>
      <c r="BI34" s="623">
        <f>BG34+BH34</f>
        <v>1943.9940134700005</v>
      </c>
      <c r="BJ34" s="169"/>
      <c r="BK34" s="169"/>
      <c r="BL34" s="112">
        <f t="shared" si="10"/>
        <v>4961358.6624000007</v>
      </c>
      <c r="BM34" s="112">
        <f t="shared" si="10"/>
        <v>2616676.7741999999</v>
      </c>
      <c r="BN34" s="112">
        <f t="shared" si="10"/>
        <v>0</v>
      </c>
      <c r="BO34" s="112">
        <f t="shared" si="10"/>
        <v>0</v>
      </c>
      <c r="BP34" s="112">
        <f t="shared" si="10"/>
        <v>0</v>
      </c>
      <c r="BQ34" s="112">
        <f t="shared" si="44"/>
        <v>7578035.4366000006</v>
      </c>
      <c r="BR34" s="112">
        <f t="shared" si="45"/>
        <v>7578035.4366000006</v>
      </c>
      <c r="BS34" s="112">
        <f t="shared" si="11"/>
        <v>2985079.9680000003</v>
      </c>
      <c r="BT34" s="112">
        <f t="shared" si="11"/>
        <v>2089876.7345400001</v>
      </c>
      <c r="BU34" s="112">
        <f t="shared" si="11"/>
        <v>0</v>
      </c>
      <c r="BV34" s="112">
        <f t="shared" si="12"/>
        <v>0</v>
      </c>
      <c r="BW34" s="112">
        <f t="shared" si="13"/>
        <v>0</v>
      </c>
      <c r="BX34" s="112">
        <f t="shared" si="46"/>
        <v>5074956.7025400009</v>
      </c>
      <c r="BY34" s="112">
        <f t="shared" si="47"/>
        <v>5074956.7025400009</v>
      </c>
      <c r="BZ34" s="113">
        <f t="shared" si="48"/>
        <v>4706553.5087400004</v>
      </c>
      <c r="CA34" s="113">
        <f t="shared" si="48"/>
        <v>0</v>
      </c>
      <c r="CB34" s="113">
        <f t="shared" si="49"/>
        <v>4706553.5087400004</v>
      </c>
      <c r="CC34" s="119">
        <f t="shared" si="50"/>
        <v>2161.8542857142861</v>
      </c>
      <c r="CD34" s="119" t="e">
        <f t="shared" si="50"/>
        <v>#DIV/0!</v>
      </c>
      <c r="CE34" s="119">
        <f t="shared" si="51"/>
        <v>2161.8542857142861</v>
      </c>
      <c r="CF34" s="119">
        <f t="shared" si="14"/>
        <v>2161.8542857142861</v>
      </c>
      <c r="CG34" s="619">
        <f t="shared" si="15"/>
        <v>7039346.3249040004</v>
      </c>
      <c r="CH34" s="132">
        <f t="shared" si="52"/>
        <v>3233.372571428572</v>
      </c>
      <c r="CI34" s="625"/>
      <c r="CJ34" s="208">
        <f t="shared" si="16"/>
        <v>8922.4600400639993</v>
      </c>
      <c r="CK34" s="208">
        <f t="shared" si="17"/>
        <v>6063.3249152400003</v>
      </c>
      <c r="CL34" s="208">
        <f t="shared" si="53"/>
        <v>14985.784955304</v>
      </c>
      <c r="CM34" s="112">
        <f t="shared" si="18"/>
        <v>14985784.955304001</v>
      </c>
      <c r="CN34" s="112">
        <f t="shared" si="19"/>
        <v>12421455.170850001</v>
      </c>
      <c r="CO34" s="112">
        <f t="shared" si="20"/>
        <v>12421455.170850001</v>
      </c>
      <c r="CP34" s="112">
        <f t="shared" si="21"/>
        <v>7578035.4366000006</v>
      </c>
      <c r="CQ34" s="112">
        <f t="shared" si="22"/>
        <v>13002210.127260001</v>
      </c>
      <c r="CR34" s="112">
        <f t="shared" si="23"/>
        <v>13002210.127260001</v>
      </c>
      <c r="CS34" s="112">
        <f t="shared" si="24"/>
        <v>5074956.7025400009</v>
      </c>
      <c r="CT34" s="112">
        <f t="shared" si="54"/>
        <v>25423665.298110001</v>
      </c>
      <c r="CU34" s="124">
        <f t="shared" si="55"/>
        <v>5479130.7537093563</v>
      </c>
      <c r="CV34" s="112">
        <f t="shared" si="25"/>
        <v>4579184.3548499998</v>
      </c>
      <c r="CW34" s="112">
        <f t="shared" si="26"/>
        <v>4876379.0472600004</v>
      </c>
      <c r="CX34" s="112">
        <f t="shared" si="56"/>
        <v>9455563.4021099992</v>
      </c>
      <c r="CY34" s="112">
        <f t="shared" si="27"/>
        <v>14774198.226911999</v>
      </c>
      <c r="CZ34" s="112">
        <f t="shared" si="28"/>
        <v>15308402.62356</v>
      </c>
      <c r="DA34" s="625"/>
      <c r="DB34" s="128">
        <f t="shared" si="57"/>
        <v>156.8526398364514</v>
      </c>
      <c r="DC34" s="625"/>
      <c r="DD34" s="625"/>
      <c r="DE34" s="625"/>
      <c r="DF34" s="625"/>
      <c r="DG34" s="618">
        <f t="shared" si="29"/>
        <v>0</v>
      </c>
      <c r="DH34" s="618">
        <f t="shared" si="30"/>
        <v>0</v>
      </c>
      <c r="DI34" s="618">
        <f t="shared" si="31"/>
        <v>0</v>
      </c>
      <c r="DJ34" s="123"/>
    </row>
    <row r="35" spans="1:114" s="13" customFormat="1" ht="96" hidden="1" customHeight="1">
      <c r="A35" s="695">
        <f t="shared" si="58"/>
        <v>22</v>
      </c>
      <c r="B35" s="1503"/>
      <c r="C35" s="1502" t="s">
        <v>60</v>
      </c>
      <c r="D35" s="696" t="s">
        <v>136</v>
      </c>
      <c r="E35" s="706">
        <v>4607000231</v>
      </c>
      <c r="F35" s="696" t="s">
        <v>8</v>
      </c>
      <c r="G35" s="805" t="s">
        <v>875</v>
      </c>
      <c r="H35" s="733">
        <v>2596.6999999999998</v>
      </c>
      <c r="I35" s="733">
        <v>2596.6999999999998</v>
      </c>
      <c r="J35" s="733">
        <v>2596.6999999999998</v>
      </c>
      <c r="K35" s="733">
        <v>0</v>
      </c>
      <c r="L35" s="733">
        <v>2596.6999999999998</v>
      </c>
      <c r="M35" s="734"/>
      <c r="N35" s="733">
        <v>2752.01</v>
      </c>
      <c r="O35" s="733">
        <v>2752.01</v>
      </c>
      <c r="P35" s="733">
        <v>2752.01</v>
      </c>
      <c r="Q35" s="733">
        <v>0</v>
      </c>
      <c r="R35" s="733">
        <v>2752.01</v>
      </c>
      <c r="S35" s="734"/>
      <c r="T35" s="704">
        <v>1134</v>
      </c>
      <c r="U35" s="699">
        <v>369.08</v>
      </c>
      <c r="V35" s="699"/>
      <c r="W35" s="704">
        <v>98</v>
      </c>
      <c r="X35" s="700">
        <v>0</v>
      </c>
      <c r="Y35" s="700">
        <v>4723.8599999999997</v>
      </c>
      <c r="Z35" s="99">
        <f>SUM(T35:W35)</f>
        <v>1601.08</v>
      </c>
      <c r="AA35" s="699">
        <v>756</v>
      </c>
      <c r="AB35" s="699">
        <v>276.8</v>
      </c>
      <c r="AC35" s="699">
        <v>0</v>
      </c>
      <c r="AD35" s="699">
        <v>66</v>
      </c>
      <c r="AE35" s="699">
        <v>0</v>
      </c>
      <c r="AF35" s="700">
        <v>3149.24</v>
      </c>
      <c r="AG35" s="99">
        <f>SUM(AA35:AD35)</f>
        <v>1098.8</v>
      </c>
      <c r="AH35" s="99">
        <f>Z35+AG35</f>
        <v>2699.88</v>
      </c>
      <c r="AI35" s="702">
        <f>T35+AA35</f>
        <v>1890</v>
      </c>
      <c r="AJ35" s="18">
        <f>U35+AB35</f>
        <v>645.88</v>
      </c>
      <c r="AK35" s="18">
        <f t="shared" si="64"/>
        <v>0</v>
      </c>
      <c r="AL35" s="702">
        <f>W35+AD35</f>
        <v>164</v>
      </c>
      <c r="AM35" s="29">
        <f>X35+AE35</f>
        <v>0</v>
      </c>
      <c r="AN35" s="29">
        <f>Y35+AF35</f>
        <v>7873.0999999999995</v>
      </c>
      <c r="AO35" s="29">
        <f>SUM(AI35:AN35)</f>
        <v>10572.98</v>
      </c>
      <c r="AP35" s="29">
        <f>SUM(AI35:AM35)</f>
        <v>2699.88</v>
      </c>
      <c r="AQ35" s="29">
        <f>SUM(AI35:AL35)</f>
        <v>2699.88</v>
      </c>
      <c r="AR35" s="99">
        <f t="shared" si="39"/>
        <v>0</v>
      </c>
      <c r="AS35" s="18">
        <f t="shared" si="8"/>
        <v>4907763</v>
      </c>
      <c r="AT35" s="18">
        <f t="shared" si="8"/>
        <v>1677156.5959999999</v>
      </c>
      <c r="AU35" s="18">
        <f t="shared" si="8"/>
        <v>0</v>
      </c>
      <c r="AV35" s="18">
        <f t="shared" si="8"/>
        <v>425858.8</v>
      </c>
      <c r="AW35" s="18">
        <f t="shared" si="8"/>
        <v>0</v>
      </c>
      <c r="AX35" s="18">
        <f t="shared" si="40"/>
        <v>7010778.3959999997</v>
      </c>
      <c r="AY35" s="18">
        <f t="shared" si="41"/>
        <v>7010778.3959999997</v>
      </c>
      <c r="AZ35" s="18">
        <f t="shared" si="9"/>
        <v>5201298.9000000004</v>
      </c>
      <c r="BA35" s="18">
        <f t="shared" si="9"/>
        <v>1777468.2188000001</v>
      </c>
      <c r="BB35" s="18">
        <f t="shared" si="9"/>
        <v>0</v>
      </c>
      <c r="BC35" s="18">
        <f t="shared" si="9"/>
        <v>451329.64</v>
      </c>
      <c r="BD35" s="18">
        <f t="shared" si="9"/>
        <v>0</v>
      </c>
      <c r="BE35" s="18">
        <f t="shared" si="42"/>
        <v>7430096.7588</v>
      </c>
      <c r="BF35" s="18">
        <f t="shared" si="43"/>
        <v>7430096.7588</v>
      </c>
      <c r="BG35" s="18"/>
      <c r="BH35" s="18"/>
      <c r="BI35" s="18">
        <f t="shared" si="5"/>
        <v>0</v>
      </c>
      <c r="BJ35" s="18">
        <v>23428.84</v>
      </c>
      <c r="BK35" s="18">
        <v>23650.06</v>
      </c>
      <c r="BL35" s="18">
        <f>I35*T35</f>
        <v>2944657.8</v>
      </c>
      <c r="BM35" s="18">
        <f>J35*U35</f>
        <v>958390.03599999985</v>
      </c>
      <c r="BN35" s="18">
        <f t="shared" si="10"/>
        <v>0</v>
      </c>
      <c r="BO35" s="18">
        <f>L35*W35</f>
        <v>254476.59999999998</v>
      </c>
      <c r="BP35" s="18">
        <f>M35*X35</f>
        <v>0</v>
      </c>
      <c r="BQ35" s="18">
        <f>BL35+BM35+BN35+BO35+BP35</f>
        <v>4157524.4359999998</v>
      </c>
      <c r="BR35" s="18">
        <f>BQ35-BP35</f>
        <v>4157524.4359999998</v>
      </c>
      <c r="BS35" s="18">
        <f t="shared" si="11"/>
        <v>2080519.56</v>
      </c>
      <c r="BT35" s="18">
        <f t="shared" si="11"/>
        <v>761756.36800000013</v>
      </c>
      <c r="BU35" s="18">
        <f t="shared" si="11"/>
        <v>0</v>
      </c>
      <c r="BV35" s="18">
        <f>R35*W35</f>
        <v>269696.98000000004</v>
      </c>
      <c r="BW35" s="18">
        <f>S35*AE35</f>
        <v>0</v>
      </c>
      <c r="BX35" s="18">
        <f>BS35+BT35+BU35+BV35+BW35</f>
        <v>3111972.9080000003</v>
      </c>
      <c r="BY35" s="18">
        <f>BX35-BW35</f>
        <v>3111972.9080000003</v>
      </c>
      <c r="BZ35" s="161">
        <f>BM35+BT35</f>
        <v>1720146.4040000001</v>
      </c>
      <c r="CA35" s="161">
        <f>BN35+BU35</f>
        <v>0</v>
      </c>
      <c r="CB35" s="161">
        <f>BZ35+CA35</f>
        <v>1720146.4040000001</v>
      </c>
      <c r="CC35" s="162">
        <f>BZ35/AJ35</f>
        <v>2663.2600544992879</v>
      </c>
      <c r="CD35" s="162" t="e">
        <f>CA35/AK35</f>
        <v>#DIV/0!</v>
      </c>
      <c r="CE35" s="162">
        <f t="shared" si="51"/>
        <v>2663.2600544992879</v>
      </c>
      <c r="CF35" s="161">
        <f t="shared" si="14"/>
        <v>2663.2600544992879</v>
      </c>
      <c r="CG35" s="651">
        <f t="shared" si="15"/>
        <v>1720146.4040000001</v>
      </c>
      <c r="CH35" s="652">
        <f t="shared" si="52"/>
        <v>2663.2600544992879</v>
      </c>
      <c r="CJ35" s="18">
        <f t="shared" si="16"/>
        <v>4157.5244359999997</v>
      </c>
      <c r="CK35" s="18">
        <f t="shared" si="17"/>
        <v>3023.9085879999998</v>
      </c>
      <c r="CL35" s="18">
        <f t="shared" si="53"/>
        <v>7181.4330239999999</v>
      </c>
      <c r="CM35" s="18">
        <f t="shared" si="18"/>
        <v>7181433.0239999993</v>
      </c>
      <c r="CN35" s="18">
        <f t="shared" si="19"/>
        <v>7010778.3959999997</v>
      </c>
      <c r="CO35" s="18">
        <f t="shared" si="20"/>
        <v>7010778.3959999997</v>
      </c>
      <c r="CP35" s="18">
        <f t="shared" si="21"/>
        <v>4157524.4359999998</v>
      </c>
      <c r="CQ35" s="18">
        <f t="shared" si="22"/>
        <v>7430096.7588</v>
      </c>
      <c r="CR35" s="18">
        <f t="shared" si="23"/>
        <v>7430096.7588</v>
      </c>
      <c r="CS35" s="18">
        <f t="shared" si="24"/>
        <v>3023908.5880000005</v>
      </c>
      <c r="CT35" s="18">
        <f t="shared" si="54"/>
        <v>14440875.1548</v>
      </c>
      <c r="CU35" s="29">
        <f t="shared" si="55"/>
        <v>5348710</v>
      </c>
      <c r="CV35" s="18">
        <f t="shared" si="25"/>
        <v>1677156.5959999999</v>
      </c>
      <c r="CW35" s="18">
        <f t="shared" si="26"/>
        <v>1777468.2188000001</v>
      </c>
      <c r="CX35" s="18">
        <f t="shared" si="56"/>
        <v>3454624.8147999998</v>
      </c>
      <c r="CY35" s="18">
        <f t="shared" si="27"/>
        <v>7010778.3959999997</v>
      </c>
      <c r="CZ35" s="18">
        <f t="shared" si="28"/>
        <v>7430096.7588</v>
      </c>
      <c r="DB35" s="653">
        <f t="shared" si="57"/>
        <v>105.98105287480264</v>
      </c>
      <c r="DG35" s="701">
        <f t="shared" si="29"/>
        <v>0</v>
      </c>
      <c r="DH35" s="701">
        <f t="shared" si="30"/>
        <v>0</v>
      </c>
      <c r="DI35" s="701">
        <f t="shared" si="31"/>
        <v>0</v>
      </c>
    </row>
    <row r="36" spans="1:114" s="13" customFormat="1" ht="78" hidden="1" customHeight="1">
      <c r="A36" s="695">
        <f t="shared" si="58"/>
        <v>23</v>
      </c>
      <c r="B36" s="1503"/>
      <c r="C36" s="1503"/>
      <c r="D36" s="735" t="s">
        <v>877</v>
      </c>
      <c r="E36" s="706">
        <v>4607005286</v>
      </c>
      <c r="F36" s="696" t="s">
        <v>165</v>
      </c>
      <c r="G36" s="805" t="s">
        <v>876</v>
      </c>
      <c r="H36" s="697">
        <v>829.04</v>
      </c>
      <c r="I36" s="697"/>
      <c r="J36" s="697"/>
      <c r="K36" s="697"/>
      <c r="L36" s="697">
        <v>829.04</v>
      </c>
      <c r="M36" s="698"/>
      <c r="N36" s="697">
        <v>865.03</v>
      </c>
      <c r="O36" s="697"/>
      <c r="P36" s="697"/>
      <c r="Q36" s="697"/>
      <c r="R36" s="697">
        <v>865.03</v>
      </c>
      <c r="S36" s="698"/>
      <c r="T36" s="699">
        <v>0</v>
      </c>
      <c r="U36" s="699"/>
      <c r="V36" s="699">
        <v>0</v>
      </c>
      <c r="W36" s="699">
        <v>497.38</v>
      </c>
      <c r="X36" s="699">
        <v>0</v>
      </c>
      <c r="Y36" s="699">
        <v>0</v>
      </c>
      <c r="Z36" s="99">
        <f>SUM(T36:W36)</f>
        <v>497.38</v>
      </c>
      <c r="AA36" s="699">
        <v>0</v>
      </c>
      <c r="AB36" s="699">
        <v>0</v>
      </c>
      <c r="AC36" s="699">
        <v>0</v>
      </c>
      <c r="AD36" s="699">
        <v>368.5</v>
      </c>
      <c r="AE36" s="699">
        <v>0</v>
      </c>
      <c r="AF36" s="699">
        <v>0</v>
      </c>
      <c r="AG36" s="99">
        <f>SUM(AA36:AD36)</f>
        <v>368.5</v>
      </c>
      <c r="AH36" s="99">
        <f>Z36+AG36</f>
        <v>865.88</v>
      </c>
      <c r="AI36" s="18">
        <f>T36+AA36</f>
        <v>0</v>
      </c>
      <c r="AJ36" s="18">
        <f>U36+AB36</f>
        <v>0</v>
      </c>
      <c r="AK36" s="18">
        <f>V36+AC36</f>
        <v>0</v>
      </c>
      <c r="AL36" s="18">
        <f>W36+AD36</f>
        <v>865.88</v>
      </c>
      <c r="AM36" s="18">
        <f>X36+AE36</f>
        <v>0</v>
      </c>
      <c r="AN36" s="18">
        <v>0</v>
      </c>
      <c r="AO36" s="18">
        <f>SUM(AI36:AN36)</f>
        <v>865.88</v>
      </c>
      <c r="AP36" s="18">
        <f>SUM(AI36:AM36)</f>
        <v>865.88</v>
      </c>
      <c r="AQ36" s="18">
        <f>SUM(AI36:AL36)</f>
        <v>865.88</v>
      </c>
      <c r="AR36" s="99">
        <f t="shared" si="39"/>
        <v>0</v>
      </c>
      <c r="AS36" s="18">
        <f t="shared" si="8"/>
        <v>0</v>
      </c>
      <c r="AT36" s="18">
        <f t="shared" si="8"/>
        <v>0</v>
      </c>
      <c r="AU36" s="18">
        <f t="shared" si="8"/>
        <v>0</v>
      </c>
      <c r="AV36" s="18">
        <f t="shared" si="8"/>
        <v>717849.15519999992</v>
      </c>
      <c r="AW36" s="18">
        <f t="shared" si="8"/>
        <v>0</v>
      </c>
      <c r="AX36" s="18">
        <f t="shared" si="40"/>
        <v>717849.15519999992</v>
      </c>
      <c r="AY36" s="18">
        <f t="shared" si="41"/>
        <v>717849.15519999992</v>
      </c>
      <c r="AZ36" s="18">
        <f t="shared" si="9"/>
        <v>0</v>
      </c>
      <c r="BA36" s="18">
        <f t="shared" si="9"/>
        <v>0</v>
      </c>
      <c r="BB36" s="18">
        <f t="shared" si="9"/>
        <v>0</v>
      </c>
      <c r="BC36" s="18">
        <f t="shared" si="9"/>
        <v>749012.1764</v>
      </c>
      <c r="BD36" s="18">
        <f t="shared" si="9"/>
        <v>0</v>
      </c>
      <c r="BE36" s="18">
        <f t="shared" si="42"/>
        <v>749012.1764</v>
      </c>
      <c r="BF36" s="18">
        <f t="shared" si="43"/>
        <v>749012.1764</v>
      </c>
      <c r="BG36" s="163"/>
      <c r="BH36" s="163"/>
      <c r="BI36" s="163"/>
      <c r="BJ36" s="163">
        <v>731.11</v>
      </c>
      <c r="BK36" s="163">
        <v>729.77</v>
      </c>
      <c r="BL36" s="18">
        <f>I36*T36</f>
        <v>0</v>
      </c>
      <c r="BM36" s="18">
        <f>J36*U36</f>
        <v>0</v>
      </c>
      <c r="BN36" s="18">
        <f>K36*V36</f>
        <v>0</v>
      </c>
      <c r="BO36" s="18">
        <f>L36*W36</f>
        <v>412347.91519999999</v>
      </c>
      <c r="BP36" s="18">
        <f>M36*X36</f>
        <v>0</v>
      </c>
      <c r="BQ36" s="18">
        <f>BL36+BM36+BN36+BO36+BP36</f>
        <v>412347.91519999999</v>
      </c>
      <c r="BR36" s="18">
        <f>BQ36-BP36</f>
        <v>412347.91519999999</v>
      </c>
      <c r="BS36" s="18">
        <f t="shared" si="11"/>
        <v>0</v>
      </c>
      <c r="BT36" s="18">
        <f t="shared" si="11"/>
        <v>0</v>
      </c>
      <c r="BU36" s="18">
        <f t="shared" si="11"/>
        <v>0</v>
      </c>
      <c r="BV36" s="18">
        <f>R36*W36</f>
        <v>430248.6214</v>
      </c>
      <c r="BW36" s="18">
        <f>S36*AE36</f>
        <v>0</v>
      </c>
      <c r="BX36" s="18">
        <f>BS36+BT36+BU36+BV36+BW36</f>
        <v>430248.6214</v>
      </c>
      <c r="BY36" s="18">
        <f>BX36-BW36</f>
        <v>430248.6214</v>
      </c>
      <c r="BZ36" s="161">
        <f>BM36+BT36</f>
        <v>0</v>
      </c>
      <c r="CA36" s="161">
        <f>BN36+BU36</f>
        <v>0</v>
      </c>
      <c r="CB36" s="161">
        <f>BZ36+CA36</f>
        <v>0</v>
      </c>
      <c r="CC36" s="162" t="e">
        <f>BZ36/AJ36</f>
        <v>#DIV/0!</v>
      </c>
      <c r="CD36" s="162" t="e">
        <f>CA36/AK36</f>
        <v>#DIV/0!</v>
      </c>
      <c r="CE36" s="162" t="e">
        <f t="shared" si="51"/>
        <v>#DIV/0!</v>
      </c>
      <c r="CF36" s="161" t="e">
        <f t="shared" si="14"/>
        <v>#DIV/0!</v>
      </c>
      <c r="CG36" s="651">
        <f t="shared" si="15"/>
        <v>0</v>
      </c>
      <c r="CH36" s="652" t="e">
        <f t="shared" si="52"/>
        <v>#DIV/0!</v>
      </c>
      <c r="CJ36" s="18">
        <f>H36*Z36/1000</f>
        <v>412.34791519999999</v>
      </c>
      <c r="CK36" s="18">
        <f t="shared" si="17"/>
        <v>318.763555</v>
      </c>
      <c r="CL36" s="18">
        <f t="shared" si="53"/>
        <v>731.11147019999999</v>
      </c>
      <c r="CM36" s="18">
        <f t="shared" si="18"/>
        <v>731111.47019999998</v>
      </c>
      <c r="CN36" s="18">
        <f t="shared" si="19"/>
        <v>717849.15519999992</v>
      </c>
      <c r="CO36" s="18">
        <f t="shared" si="20"/>
        <v>717849.15519999992</v>
      </c>
      <c r="CP36" s="18">
        <f t="shared" si="21"/>
        <v>412347.91519999999</v>
      </c>
      <c r="CQ36" s="18">
        <f t="shared" si="22"/>
        <v>749012.1764</v>
      </c>
      <c r="CR36" s="18">
        <f t="shared" si="23"/>
        <v>749012.1764</v>
      </c>
      <c r="CS36" s="18">
        <f t="shared" si="24"/>
        <v>318763.55499999999</v>
      </c>
      <c r="CT36" s="18">
        <f t="shared" si="54"/>
        <v>1466861.3315999999</v>
      </c>
      <c r="CU36" s="29">
        <f t="shared" si="55"/>
        <v>1694070</v>
      </c>
      <c r="CV36" s="18">
        <f t="shared" si="25"/>
        <v>0</v>
      </c>
      <c r="CW36" s="18">
        <f t="shared" si="26"/>
        <v>0</v>
      </c>
      <c r="CX36" s="18">
        <f t="shared" si="56"/>
        <v>0</v>
      </c>
      <c r="CY36" s="18">
        <f t="shared" si="27"/>
        <v>717849.15519999992</v>
      </c>
      <c r="CZ36" s="18">
        <f t="shared" si="28"/>
        <v>749012.1764</v>
      </c>
      <c r="DB36" s="653" t="e">
        <f t="shared" si="57"/>
        <v>#DIV/0!</v>
      </c>
      <c r="DG36" s="701">
        <f t="shared" si="29"/>
        <v>0</v>
      </c>
      <c r="DH36" s="701">
        <f t="shared" si="30"/>
        <v>0</v>
      </c>
      <c r="DI36" s="701">
        <f t="shared" si="31"/>
        <v>0</v>
      </c>
    </row>
    <row r="37" spans="1:114" s="32" customFormat="1" ht="65.25" customHeight="1">
      <c r="A37" s="20">
        <f t="shared" si="58"/>
        <v>24</v>
      </c>
      <c r="B37" s="1503"/>
      <c r="C37" s="1504"/>
      <c r="D37" s="748" t="s">
        <v>141</v>
      </c>
      <c r="E37" s="617">
        <v>4632024035</v>
      </c>
      <c r="F37" s="803" t="s">
        <v>8</v>
      </c>
      <c r="G37" s="751" t="s">
        <v>890</v>
      </c>
      <c r="H37" s="816">
        <f t="shared" ref="H37:I42" si="65">2653.36*1.2</f>
        <v>3184.0320000000002</v>
      </c>
      <c r="I37" s="816">
        <f t="shared" si="65"/>
        <v>3184.0320000000002</v>
      </c>
      <c r="J37" s="38">
        <v>2732.57</v>
      </c>
      <c r="K37" s="38"/>
      <c r="L37" s="816">
        <f t="shared" ref="L37:L42" si="66">2653.36*1.2</f>
        <v>3184.0320000000002</v>
      </c>
      <c r="M37" s="38"/>
      <c r="N37" s="622">
        <f t="shared" ref="N37:O42" si="67">2749.3*1.2</f>
        <v>3299.1600000000003</v>
      </c>
      <c r="O37" s="622">
        <f t="shared" si="67"/>
        <v>3299.1600000000003</v>
      </c>
      <c r="P37" s="38">
        <v>2896.52</v>
      </c>
      <c r="Q37" s="10"/>
      <c r="R37" s="622">
        <f t="shared" ref="R37:R42" si="68">2749.3*1.2</f>
        <v>3299.1600000000003</v>
      </c>
      <c r="S37" s="38"/>
      <c r="T37" s="178">
        <v>411.113</v>
      </c>
      <c r="U37" s="16">
        <v>16.12</v>
      </c>
      <c r="V37" s="227"/>
      <c r="W37" s="16"/>
      <c r="X37" s="16"/>
      <c r="Y37" s="16"/>
      <c r="Z37" s="35">
        <f t="shared" si="34"/>
        <v>427.233</v>
      </c>
      <c r="AA37" s="178">
        <v>238.72800000000001</v>
      </c>
      <c r="AB37" s="16">
        <v>12.09</v>
      </c>
      <c r="AC37" s="227"/>
      <c r="AD37" s="16"/>
      <c r="AE37" s="16"/>
      <c r="AF37" s="16"/>
      <c r="AG37" s="35">
        <f t="shared" si="35"/>
        <v>250.81800000000001</v>
      </c>
      <c r="AH37" s="35">
        <f t="shared" si="36"/>
        <v>678.05100000000004</v>
      </c>
      <c r="AI37" s="15">
        <f t="shared" si="64"/>
        <v>649.84100000000001</v>
      </c>
      <c r="AJ37" s="15">
        <f t="shared" si="64"/>
        <v>28.21</v>
      </c>
      <c r="AK37" s="15">
        <f t="shared" si="64"/>
        <v>0</v>
      </c>
      <c r="AL37" s="15">
        <f t="shared" si="64"/>
        <v>0</v>
      </c>
      <c r="AM37" s="15">
        <f t="shared" si="64"/>
        <v>0</v>
      </c>
      <c r="AN37" s="15"/>
      <c r="AO37" s="15">
        <f>SUM(AI37:AN37)</f>
        <v>678.05100000000004</v>
      </c>
      <c r="AP37" s="15">
        <f t="shared" si="37"/>
        <v>678.05100000000004</v>
      </c>
      <c r="AQ37" s="16">
        <f t="shared" si="38"/>
        <v>678.05100000000004</v>
      </c>
      <c r="AR37" s="636">
        <f t="shared" si="39"/>
        <v>0</v>
      </c>
      <c r="AS37" s="629">
        <f t="shared" si="8"/>
        <v>2069114.5389120001</v>
      </c>
      <c r="AT37" s="629">
        <f t="shared" si="8"/>
        <v>77085.799700000003</v>
      </c>
      <c r="AU37" s="629">
        <f t="shared" si="8"/>
        <v>0</v>
      </c>
      <c r="AV37" s="633">
        <f t="shared" si="8"/>
        <v>0</v>
      </c>
      <c r="AW37" s="633">
        <f t="shared" si="8"/>
        <v>0</v>
      </c>
      <c r="AX37" s="629">
        <f t="shared" si="40"/>
        <v>2146200.338612</v>
      </c>
      <c r="AY37" s="629">
        <f t="shared" si="41"/>
        <v>2146200.338612</v>
      </c>
      <c r="AZ37" s="629">
        <f t="shared" si="9"/>
        <v>2143929.4335600003</v>
      </c>
      <c r="BA37" s="629">
        <f t="shared" si="9"/>
        <v>81710.829200000007</v>
      </c>
      <c r="BB37" s="629">
        <f t="shared" si="9"/>
        <v>0</v>
      </c>
      <c r="BC37" s="629">
        <f t="shared" si="9"/>
        <v>0</v>
      </c>
      <c r="BD37" s="629">
        <f t="shared" si="9"/>
        <v>0</v>
      </c>
      <c r="BE37" s="629">
        <f t="shared" si="42"/>
        <v>2225640.2627600003</v>
      </c>
      <c r="BF37" s="629">
        <f t="shared" si="43"/>
        <v>2225640.2627600003</v>
      </c>
      <c r="BG37" s="623">
        <f>(I37-J37)/1.2*U37/1000</f>
        <v>6.0646395333333336</v>
      </c>
      <c r="BH37" s="624">
        <f>(O37-P37)/1.2*AB37/1000</f>
        <v>4.0565980000000037</v>
      </c>
      <c r="BI37" s="623">
        <f t="shared" ref="BI37:BI42" si="69">BG37+BH37</f>
        <v>10.121237533333337</v>
      </c>
      <c r="BJ37" s="126"/>
      <c r="BK37" s="126"/>
      <c r="BL37" s="112">
        <f t="shared" si="10"/>
        <v>1308996.947616</v>
      </c>
      <c r="BM37" s="112">
        <f t="shared" si="10"/>
        <v>44049.028400000003</v>
      </c>
      <c r="BN37" s="112">
        <f t="shared" si="10"/>
        <v>0</v>
      </c>
      <c r="BO37" s="112">
        <f t="shared" si="10"/>
        <v>0</v>
      </c>
      <c r="BP37" s="112">
        <f t="shared" si="10"/>
        <v>0</v>
      </c>
      <c r="BQ37" s="112">
        <f t="shared" si="44"/>
        <v>1353045.9760159999</v>
      </c>
      <c r="BR37" s="112">
        <f t="shared" si="45"/>
        <v>1353045.9760159999</v>
      </c>
      <c r="BS37" s="112">
        <f t="shared" si="11"/>
        <v>787601.86848000006</v>
      </c>
      <c r="BT37" s="112">
        <f t="shared" si="11"/>
        <v>35018.926800000001</v>
      </c>
      <c r="BU37" s="112">
        <f t="shared" si="11"/>
        <v>0</v>
      </c>
      <c r="BV37" s="112">
        <f t="shared" si="12"/>
        <v>0</v>
      </c>
      <c r="BW37" s="112">
        <f t="shared" si="13"/>
        <v>0</v>
      </c>
      <c r="BX37" s="112">
        <f t="shared" si="46"/>
        <v>822620.79528000008</v>
      </c>
      <c r="BY37" s="112">
        <f t="shared" si="47"/>
        <v>822620.79528000008</v>
      </c>
      <c r="BZ37" s="113">
        <f t="shared" si="48"/>
        <v>79067.955199999997</v>
      </c>
      <c r="CA37" s="113">
        <f t="shared" si="48"/>
        <v>0</v>
      </c>
      <c r="CB37" s="113">
        <f t="shared" si="49"/>
        <v>79067.955199999997</v>
      </c>
      <c r="CC37" s="119">
        <f t="shared" si="50"/>
        <v>2802.8342857142857</v>
      </c>
      <c r="CD37" s="119" t="e">
        <f t="shared" si="50"/>
        <v>#DIV/0!</v>
      </c>
      <c r="CE37" s="119">
        <f t="shared" si="51"/>
        <v>2802.8342857142857</v>
      </c>
      <c r="CF37" s="119">
        <f t="shared" si="14"/>
        <v>2802.8342857142857</v>
      </c>
      <c r="CG37" s="619">
        <f t="shared" si="15"/>
        <v>91213.440240000011</v>
      </c>
      <c r="CH37" s="132">
        <f t="shared" si="52"/>
        <v>3233.3725714285715</v>
      </c>
      <c r="CI37" s="625"/>
      <c r="CJ37" s="208">
        <f t="shared" si="16"/>
        <v>1360.3235434560002</v>
      </c>
      <c r="CK37" s="208">
        <f t="shared" si="17"/>
        <v>827.48871288000009</v>
      </c>
      <c r="CL37" s="208">
        <f t="shared" si="53"/>
        <v>2187.8122563360002</v>
      </c>
      <c r="CM37" s="112">
        <f t="shared" si="18"/>
        <v>2187812.2563360003</v>
      </c>
      <c r="CN37" s="112">
        <f t="shared" si="19"/>
        <v>2146200.338612</v>
      </c>
      <c r="CO37" s="112">
        <f t="shared" si="20"/>
        <v>2146200.338612</v>
      </c>
      <c r="CP37" s="112">
        <f t="shared" si="21"/>
        <v>1353045.9760159999</v>
      </c>
      <c r="CQ37" s="112">
        <f t="shared" si="22"/>
        <v>2225640.2627600003</v>
      </c>
      <c r="CR37" s="112">
        <f t="shared" si="23"/>
        <v>2225640.2627600003</v>
      </c>
      <c r="CS37" s="112">
        <f t="shared" si="24"/>
        <v>822620.79528000008</v>
      </c>
      <c r="CT37" s="112">
        <f t="shared" si="54"/>
        <v>4371840.6013719998</v>
      </c>
      <c r="CU37" s="124">
        <f t="shared" si="55"/>
        <v>6447657.4791158773</v>
      </c>
      <c r="CV37" s="112">
        <f t="shared" si="25"/>
        <v>77085.799700000003</v>
      </c>
      <c r="CW37" s="112">
        <f t="shared" si="26"/>
        <v>81710.829200000007</v>
      </c>
      <c r="CX37" s="112">
        <f t="shared" si="56"/>
        <v>158796.62890000001</v>
      </c>
      <c r="CY37" s="112">
        <f t="shared" si="27"/>
        <v>2158936.0816319999</v>
      </c>
      <c r="CZ37" s="112">
        <f t="shared" si="28"/>
        <v>2236998.7371600005</v>
      </c>
      <c r="DA37" s="625"/>
      <c r="DB37" s="128">
        <f t="shared" si="57"/>
        <v>120.73469298133259</v>
      </c>
      <c r="DC37" s="625"/>
      <c r="DD37" s="625"/>
      <c r="DE37" s="625"/>
      <c r="DF37" s="625"/>
      <c r="DG37" s="618">
        <f t="shared" si="29"/>
        <v>0</v>
      </c>
      <c r="DH37" s="618">
        <f t="shared" si="30"/>
        <v>0</v>
      </c>
      <c r="DI37" s="618">
        <f t="shared" si="31"/>
        <v>0</v>
      </c>
      <c r="DJ37" s="123"/>
    </row>
    <row r="38" spans="1:114" s="20" customFormat="1" ht="63.75" customHeight="1">
      <c r="A38" s="20">
        <f t="shared" si="58"/>
        <v>25</v>
      </c>
      <c r="B38" s="1503"/>
      <c r="C38" s="803" t="s">
        <v>88</v>
      </c>
      <c r="D38" s="748" t="s">
        <v>141</v>
      </c>
      <c r="E38" s="617">
        <v>4632024035</v>
      </c>
      <c r="F38" s="803" t="s">
        <v>8</v>
      </c>
      <c r="G38" s="751" t="s">
        <v>890</v>
      </c>
      <c r="H38" s="16">
        <f t="shared" si="65"/>
        <v>3184.0320000000002</v>
      </c>
      <c r="I38" s="16">
        <f t="shared" si="65"/>
        <v>3184.0320000000002</v>
      </c>
      <c r="J38" s="38">
        <v>2732.57</v>
      </c>
      <c r="K38" s="38"/>
      <c r="L38" s="816">
        <f t="shared" si="66"/>
        <v>3184.0320000000002</v>
      </c>
      <c r="M38" s="10"/>
      <c r="N38" s="622">
        <f t="shared" si="67"/>
        <v>3299.1600000000003</v>
      </c>
      <c r="O38" s="622">
        <f t="shared" si="67"/>
        <v>3299.1600000000003</v>
      </c>
      <c r="P38" s="38">
        <v>2896.52</v>
      </c>
      <c r="Q38" s="10"/>
      <c r="R38" s="622">
        <f t="shared" si="68"/>
        <v>3299.1600000000003</v>
      </c>
      <c r="S38" s="10"/>
      <c r="T38" s="178">
        <v>671.20699999999999</v>
      </c>
      <c r="U38" s="16">
        <v>3722.9</v>
      </c>
      <c r="V38" s="227"/>
      <c r="W38" s="16"/>
      <c r="X38" s="16"/>
      <c r="Y38" s="16"/>
      <c r="Z38" s="35">
        <f t="shared" si="34"/>
        <v>4394.107</v>
      </c>
      <c r="AA38" s="178">
        <v>389.76000000000005</v>
      </c>
      <c r="AB38" s="16">
        <v>2792.2</v>
      </c>
      <c r="AC38" s="227"/>
      <c r="AD38" s="16"/>
      <c r="AE38" s="16"/>
      <c r="AF38" s="16"/>
      <c r="AG38" s="35">
        <f t="shared" si="35"/>
        <v>3181.96</v>
      </c>
      <c r="AH38" s="35">
        <f t="shared" si="36"/>
        <v>7576.067</v>
      </c>
      <c r="AI38" s="15">
        <f t="shared" si="64"/>
        <v>1060.9670000000001</v>
      </c>
      <c r="AJ38" s="15">
        <f t="shared" si="64"/>
        <v>6515.1</v>
      </c>
      <c r="AK38" s="15">
        <f t="shared" si="64"/>
        <v>0</v>
      </c>
      <c r="AL38" s="15">
        <f t="shared" si="64"/>
        <v>0</v>
      </c>
      <c r="AM38" s="15">
        <f t="shared" si="64"/>
        <v>0</v>
      </c>
      <c r="AN38" s="15"/>
      <c r="AO38" s="15">
        <f t="shared" si="7"/>
        <v>7576.0670000000009</v>
      </c>
      <c r="AP38" s="15">
        <f t="shared" si="37"/>
        <v>7576.0670000000009</v>
      </c>
      <c r="AQ38" s="15">
        <f t="shared" si="38"/>
        <v>7576.0670000000009</v>
      </c>
      <c r="AR38" s="636">
        <f t="shared" si="39"/>
        <v>0</v>
      </c>
      <c r="AS38" s="629">
        <f t="shared" si="8"/>
        <v>3378152.8789440007</v>
      </c>
      <c r="AT38" s="629">
        <f t="shared" si="8"/>
        <v>17802966.807000004</v>
      </c>
      <c r="AU38" s="629">
        <f t="shared" si="8"/>
        <v>0</v>
      </c>
      <c r="AV38" s="629">
        <f t="shared" si="8"/>
        <v>0</v>
      </c>
      <c r="AW38" s="629">
        <f t="shared" si="8"/>
        <v>0</v>
      </c>
      <c r="AX38" s="629">
        <f t="shared" si="40"/>
        <v>21181119.685944006</v>
      </c>
      <c r="AY38" s="629">
        <f t="shared" si="41"/>
        <v>21181119.685944006</v>
      </c>
      <c r="AZ38" s="629">
        <f t="shared" si="9"/>
        <v>3500299.8877200005</v>
      </c>
      <c r="BA38" s="629">
        <f t="shared" si="9"/>
        <v>18871117.452</v>
      </c>
      <c r="BB38" s="629">
        <f t="shared" si="9"/>
        <v>0</v>
      </c>
      <c r="BC38" s="629">
        <f t="shared" si="9"/>
        <v>0</v>
      </c>
      <c r="BD38" s="629">
        <f t="shared" si="9"/>
        <v>0</v>
      </c>
      <c r="BE38" s="629">
        <f t="shared" si="42"/>
        <v>22371417.33972</v>
      </c>
      <c r="BF38" s="629">
        <f t="shared" si="43"/>
        <v>22371417.33972</v>
      </c>
      <c r="BG38" s="623">
        <f>(I38-J38)/1.2*U38/1000</f>
        <v>1400.6232331666668</v>
      </c>
      <c r="BH38" s="624">
        <f>(O38-P38)/1.2*AB38/1000</f>
        <v>936.87617333333412</v>
      </c>
      <c r="BI38" s="623">
        <f t="shared" si="69"/>
        <v>2337.499406500001</v>
      </c>
      <c r="BJ38" s="169"/>
      <c r="BK38" s="169"/>
      <c r="BL38" s="112">
        <f t="shared" si="10"/>
        <v>2137144.5666240002</v>
      </c>
      <c r="BM38" s="112">
        <f t="shared" si="10"/>
        <v>10173084.853</v>
      </c>
      <c r="BN38" s="112">
        <f t="shared" si="10"/>
        <v>0</v>
      </c>
      <c r="BO38" s="112">
        <f t="shared" si="10"/>
        <v>0</v>
      </c>
      <c r="BP38" s="112">
        <f t="shared" si="10"/>
        <v>0</v>
      </c>
      <c r="BQ38" s="112">
        <f t="shared" si="44"/>
        <v>12310229.419624001</v>
      </c>
      <c r="BR38" s="112">
        <f t="shared" si="45"/>
        <v>12310229.419624001</v>
      </c>
      <c r="BS38" s="112">
        <f t="shared" si="11"/>
        <v>1285880.6016000002</v>
      </c>
      <c r="BT38" s="112">
        <f t="shared" si="11"/>
        <v>8087663.1439999994</v>
      </c>
      <c r="BU38" s="112">
        <f t="shared" si="11"/>
        <v>0</v>
      </c>
      <c r="BV38" s="112">
        <f t="shared" si="12"/>
        <v>0</v>
      </c>
      <c r="BW38" s="112">
        <f t="shared" si="13"/>
        <v>0</v>
      </c>
      <c r="BX38" s="112">
        <f t="shared" si="46"/>
        <v>9373543.7456</v>
      </c>
      <c r="BY38" s="112">
        <f t="shared" si="47"/>
        <v>9373543.7456</v>
      </c>
      <c r="BZ38" s="113">
        <f t="shared" si="48"/>
        <v>18260747.997000001</v>
      </c>
      <c r="CA38" s="113">
        <f t="shared" si="48"/>
        <v>0</v>
      </c>
      <c r="CB38" s="113">
        <f t="shared" si="49"/>
        <v>18260747.997000001</v>
      </c>
      <c r="CC38" s="119">
        <f t="shared" si="50"/>
        <v>2802.8346452088226</v>
      </c>
      <c r="CD38" s="119" t="e">
        <f t="shared" si="50"/>
        <v>#DIV/0!</v>
      </c>
      <c r="CE38" s="119">
        <f t="shared" si="51"/>
        <v>2802.8346452088226</v>
      </c>
      <c r="CF38" s="119">
        <f t="shared" si="14"/>
        <v>2802.8346452088226</v>
      </c>
      <c r="CG38" s="619">
        <f t="shared" si="15"/>
        <v>21065747.2848</v>
      </c>
      <c r="CH38" s="132">
        <f t="shared" si="52"/>
        <v>3233.3728238707004</v>
      </c>
      <c r="CI38" s="106"/>
      <c r="CJ38" s="208">
        <f t="shared" si="16"/>
        <v>13990.977299423999</v>
      </c>
      <c r="CK38" s="208">
        <f t="shared" si="17"/>
        <v>10497.795153600002</v>
      </c>
      <c r="CL38" s="208">
        <f t="shared" si="53"/>
        <v>24488.772453024001</v>
      </c>
      <c r="CM38" s="112">
        <f t="shared" si="18"/>
        <v>24488772.453024</v>
      </c>
      <c r="CN38" s="112">
        <f t="shared" si="19"/>
        <v>21181119.685944006</v>
      </c>
      <c r="CO38" s="112">
        <f t="shared" si="20"/>
        <v>21181119.685944006</v>
      </c>
      <c r="CP38" s="112">
        <f t="shared" si="21"/>
        <v>12310229.419624001</v>
      </c>
      <c r="CQ38" s="112">
        <f t="shared" si="22"/>
        <v>22371417.33972</v>
      </c>
      <c r="CR38" s="112">
        <f t="shared" si="23"/>
        <v>22371417.33972</v>
      </c>
      <c r="CS38" s="112">
        <f t="shared" si="24"/>
        <v>9373543.7456</v>
      </c>
      <c r="CT38" s="112">
        <f t="shared" si="54"/>
        <v>43552537.025664002</v>
      </c>
      <c r="CU38" s="124">
        <f t="shared" si="55"/>
        <v>5748700.0874812752</v>
      </c>
      <c r="CV38" s="112">
        <f t="shared" si="25"/>
        <v>17802966.807000004</v>
      </c>
      <c r="CW38" s="112">
        <f t="shared" si="26"/>
        <v>18871117.452</v>
      </c>
      <c r="CX38" s="112">
        <f t="shared" si="56"/>
        <v>36674084.259000003</v>
      </c>
      <c r="CY38" s="112">
        <f t="shared" si="27"/>
        <v>24122439.762144003</v>
      </c>
      <c r="CZ38" s="112">
        <f t="shared" si="28"/>
        <v>24994657.203720003</v>
      </c>
      <c r="DA38" s="106"/>
      <c r="DB38" s="128">
        <f t="shared" si="57"/>
        <v>120.73469298133259</v>
      </c>
      <c r="DC38" s="106"/>
      <c r="DD38" s="106"/>
      <c r="DE38" s="106"/>
      <c r="DF38" s="106"/>
      <c r="DG38" s="618">
        <f t="shared" si="29"/>
        <v>0</v>
      </c>
      <c r="DH38" s="618">
        <f t="shared" si="30"/>
        <v>0</v>
      </c>
      <c r="DI38" s="618">
        <f t="shared" si="31"/>
        <v>0</v>
      </c>
      <c r="DJ38" s="115"/>
    </row>
    <row r="39" spans="1:114" s="20" customFormat="1" ht="63.75" customHeight="1">
      <c r="A39" s="20">
        <f t="shared" si="58"/>
        <v>26</v>
      </c>
      <c r="B39" s="1503"/>
      <c r="C39" s="803" t="s">
        <v>89</v>
      </c>
      <c r="D39" s="748" t="s">
        <v>141</v>
      </c>
      <c r="E39" s="617">
        <v>4632024035</v>
      </c>
      <c r="F39" s="803" t="s">
        <v>8</v>
      </c>
      <c r="G39" s="751" t="s">
        <v>890</v>
      </c>
      <c r="H39" s="16">
        <f t="shared" si="65"/>
        <v>3184.0320000000002</v>
      </c>
      <c r="I39" s="16">
        <f t="shared" si="65"/>
        <v>3184.0320000000002</v>
      </c>
      <c r="J39" s="38"/>
      <c r="K39" s="38"/>
      <c r="L39" s="816">
        <f t="shared" si="66"/>
        <v>3184.0320000000002</v>
      </c>
      <c r="M39" s="10"/>
      <c r="N39" s="622">
        <f t="shared" si="67"/>
        <v>3299.1600000000003</v>
      </c>
      <c r="O39" s="622">
        <f t="shared" si="67"/>
        <v>3299.1600000000003</v>
      </c>
      <c r="P39" s="10"/>
      <c r="Q39" s="10"/>
      <c r="R39" s="622">
        <f t="shared" si="68"/>
        <v>3299.1600000000003</v>
      </c>
      <c r="S39" s="10"/>
      <c r="T39" s="178">
        <v>213.34700000000001</v>
      </c>
      <c r="U39" s="15"/>
      <c r="V39" s="227"/>
      <c r="W39" s="16"/>
      <c r="X39" s="16"/>
      <c r="Y39" s="16"/>
      <c r="Z39" s="35">
        <f t="shared" si="34"/>
        <v>213.34700000000001</v>
      </c>
      <c r="AA39" s="178">
        <v>123.88800000000001</v>
      </c>
      <c r="AB39" s="15"/>
      <c r="AC39" s="208"/>
      <c r="AD39" s="15"/>
      <c r="AE39" s="15"/>
      <c r="AF39" s="15"/>
      <c r="AG39" s="35">
        <f t="shared" si="35"/>
        <v>123.88800000000001</v>
      </c>
      <c r="AH39" s="35">
        <f t="shared" si="36"/>
        <v>337.23500000000001</v>
      </c>
      <c r="AI39" s="15">
        <f t="shared" si="64"/>
        <v>337.23500000000001</v>
      </c>
      <c r="AJ39" s="15">
        <f t="shared" si="64"/>
        <v>0</v>
      </c>
      <c r="AK39" s="15">
        <f t="shared" si="64"/>
        <v>0</v>
      </c>
      <c r="AL39" s="15">
        <f t="shared" si="64"/>
        <v>0</v>
      </c>
      <c r="AM39" s="15">
        <f t="shared" si="64"/>
        <v>0</v>
      </c>
      <c r="AN39" s="15"/>
      <c r="AO39" s="15">
        <f t="shared" si="7"/>
        <v>337.23500000000001</v>
      </c>
      <c r="AP39" s="15">
        <f t="shared" si="37"/>
        <v>337.23500000000001</v>
      </c>
      <c r="AQ39" s="15">
        <f t="shared" si="38"/>
        <v>337.23500000000001</v>
      </c>
      <c r="AR39" s="127">
        <f t="shared" si="39"/>
        <v>0</v>
      </c>
      <c r="AS39" s="112">
        <f t="shared" si="8"/>
        <v>1073767.0315200002</v>
      </c>
      <c r="AT39" s="112">
        <f t="shared" si="8"/>
        <v>0</v>
      </c>
      <c r="AU39" s="112">
        <f t="shared" si="8"/>
        <v>0</v>
      </c>
      <c r="AV39" s="112">
        <f t="shared" si="8"/>
        <v>0</v>
      </c>
      <c r="AW39" s="112">
        <f t="shared" si="8"/>
        <v>0</v>
      </c>
      <c r="AX39" s="112">
        <f t="shared" si="40"/>
        <v>1073767.0315200002</v>
      </c>
      <c r="AY39" s="112">
        <f t="shared" si="41"/>
        <v>1073767.0315200002</v>
      </c>
      <c r="AZ39" s="112">
        <f t="shared" si="9"/>
        <v>1112592.2226000002</v>
      </c>
      <c r="BA39" s="112">
        <f t="shared" si="9"/>
        <v>0</v>
      </c>
      <c r="BB39" s="112">
        <f t="shared" si="9"/>
        <v>0</v>
      </c>
      <c r="BC39" s="112">
        <f t="shared" si="9"/>
        <v>0</v>
      </c>
      <c r="BD39" s="112">
        <f t="shared" si="9"/>
        <v>0</v>
      </c>
      <c r="BE39" s="112">
        <f t="shared" si="42"/>
        <v>1112592.2226000002</v>
      </c>
      <c r="BF39" s="112">
        <f t="shared" si="43"/>
        <v>1112592.2226000002</v>
      </c>
      <c r="BG39" s="648">
        <f>(I39-J39)/1.2*U39/1000</f>
        <v>0</v>
      </c>
      <c r="BH39" s="649">
        <f>(O39-P39)/1.2*AB39/1000</f>
        <v>0</v>
      </c>
      <c r="BI39" s="648">
        <f t="shared" si="69"/>
        <v>0</v>
      </c>
      <c r="BJ39" s="112"/>
      <c r="BK39" s="112"/>
      <c r="BL39" s="112">
        <f t="shared" si="10"/>
        <v>679303.67510400002</v>
      </c>
      <c r="BM39" s="112">
        <f t="shared" si="10"/>
        <v>0</v>
      </c>
      <c r="BN39" s="112">
        <f t="shared" si="10"/>
        <v>0</v>
      </c>
      <c r="BO39" s="112">
        <f t="shared" si="10"/>
        <v>0</v>
      </c>
      <c r="BP39" s="112">
        <f t="shared" si="10"/>
        <v>0</v>
      </c>
      <c r="BQ39" s="112">
        <f t="shared" si="44"/>
        <v>679303.67510400002</v>
      </c>
      <c r="BR39" s="112">
        <f t="shared" si="45"/>
        <v>679303.67510400002</v>
      </c>
      <c r="BS39" s="112">
        <f t="shared" si="11"/>
        <v>408726.33408000006</v>
      </c>
      <c r="BT39" s="112">
        <f t="shared" si="11"/>
        <v>0</v>
      </c>
      <c r="BU39" s="112">
        <f t="shared" si="11"/>
        <v>0</v>
      </c>
      <c r="BV39" s="112">
        <f t="shared" si="12"/>
        <v>0</v>
      </c>
      <c r="BW39" s="112">
        <f t="shared" si="13"/>
        <v>0</v>
      </c>
      <c r="BX39" s="112">
        <f t="shared" si="46"/>
        <v>408726.33408000006</v>
      </c>
      <c r="BY39" s="112">
        <f t="shared" si="47"/>
        <v>408726.33408000006</v>
      </c>
      <c r="BZ39" s="113">
        <f t="shared" si="48"/>
        <v>0</v>
      </c>
      <c r="CA39" s="113">
        <f t="shared" si="48"/>
        <v>0</v>
      </c>
      <c r="CB39" s="113">
        <f t="shared" si="49"/>
        <v>0</v>
      </c>
      <c r="CC39" s="119" t="e">
        <f t="shared" si="50"/>
        <v>#DIV/0!</v>
      </c>
      <c r="CD39" s="119" t="e">
        <f t="shared" si="50"/>
        <v>#DIV/0!</v>
      </c>
      <c r="CE39" s="119" t="e">
        <f t="shared" si="51"/>
        <v>#DIV/0!</v>
      </c>
      <c r="CF39" s="113" t="e">
        <f t="shared" si="14"/>
        <v>#DIV/0!</v>
      </c>
      <c r="CG39" s="619">
        <f t="shared" si="15"/>
        <v>0</v>
      </c>
      <c r="CH39" s="132" t="e">
        <f t="shared" si="52"/>
        <v>#DIV/0!</v>
      </c>
      <c r="CI39" s="106"/>
      <c r="CJ39" s="208">
        <f t="shared" si="16"/>
        <v>679.30367510400004</v>
      </c>
      <c r="CK39" s="208">
        <f t="shared" si="17"/>
        <v>408.72633408000007</v>
      </c>
      <c r="CL39" s="208">
        <f t="shared" si="53"/>
        <v>1088.0300091840002</v>
      </c>
      <c r="CM39" s="112">
        <f t="shared" si="18"/>
        <v>1088030.0091840001</v>
      </c>
      <c r="CN39" s="112">
        <f t="shared" si="19"/>
        <v>1073767.0315200002</v>
      </c>
      <c r="CO39" s="112">
        <f t="shared" si="20"/>
        <v>1073767.0315200002</v>
      </c>
      <c r="CP39" s="112">
        <f t="shared" si="21"/>
        <v>679303.67510400002</v>
      </c>
      <c r="CQ39" s="112">
        <f t="shared" si="22"/>
        <v>1112592.2226000002</v>
      </c>
      <c r="CR39" s="112">
        <f t="shared" si="23"/>
        <v>1112592.2226000002</v>
      </c>
      <c r="CS39" s="112">
        <f t="shared" si="24"/>
        <v>408726.33408000006</v>
      </c>
      <c r="CT39" s="112">
        <f t="shared" si="54"/>
        <v>2186359.2541200006</v>
      </c>
      <c r="CU39" s="124">
        <f t="shared" si="55"/>
        <v>6483192.0000000019</v>
      </c>
      <c r="CV39" s="112">
        <f t="shared" si="25"/>
        <v>0</v>
      </c>
      <c r="CW39" s="112">
        <f t="shared" si="26"/>
        <v>0</v>
      </c>
      <c r="CX39" s="112">
        <f t="shared" si="56"/>
        <v>0</v>
      </c>
      <c r="CY39" s="112">
        <f t="shared" si="27"/>
        <v>1073767.0315200002</v>
      </c>
      <c r="CZ39" s="112">
        <f t="shared" si="28"/>
        <v>1112592.2226000002</v>
      </c>
      <c r="DA39" s="106"/>
      <c r="DB39" s="128" t="e">
        <f t="shared" si="57"/>
        <v>#DIV/0!</v>
      </c>
      <c r="DC39" s="106"/>
      <c r="DD39" s="106"/>
      <c r="DE39" s="106"/>
      <c r="DF39" s="106"/>
      <c r="DG39" s="618">
        <f t="shared" si="29"/>
        <v>0</v>
      </c>
      <c r="DH39" s="618">
        <f t="shared" si="30"/>
        <v>0</v>
      </c>
      <c r="DI39" s="618">
        <f t="shared" si="31"/>
        <v>0</v>
      </c>
      <c r="DJ39" s="115"/>
    </row>
    <row r="40" spans="1:114" s="20" customFormat="1" ht="63.75" customHeight="1">
      <c r="A40" s="20">
        <f t="shared" si="58"/>
        <v>27</v>
      </c>
      <c r="B40" s="1502" t="s">
        <v>15</v>
      </c>
      <c r="C40" s="807" t="s">
        <v>168</v>
      </c>
      <c r="D40" s="748" t="s">
        <v>141</v>
      </c>
      <c r="E40" s="617">
        <v>4632024035</v>
      </c>
      <c r="F40" s="803" t="s">
        <v>8</v>
      </c>
      <c r="G40" s="751" t="s">
        <v>890</v>
      </c>
      <c r="H40" s="16">
        <f t="shared" si="65"/>
        <v>3184.0320000000002</v>
      </c>
      <c r="I40" s="16">
        <f t="shared" si="65"/>
        <v>3184.0320000000002</v>
      </c>
      <c r="J40" s="38">
        <v>2103.35</v>
      </c>
      <c r="K40" s="38"/>
      <c r="L40" s="816">
        <f t="shared" si="66"/>
        <v>3184.0320000000002</v>
      </c>
      <c r="M40" s="10"/>
      <c r="N40" s="622">
        <f t="shared" si="67"/>
        <v>3299.1600000000003</v>
      </c>
      <c r="O40" s="622">
        <f t="shared" si="67"/>
        <v>3299.1600000000003</v>
      </c>
      <c r="P40" s="38">
        <v>2239.86</v>
      </c>
      <c r="Q40" s="10"/>
      <c r="R40" s="622">
        <f t="shared" si="68"/>
        <v>3299.1600000000003</v>
      </c>
      <c r="S40" s="10"/>
      <c r="T40" s="35">
        <v>1582.24</v>
      </c>
      <c r="U40" s="15">
        <v>1181.5999999999999</v>
      </c>
      <c r="V40" s="208"/>
      <c r="W40" s="15"/>
      <c r="X40" s="15"/>
      <c r="Y40" s="15"/>
      <c r="Z40" s="35">
        <f t="shared" si="34"/>
        <v>2763.84</v>
      </c>
      <c r="AA40" s="35">
        <v>918.6</v>
      </c>
      <c r="AB40" s="15">
        <v>886.2</v>
      </c>
      <c r="AC40" s="208"/>
      <c r="AD40" s="15"/>
      <c r="AE40" s="15"/>
      <c r="AF40" s="15"/>
      <c r="AG40" s="35">
        <f t="shared" si="35"/>
        <v>1804.8000000000002</v>
      </c>
      <c r="AH40" s="35">
        <f t="shared" si="36"/>
        <v>4568.6400000000003</v>
      </c>
      <c r="AI40" s="15">
        <f t="shared" si="64"/>
        <v>2500.84</v>
      </c>
      <c r="AJ40" s="15">
        <f t="shared" si="64"/>
        <v>2067.8000000000002</v>
      </c>
      <c r="AK40" s="15">
        <f t="shared" si="64"/>
        <v>0</v>
      </c>
      <c r="AL40" s="15">
        <f t="shared" si="64"/>
        <v>0</v>
      </c>
      <c r="AM40" s="15">
        <f t="shared" si="64"/>
        <v>0</v>
      </c>
      <c r="AN40" s="15"/>
      <c r="AO40" s="15">
        <f t="shared" si="7"/>
        <v>4568.6400000000003</v>
      </c>
      <c r="AP40" s="15">
        <f t="shared" si="37"/>
        <v>4568.6400000000003</v>
      </c>
      <c r="AQ40" s="15">
        <f t="shared" si="38"/>
        <v>4568.6400000000003</v>
      </c>
      <c r="AR40" s="127">
        <f t="shared" si="39"/>
        <v>0</v>
      </c>
      <c r="AS40" s="112">
        <f t="shared" si="8"/>
        <v>7962754.5868800012</v>
      </c>
      <c r="AT40" s="112">
        <f t="shared" si="8"/>
        <v>4349307.13</v>
      </c>
      <c r="AU40" s="112">
        <f t="shared" si="8"/>
        <v>0</v>
      </c>
      <c r="AV40" s="112">
        <f t="shared" si="8"/>
        <v>0</v>
      </c>
      <c r="AW40" s="112">
        <f t="shared" si="8"/>
        <v>0</v>
      </c>
      <c r="AX40" s="112">
        <f t="shared" si="40"/>
        <v>12312061.716880001</v>
      </c>
      <c r="AY40" s="112">
        <f t="shared" si="41"/>
        <v>12312061.716880001</v>
      </c>
      <c r="AZ40" s="112">
        <f t="shared" si="9"/>
        <v>8250671.2944000009</v>
      </c>
      <c r="BA40" s="112">
        <f t="shared" si="9"/>
        <v>4631582.5080000004</v>
      </c>
      <c r="BB40" s="112">
        <f t="shared" si="9"/>
        <v>0</v>
      </c>
      <c r="BC40" s="112">
        <f t="shared" si="9"/>
        <v>0</v>
      </c>
      <c r="BD40" s="112">
        <f t="shared" si="9"/>
        <v>0</v>
      </c>
      <c r="BE40" s="112">
        <f t="shared" si="42"/>
        <v>12882253.8024</v>
      </c>
      <c r="BF40" s="112">
        <f t="shared" si="43"/>
        <v>12882253.8024</v>
      </c>
      <c r="BG40" s="623">
        <f>(I40-J40)/1.2*U40/1000</f>
        <v>1064.111542666667</v>
      </c>
      <c r="BH40" s="624">
        <f>(O40-P40)/1.2*AB40/1000</f>
        <v>782.29305000000033</v>
      </c>
      <c r="BI40" s="623">
        <f t="shared" si="69"/>
        <v>1846.4045926666672</v>
      </c>
      <c r="BJ40" s="169"/>
      <c r="BK40" s="169"/>
      <c r="BL40" s="112">
        <f t="shared" si="10"/>
        <v>5037902.7916800007</v>
      </c>
      <c r="BM40" s="112">
        <f t="shared" si="10"/>
        <v>2485318.36</v>
      </c>
      <c r="BN40" s="112">
        <f t="shared" si="10"/>
        <v>0</v>
      </c>
      <c r="BO40" s="112">
        <f t="shared" si="10"/>
        <v>0</v>
      </c>
      <c r="BP40" s="112">
        <f t="shared" si="10"/>
        <v>0</v>
      </c>
      <c r="BQ40" s="112">
        <f t="shared" si="44"/>
        <v>7523221.1516800001</v>
      </c>
      <c r="BR40" s="112">
        <f t="shared" si="45"/>
        <v>7523221.1516800001</v>
      </c>
      <c r="BS40" s="112">
        <f t="shared" si="11"/>
        <v>3030608.3760000002</v>
      </c>
      <c r="BT40" s="112">
        <f t="shared" si="11"/>
        <v>1984963.9320000003</v>
      </c>
      <c r="BU40" s="112">
        <f t="shared" si="11"/>
        <v>0</v>
      </c>
      <c r="BV40" s="112">
        <f t="shared" si="12"/>
        <v>0</v>
      </c>
      <c r="BW40" s="112">
        <f t="shared" si="13"/>
        <v>0</v>
      </c>
      <c r="BX40" s="112">
        <f t="shared" si="46"/>
        <v>5015572.3080000002</v>
      </c>
      <c r="BY40" s="112">
        <f t="shared" si="47"/>
        <v>5015572.3080000002</v>
      </c>
      <c r="BZ40" s="113">
        <f t="shared" si="48"/>
        <v>4470282.2920000004</v>
      </c>
      <c r="CA40" s="113">
        <f t="shared" si="48"/>
        <v>0</v>
      </c>
      <c r="CB40" s="113">
        <f t="shared" si="49"/>
        <v>4470282.2920000004</v>
      </c>
      <c r="CC40" s="119">
        <f t="shared" si="50"/>
        <v>2161.8542857142857</v>
      </c>
      <c r="CD40" s="119" t="e">
        <f t="shared" si="50"/>
        <v>#DIV/0!</v>
      </c>
      <c r="CE40" s="119">
        <f t="shared" si="51"/>
        <v>2161.8542857142857</v>
      </c>
      <c r="CF40" s="119">
        <f t="shared" si="14"/>
        <v>2161.8542857142857</v>
      </c>
      <c r="CG40" s="619">
        <f t="shared" si="15"/>
        <v>6685967.8032000009</v>
      </c>
      <c r="CH40" s="132">
        <f t="shared" si="52"/>
        <v>3233.3725714285715</v>
      </c>
      <c r="CI40" s="106"/>
      <c r="CJ40" s="208">
        <f t="shared" si="16"/>
        <v>8800.1550028800011</v>
      </c>
      <c r="CK40" s="208">
        <f t="shared" si="17"/>
        <v>5954.3239680000015</v>
      </c>
      <c r="CL40" s="208">
        <f t="shared" si="53"/>
        <v>14754.478970880002</v>
      </c>
      <c r="CM40" s="112">
        <f t="shared" si="18"/>
        <v>14754478.970880002</v>
      </c>
      <c r="CN40" s="112">
        <f t="shared" si="19"/>
        <v>12312061.716880001</v>
      </c>
      <c r="CO40" s="112">
        <f t="shared" si="20"/>
        <v>12312061.716880001</v>
      </c>
      <c r="CP40" s="112">
        <f t="shared" si="21"/>
        <v>7523221.1516800001</v>
      </c>
      <c r="CQ40" s="112">
        <f t="shared" si="22"/>
        <v>12882253.8024</v>
      </c>
      <c r="CR40" s="112">
        <f t="shared" si="23"/>
        <v>12882253.8024</v>
      </c>
      <c r="CS40" s="112">
        <f t="shared" si="24"/>
        <v>5015572.3080000002</v>
      </c>
      <c r="CT40" s="112">
        <f t="shared" si="54"/>
        <v>25194315.519280002</v>
      </c>
      <c r="CU40" s="124">
        <f t="shared" si="55"/>
        <v>5514620.4383098697</v>
      </c>
      <c r="CV40" s="112">
        <f t="shared" si="25"/>
        <v>4349307.13</v>
      </c>
      <c r="CW40" s="112">
        <f t="shared" si="26"/>
        <v>4631582.5080000004</v>
      </c>
      <c r="CX40" s="112">
        <f t="shared" si="56"/>
        <v>8980889.6380000003</v>
      </c>
      <c r="CY40" s="112">
        <f t="shared" si="27"/>
        <v>14546695.956480002</v>
      </c>
      <c r="CZ40" s="112">
        <f t="shared" si="28"/>
        <v>15072674.342400003</v>
      </c>
      <c r="DA40" s="106"/>
      <c r="DB40" s="128">
        <f t="shared" si="57"/>
        <v>156.8526398364514</v>
      </c>
      <c r="DC40" s="106"/>
      <c r="DD40" s="106"/>
      <c r="DE40" s="106"/>
      <c r="DF40" s="106"/>
      <c r="DG40" s="618">
        <f t="shared" si="29"/>
        <v>0</v>
      </c>
      <c r="DH40" s="618">
        <f t="shared" si="30"/>
        <v>0</v>
      </c>
      <c r="DI40" s="618">
        <f t="shared" si="31"/>
        <v>0</v>
      </c>
      <c r="DJ40" s="115"/>
    </row>
    <row r="41" spans="1:114" s="20" customFormat="1" ht="63.75" customHeight="1">
      <c r="A41" s="20">
        <f t="shared" si="58"/>
        <v>28</v>
      </c>
      <c r="B41" s="1503"/>
      <c r="C41" s="803" t="s">
        <v>90</v>
      </c>
      <c r="D41" s="748" t="s">
        <v>143</v>
      </c>
      <c r="E41" s="617">
        <v>4632024035</v>
      </c>
      <c r="F41" s="803" t="s">
        <v>8</v>
      </c>
      <c r="G41" s="751" t="s">
        <v>890</v>
      </c>
      <c r="H41" s="16">
        <f t="shared" si="65"/>
        <v>3184.0320000000002</v>
      </c>
      <c r="I41" s="16">
        <f t="shared" si="65"/>
        <v>3184.0320000000002</v>
      </c>
      <c r="J41" s="38">
        <v>2732.57</v>
      </c>
      <c r="K41" s="38"/>
      <c r="L41" s="816">
        <f t="shared" si="66"/>
        <v>3184.0320000000002</v>
      </c>
      <c r="M41" s="10"/>
      <c r="N41" s="622">
        <f t="shared" si="67"/>
        <v>3299.1600000000003</v>
      </c>
      <c r="O41" s="622">
        <f t="shared" si="67"/>
        <v>3299.1600000000003</v>
      </c>
      <c r="P41" s="38">
        <v>2896.52</v>
      </c>
      <c r="Q41" s="10"/>
      <c r="R41" s="622">
        <f t="shared" si="68"/>
        <v>3299.1600000000003</v>
      </c>
      <c r="S41" s="10"/>
      <c r="T41" s="35">
        <v>467</v>
      </c>
      <c r="U41" s="15">
        <v>316.5</v>
      </c>
      <c r="V41" s="208"/>
      <c r="W41" s="15"/>
      <c r="X41" s="15"/>
      <c r="Y41" s="15"/>
      <c r="Z41" s="35">
        <f t="shared" si="34"/>
        <v>783.5</v>
      </c>
      <c r="AA41" s="35">
        <v>340</v>
      </c>
      <c r="AB41" s="15">
        <v>237.39999999999998</v>
      </c>
      <c r="AC41" s="208"/>
      <c r="AD41" s="15"/>
      <c r="AE41" s="15"/>
      <c r="AF41" s="15"/>
      <c r="AG41" s="35">
        <f t="shared" si="35"/>
        <v>577.4</v>
      </c>
      <c r="AH41" s="35">
        <f t="shared" si="36"/>
        <v>1360.9</v>
      </c>
      <c r="AI41" s="15">
        <f t="shared" si="64"/>
        <v>807</v>
      </c>
      <c r="AJ41" s="15">
        <f t="shared" si="64"/>
        <v>553.9</v>
      </c>
      <c r="AK41" s="15">
        <f t="shared" si="64"/>
        <v>0</v>
      </c>
      <c r="AL41" s="15">
        <f t="shared" si="64"/>
        <v>0</v>
      </c>
      <c r="AM41" s="15">
        <f t="shared" si="64"/>
        <v>0</v>
      </c>
      <c r="AN41" s="15"/>
      <c r="AO41" s="15">
        <f t="shared" si="7"/>
        <v>1360.9</v>
      </c>
      <c r="AP41" s="15">
        <f t="shared" si="37"/>
        <v>1360.9</v>
      </c>
      <c r="AQ41" s="15">
        <f t="shared" si="38"/>
        <v>1360.9</v>
      </c>
      <c r="AR41" s="127">
        <f t="shared" si="39"/>
        <v>0</v>
      </c>
      <c r="AS41" s="112">
        <f t="shared" si="8"/>
        <v>2569513.824</v>
      </c>
      <c r="AT41" s="112">
        <f t="shared" si="8"/>
        <v>1513570.523</v>
      </c>
      <c r="AU41" s="112">
        <f t="shared" si="8"/>
        <v>0</v>
      </c>
      <c r="AV41" s="112">
        <f t="shared" si="8"/>
        <v>0</v>
      </c>
      <c r="AW41" s="112">
        <f t="shared" si="8"/>
        <v>0</v>
      </c>
      <c r="AX41" s="112">
        <f t="shared" si="40"/>
        <v>4083084.3470000001</v>
      </c>
      <c r="AY41" s="112">
        <f t="shared" si="41"/>
        <v>4083084.3470000001</v>
      </c>
      <c r="AZ41" s="112">
        <f t="shared" si="9"/>
        <v>2662422.12</v>
      </c>
      <c r="BA41" s="112">
        <f t="shared" si="9"/>
        <v>1604382.4279999998</v>
      </c>
      <c r="BB41" s="112">
        <f t="shared" si="9"/>
        <v>0</v>
      </c>
      <c r="BC41" s="112">
        <f t="shared" si="9"/>
        <v>0</v>
      </c>
      <c r="BD41" s="112">
        <f t="shared" si="9"/>
        <v>0</v>
      </c>
      <c r="BE41" s="112">
        <f t="shared" si="42"/>
        <v>4266804.5480000004</v>
      </c>
      <c r="BF41" s="112">
        <f t="shared" si="43"/>
        <v>4266804.5480000004</v>
      </c>
      <c r="BG41" s="623">
        <f>(I41-J41)/1.2*U41/1000</f>
        <v>119.0731025</v>
      </c>
      <c r="BH41" s="624">
        <f>(O41-P41)/1.2*AB41/1000</f>
        <v>79.655613333333406</v>
      </c>
      <c r="BI41" s="623">
        <f t="shared" si="69"/>
        <v>198.72871583333341</v>
      </c>
      <c r="BJ41" s="169"/>
      <c r="BK41" s="169"/>
      <c r="BL41" s="112">
        <f t="shared" si="10"/>
        <v>1486942.9440000001</v>
      </c>
      <c r="BM41" s="112">
        <f t="shared" si="10"/>
        <v>864858.40500000003</v>
      </c>
      <c r="BN41" s="112">
        <f t="shared" si="10"/>
        <v>0</v>
      </c>
      <c r="BO41" s="112">
        <f t="shared" si="10"/>
        <v>0</v>
      </c>
      <c r="BP41" s="112">
        <f t="shared" si="10"/>
        <v>0</v>
      </c>
      <c r="BQ41" s="112">
        <f t="shared" si="44"/>
        <v>2351801.3490000004</v>
      </c>
      <c r="BR41" s="112">
        <f t="shared" si="45"/>
        <v>2351801.3490000004</v>
      </c>
      <c r="BS41" s="112">
        <f t="shared" si="11"/>
        <v>1121714.4000000001</v>
      </c>
      <c r="BT41" s="112">
        <f t="shared" si="11"/>
        <v>687633.84799999988</v>
      </c>
      <c r="BU41" s="112">
        <f t="shared" si="11"/>
        <v>0</v>
      </c>
      <c r="BV41" s="112">
        <f t="shared" si="12"/>
        <v>0</v>
      </c>
      <c r="BW41" s="112">
        <f t="shared" si="13"/>
        <v>0</v>
      </c>
      <c r="BX41" s="112">
        <f t="shared" si="46"/>
        <v>1809348.2480000001</v>
      </c>
      <c r="BY41" s="112">
        <f t="shared" si="47"/>
        <v>1809348.2480000001</v>
      </c>
      <c r="BZ41" s="113">
        <f t="shared" si="48"/>
        <v>1552492.253</v>
      </c>
      <c r="CA41" s="113">
        <f t="shared" si="48"/>
        <v>0</v>
      </c>
      <c r="CB41" s="113">
        <f t="shared" si="49"/>
        <v>1552492.253</v>
      </c>
      <c r="CC41" s="119">
        <f t="shared" si="50"/>
        <v>2802.8385141722333</v>
      </c>
      <c r="CD41" s="119" t="e">
        <f t="shared" si="50"/>
        <v>#DIV/0!</v>
      </c>
      <c r="CE41" s="119">
        <f t="shared" si="51"/>
        <v>2802.8385141722333</v>
      </c>
      <c r="CF41" s="119">
        <f t="shared" si="14"/>
        <v>2802.8385141722333</v>
      </c>
      <c r="CG41" s="619">
        <f t="shared" si="15"/>
        <v>1790966.7120000001</v>
      </c>
      <c r="CH41" s="132">
        <f t="shared" si="52"/>
        <v>3233.3755407113199</v>
      </c>
      <c r="CI41" s="106"/>
      <c r="CJ41" s="208">
        <f t="shared" si="16"/>
        <v>2494.6890720000001</v>
      </c>
      <c r="CK41" s="208">
        <f t="shared" si="17"/>
        <v>1904.9349840000002</v>
      </c>
      <c r="CL41" s="208">
        <f t="shared" si="53"/>
        <v>4399.6240560000006</v>
      </c>
      <c r="CM41" s="112">
        <f t="shared" si="18"/>
        <v>4399624.0559999999</v>
      </c>
      <c r="CN41" s="112">
        <f t="shared" si="19"/>
        <v>4083084.3470000001</v>
      </c>
      <c r="CO41" s="112">
        <f t="shared" si="20"/>
        <v>4083084.3470000001</v>
      </c>
      <c r="CP41" s="112">
        <f t="shared" si="21"/>
        <v>2351801.3490000004</v>
      </c>
      <c r="CQ41" s="112">
        <f t="shared" si="22"/>
        <v>4266804.5480000004</v>
      </c>
      <c r="CR41" s="112">
        <f t="shared" si="23"/>
        <v>4266804.5480000004</v>
      </c>
      <c r="CS41" s="112">
        <f t="shared" si="24"/>
        <v>1809348.2480000001</v>
      </c>
      <c r="CT41" s="112">
        <f t="shared" si="54"/>
        <v>8349888.8950000005</v>
      </c>
      <c r="CU41" s="124">
        <f t="shared" si="55"/>
        <v>6135563.8878683224</v>
      </c>
      <c r="CV41" s="112">
        <f t="shared" si="25"/>
        <v>1513570.523</v>
      </c>
      <c r="CW41" s="112">
        <f t="shared" si="26"/>
        <v>1604382.4279999998</v>
      </c>
      <c r="CX41" s="112">
        <f t="shared" si="56"/>
        <v>3117952.9509999999</v>
      </c>
      <c r="CY41" s="112">
        <f t="shared" si="27"/>
        <v>4333149.1488000005</v>
      </c>
      <c r="CZ41" s="112">
        <f t="shared" si="28"/>
        <v>4489826.8440000005</v>
      </c>
      <c r="DA41" s="106"/>
      <c r="DB41" s="128">
        <f t="shared" si="57"/>
        <v>120.73469298133259</v>
      </c>
      <c r="DC41" s="106"/>
      <c r="DD41" s="106"/>
      <c r="DE41" s="106"/>
      <c r="DF41" s="106"/>
      <c r="DG41" s="618">
        <f t="shared" si="29"/>
        <v>0</v>
      </c>
      <c r="DH41" s="618">
        <f t="shared" si="30"/>
        <v>0</v>
      </c>
      <c r="DI41" s="618">
        <f t="shared" si="31"/>
        <v>0</v>
      </c>
      <c r="DJ41" s="115"/>
    </row>
    <row r="42" spans="1:114" s="20" customFormat="1" ht="63.75" customHeight="1">
      <c r="A42" s="20">
        <f t="shared" si="58"/>
        <v>29</v>
      </c>
      <c r="B42" s="1503"/>
      <c r="C42" s="803" t="s">
        <v>91</v>
      </c>
      <c r="D42" s="748" t="s">
        <v>144</v>
      </c>
      <c r="E42" s="617">
        <v>4632024035</v>
      </c>
      <c r="F42" s="803" t="s">
        <v>8</v>
      </c>
      <c r="G42" s="751" t="s">
        <v>890</v>
      </c>
      <c r="H42" s="16">
        <f t="shared" si="65"/>
        <v>3184.0320000000002</v>
      </c>
      <c r="I42" s="16">
        <f t="shared" si="65"/>
        <v>3184.0320000000002</v>
      </c>
      <c r="J42" s="38"/>
      <c r="K42" s="38"/>
      <c r="L42" s="816">
        <f t="shared" si="66"/>
        <v>3184.0320000000002</v>
      </c>
      <c r="M42" s="10"/>
      <c r="N42" s="622">
        <f t="shared" si="67"/>
        <v>3299.1600000000003</v>
      </c>
      <c r="O42" s="622">
        <f t="shared" si="67"/>
        <v>3299.1600000000003</v>
      </c>
      <c r="P42" s="10"/>
      <c r="Q42" s="10"/>
      <c r="R42" s="622">
        <f t="shared" si="68"/>
        <v>3299.1600000000003</v>
      </c>
      <c r="S42" s="10"/>
      <c r="T42" s="35">
        <v>631.65300000000002</v>
      </c>
      <c r="U42" s="15"/>
      <c r="V42" s="208"/>
      <c r="W42" s="15"/>
      <c r="X42" s="15"/>
      <c r="Y42" s="15"/>
      <c r="Z42" s="35">
        <f t="shared" si="34"/>
        <v>631.65300000000002</v>
      </c>
      <c r="AA42" s="35">
        <v>366.79200000000003</v>
      </c>
      <c r="AB42" s="15"/>
      <c r="AC42" s="208"/>
      <c r="AD42" s="15"/>
      <c r="AE42" s="15"/>
      <c r="AF42" s="15"/>
      <c r="AG42" s="35">
        <f t="shared" si="35"/>
        <v>366.79200000000003</v>
      </c>
      <c r="AH42" s="35">
        <f t="shared" si="36"/>
        <v>998.44500000000005</v>
      </c>
      <c r="AI42" s="15">
        <f t="shared" si="64"/>
        <v>998.44500000000005</v>
      </c>
      <c r="AJ42" s="15">
        <f t="shared" si="64"/>
        <v>0</v>
      </c>
      <c r="AK42" s="15">
        <f t="shared" si="64"/>
        <v>0</v>
      </c>
      <c r="AL42" s="15">
        <f t="shared" si="64"/>
        <v>0</v>
      </c>
      <c r="AM42" s="15">
        <f t="shared" si="64"/>
        <v>0</v>
      </c>
      <c r="AN42" s="15"/>
      <c r="AO42" s="15">
        <f t="shared" si="7"/>
        <v>998.44500000000005</v>
      </c>
      <c r="AP42" s="15">
        <f t="shared" si="37"/>
        <v>998.44500000000005</v>
      </c>
      <c r="AQ42" s="15">
        <f t="shared" si="38"/>
        <v>998.44500000000005</v>
      </c>
      <c r="AR42" s="127">
        <f t="shared" si="39"/>
        <v>0</v>
      </c>
      <c r="AS42" s="112">
        <f t="shared" si="8"/>
        <v>3179080.8302400005</v>
      </c>
      <c r="AT42" s="112">
        <f t="shared" si="8"/>
        <v>0</v>
      </c>
      <c r="AU42" s="112">
        <f t="shared" si="8"/>
        <v>0</v>
      </c>
      <c r="AV42" s="112">
        <f t="shared" si="8"/>
        <v>0</v>
      </c>
      <c r="AW42" s="112">
        <f t="shared" si="8"/>
        <v>0</v>
      </c>
      <c r="AX42" s="112">
        <f t="shared" si="40"/>
        <v>3179080.8302400005</v>
      </c>
      <c r="AY42" s="112">
        <f t="shared" si="41"/>
        <v>3179080.8302400005</v>
      </c>
      <c r="AZ42" s="112">
        <f t="shared" si="9"/>
        <v>3294029.8062000005</v>
      </c>
      <c r="BA42" s="112">
        <f t="shared" si="9"/>
        <v>0</v>
      </c>
      <c r="BB42" s="112">
        <f t="shared" si="9"/>
        <v>0</v>
      </c>
      <c r="BC42" s="112">
        <f t="shared" si="9"/>
        <v>0</v>
      </c>
      <c r="BD42" s="112">
        <f t="shared" si="9"/>
        <v>0</v>
      </c>
      <c r="BE42" s="112">
        <f t="shared" si="42"/>
        <v>3294029.8062000005</v>
      </c>
      <c r="BF42" s="112">
        <f t="shared" si="43"/>
        <v>3294029.8062000005</v>
      </c>
      <c r="BG42" s="112"/>
      <c r="BH42" s="112"/>
      <c r="BI42" s="112">
        <f t="shared" si="69"/>
        <v>0</v>
      </c>
      <c r="BJ42" s="112"/>
      <c r="BK42" s="112"/>
      <c r="BL42" s="112">
        <f t="shared" si="10"/>
        <v>2011203.3648960001</v>
      </c>
      <c r="BM42" s="112">
        <f t="shared" si="10"/>
        <v>0</v>
      </c>
      <c r="BN42" s="112">
        <f t="shared" si="10"/>
        <v>0</v>
      </c>
      <c r="BO42" s="112">
        <f t="shared" si="10"/>
        <v>0</v>
      </c>
      <c r="BP42" s="112">
        <f t="shared" si="10"/>
        <v>0</v>
      </c>
      <c r="BQ42" s="112">
        <f t="shared" si="44"/>
        <v>2011203.3648960001</v>
      </c>
      <c r="BR42" s="112">
        <f t="shared" si="45"/>
        <v>2011203.3648960001</v>
      </c>
      <c r="BS42" s="112">
        <f t="shared" si="11"/>
        <v>1210105.4947200003</v>
      </c>
      <c r="BT42" s="112">
        <f t="shared" si="11"/>
        <v>0</v>
      </c>
      <c r="BU42" s="112">
        <f t="shared" si="11"/>
        <v>0</v>
      </c>
      <c r="BV42" s="112">
        <f t="shared" si="12"/>
        <v>0</v>
      </c>
      <c r="BW42" s="112">
        <f t="shared" si="13"/>
        <v>0</v>
      </c>
      <c r="BX42" s="112">
        <f t="shared" si="46"/>
        <v>1210105.4947200003</v>
      </c>
      <c r="BY42" s="112">
        <f t="shared" si="47"/>
        <v>1210105.4947200003</v>
      </c>
      <c r="BZ42" s="113">
        <f t="shared" si="48"/>
        <v>0</v>
      </c>
      <c r="CA42" s="113">
        <f t="shared" si="48"/>
        <v>0</v>
      </c>
      <c r="CB42" s="113">
        <f t="shared" si="49"/>
        <v>0</v>
      </c>
      <c r="CC42" s="119" t="e">
        <f t="shared" si="50"/>
        <v>#DIV/0!</v>
      </c>
      <c r="CD42" s="119" t="e">
        <f t="shared" si="50"/>
        <v>#DIV/0!</v>
      </c>
      <c r="CE42" s="119" t="e">
        <f t="shared" si="51"/>
        <v>#DIV/0!</v>
      </c>
      <c r="CF42" s="113" t="e">
        <f t="shared" si="14"/>
        <v>#DIV/0!</v>
      </c>
      <c r="CG42" s="619">
        <f t="shared" si="15"/>
        <v>0</v>
      </c>
      <c r="CH42" s="132" t="e">
        <f t="shared" si="52"/>
        <v>#DIV/0!</v>
      </c>
      <c r="CI42" s="106"/>
      <c r="CJ42" s="208">
        <f t="shared" si="16"/>
        <v>2011.203364896</v>
      </c>
      <c r="CK42" s="208">
        <f t="shared" si="17"/>
        <v>1210.1054947200003</v>
      </c>
      <c r="CL42" s="208">
        <f t="shared" si="53"/>
        <v>3221.3088596160005</v>
      </c>
      <c r="CM42" s="112">
        <f t="shared" si="18"/>
        <v>3221308.8596160002</v>
      </c>
      <c r="CN42" s="112">
        <f t="shared" si="19"/>
        <v>3179080.8302400005</v>
      </c>
      <c r="CO42" s="112">
        <f t="shared" si="20"/>
        <v>3179080.8302400005</v>
      </c>
      <c r="CP42" s="112">
        <f t="shared" si="21"/>
        <v>2011203.3648960001</v>
      </c>
      <c r="CQ42" s="112">
        <f t="shared" si="22"/>
        <v>3294029.8062000005</v>
      </c>
      <c r="CR42" s="112">
        <f t="shared" si="23"/>
        <v>3294029.8062000005</v>
      </c>
      <c r="CS42" s="112">
        <f t="shared" si="24"/>
        <v>1210105.4947200003</v>
      </c>
      <c r="CT42" s="112">
        <f t="shared" si="54"/>
        <v>6473110.6364400014</v>
      </c>
      <c r="CU42" s="124">
        <f t="shared" si="55"/>
        <v>6483192.0000000009</v>
      </c>
      <c r="CV42" s="112">
        <f t="shared" si="25"/>
        <v>0</v>
      </c>
      <c r="CW42" s="112">
        <f t="shared" si="26"/>
        <v>0</v>
      </c>
      <c r="CX42" s="112">
        <f t="shared" si="56"/>
        <v>0</v>
      </c>
      <c r="CY42" s="112">
        <f t="shared" si="27"/>
        <v>3179080.8302400005</v>
      </c>
      <c r="CZ42" s="112">
        <f t="shared" si="28"/>
        <v>3294029.8062000005</v>
      </c>
      <c r="DA42" s="106"/>
      <c r="DB42" s="128" t="e">
        <f t="shared" si="57"/>
        <v>#DIV/0!</v>
      </c>
      <c r="DC42" s="106"/>
      <c r="DD42" s="106"/>
      <c r="DE42" s="106"/>
      <c r="DF42" s="106"/>
      <c r="DG42" s="618">
        <f t="shared" si="29"/>
        <v>0</v>
      </c>
      <c r="DH42" s="618">
        <f t="shared" si="30"/>
        <v>0</v>
      </c>
      <c r="DI42" s="618">
        <f t="shared" si="31"/>
        <v>0</v>
      </c>
      <c r="DJ42" s="115"/>
    </row>
    <row r="43" spans="1:114" s="13" customFormat="1" ht="164.25" hidden="1" customHeight="1">
      <c r="A43" s="695">
        <f t="shared" si="58"/>
        <v>30</v>
      </c>
      <c r="B43" s="1504"/>
      <c r="C43" s="805" t="s">
        <v>181</v>
      </c>
      <c r="D43" s="725" t="s">
        <v>261</v>
      </c>
      <c r="E43" s="706">
        <v>7708503727</v>
      </c>
      <c r="F43" s="696" t="s">
        <v>8</v>
      </c>
      <c r="G43" s="805" t="s">
        <v>870</v>
      </c>
      <c r="H43" s="697">
        <v>2509.19</v>
      </c>
      <c r="I43" s="697">
        <v>2509.19</v>
      </c>
      <c r="J43" s="697">
        <v>0</v>
      </c>
      <c r="K43" s="697">
        <v>0</v>
      </c>
      <c r="L43" s="697">
        <v>0</v>
      </c>
      <c r="M43" s="697">
        <v>0</v>
      </c>
      <c r="N43" s="697">
        <v>2666.58</v>
      </c>
      <c r="O43" s="697">
        <v>2666.58</v>
      </c>
      <c r="P43" s="697">
        <v>0</v>
      </c>
      <c r="Q43" s="697">
        <v>0</v>
      </c>
      <c r="R43" s="697">
        <v>0</v>
      </c>
      <c r="S43" s="697">
        <v>0</v>
      </c>
      <c r="T43" s="163">
        <v>207.92</v>
      </c>
      <c r="U43" s="163">
        <v>0</v>
      </c>
      <c r="V43" s="163">
        <v>0</v>
      </c>
      <c r="W43" s="163">
        <v>0</v>
      </c>
      <c r="X43" s="163">
        <v>0</v>
      </c>
      <c r="Y43" s="163">
        <v>0</v>
      </c>
      <c r="Z43" s="164">
        <f>SUM(T43:Y43)</f>
        <v>207.92</v>
      </c>
      <c r="AA43" s="163">
        <v>207.92</v>
      </c>
      <c r="AB43" s="163">
        <v>0</v>
      </c>
      <c r="AC43" s="163">
        <v>0</v>
      </c>
      <c r="AD43" s="163">
        <v>0</v>
      </c>
      <c r="AE43" s="163">
        <v>0</v>
      </c>
      <c r="AF43" s="163">
        <v>0</v>
      </c>
      <c r="AG43" s="164">
        <f t="shared" si="35"/>
        <v>207.92</v>
      </c>
      <c r="AH43" s="164">
        <f t="shared" si="36"/>
        <v>415.84</v>
      </c>
      <c r="AI43" s="163">
        <f t="shared" si="64"/>
        <v>415.84</v>
      </c>
      <c r="AJ43" s="163">
        <f t="shared" si="64"/>
        <v>0</v>
      </c>
      <c r="AK43" s="163">
        <f t="shared" si="64"/>
        <v>0</v>
      </c>
      <c r="AL43" s="163">
        <f t="shared" si="64"/>
        <v>0</v>
      </c>
      <c r="AM43" s="163">
        <f t="shared" si="64"/>
        <v>0</v>
      </c>
      <c r="AN43" s="163"/>
      <c r="AO43" s="163">
        <f t="shared" si="7"/>
        <v>415.84</v>
      </c>
      <c r="AP43" s="163">
        <f t="shared" si="37"/>
        <v>415.84</v>
      </c>
      <c r="AQ43" s="163">
        <f t="shared" si="38"/>
        <v>415.84</v>
      </c>
      <c r="AR43" s="99">
        <f t="shared" si="39"/>
        <v>0</v>
      </c>
      <c r="AS43" s="18">
        <f t="shared" si="8"/>
        <v>1043421.5695999999</v>
      </c>
      <c r="AT43" s="18">
        <f t="shared" si="8"/>
        <v>0</v>
      </c>
      <c r="AU43" s="18">
        <f t="shared" si="8"/>
        <v>0</v>
      </c>
      <c r="AV43" s="18">
        <f t="shared" si="8"/>
        <v>0</v>
      </c>
      <c r="AW43" s="18">
        <f t="shared" si="8"/>
        <v>0</v>
      </c>
      <c r="AX43" s="18">
        <f t="shared" si="40"/>
        <v>1043421.5695999999</v>
      </c>
      <c r="AY43" s="18">
        <f t="shared" si="41"/>
        <v>1043421.5695999999</v>
      </c>
      <c r="AZ43" s="18">
        <f t="shared" si="9"/>
        <v>1108870.6272</v>
      </c>
      <c r="BA43" s="18">
        <f t="shared" si="9"/>
        <v>0</v>
      </c>
      <c r="BB43" s="18">
        <f t="shared" si="9"/>
        <v>0</v>
      </c>
      <c r="BC43" s="18">
        <f t="shared" si="9"/>
        <v>0</v>
      </c>
      <c r="BD43" s="18">
        <f t="shared" si="9"/>
        <v>0</v>
      </c>
      <c r="BE43" s="18">
        <f t="shared" si="42"/>
        <v>1108870.6272</v>
      </c>
      <c r="BF43" s="18">
        <f t="shared" si="43"/>
        <v>1108870.6272</v>
      </c>
      <c r="BG43" s="18">
        <v>0</v>
      </c>
      <c r="BH43" s="18">
        <v>0</v>
      </c>
      <c r="BI43" s="18">
        <v>0</v>
      </c>
      <c r="BJ43" s="29">
        <v>1076.1600000000001</v>
      </c>
      <c r="BK43" s="18">
        <v>1409.61</v>
      </c>
      <c r="BL43" s="18">
        <f t="shared" si="10"/>
        <v>521710.78479999996</v>
      </c>
      <c r="BM43" s="18">
        <f t="shared" si="10"/>
        <v>0</v>
      </c>
      <c r="BN43" s="18">
        <f t="shared" si="10"/>
        <v>0</v>
      </c>
      <c r="BO43" s="18">
        <f t="shared" si="10"/>
        <v>0</v>
      </c>
      <c r="BP43" s="18">
        <f t="shared" si="10"/>
        <v>0</v>
      </c>
      <c r="BQ43" s="18">
        <f t="shared" si="44"/>
        <v>521710.78479999996</v>
      </c>
      <c r="BR43" s="18">
        <f t="shared" si="45"/>
        <v>521710.78479999996</v>
      </c>
      <c r="BS43" s="18">
        <f t="shared" si="11"/>
        <v>554435.31359999999</v>
      </c>
      <c r="BT43" s="18">
        <f t="shared" si="11"/>
        <v>0</v>
      </c>
      <c r="BU43" s="18">
        <f t="shared" si="11"/>
        <v>0</v>
      </c>
      <c r="BV43" s="18">
        <f t="shared" si="12"/>
        <v>0</v>
      </c>
      <c r="BW43" s="18">
        <f t="shared" si="13"/>
        <v>0</v>
      </c>
      <c r="BX43" s="18">
        <f t="shared" si="46"/>
        <v>554435.31359999999</v>
      </c>
      <c r="BY43" s="18">
        <f t="shared" si="47"/>
        <v>554435.31359999999</v>
      </c>
      <c r="BZ43" s="161">
        <f t="shared" si="48"/>
        <v>0</v>
      </c>
      <c r="CA43" s="161">
        <f t="shared" si="48"/>
        <v>0</v>
      </c>
      <c r="CB43" s="161">
        <f t="shared" si="49"/>
        <v>0</v>
      </c>
      <c r="CC43" s="162" t="e">
        <f t="shared" si="50"/>
        <v>#DIV/0!</v>
      </c>
      <c r="CD43" s="162" t="e">
        <f t="shared" si="50"/>
        <v>#DIV/0!</v>
      </c>
      <c r="CE43" s="162" t="e">
        <f t="shared" si="51"/>
        <v>#DIV/0!</v>
      </c>
      <c r="CF43" s="161" t="e">
        <f t="shared" si="14"/>
        <v>#DIV/0!</v>
      </c>
      <c r="CG43" s="651">
        <f t="shared" si="15"/>
        <v>0</v>
      </c>
      <c r="CH43" s="652" t="e">
        <f t="shared" si="52"/>
        <v>#DIV/0!</v>
      </c>
      <c r="CJ43" s="18">
        <f t="shared" si="16"/>
        <v>521.71078479999994</v>
      </c>
      <c r="CK43" s="18">
        <f t="shared" si="17"/>
        <v>554.43531359999997</v>
      </c>
      <c r="CL43" s="18">
        <f t="shared" si="53"/>
        <v>1076.1460984</v>
      </c>
      <c r="CM43" s="18">
        <f t="shared" si="18"/>
        <v>1076146.0984</v>
      </c>
      <c r="CN43" s="18">
        <f t="shared" si="19"/>
        <v>1043421.5695999999</v>
      </c>
      <c r="CO43" s="18">
        <f t="shared" si="20"/>
        <v>1043421.5695999999</v>
      </c>
      <c r="CP43" s="18">
        <f t="shared" si="21"/>
        <v>521710.78479999996</v>
      </c>
      <c r="CQ43" s="18">
        <f t="shared" si="22"/>
        <v>1108870.6272</v>
      </c>
      <c r="CR43" s="18">
        <f t="shared" si="23"/>
        <v>1108870.6272</v>
      </c>
      <c r="CS43" s="18">
        <f t="shared" si="24"/>
        <v>554435.31359999999</v>
      </c>
      <c r="CT43" s="18">
        <f t="shared" si="54"/>
        <v>2152292.1968</v>
      </c>
      <c r="CU43" s="29">
        <f t="shared" si="55"/>
        <v>5175770</v>
      </c>
      <c r="CV43" s="18">
        <f t="shared" si="25"/>
        <v>0</v>
      </c>
      <c r="CW43" s="18">
        <f t="shared" si="26"/>
        <v>0</v>
      </c>
      <c r="CX43" s="18">
        <f t="shared" si="56"/>
        <v>0</v>
      </c>
      <c r="CY43" s="18">
        <f t="shared" si="27"/>
        <v>1043421.5695999999</v>
      </c>
      <c r="CZ43" s="18">
        <f t="shared" si="28"/>
        <v>1108870.6272</v>
      </c>
      <c r="DB43" s="653" t="e">
        <f t="shared" si="57"/>
        <v>#DIV/0!</v>
      </c>
      <c r="DG43" s="701">
        <f t="shared" si="29"/>
        <v>0</v>
      </c>
      <c r="DH43" s="701">
        <f t="shared" si="30"/>
        <v>0</v>
      </c>
      <c r="DI43" s="701">
        <f t="shared" si="31"/>
        <v>0</v>
      </c>
    </row>
    <row r="44" spans="1:114" s="20" customFormat="1" ht="63.75" customHeight="1">
      <c r="A44" s="20">
        <f t="shared" si="58"/>
        <v>31</v>
      </c>
      <c r="B44" s="22" t="s">
        <v>16</v>
      </c>
      <c r="C44" s="22" t="s">
        <v>92</v>
      </c>
      <c r="D44" s="748" t="s">
        <v>142</v>
      </c>
      <c r="E44" s="617">
        <v>4632024035</v>
      </c>
      <c r="F44" s="803" t="s">
        <v>8</v>
      </c>
      <c r="G44" s="751" t="s">
        <v>890</v>
      </c>
      <c r="H44" s="816">
        <f>2653.36*1.2</f>
        <v>3184.0320000000002</v>
      </c>
      <c r="I44" s="816">
        <f>2653.36*1.2</f>
        <v>3184.0320000000002</v>
      </c>
      <c r="J44" s="38">
        <v>2103.35</v>
      </c>
      <c r="K44" s="38"/>
      <c r="L44" s="816">
        <f>2653.36*1.2</f>
        <v>3184.0320000000002</v>
      </c>
      <c r="M44" s="38"/>
      <c r="N44" s="622">
        <f>2749.3*1.2</f>
        <v>3299.1600000000003</v>
      </c>
      <c r="O44" s="622">
        <f>2749.3*1.2</f>
        <v>3299.1600000000003</v>
      </c>
      <c r="P44" s="38">
        <v>2239.86</v>
      </c>
      <c r="Q44" s="38"/>
      <c r="R44" s="622">
        <f>2749.3*1.2</f>
        <v>3299.1600000000003</v>
      </c>
      <c r="S44" s="38"/>
      <c r="T44" s="648">
        <v>443.47500000000002</v>
      </c>
      <c r="U44" s="650">
        <v>110.4</v>
      </c>
      <c r="V44" s="227"/>
      <c r="W44" s="16"/>
      <c r="X44" s="16"/>
      <c r="Y44" s="16"/>
      <c r="Z44" s="178">
        <f t="shared" si="34"/>
        <v>553.875</v>
      </c>
      <c r="AA44" s="178">
        <v>257.52</v>
      </c>
      <c r="AB44" s="16">
        <v>82.800000000000011</v>
      </c>
      <c r="AC44" s="227"/>
      <c r="AD44" s="16"/>
      <c r="AE44" s="16"/>
      <c r="AF44" s="16"/>
      <c r="AG44" s="178">
        <f t="shared" si="35"/>
        <v>340.32</v>
      </c>
      <c r="AH44" s="178">
        <f t="shared" si="36"/>
        <v>894.19499999999994</v>
      </c>
      <c r="AI44" s="16">
        <f t="shared" si="64"/>
        <v>700.995</v>
      </c>
      <c r="AJ44" s="16">
        <f t="shared" si="64"/>
        <v>193.20000000000002</v>
      </c>
      <c r="AK44" s="16">
        <f t="shared" si="64"/>
        <v>0</v>
      </c>
      <c r="AL44" s="16">
        <f t="shared" si="64"/>
        <v>0</v>
      </c>
      <c r="AM44" s="16">
        <f t="shared" si="64"/>
        <v>0</v>
      </c>
      <c r="AN44" s="16"/>
      <c r="AO44" s="16">
        <f t="shared" si="7"/>
        <v>894.19500000000005</v>
      </c>
      <c r="AP44" s="16">
        <f t="shared" si="37"/>
        <v>894.19500000000005</v>
      </c>
      <c r="AQ44" s="16">
        <f t="shared" si="38"/>
        <v>894.19500000000005</v>
      </c>
      <c r="AR44" s="127">
        <f t="shared" si="39"/>
        <v>0</v>
      </c>
      <c r="AS44" s="112">
        <f t="shared" si="8"/>
        <v>2231990.5118400003</v>
      </c>
      <c r="AT44" s="112">
        <f t="shared" si="8"/>
        <v>406367.22000000003</v>
      </c>
      <c r="AU44" s="112">
        <f t="shared" si="8"/>
        <v>0</v>
      </c>
      <c r="AV44" s="112">
        <f t="shared" si="8"/>
        <v>0</v>
      </c>
      <c r="AW44" s="112">
        <f t="shared" si="8"/>
        <v>0</v>
      </c>
      <c r="AX44" s="112">
        <f t="shared" si="40"/>
        <v>2638357.7318400005</v>
      </c>
      <c r="AY44" s="112">
        <f t="shared" si="41"/>
        <v>2638357.7318400005</v>
      </c>
      <c r="AZ44" s="112">
        <f t="shared" si="9"/>
        <v>2312694.6642</v>
      </c>
      <c r="BA44" s="112">
        <f t="shared" si="9"/>
        <v>432740.95200000005</v>
      </c>
      <c r="BB44" s="112">
        <f t="shared" si="9"/>
        <v>0</v>
      </c>
      <c r="BC44" s="112">
        <f t="shared" si="9"/>
        <v>0</v>
      </c>
      <c r="BD44" s="112">
        <f t="shared" si="9"/>
        <v>0</v>
      </c>
      <c r="BE44" s="112">
        <f t="shared" si="42"/>
        <v>2745435.6162</v>
      </c>
      <c r="BF44" s="112">
        <f t="shared" si="43"/>
        <v>2745435.6162</v>
      </c>
      <c r="BG44" s="623">
        <f>(I44-J44)/1.2*U44/1000</f>
        <v>99.422744000000037</v>
      </c>
      <c r="BH44" s="624">
        <f>(O44-P44)/1.2*AB44/1000</f>
        <v>73.091700000000031</v>
      </c>
      <c r="BI44" s="623">
        <f>BG44+BH44</f>
        <v>172.51444400000008</v>
      </c>
      <c r="BJ44" s="169"/>
      <c r="BK44" s="169"/>
      <c r="BL44" s="112">
        <f t="shared" si="10"/>
        <v>1412038.5912000001</v>
      </c>
      <c r="BM44" s="112">
        <f t="shared" si="10"/>
        <v>232209.84</v>
      </c>
      <c r="BN44" s="112">
        <f t="shared" si="10"/>
        <v>0</v>
      </c>
      <c r="BO44" s="112">
        <f t="shared" si="10"/>
        <v>0</v>
      </c>
      <c r="BP44" s="112">
        <f t="shared" si="10"/>
        <v>0</v>
      </c>
      <c r="BQ44" s="112">
        <f t="shared" si="44"/>
        <v>1644248.4312000002</v>
      </c>
      <c r="BR44" s="112">
        <f t="shared" si="45"/>
        <v>1644248.4312000002</v>
      </c>
      <c r="BS44" s="112">
        <f t="shared" si="11"/>
        <v>849599.68319999997</v>
      </c>
      <c r="BT44" s="112">
        <f t="shared" si="11"/>
        <v>185460.40800000002</v>
      </c>
      <c r="BU44" s="112">
        <f t="shared" si="11"/>
        <v>0</v>
      </c>
      <c r="BV44" s="112">
        <f t="shared" si="12"/>
        <v>0</v>
      </c>
      <c r="BW44" s="112">
        <f t="shared" si="13"/>
        <v>0</v>
      </c>
      <c r="BX44" s="112">
        <f t="shared" si="46"/>
        <v>1035060.0912</v>
      </c>
      <c r="BY44" s="112">
        <f t="shared" si="47"/>
        <v>1035060.0912</v>
      </c>
      <c r="BZ44" s="113">
        <f t="shared" si="48"/>
        <v>417670.24800000002</v>
      </c>
      <c r="CA44" s="113">
        <f t="shared" si="48"/>
        <v>0</v>
      </c>
      <c r="CB44" s="113">
        <f t="shared" si="49"/>
        <v>417670.24800000002</v>
      </c>
      <c r="CC44" s="119">
        <f t="shared" si="50"/>
        <v>2161.8542857142857</v>
      </c>
      <c r="CD44" s="119" t="e">
        <f t="shared" si="50"/>
        <v>#DIV/0!</v>
      </c>
      <c r="CE44" s="119">
        <f t="shared" si="51"/>
        <v>2161.8542857142857</v>
      </c>
      <c r="CF44" s="119">
        <f t="shared" si="14"/>
        <v>2161.8542857142857</v>
      </c>
      <c r="CG44" s="619">
        <f t="shared" si="15"/>
        <v>624687.58080000011</v>
      </c>
      <c r="CH44" s="132">
        <f t="shared" si="52"/>
        <v>3233.3725714285715</v>
      </c>
      <c r="CI44" s="106"/>
      <c r="CJ44" s="208">
        <f t="shared" si="16"/>
        <v>1763.5557240000001</v>
      </c>
      <c r="CK44" s="208">
        <f t="shared" si="17"/>
        <v>1122.7701312000002</v>
      </c>
      <c r="CL44" s="208">
        <f>CJ44+CK44</f>
        <v>2886.3258552000002</v>
      </c>
      <c r="CM44" s="112">
        <f t="shared" si="18"/>
        <v>2886325.8552000001</v>
      </c>
      <c r="CN44" s="112">
        <f t="shared" si="19"/>
        <v>2638357.7318400005</v>
      </c>
      <c r="CO44" s="112">
        <f t="shared" si="20"/>
        <v>2638357.7318400005</v>
      </c>
      <c r="CP44" s="112">
        <f t="shared" si="21"/>
        <v>1644248.4312000002</v>
      </c>
      <c r="CQ44" s="112">
        <f t="shared" si="22"/>
        <v>2745435.6162</v>
      </c>
      <c r="CR44" s="112">
        <f t="shared" si="23"/>
        <v>2745435.6162</v>
      </c>
      <c r="CS44" s="112">
        <f t="shared" si="24"/>
        <v>1035060.0912</v>
      </c>
      <c r="CT44" s="112">
        <f t="shared" si="54"/>
        <v>5383793.3480400005</v>
      </c>
      <c r="CU44" s="124">
        <f t="shared" si="55"/>
        <v>6020826.9427138381</v>
      </c>
      <c r="CV44" s="112">
        <f t="shared" si="25"/>
        <v>406367.22000000003</v>
      </c>
      <c r="CW44" s="112">
        <f t="shared" si="26"/>
        <v>432740.95200000005</v>
      </c>
      <c r="CX44" s="112">
        <f t="shared" si="56"/>
        <v>839108.17200000002</v>
      </c>
      <c r="CY44" s="112">
        <f t="shared" si="27"/>
        <v>2847145.4942400004</v>
      </c>
      <c r="CZ44" s="112">
        <f t="shared" si="28"/>
        <v>2950092.3762000003</v>
      </c>
      <c r="DA44" s="106"/>
      <c r="DB44" s="128">
        <f t="shared" si="57"/>
        <v>156.8526398364514</v>
      </c>
      <c r="DC44" s="106"/>
      <c r="DD44" s="106"/>
      <c r="DE44" s="106"/>
      <c r="DF44" s="106"/>
      <c r="DG44" s="618">
        <f t="shared" si="29"/>
        <v>0</v>
      </c>
      <c r="DH44" s="618">
        <f t="shared" si="30"/>
        <v>0</v>
      </c>
      <c r="DI44" s="618">
        <f t="shared" si="31"/>
        <v>0</v>
      </c>
      <c r="DJ44" s="115"/>
    </row>
    <row r="45" spans="1:114" s="13" customFormat="1" ht="95.25" hidden="1" customHeight="1">
      <c r="A45" s="20">
        <f t="shared" si="58"/>
        <v>32</v>
      </c>
      <c r="B45" s="705" t="s">
        <v>17</v>
      </c>
      <c r="C45" s="705" t="s">
        <v>57</v>
      </c>
      <c r="D45" s="696" t="s">
        <v>278</v>
      </c>
      <c r="E45" s="696">
        <v>4610006900</v>
      </c>
      <c r="F45" s="696" t="s">
        <v>8</v>
      </c>
      <c r="G45" s="805" t="s">
        <v>865</v>
      </c>
      <c r="H45" s="38">
        <v>3056.24</v>
      </c>
      <c r="I45" s="38">
        <v>3056.24</v>
      </c>
      <c r="J45" s="38">
        <v>2512.1799999999998</v>
      </c>
      <c r="K45" s="38"/>
      <c r="L45" s="38">
        <v>3056.24</v>
      </c>
      <c r="M45" s="10"/>
      <c r="N45" s="10">
        <v>3667.49</v>
      </c>
      <c r="O45" s="10">
        <v>3667.49</v>
      </c>
      <c r="P45" s="10">
        <v>2662.91</v>
      </c>
      <c r="Q45" s="10"/>
      <c r="R45" s="10">
        <v>3667.49</v>
      </c>
      <c r="S45" s="10"/>
      <c r="T45" s="175">
        <v>294.375</v>
      </c>
      <c r="U45" s="175">
        <v>1232.2750000000001</v>
      </c>
      <c r="V45" s="225">
        <v>0</v>
      </c>
      <c r="W45" s="175">
        <v>231.57</v>
      </c>
      <c r="X45" s="175"/>
      <c r="Y45" s="175"/>
      <c r="Z45" s="35">
        <f t="shared" si="34"/>
        <v>1758.22</v>
      </c>
      <c r="AA45" s="175">
        <v>208.834</v>
      </c>
      <c r="AB45" s="175">
        <v>867.94500000000005</v>
      </c>
      <c r="AC45" s="225">
        <v>0</v>
      </c>
      <c r="AD45" s="174">
        <v>147.375</v>
      </c>
      <c r="AE45" s="175"/>
      <c r="AF45" s="175">
        <v>0</v>
      </c>
      <c r="AG45" s="35">
        <f t="shared" si="35"/>
        <v>1224.154</v>
      </c>
      <c r="AH45" s="35">
        <f t="shared" si="36"/>
        <v>2982.3739999999998</v>
      </c>
      <c r="AI45" s="15">
        <f t="shared" si="64"/>
        <v>503.209</v>
      </c>
      <c r="AJ45" s="15">
        <f t="shared" si="64"/>
        <v>2100.2200000000003</v>
      </c>
      <c r="AK45" s="15">
        <f t="shared" si="64"/>
        <v>0</v>
      </c>
      <c r="AL45" s="15">
        <f t="shared" si="64"/>
        <v>378.94499999999999</v>
      </c>
      <c r="AM45" s="15">
        <f t="shared" si="64"/>
        <v>0</v>
      </c>
      <c r="AN45" s="15"/>
      <c r="AO45" s="15">
        <f t="shared" si="7"/>
        <v>2982.3740000000003</v>
      </c>
      <c r="AP45" s="15">
        <f t="shared" si="37"/>
        <v>2982.3740000000003</v>
      </c>
      <c r="AQ45" s="11">
        <f t="shared" si="38"/>
        <v>2982.3740000000003</v>
      </c>
      <c r="AR45" s="99">
        <f t="shared" si="39"/>
        <v>0</v>
      </c>
      <c r="AS45" s="18">
        <f t="shared" ref="AS45:AW75" si="70">I45*AI45</f>
        <v>1537927.47416</v>
      </c>
      <c r="AT45" s="18">
        <f t="shared" si="70"/>
        <v>5276130.6796000004</v>
      </c>
      <c r="AU45" s="18">
        <f t="shared" si="70"/>
        <v>0</v>
      </c>
      <c r="AV45" s="18">
        <f t="shared" si="70"/>
        <v>1158146.8668</v>
      </c>
      <c r="AW45" s="18">
        <f t="shared" si="70"/>
        <v>0</v>
      </c>
      <c r="AX45" s="18">
        <f t="shared" si="40"/>
        <v>7972205.0205600001</v>
      </c>
      <c r="AY45" s="18">
        <f t="shared" si="41"/>
        <v>7972205.0205600001</v>
      </c>
      <c r="AZ45" s="18">
        <f t="shared" ref="AZ45:BD75" si="71">O45*AI45</f>
        <v>1845513.97541</v>
      </c>
      <c r="BA45" s="18">
        <f t="shared" si="71"/>
        <v>5592696.8402000004</v>
      </c>
      <c r="BB45" s="18">
        <f t="shared" si="71"/>
        <v>0</v>
      </c>
      <c r="BC45" s="18">
        <f t="shared" si="71"/>
        <v>1389776.9980499998</v>
      </c>
      <c r="BD45" s="18">
        <f t="shared" si="71"/>
        <v>0</v>
      </c>
      <c r="BE45" s="18">
        <f t="shared" si="42"/>
        <v>8827987.8136600014</v>
      </c>
      <c r="BF45" s="18">
        <f t="shared" si="43"/>
        <v>8827987.8136600014</v>
      </c>
      <c r="BG45" s="18">
        <v>670.43</v>
      </c>
      <c r="BH45" s="18">
        <v>3185.78</v>
      </c>
      <c r="BI45" s="99">
        <f t="shared" si="5"/>
        <v>3856.21</v>
      </c>
      <c r="BJ45" s="18">
        <v>9863.1299999999992</v>
      </c>
      <c r="BK45" s="18">
        <v>23655.63</v>
      </c>
      <c r="BL45" s="18">
        <f t="shared" ref="BL45:BP75" si="72">I45*T45</f>
        <v>899680.64999999991</v>
      </c>
      <c r="BM45" s="18">
        <f t="shared" si="72"/>
        <v>3095696.6095000003</v>
      </c>
      <c r="BN45" s="18">
        <f t="shared" si="72"/>
        <v>0</v>
      </c>
      <c r="BO45" s="18">
        <f t="shared" si="72"/>
        <v>707733.49679999996</v>
      </c>
      <c r="BP45" s="18">
        <f t="shared" si="72"/>
        <v>0</v>
      </c>
      <c r="BQ45" s="18">
        <f t="shared" si="44"/>
        <v>4703110.7563000005</v>
      </c>
      <c r="BR45" s="18">
        <f t="shared" si="45"/>
        <v>4703110.7563000005</v>
      </c>
      <c r="BS45" s="18">
        <f t="shared" ref="BS45:BU75" si="73">O45*AA45</f>
        <v>765896.60665999993</v>
      </c>
      <c r="BT45" s="18">
        <f t="shared" si="73"/>
        <v>2311259.41995</v>
      </c>
      <c r="BU45" s="18">
        <f t="shared" si="73"/>
        <v>0</v>
      </c>
      <c r="BV45" s="18">
        <f t="shared" si="12"/>
        <v>849280.65929999994</v>
      </c>
      <c r="BW45" s="18">
        <f t="shared" si="13"/>
        <v>0</v>
      </c>
      <c r="BX45" s="18">
        <f t="shared" si="46"/>
        <v>3926436.68591</v>
      </c>
      <c r="BY45" s="18">
        <f t="shared" si="47"/>
        <v>3926436.68591</v>
      </c>
      <c r="BZ45" s="161">
        <f t="shared" si="48"/>
        <v>5406956.0294500003</v>
      </c>
      <c r="CA45" s="161">
        <f t="shared" si="48"/>
        <v>0</v>
      </c>
      <c r="CB45" s="161">
        <f t="shared" si="49"/>
        <v>5406956.0294500003</v>
      </c>
      <c r="CC45" s="162">
        <f t="shared" si="50"/>
        <v>2574.4712598918209</v>
      </c>
      <c r="CD45" s="162" t="e">
        <f t="shared" si="50"/>
        <v>#DIV/0!</v>
      </c>
      <c r="CE45" s="162">
        <f t="shared" si="51"/>
        <v>2574.4712598918209</v>
      </c>
      <c r="CF45" s="162">
        <f t="shared" si="14"/>
        <v>2574.4712598918209</v>
      </c>
      <c r="CG45" s="651">
        <f t="shared" si="15"/>
        <v>6949307.7540499996</v>
      </c>
      <c r="CH45" s="652">
        <f t="shared" si="52"/>
        <v>3308.8475274256975</v>
      </c>
      <c r="CJ45" s="18">
        <f t="shared" si="16"/>
        <v>5373.5422927999998</v>
      </c>
      <c r="CK45" s="18">
        <f t="shared" si="17"/>
        <v>4489.5725534599997</v>
      </c>
      <c r="CL45" s="18">
        <f t="shared" si="53"/>
        <v>9863.1148462599995</v>
      </c>
      <c r="CM45" s="18">
        <f t="shared" si="18"/>
        <v>9863114.84626</v>
      </c>
      <c r="CN45" s="18">
        <f t="shared" si="19"/>
        <v>7972205.0205600001</v>
      </c>
      <c r="CO45" s="18">
        <f t="shared" si="20"/>
        <v>7972205.0205600001</v>
      </c>
      <c r="CP45" s="18">
        <f t="shared" si="21"/>
        <v>4703110.7563000005</v>
      </c>
      <c r="CQ45" s="18">
        <f t="shared" si="22"/>
        <v>8827987.8136600014</v>
      </c>
      <c r="CR45" s="18">
        <f t="shared" si="23"/>
        <v>8827987.8136600014</v>
      </c>
      <c r="CS45" s="18">
        <f t="shared" si="24"/>
        <v>3617652.3653600002</v>
      </c>
      <c r="CT45" s="18">
        <f t="shared" si="54"/>
        <v>16800192.83422</v>
      </c>
      <c r="CU45" s="29">
        <f t="shared" si="55"/>
        <v>5633160.9765307773</v>
      </c>
      <c r="CV45" s="18">
        <f t="shared" si="25"/>
        <v>5276130.6796000004</v>
      </c>
      <c r="CW45" s="18">
        <f t="shared" si="26"/>
        <v>5592696.8402000004</v>
      </c>
      <c r="CX45" s="18">
        <f t="shared" si="56"/>
        <v>10868827.5198</v>
      </c>
      <c r="CY45" s="18">
        <f t="shared" si="27"/>
        <v>9114850.7137599997</v>
      </c>
      <c r="CZ45" s="18">
        <f t="shared" si="28"/>
        <v>10937826.821260002</v>
      </c>
      <c r="DB45" s="653">
        <f t="shared" si="57"/>
        <v>145.98834478421134</v>
      </c>
      <c r="DG45" s="618">
        <f t="shared" si="29"/>
        <v>0</v>
      </c>
      <c r="DH45" s="618">
        <f t="shared" si="30"/>
        <v>0</v>
      </c>
      <c r="DI45" s="618">
        <f t="shared" si="31"/>
        <v>0</v>
      </c>
    </row>
    <row r="46" spans="1:114" ht="63.75" hidden="1" customHeight="1">
      <c r="A46" s="20">
        <f t="shared" si="58"/>
        <v>33</v>
      </c>
      <c r="B46" s="1502" t="s">
        <v>18</v>
      </c>
      <c r="C46" s="1502" t="s">
        <v>93</v>
      </c>
      <c r="D46" s="804" t="s">
        <v>275</v>
      </c>
      <c r="E46" s="801">
        <v>4611016308</v>
      </c>
      <c r="F46" s="803" t="s">
        <v>8</v>
      </c>
      <c r="G46" s="804" t="s">
        <v>893</v>
      </c>
      <c r="H46" s="38">
        <f>2352.32*1.2</f>
        <v>2822.7840000000001</v>
      </c>
      <c r="I46" s="38">
        <f>2352.32*1.2</f>
        <v>2822.7840000000001</v>
      </c>
      <c r="J46" s="38">
        <v>1579.89</v>
      </c>
      <c r="K46" s="38">
        <v>1579.89</v>
      </c>
      <c r="L46" s="38">
        <f>2352.32*1.2</f>
        <v>2822.7840000000001</v>
      </c>
      <c r="M46" s="10">
        <v>0</v>
      </c>
      <c r="N46" s="38">
        <f>2419.84*1.2</f>
        <v>2903.808</v>
      </c>
      <c r="O46" s="38">
        <f>2419.84*1.2</f>
        <v>2903.808</v>
      </c>
      <c r="P46" s="38">
        <v>1674.68</v>
      </c>
      <c r="Q46" s="38">
        <v>1674.68</v>
      </c>
      <c r="R46" s="38">
        <f>2419.84*1.2</f>
        <v>2903.808</v>
      </c>
      <c r="S46" s="10"/>
      <c r="T46" s="15">
        <v>9045.92</v>
      </c>
      <c r="U46" s="15">
        <v>8463.73</v>
      </c>
      <c r="V46" s="232">
        <v>2647.1</v>
      </c>
      <c r="W46" s="15">
        <v>210.78</v>
      </c>
      <c r="X46" s="15">
        <v>0</v>
      </c>
      <c r="Y46" s="15">
        <v>0</v>
      </c>
      <c r="Z46" s="35">
        <f>SUM(T46:W46)</f>
        <v>20367.53</v>
      </c>
      <c r="AA46" s="15">
        <v>6647.51</v>
      </c>
      <c r="AB46" s="15">
        <v>5661.31</v>
      </c>
      <c r="AC46" s="226">
        <v>1990.27</v>
      </c>
      <c r="AD46" s="15">
        <v>168.14</v>
      </c>
      <c r="AE46" s="15">
        <v>0</v>
      </c>
      <c r="AF46" s="15">
        <v>0</v>
      </c>
      <c r="AG46" s="35">
        <f>SUM(AA46:AD46)</f>
        <v>14467.23</v>
      </c>
      <c r="AH46" s="35">
        <f>Z46+AG46</f>
        <v>34834.759999999995</v>
      </c>
      <c r="AI46" s="15">
        <f>T46+AA46</f>
        <v>15693.43</v>
      </c>
      <c r="AJ46" s="15">
        <f>U46+AB46</f>
        <v>14125.04</v>
      </c>
      <c r="AK46" s="35">
        <f>V46+AC46</f>
        <v>4637.37</v>
      </c>
      <c r="AL46" s="15">
        <f t="shared" si="64"/>
        <v>378.91999999999996</v>
      </c>
      <c r="AM46" s="15">
        <f t="shared" si="64"/>
        <v>0</v>
      </c>
      <c r="AN46" s="15"/>
      <c r="AO46" s="15">
        <f>SUM(AI46:AN46)</f>
        <v>34834.76</v>
      </c>
      <c r="AP46" s="15">
        <f>SUM(AI46:AM46)</f>
        <v>34834.76</v>
      </c>
      <c r="AQ46" s="15">
        <f>SUM(AI46:AL46)</f>
        <v>34834.76</v>
      </c>
      <c r="AR46" s="127">
        <f t="shared" si="39"/>
        <v>0</v>
      </c>
      <c r="AS46" s="112">
        <f t="shared" si="70"/>
        <v>44299163.109120004</v>
      </c>
      <c r="AT46" s="112">
        <f t="shared" si="70"/>
        <v>22316009.445600003</v>
      </c>
      <c r="AU46" s="112">
        <f t="shared" si="70"/>
        <v>7326534.4893000005</v>
      </c>
      <c r="AV46" s="112">
        <f t="shared" si="70"/>
        <v>1069609.3132799999</v>
      </c>
      <c r="AW46" s="112">
        <f t="shared" si="70"/>
        <v>0</v>
      </c>
      <c r="AX46" s="112">
        <f t="shared" si="40"/>
        <v>75011316.357300013</v>
      </c>
      <c r="AY46" s="112">
        <f t="shared" si="41"/>
        <v>75011316.357300013</v>
      </c>
      <c r="AZ46" s="112">
        <f t="shared" si="71"/>
        <v>45570707.581440002</v>
      </c>
      <c r="BA46" s="112">
        <f t="shared" si="71"/>
        <v>23654921.987200003</v>
      </c>
      <c r="BB46" s="112">
        <f t="shared" si="71"/>
        <v>7766110.7916000001</v>
      </c>
      <c r="BC46" s="112">
        <f t="shared" si="71"/>
        <v>1100310.9273599999</v>
      </c>
      <c r="BD46" s="112">
        <f t="shared" si="71"/>
        <v>0</v>
      </c>
      <c r="BE46" s="112">
        <f t="shared" si="42"/>
        <v>78092051.287600011</v>
      </c>
      <c r="BF46" s="112">
        <f t="shared" si="43"/>
        <v>78092051.287600011</v>
      </c>
      <c r="BG46" s="623">
        <f>(I46-J46)/1.2*U46/1000+(I46-K46)/1.2*V46/1000+0.00901776333193993</f>
        <v>11507.995636113334</v>
      </c>
      <c r="BH46" s="624">
        <f>(O46-P46)/1.2*AB46/1000+(O46-Q46)/1.2*AC46/1000</f>
        <v>7837.3093518666665</v>
      </c>
      <c r="BI46" s="623">
        <f t="shared" si="5"/>
        <v>19345.304987980002</v>
      </c>
      <c r="BJ46" s="112">
        <v>84432.02</v>
      </c>
      <c r="BK46" s="112">
        <v>95884.81</v>
      </c>
      <c r="BL46" s="112">
        <f>I46*T46</f>
        <v>25534678.241280001</v>
      </c>
      <c r="BM46" s="112">
        <f>J46*U46</f>
        <v>13371762.389699999</v>
      </c>
      <c r="BN46" s="112">
        <f>K46*V46</f>
        <v>4182126.8190000001</v>
      </c>
      <c r="BO46" s="112">
        <f>L46*W46</f>
        <v>594986.41152000008</v>
      </c>
      <c r="BP46" s="112">
        <f t="shared" si="72"/>
        <v>0</v>
      </c>
      <c r="BQ46" s="112">
        <f>BL46+BM46+BN46+BO46+BP46</f>
        <v>43683553.861499995</v>
      </c>
      <c r="BR46" s="112">
        <f>BQ46-BP46</f>
        <v>43683553.861499995</v>
      </c>
      <c r="BS46" s="112">
        <f t="shared" si="73"/>
        <v>19303092.718079999</v>
      </c>
      <c r="BT46" s="112">
        <f t="shared" si="73"/>
        <v>9480882.6308000013</v>
      </c>
      <c r="BU46" s="112">
        <f t="shared" si="73"/>
        <v>3333065.3636000003</v>
      </c>
      <c r="BV46" s="112">
        <f t="shared" si="12"/>
        <v>612064.65023999999</v>
      </c>
      <c r="BW46" s="112">
        <f t="shared" si="13"/>
        <v>0</v>
      </c>
      <c r="BX46" s="112">
        <f t="shared" si="46"/>
        <v>32729105.362720001</v>
      </c>
      <c r="BY46" s="112">
        <f t="shared" si="47"/>
        <v>32729105.362720001</v>
      </c>
      <c r="BZ46" s="113">
        <f>BM46+BT46</f>
        <v>22852645.020500001</v>
      </c>
      <c r="CA46" s="113">
        <f>BN46+BU46</f>
        <v>7515192.1826000009</v>
      </c>
      <c r="CB46" s="113">
        <f>BZ46+CA46</f>
        <v>30367837.203100003</v>
      </c>
      <c r="CC46" s="119">
        <f t="shared" si="50"/>
        <v>1617.8817915205902</v>
      </c>
      <c r="CD46" s="119">
        <f t="shared" si="50"/>
        <v>1620.5720446287446</v>
      </c>
      <c r="CE46" s="119">
        <f t="shared" si="51"/>
        <v>1618.5467220415717</v>
      </c>
      <c r="CF46" s="119">
        <f t="shared" si="14"/>
        <v>1618.5467220415717</v>
      </c>
      <c r="CG46" s="619">
        <f t="shared" si="15"/>
        <v>53582192.367359996</v>
      </c>
      <c r="CH46" s="132">
        <f t="shared" si="52"/>
        <v>2855.8267497277798</v>
      </c>
      <c r="CI46" s="106"/>
      <c r="CJ46" s="112">
        <f t="shared" si="16"/>
        <v>57493.137803520003</v>
      </c>
      <c r="CK46" s="112">
        <f t="shared" si="17"/>
        <v>42010.058211839998</v>
      </c>
      <c r="CL46" s="112">
        <f t="shared" si="53"/>
        <v>99503.196015360008</v>
      </c>
      <c r="CM46" s="112">
        <f t="shared" si="18"/>
        <v>99503196.015359998</v>
      </c>
      <c r="CN46" s="112">
        <f t="shared" si="19"/>
        <v>75011316.357300013</v>
      </c>
      <c r="CO46" s="112">
        <f t="shared" si="20"/>
        <v>75011316.357299998</v>
      </c>
      <c r="CP46" s="112">
        <f t="shared" si="21"/>
        <v>43683553.861499995</v>
      </c>
      <c r="CQ46" s="112">
        <f t="shared" si="22"/>
        <v>78092051.287600011</v>
      </c>
      <c r="CR46" s="112">
        <f t="shared" si="23"/>
        <v>78092051.287599996</v>
      </c>
      <c r="CS46" s="112">
        <f t="shared" si="24"/>
        <v>32605286.989600003</v>
      </c>
      <c r="CT46" s="112">
        <f t="shared" si="54"/>
        <v>153103367.64490002</v>
      </c>
      <c r="CU46" s="124">
        <f t="shared" si="55"/>
        <v>4395131.9786586743</v>
      </c>
      <c r="CV46" s="112">
        <f t="shared" si="25"/>
        <v>29642543.934900004</v>
      </c>
      <c r="CW46" s="112">
        <f t="shared" si="26"/>
        <v>31421032.778800003</v>
      </c>
      <c r="CX46" s="112">
        <f t="shared" si="56"/>
        <v>61063576.713700011</v>
      </c>
      <c r="CY46" s="112">
        <f t="shared" si="27"/>
        <v>98331003.171840012</v>
      </c>
      <c r="CZ46" s="112">
        <f t="shared" si="28"/>
        <v>101153454.76607999</v>
      </c>
      <c r="DA46" s="106"/>
      <c r="DB46" s="128">
        <f t="shared" si="57"/>
        <v>183.79811252682148</v>
      </c>
      <c r="DC46" s="106"/>
      <c r="DD46" s="106"/>
      <c r="DE46" s="106"/>
      <c r="DF46" s="106"/>
      <c r="DG46" s="618">
        <f t="shared" si="29"/>
        <v>0</v>
      </c>
      <c r="DH46" s="618">
        <f t="shared" si="30"/>
        <v>0</v>
      </c>
      <c r="DI46" s="618">
        <f t="shared" si="31"/>
        <v>0</v>
      </c>
      <c r="DJ46" s="106"/>
    </row>
    <row r="47" spans="1:114" ht="75.75" hidden="1" customHeight="1">
      <c r="A47" s="20">
        <f t="shared" si="58"/>
        <v>34</v>
      </c>
      <c r="B47" s="1503"/>
      <c r="C47" s="1503"/>
      <c r="D47" s="805" t="s">
        <v>151</v>
      </c>
      <c r="E47" s="765">
        <v>6829012680</v>
      </c>
      <c r="F47" s="696" t="s">
        <v>8</v>
      </c>
      <c r="G47" s="696" t="s">
        <v>907</v>
      </c>
      <c r="H47" s="697">
        <v>1958.86</v>
      </c>
      <c r="I47" s="697">
        <v>1958.86</v>
      </c>
      <c r="J47" s="697">
        <v>1958.86</v>
      </c>
      <c r="K47" s="697">
        <v>1958.86</v>
      </c>
      <c r="L47" s="697">
        <v>1958.86</v>
      </c>
      <c r="M47" s="697">
        <v>0</v>
      </c>
      <c r="N47" s="714">
        <f>1844.59*1.2</f>
        <v>2213.5079999999998</v>
      </c>
      <c r="O47" s="714">
        <f>N47</f>
        <v>2213.5079999999998</v>
      </c>
      <c r="P47" s="714">
        <v>2047</v>
      </c>
      <c r="Q47" s="714">
        <f>P47</f>
        <v>2047</v>
      </c>
      <c r="R47" s="714">
        <f>O47</f>
        <v>2213.5079999999998</v>
      </c>
      <c r="S47" s="714">
        <v>0</v>
      </c>
      <c r="T47" s="746">
        <v>477.4</v>
      </c>
      <c r="U47" s="746">
        <v>109.8</v>
      </c>
      <c r="V47" s="18"/>
      <c r="W47" s="18"/>
      <c r="X47" s="18"/>
      <c r="Y47" s="18"/>
      <c r="Z47" s="99">
        <f t="shared" si="34"/>
        <v>587.19999999999993</v>
      </c>
      <c r="AA47" s="746">
        <v>429.5</v>
      </c>
      <c r="AB47" s="746">
        <v>67</v>
      </c>
      <c r="AC47" s="18">
        <v>0</v>
      </c>
      <c r="AD47" s="18"/>
      <c r="AE47" s="18">
        <v>0</v>
      </c>
      <c r="AF47" s="18"/>
      <c r="AG47" s="99">
        <f t="shared" si="35"/>
        <v>496.5</v>
      </c>
      <c r="AH47" s="99">
        <f t="shared" si="36"/>
        <v>1083.6999999999998</v>
      </c>
      <c r="AI47" s="15">
        <f t="shared" si="64"/>
        <v>906.9</v>
      </c>
      <c r="AJ47" s="15">
        <f t="shared" si="64"/>
        <v>176.8</v>
      </c>
      <c r="AK47" s="15">
        <f t="shared" si="64"/>
        <v>0</v>
      </c>
      <c r="AL47" s="15">
        <f t="shared" si="64"/>
        <v>0</v>
      </c>
      <c r="AM47" s="15">
        <f t="shared" si="64"/>
        <v>0</v>
      </c>
      <c r="AN47" s="15"/>
      <c r="AO47" s="15">
        <f t="shared" si="7"/>
        <v>1083.7</v>
      </c>
      <c r="AP47" s="15">
        <f t="shared" si="37"/>
        <v>1083.7</v>
      </c>
      <c r="AQ47" s="15">
        <f t="shared" si="38"/>
        <v>1083.7</v>
      </c>
      <c r="AR47" s="127">
        <f t="shared" si="39"/>
        <v>0</v>
      </c>
      <c r="AS47" s="112">
        <f t="shared" si="70"/>
        <v>1776490.1339999998</v>
      </c>
      <c r="AT47" s="112">
        <f t="shared" si="70"/>
        <v>346326.44800000003</v>
      </c>
      <c r="AU47" s="112">
        <f t="shared" si="70"/>
        <v>0</v>
      </c>
      <c r="AV47" s="112">
        <f t="shared" si="70"/>
        <v>0</v>
      </c>
      <c r="AW47" s="112">
        <f t="shared" si="70"/>
        <v>0</v>
      </c>
      <c r="AX47" s="112">
        <f t="shared" si="40"/>
        <v>2122816.5819999999</v>
      </c>
      <c r="AY47" s="112">
        <f t="shared" si="41"/>
        <v>2122816.5819999999</v>
      </c>
      <c r="AZ47" s="112">
        <f t="shared" si="71"/>
        <v>2007430.4051999997</v>
      </c>
      <c r="BA47" s="112">
        <f t="shared" si="71"/>
        <v>361909.60000000003</v>
      </c>
      <c r="BB47" s="112">
        <f t="shared" si="71"/>
        <v>0</v>
      </c>
      <c r="BC47" s="112">
        <f t="shared" si="71"/>
        <v>0</v>
      </c>
      <c r="BD47" s="112">
        <f t="shared" si="71"/>
        <v>0</v>
      </c>
      <c r="BE47" s="112">
        <f t="shared" si="42"/>
        <v>2369340.0051999995</v>
      </c>
      <c r="BF47" s="112">
        <f t="shared" si="43"/>
        <v>2369340.0051999995</v>
      </c>
      <c r="BG47" s="18"/>
      <c r="BH47" s="99">
        <f>((O47-P47)*0.067)/1.2</f>
        <v>9.2966966666666568</v>
      </c>
      <c r="BI47" s="99">
        <f t="shared" si="5"/>
        <v>9.2966966666666568</v>
      </c>
      <c r="BJ47" s="112"/>
      <c r="BK47" s="112"/>
      <c r="BL47" s="112">
        <f t="shared" si="72"/>
        <v>935159.76399999985</v>
      </c>
      <c r="BM47" s="112">
        <f t="shared" si="72"/>
        <v>215082.82799999998</v>
      </c>
      <c r="BN47" s="112">
        <f t="shared" si="72"/>
        <v>0</v>
      </c>
      <c r="BO47" s="112">
        <f t="shared" si="72"/>
        <v>0</v>
      </c>
      <c r="BP47" s="112">
        <f t="shared" si="72"/>
        <v>0</v>
      </c>
      <c r="BQ47" s="112">
        <f t="shared" si="44"/>
        <v>1150242.5919999997</v>
      </c>
      <c r="BR47" s="112">
        <f t="shared" si="45"/>
        <v>1150242.5919999997</v>
      </c>
      <c r="BS47" s="112">
        <f t="shared" si="73"/>
        <v>950701.68599999987</v>
      </c>
      <c r="BT47" s="112">
        <f t="shared" si="73"/>
        <v>137149</v>
      </c>
      <c r="BU47" s="112">
        <f t="shared" si="73"/>
        <v>0</v>
      </c>
      <c r="BV47" s="112">
        <f t="shared" si="12"/>
        <v>0</v>
      </c>
      <c r="BW47" s="112">
        <f t="shared" si="13"/>
        <v>0</v>
      </c>
      <c r="BX47" s="112">
        <f t="shared" si="46"/>
        <v>1087850.6859999998</v>
      </c>
      <c r="BY47" s="112">
        <f t="shared" si="47"/>
        <v>1087850.6859999998</v>
      </c>
      <c r="BZ47" s="113">
        <f t="shared" si="48"/>
        <v>352231.82799999998</v>
      </c>
      <c r="CA47" s="113">
        <f t="shared" si="48"/>
        <v>0</v>
      </c>
      <c r="CB47" s="113">
        <f t="shared" si="49"/>
        <v>352231.82799999998</v>
      </c>
      <c r="CC47" s="119">
        <f t="shared" si="50"/>
        <v>1992.2614705882349</v>
      </c>
      <c r="CD47" s="119" t="e">
        <f t="shared" si="50"/>
        <v>#DIV/0!</v>
      </c>
      <c r="CE47" s="119">
        <f t="shared" si="51"/>
        <v>1992.2614705882349</v>
      </c>
      <c r="CF47" s="119">
        <f t="shared" si="14"/>
        <v>1992.2614705882349</v>
      </c>
      <c r="CG47" s="619">
        <f t="shared" si="15"/>
        <v>363387.86399999994</v>
      </c>
      <c r="CH47" s="132">
        <f t="shared" si="52"/>
        <v>2055.3612217194564</v>
      </c>
      <c r="CI47" s="106"/>
      <c r="CJ47" s="112">
        <f t="shared" si="16"/>
        <v>1150.2425919999996</v>
      </c>
      <c r="CK47" s="112">
        <f t="shared" si="17"/>
        <v>1099.0067219999999</v>
      </c>
      <c r="CL47" s="112">
        <f t="shared" si="53"/>
        <v>2249.2493139999997</v>
      </c>
      <c r="CM47" s="112">
        <f t="shared" si="18"/>
        <v>2249249.3139999993</v>
      </c>
      <c r="CN47" s="112">
        <f t="shared" si="19"/>
        <v>2122816.5819999999</v>
      </c>
      <c r="CO47" s="112">
        <f t="shared" si="20"/>
        <v>2122816.5819999999</v>
      </c>
      <c r="CP47" s="112">
        <f t="shared" si="21"/>
        <v>1150242.5919999997</v>
      </c>
      <c r="CQ47" s="112">
        <f t="shared" si="22"/>
        <v>2369340.0051999995</v>
      </c>
      <c r="CR47" s="112">
        <f t="shared" si="23"/>
        <v>2369340.0051999995</v>
      </c>
      <c r="CS47" s="112">
        <f t="shared" si="24"/>
        <v>1087850.6859999998</v>
      </c>
      <c r="CT47" s="112">
        <f t="shared" si="54"/>
        <v>4492156.587199999</v>
      </c>
      <c r="CU47" s="124">
        <f t="shared" si="55"/>
        <v>4145203.0886776783</v>
      </c>
      <c r="CV47" s="112">
        <f t="shared" si="25"/>
        <v>346326.44800000003</v>
      </c>
      <c r="CW47" s="112">
        <f t="shared" si="26"/>
        <v>361909.60000000003</v>
      </c>
      <c r="CX47" s="112">
        <f t="shared" si="56"/>
        <v>708236.04800000007</v>
      </c>
      <c r="CY47" s="112">
        <f t="shared" si="27"/>
        <v>2122816.5819999999</v>
      </c>
      <c r="CZ47" s="112">
        <f t="shared" si="28"/>
        <v>2398778.6195999999</v>
      </c>
      <c r="DA47" s="106"/>
      <c r="DB47" s="128">
        <f t="shared" si="57"/>
        <v>112.99980600961783</v>
      </c>
      <c r="DC47" s="106"/>
      <c r="DD47" s="106"/>
      <c r="DE47" s="106"/>
      <c r="DF47" s="106"/>
      <c r="DG47" s="618">
        <f t="shared" si="29"/>
        <v>0</v>
      </c>
      <c r="DH47" s="618">
        <f t="shared" si="30"/>
        <v>0</v>
      </c>
      <c r="DI47" s="618">
        <f t="shared" si="31"/>
        <v>0</v>
      </c>
      <c r="DJ47" s="106"/>
    </row>
    <row r="48" spans="1:114" s="20" customFormat="1" ht="51" hidden="1" customHeight="1">
      <c r="A48" s="20">
        <f t="shared" si="58"/>
        <v>35</v>
      </c>
      <c r="B48" s="1566"/>
      <c r="C48" s="1503"/>
      <c r="D48" s="755" t="s">
        <v>152</v>
      </c>
      <c r="E48" s="803">
        <v>7729314745</v>
      </c>
      <c r="F48" s="803" t="s">
        <v>8</v>
      </c>
      <c r="G48" s="1567" t="s">
        <v>894</v>
      </c>
      <c r="H48" s="38">
        <f>2272.52 *1.2</f>
        <v>2727.0239999999999</v>
      </c>
      <c r="I48" s="38">
        <f>2272.52 *1.2</f>
        <v>2727.0239999999999</v>
      </c>
      <c r="J48" s="38">
        <v>1000</v>
      </c>
      <c r="K48" s="38"/>
      <c r="L48" s="38"/>
      <c r="M48" s="10"/>
      <c r="N48" s="38">
        <f>2272.52 *1.2</f>
        <v>2727.0239999999999</v>
      </c>
      <c r="O48" s="38">
        <f>2272.52 *1.2</f>
        <v>2727.0239999999999</v>
      </c>
      <c r="P48" s="38">
        <v>1064.9000000000001</v>
      </c>
      <c r="Q48" s="10"/>
      <c r="R48" s="10"/>
      <c r="S48" s="10"/>
      <c r="T48" s="23">
        <v>777.39862900000003</v>
      </c>
      <c r="U48" s="23">
        <v>1141.1861724</v>
      </c>
      <c r="V48" s="206"/>
      <c r="W48" s="23"/>
      <c r="X48" s="23"/>
      <c r="Y48" s="23"/>
      <c r="Z48" s="23">
        <f t="shared" si="34"/>
        <v>1918.5848014000001</v>
      </c>
      <c r="AA48" s="23">
        <v>517.46435199999996</v>
      </c>
      <c r="AB48" s="23">
        <v>901.71497939999995</v>
      </c>
      <c r="AC48" s="206"/>
      <c r="AD48" s="15"/>
      <c r="AE48" s="15"/>
      <c r="AF48" s="15"/>
      <c r="AG48" s="35">
        <f t="shared" si="35"/>
        <v>1419.1793313999999</v>
      </c>
      <c r="AH48" s="35">
        <f t="shared" si="36"/>
        <v>3337.7641328</v>
      </c>
      <c r="AI48" s="15">
        <f t="shared" si="64"/>
        <v>1294.862981</v>
      </c>
      <c r="AJ48" s="15">
        <f t="shared" si="64"/>
        <v>2042.9011518</v>
      </c>
      <c r="AK48" s="15">
        <f t="shared" si="64"/>
        <v>0</v>
      </c>
      <c r="AL48" s="15">
        <f t="shared" si="64"/>
        <v>0</v>
      </c>
      <c r="AM48" s="15">
        <f t="shared" si="64"/>
        <v>0</v>
      </c>
      <c r="AN48" s="15"/>
      <c r="AO48" s="15">
        <f t="shared" si="7"/>
        <v>3337.7641328</v>
      </c>
      <c r="AP48" s="15">
        <f t="shared" si="37"/>
        <v>3337.7641328</v>
      </c>
      <c r="AQ48" s="17">
        <f t="shared" si="38"/>
        <v>3337.7641328</v>
      </c>
      <c r="AR48" s="127">
        <f t="shared" si="39"/>
        <v>0</v>
      </c>
      <c r="AS48" s="112">
        <f t="shared" si="70"/>
        <v>3531122.425898544</v>
      </c>
      <c r="AT48" s="112">
        <f t="shared" si="70"/>
        <v>2042901.1517999999</v>
      </c>
      <c r="AU48" s="112">
        <f t="shared" si="70"/>
        <v>0</v>
      </c>
      <c r="AV48" s="112">
        <f t="shared" si="70"/>
        <v>0</v>
      </c>
      <c r="AW48" s="112">
        <f t="shared" si="70"/>
        <v>0</v>
      </c>
      <c r="AX48" s="112">
        <f t="shared" si="40"/>
        <v>5574023.5776985437</v>
      </c>
      <c r="AY48" s="112">
        <f t="shared" si="41"/>
        <v>5574023.5776985437</v>
      </c>
      <c r="AZ48" s="112">
        <f t="shared" si="71"/>
        <v>3531122.425898544</v>
      </c>
      <c r="BA48" s="112">
        <f t="shared" si="71"/>
        <v>2175485.43655182</v>
      </c>
      <c r="BB48" s="112">
        <f t="shared" si="71"/>
        <v>0</v>
      </c>
      <c r="BC48" s="112">
        <f t="shared" si="71"/>
        <v>0</v>
      </c>
      <c r="BD48" s="112">
        <f t="shared" si="71"/>
        <v>0</v>
      </c>
      <c r="BE48" s="112">
        <f t="shared" si="42"/>
        <v>5706607.862450364</v>
      </c>
      <c r="BF48" s="112">
        <f t="shared" si="43"/>
        <v>5706607.862450364</v>
      </c>
      <c r="BG48" s="623">
        <f>(I48-J48)/1.2*U48/1000+(I48-K48)/1.2*V48/1000</f>
        <v>1642.379923502448</v>
      </c>
      <c r="BH48" s="624">
        <f>(O48-P48)/1.2*AB48/1000+(O48-Q48)/1.2*AC48/1000</f>
        <v>1248.9684236835378</v>
      </c>
      <c r="BI48" s="623">
        <f t="shared" si="5"/>
        <v>2891.3483471859859</v>
      </c>
      <c r="BJ48" s="112"/>
      <c r="BK48" s="112"/>
      <c r="BL48" s="112">
        <f t="shared" si="72"/>
        <v>2119984.7188500958</v>
      </c>
      <c r="BM48" s="112">
        <f t="shared" si="72"/>
        <v>1141186.1724</v>
      </c>
      <c r="BN48" s="112">
        <f t="shared" si="72"/>
        <v>0</v>
      </c>
      <c r="BO48" s="112">
        <f t="shared" si="72"/>
        <v>0</v>
      </c>
      <c r="BP48" s="112">
        <f t="shared" si="72"/>
        <v>0</v>
      </c>
      <c r="BQ48" s="112">
        <f t="shared" si="44"/>
        <v>3261170.8912500958</v>
      </c>
      <c r="BR48" s="112">
        <f t="shared" si="45"/>
        <v>3261170.8912500958</v>
      </c>
      <c r="BS48" s="112">
        <f t="shared" si="73"/>
        <v>1411137.7070484478</v>
      </c>
      <c r="BT48" s="112">
        <f t="shared" si="73"/>
        <v>960236.28156306001</v>
      </c>
      <c r="BU48" s="112">
        <f t="shared" si="73"/>
        <v>0</v>
      </c>
      <c r="BV48" s="112">
        <f t="shared" si="12"/>
        <v>0</v>
      </c>
      <c r="BW48" s="112">
        <f t="shared" si="13"/>
        <v>0</v>
      </c>
      <c r="BX48" s="112">
        <f t="shared" si="46"/>
        <v>2371373.9886115077</v>
      </c>
      <c r="BY48" s="112">
        <f t="shared" si="47"/>
        <v>2371373.9886115077</v>
      </c>
      <c r="BZ48" s="113">
        <f t="shared" si="48"/>
        <v>2101422.4539630599</v>
      </c>
      <c r="CA48" s="113">
        <f t="shared" si="48"/>
        <v>0</v>
      </c>
      <c r="CB48" s="113">
        <f t="shared" si="49"/>
        <v>2101422.4539630599</v>
      </c>
      <c r="CC48" s="119">
        <f t="shared" si="50"/>
        <v>1028.6461741487085</v>
      </c>
      <c r="CD48" s="119" t="e">
        <f t="shared" si="50"/>
        <v>#DIV/0!</v>
      </c>
      <c r="CE48" s="119">
        <f t="shared" si="51"/>
        <v>1028.6461741487085</v>
      </c>
      <c r="CF48" s="119">
        <f t="shared" si="14"/>
        <v>1028.6461741487085</v>
      </c>
      <c r="CG48" s="619">
        <f t="shared" si="15"/>
        <v>5571040.4705862422</v>
      </c>
      <c r="CH48" s="132">
        <f t="shared" si="52"/>
        <v>2727.0239999999994</v>
      </c>
      <c r="CI48" s="106"/>
      <c r="CJ48" s="124">
        <f t="shared" si="16"/>
        <v>5232.0267994530332</v>
      </c>
      <c r="CK48" s="124">
        <f t="shared" si="17"/>
        <v>3870.1360970317533</v>
      </c>
      <c r="CL48" s="124">
        <f t="shared" si="53"/>
        <v>9102.162896484786</v>
      </c>
      <c r="CM48" s="112">
        <f t="shared" si="18"/>
        <v>9102162.8964847866</v>
      </c>
      <c r="CN48" s="112">
        <f t="shared" si="19"/>
        <v>5574023.5776985437</v>
      </c>
      <c r="CO48" s="112">
        <f t="shared" si="20"/>
        <v>5574023.5776985437</v>
      </c>
      <c r="CP48" s="112">
        <f t="shared" si="21"/>
        <v>3261170.8912500958</v>
      </c>
      <c r="CQ48" s="112">
        <f t="shared" si="22"/>
        <v>5706607.862450364</v>
      </c>
      <c r="CR48" s="112">
        <f t="shared" si="23"/>
        <v>5706607.862450364</v>
      </c>
      <c r="CS48" s="112">
        <f t="shared" si="24"/>
        <v>2371373.9886115077</v>
      </c>
      <c r="CT48" s="112">
        <f t="shared" si="54"/>
        <v>11280631.440148909</v>
      </c>
      <c r="CU48" s="124">
        <f t="shared" si="55"/>
        <v>3379697.0041396418</v>
      </c>
      <c r="CV48" s="112">
        <f t="shared" si="25"/>
        <v>2042901.1517999999</v>
      </c>
      <c r="CW48" s="112">
        <f t="shared" si="26"/>
        <v>2175485.43655182</v>
      </c>
      <c r="CX48" s="112">
        <f t="shared" si="56"/>
        <v>4218386.5883518197</v>
      </c>
      <c r="CY48" s="112">
        <f t="shared" si="27"/>
        <v>9102162.8964847866</v>
      </c>
      <c r="CZ48" s="112">
        <f t="shared" si="28"/>
        <v>9102162.8964847866</v>
      </c>
      <c r="DA48" s="106"/>
      <c r="DB48" s="128">
        <f t="shared" si="57"/>
        <v>272.70239999999995</v>
      </c>
      <c r="DC48" s="106"/>
      <c r="DD48" s="106"/>
      <c r="DE48" s="106"/>
      <c r="DF48" s="106"/>
      <c r="DG48" s="618">
        <f t="shared" si="29"/>
        <v>0</v>
      </c>
      <c r="DH48" s="618">
        <f t="shared" si="30"/>
        <v>0</v>
      </c>
      <c r="DI48" s="618">
        <f t="shared" si="31"/>
        <v>0</v>
      </c>
      <c r="DJ48" s="115"/>
    </row>
    <row r="49" spans="1:114" s="20" customFormat="1" ht="51" hidden="1" customHeight="1">
      <c r="A49" s="20">
        <f t="shared" si="58"/>
        <v>36</v>
      </c>
      <c r="B49" s="1566"/>
      <c r="C49" s="1504"/>
      <c r="D49" s="755" t="s">
        <v>153</v>
      </c>
      <c r="E49" s="803">
        <v>7729314745</v>
      </c>
      <c r="F49" s="803" t="s">
        <v>8</v>
      </c>
      <c r="G49" s="1558"/>
      <c r="H49" s="38">
        <f>1760.95  *1.2</f>
        <v>2113.14</v>
      </c>
      <c r="I49" s="38">
        <f>1760.95  *1.2</f>
        <v>2113.14</v>
      </c>
      <c r="J49" s="38">
        <v>1441.87</v>
      </c>
      <c r="K49" s="38">
        <v>1233.92</v>
      </c>
      <c r="L49" s="38"/>
      <c r="M49" s="10"/>
      <c r="N49" s="38">
        <f>1760.95  *1.2</f>
        <v>2113.14</v>
      </c>
      <c r="O49" s="38">
        <f>1760.95  *1.2</f>
        <v>2113.14</v>
      </c>
      <c r="P49" s="38">
        <v>1535.45</v>
      </c>
      <c r="Q49" s="38">
        <v>1314</v>
      </c>
      <c r="R49" s="10"/>
      <c r="S49" s="10"/>
      <c r="T49" s="23">
        <f>3341.440243+445.654028342152</f>
        <v>3787.0942713421518</v>
      </c>
      <c r="U49" s="23">
        <v>3152.6553239999998</v>
      </c>
      <c r="V49" s="206">
        <v>841.05055919999995</v>
      </c>
      <c r="W49" s="23"/>
      <c r="X49" s="23"/>
      <c r="Y49" s="23"/>
      <c r="Z49" s="23">
        <f t="shared" si="34"/>
        <v>7780.8001545421512</v>
      </c>
      <c r="AA49" s="23">
        <f>2240.014178+453.71565587978</f>
        <v>2693.72983387978</v>
      </c>
      <c r="AB49" s="23">
        <v>2364.491493</v>
      </c>
      <c r="AC49" s="206">
        <v>841.05055919999995</v>
      </c>
      <c r="AD49" s="15"/>
      <c r="AE49" s="15"/>
      <c r="AF49" s="15"/>
      <c r="AG49" s="35">
        <f t="shared" si="35"/>
        <v>5899.2718860797804</v>
      </c>
      <c r="AH49" s="35">
        <f t="shared" si="36"/>
        <v>13680.072040621932</v>
      </c>
      <c r="AI49" s="15">
        <f t="shared" si="64"/>
        <v>6480.8241052219319</v>
      </c>
      <c r="AJ49" s="15">
        <f t="shared" si="64"/>
        <v>5517.1468169999998</v>
      </c>
      <c r="AK49" s="15">
        <f t="shared" si="64"/>
        <v>1682.1011183999999</v>
      </c>
      <c r="AL49" s="15">
        <f t="shared" si="64"/>
        <v>0</v>
      </c>
      <c r="AM49" s="15">
        <f t="shared" si="64"/>
        <v>0</v>
      </c>
      <c r="AN49" s="15"/>
      <c r="AO49" s="15">
        <f t="shared" si="7"/>
        <v>13680.072040621932</v>
      </c>
      <c r="AP49" s="15">
        <f t="shared" si="37"/>
        <v>13680.072040621932</v>
      </c>
      <c r="AQ49" s="17">
        <f t="shared" si="38"/>
        <v>13680.072040621932</v>
      </c>
      <c r="AR49" s="127">
        <f t="shared" si="39"/>
        <v>0</v>
      </c>
      <c r="AS49" s="112">
        <f t="shared" si="70"/>
        <v>13694888.649708671</v>
      </c>
      <c r="AT49" s="112">
        <f t="shared" si="70"/>
        <v>7955008.4810277894</v>
      </c>
      <c r="AU49" s="112">
        <f t="shared" si="70"/>
        <v>2075578.212016128</v>
      </c>
      <c r="AV49" s="112">
        <f t="shared" si="70"/>
        <v>0</v>
      </c>
      <c r="AW49" s="112">
        <f t="shared" si="70"/>
        <v>0</v>
      </c>
      <c r="AX49" s="112">
        <f t="shared" si="40"/>
        <v>23725475.342752591</v>
      </c>
      <c r="AY49" s="112">
        <f t="shared" si="41"/>
        <v>23725475.342752591</v>
      </c>
      <c r="AZ49" s="112">
        <f t="shared" si="71"/>
        <v>13694888.649708671</v>
      </c>
      <c r="BA49" s="112">
        <f t="shared" si="71"/>
        <v>8471303.08016265</v>
      </c>
      <c r="BB49" s="112">
        <f t="shared" si="71"/>
        <v>2210280.8695775997</v>
      </c>
      <c r="BC49" s="112">
        <f t="shared" si="71"/>
        <v>0</v>
      </c>
      <c r="BD49" s="112">
        <f t="shared" si="71"/>
        <v>0</v>
      </c>
      <c r="BE49" s="112">
        <f t="shared" si="42"/>
        <v>24376472.599448919</v>
      </c>
      <c r="BF49" s="112">
        <f t="shared" si="43"/>
        <v>24376472.599448919</v>
      </c>
      <c r="BG49" s="623">
        <f>(I49-J49)/1.2*U49/1000+(I49-K49)/1.2*V49/1000-0.020528973231194</f>
        <v>2379.7723143611884</v>
      </c>
      <c r="BH49" s="624">
        <f>(O49-P49)/1.2*AB49/1000+(O49-Q49)/1.2*AC49/1000</f>
        <v>1698.3835287252145</v>
      </c>
      <c r="BI49" s="623">
        <f t="shared" si="5"/>
        <v>4078.1558430864029</v>
      </c>
      <c r="BJ49" s="112"/>
      <c r="BK49" s="112"/>
      <c r="BL49" s="112">
        <f t="shared" si="72"/>
        <v>8002660.3885439541</v>
      </c>
      <c r="BM49" s="112">
        <f t="shared" si="72"/>
        <v>4545719.1320158793</v>
      </c>
      <c r="BN49" s="112">
        <f t="shared" si="72"/>
        <v>1037789.106008064</v>
      </c>
      <c r="BO49" s="112">
        <f t="shared" si="72"/>
        <v>0</v>
      </c>
      <c r="BP49" s="112">
        <f t="shared" si="72"/>
        <v>0</v>
      </c>
      <c r="BQ49" s="112">
        <f t="shared" si="44"/>
        <v>13586168.626567896</v>
      </c>
      <c r="BR49" s="112">
        <f t="shared" si="45"/>
        <v>13586168.626567896</v>
      </c>
      <c r="BS49" s="112">
        <f t="shared" si="73"/>
        <v>5692228.2611647183</v>
      </c>
      <c r="BT49" s="112">
        <f t="shared" si="73"/>
        <v>3630558.4629268502</v>
      </c>
      <c r="BU49" s="112">
        <f t="shared" si="73"/>
        <v>1105140.4347887998</v>
      </c>
      <c r="BV49" s="112">
        <f t="shared" si="12"/>
        <v>0</v>
      </c>
      <c r="BW49" s="112">
        <f t="shared" si="13"/>
        <v>0</v>
      </c>
      <c r="BX49" s="112">
        <f t="shared" si="46"/>
        <v>10427927.158880368</v>
      </c>
      <c r="BY49" s="112">
        <f t="shared" si="47"/>
        <v>10427927.158880368</v>
      </c>
      <c r="BZ49" s="113">
        <f t="shared" si="48"/>
        <v>8176277.5949427299</v>
      </c>
      <c r="CA49" s="113">
        <f t="shared" si="48"/>
        <v>2142929.5407968638</v>
      </c>
      <c r="CB49" s="113">
        <f t="shared" si="49"/>
        <v>10319207.135739595</v>
      </c>
      <c r="CC49" s="119">
        <f t="shared" si="50"/>
        <v>1481.9757142857143</v>
      </c>
      <c r="CD49" s="119">
        <f t="shared" si="50"/>
        <v>1273.96</v>
      </c>
      <c r="CE49" s="119">
        <f t="shared" si="51"/>
        <v>1433.3729339974795</v>
      </c>
      <c r="CF49" s="119">
        <f t="shared" si="14"/>
        <v>1433.3729339974795</v>
      </c>
      <c r="CG49" s="619">
        <f t="shared" si="15"/>
        <v>15213018.782211155</v>
      </c>
      <c r="CH49" s="132">
        <f t="shared" si="52"/>
        <v>2113.14</v>
      </c>
      <c r="CI49" s="106"/>
      <c r="CJ49" s="112">
        <f t="shared" si="16"/>
        <v>16441.920038569202</v>
      </c>
      <c r="CK49" s="112">
        <f t="shared" si="17"/>
        <v>12465.987393350628</v>
      </c>
      <c r="CL49" s="112">
        <f t="shared" si="53"/>
        <v>28907.90743191983</v>
      </c>
      <c r="CM49" s="112">
        <f t="shared" si="18"/>
        <v>28907907.431919828</v>
      </c>
      <c r="CN49" s="112">
        <f t="shared" si="19"/>
        <v>23725475.342752591</v>
      </c>
      <c r="CO49" s="112">
        <f t="shared" si="20"/>
        <v>24075268.270323869</v>
      </c>
      <c r="CP49" s="112">
        <f t="shared" si="21"/>
        <v>13586168.626567896</v>
      </c>
      <c r="CQ49" s="112">
        <f t="shared" si="22"/>
        <v>24376472.599448919</v>
      </c>
      <c r="CR49" s="112">
        <f t="shared" si="23"/>
        <v>24748973.892118603</v>
      </c>
      <c r="CS49" s="112">
        <f t="shared" si="24"/>
        <v>10427927.158880368</v>
      </c>
      <c r="CT49" s="112">
        <f t="shared" si="54"/>
        <v>48101947.94220151</v>
      </c>
      <c r="CU49" s="124">
        <f t="shared" si="55"/>
        <v>3516205.7479936103</v>
      </c>
      <c r="CV49" s="112">
        <f t="shared" si="25"/>
        <v>10030586.693043917</v>
      </c>
      <c r="CW49" s="112">
        <f t="shared" si="26"/>
        <v>10681583.94974025</v>
      </c>
      <c r="CX49" s="112">
        <f t="shared" si="56"/>
        <v>20712170.642784167</v>
      </c>
      <c r="CY49" s="112">
        <f t="shared" si="27"/>
        <v>28907907.431919828</v>
      </c>
      <c r="CZ49" s="112">
        <f t="shared" si="28"/>
        <v>28907907.431919828</v>
      </c>
      <c r="DA49" s="106"/>
      <c r="DB49" s="128">
        <f t="shared" si="57"/>
        <v>146.55551471353175</v>
      </c>
      <c r="DC49" s="106"/>
      <c r="DD49" s="106"/>
      <c r="DE49" s="106"/>
      <c r="DF49" s="106"/>
      <c r="DG49" s="618">
        <f t="shared" si="29"/>
        <v>0</v>
      </c>
      <c r="DH49" s="618">
        <f t="shared" si="30"/>
        <v>0</v>
      </c>
      <c r="DI49" s="618">
        <f t="shared" si="31"/>
        <v>0</v>
      </c>
      <c r="DJ49" s="115"/>
    </row>
    <row r="50" spans="1:114" ht="51" hidden="1" customHeight="1">
      <c r="A50" s="20">
        <f t="shared" si="58"/>
        <v>37</v>
      </c>
      <c r="B50" s="1503"/>
      <c r="C50" s="1502" t="s">
        <v>148</v>
      </c>
      <c r="D50" s="805" t="s">
        <v>186</v>
      </c>
      <c r="E50" s="765">
        <v>6829012680</v>
      </c>
      <c r="F50" s="696" t="s">
        <v>8</v>
      </c>
      <c r="G50" s="696" t="s">
        <v>907</v>
      </c>
      <c r="H50" s="697">
        <v>1958.86</v>
      </c>
      <c r="I50" s="697">
        <v>1958.86</v>
      </c>
      <c r="J50" s="697">
        <v>1958.86</v>
      </c>
      <c r="K50" s="697">
        <v>1958.86</v>
      </c>
      <c r="L50" s="697">
        <v>1958.86</v>
      </c>
      <c r="M50" s="697">
        <v>0</v>
      </c>
      <c r="N50" s="714">
        <f>1844.59*1.2</f>
        <v>2213.5079999999998</v>
      </c>
      <c r="O50" s="714">
        <f>N50</f>
        <v>2213.5079999999998</v>
      </c>
      <c r="P50" s="714">
        <v>2047</v>
      </c>
      <c r="Q50" s="714">
        <f>P50</f>
        <v>2047</v>
      </c>
      <c r="R50" s="714">
        <f>O50</f>
        <v>2213.5079999999998</v>
      </c>
      <c r="S50" s="714">
        <v>0</v>
      </c>
      <c r="T50" s="763">
        <v>4120</v>
      </c>
      <c r="U50" s="763">
        <f>1669.4-V50</f>
        <v>1543.8000000000002</v>
      </c>
      <c r="V50" s="763">
        <v>125.6</v>
      </c>
      <c r="W50" s="763">
        <v>128</v>
      </c>
      <c r="X50" s="762">
        <v>0</v>
      </c>
      <c r="Y50" s="762"/>
      <c r="Z50" s="764">
        <f t="shared" si="34"/>
        <v>5917.4000000000005</v>
      </c>
      <c r="AA50" s="763">
        <v>2731.9</v>
      </c>
      <c r="AB50" s="762">
        <f>1095.3-259.7</f>
        <v>835.59999999999991</v>
      </c>
      <c r="AC50" s="763">
        <v>259.7</v>
      </c>
      <c r="AD50" s="763">
        <v>18.5</v>
      </c>
      <c r="AE50" s="762"/>
      <c r="AF50" s="762"/>
      <c r="AG50" s="35">
        <f t="shared" si="35"/>
        <v>3845.7</v>
      </c>
      <c r="AH50" s="35">
        <f t="shared" si="36"/>
        <v>9763.1</v>
      </c>
      <c r="AI50" s="15">
        <f t="shared" si="64"/>
        <v>6851.9</v>
      </c>
      <c r="AJ50" s="15">
        <f t="shared" si="64"/>
        <v>2379.4</v>
      </c>
      <c r="AK50" s="15">
        <f t="shared" si="64"/>
        <v>385.29999999999995</v>
      </c>
      <c r="AL50" s="15">
        <f t="shared" si="64"/>
        <v>146.5</v>
      </c>
      <c r="AM50" s="15">
        <f t="shared" si="64"/>
        <v>0</v>
      </c>
      <c r="AN50" s="15"/>
      <c r="AO50" s="15">
        <f t="shared" si="7"/>
        <v>9763.0999999999985</v>
      </c>
      <c r="AP50" s="15">
        <f t="shared" si="37"/>
        <v>9763.0999999999985</v>
      </c>
      <c r="AQ50" s="15">
        <f t="shared" si="38"/>
        <v>9763.0999999999985</v>
      </c>
      <c r="AR50" s="127">
        <f t="shared" si="39"/>
        <v>0</v>
      </c>
      <c r="AS50" s="112">
        <f t="shared" si="70"/>
        <v>13421912.833999999</v>
      </c>
      <c r="AT50" s="112">
        <f t="shared" si="70"/>
        <v>4660911.4840000002</v>
      </c>
      <c r="AU50" s="112">
        <f t="shared" si="70"/>
        <v>754748.75799999991</v>
      </c>
      <c r="AV50" s="112">
        <f t="shared" si="70"/>
        <v>286972.99</v>
      </c>
      <c r="AW50" s="112">
        <f t="shared" si="70"/>
        <v>0</v>
      </c>
      <c r="AX50" s="112">
        <f t="shared" si="40"/>
        <v>19124546.066</v>
      </c>
      <c r="AY50" s="112">
        <f t="shared" si="41"/>
        <v>19124546.066</v>
      </c>
      <c r="AZ50" s="112">
        <f t="shared" si="71"/>
        <v>15166735.465199998</v>
      </c>
      <c r="BA50" s="112">
        <f t="shared" si="71"/>
        <v>4870631.8</v>
      </c>
      <c r="BB50" s="112">
        <f t="shared" si="71"/>
        <v>788709.09999999986</v>
      </c>
      <c r="BC50" s="112">
        <f t="shared" si="71"/>
        <v>324278.92199999996</v>
      </c>
      <c r="BD50" s="112">
        <f t="shared" si="71"/>
        <v>0</v>
      </c>
      <c r="BE50" s="112">
        <f t="shared" si="42"/>
        <v>21150355.287199996</v>
      </c>
      <c r="BF50" s="112">
        <f t="shared" si="43"/>
        <v>21150355.287199996</v>
      </c>
      <c r="BG50" s="766"/>
      <c r="BH50" s="766">
        <f>((O50-P50)*1.0953)/1.2</f>
        <v>151.98017699999983</v>
      </c>
      <c r="BI50" s="766">
        <f t="shared" si="5"/>
        <v>151.98017699999983</v>
      </c>
      <c r="BJ50" s="112"/>
      <c r="BK50" s="112"/>
      <c r="BL50" s="112">
        <f t="shared" si="72"/>
        <v>8070503.1999999993</v>
      </c>
      <c r="BM50" s="112">
        <f t="shared" si="72"/>
        <v>3024088.068</v>
      </c>
      <c r="BN50" s="112">
        <f t="shared" si="72"/>
        <v>246032.81599999996</v>
      </c>
      <c r="BO50" s="112">
        <f t="shared" si="72"/>
        <v>250734.07999999999</v>
      </c>
      <c r="BP50" s="112">
        <f t="shared" si="72"/>
        <v>0</v>
      </c>
      <c r="BQ50" s="112">
        <f t="shared" si="44"/>
        <v>11591358.163999999</v>
      </c>
      <c r="BR50" s="112">
        <f t="shared" si="45"/>
        <v>11591358.163999999</v>
      </c>
      <c r="BS50" s="112">
        <f t="shared" si="73"/>
        <v>6047082.5051999995</v>
      </c>
      <c r="BT50" s="112">
        <f t="shared" si="73"/>
        <v>1710473.1999999997</v>
      </c>
      <c r="BU50" s="112">
        <f t="shared" si="73"/>
        <v>531605.9</v>
      </c>
      <c r="BV50" s="112">
        <f t="shared" si="12"/>
        <v>283329.02399999998</v>
      </c>
      <c r="BW50" s="112">
        <f t="shared" si="13"/>
        <v>0</v>
      </c>
      <c r="BX50" s="112">
        <f t="shared" si="46"/>
        <v>8572490.6292000003</v>
      </c>
      <c r="BY50" s="112">
        <f t="shared" si="47"/>
        <v>8572490.6292000003</v>
      </c>
      <c r="BZ50" s="113">
        <f t="shared" si="48"/>
        <v>4734561.2679999992</v>
      </c>
      <c r="CA50" s="113">
        <f t="shared" si="48"/>
        <v>777638.71600000001</v>
      </c>
      <c r="CB50" s="113">
        <f t="shared" si="49"/>
        <v>5512199.9839999992</v>
      </c>
      <c r="CC50" s="119">
        <f t="shared" si="50"/>
        <v>1989.8130906951328</v>
      </c>
      <c r="CD50" s="119">
        <f t="shared" si="50"/>
        <v>2018.2681443031406</v>
      </c>
      <c r="CE50" s="119">
        <f t="shared" si="51"/>
        <v>1993.7787043802221</v>
      </c>
      <c r="CF50" s="119">
        <f t="shared" si="14"/>
        <v>1993.7787043802221</v>
      </c>
      <c r="CG50" s="619">
        <f t="shared" si="15"/>
        <v>5694576.1963999998</v>
      </c>
      <c r="CH50" s="132">
        <f t="shared" si="52"/>
        <v>2059.7447087929977</v>
      </c>
      <c r="CI50" s="106"/>
      <c r="CJ50" s="112">
        <f t="shared" si="16"/>
        <v>11591.358164000001</v>
      </c>
      <c r="CK50" s="112">
        <f t="shared" si="17"/>
        <v>8512.4877155999984</v>
      </c>
      <c r="CL50" s="112">
        <f t="shared" si="53"/>
        <v>20103.845879599998</v>
      </c>
      <c r="CM50" s="112">
        <f t="shared" si="18"/>
        <v>20103845.8796</v>
      </c>
      <c r="CN50" s="112">
        <f t="shared" si="19"/>
        <v>19124546.066</v>
      </c>
      <c r="CO50" s="112">
        <f t="shared" si="20"/>
        <v>19124546.065999996</v>
      </c>
      <c r="CP50" s="112">
        <f t="shared" si="21"/>
        <v>11591358.163999999</v>
      </c>
      <c r="CQ50" s="112">
        <f t="shared" si="22"/>
        <v>21150355.287199996</v>
      </c>
      <c r="CR50" s="112">
        <f t="shared" si="23"/>
        <v>21150355.287199996</v>
      </c>
      <c r="CS50" s="112">
        <f t="shared" si="24"/>
        <v>8330111.5032000002</v>
      </c>
      <c r="CT50" s="112">
        <f t="shared" si="54"/>
        <v>40274901.353199996</v>
      </c>
      <c r="CU50" s="124">
        <f t="shared" si="55"/>
        <v>4125216.514549681</v>
      </c>
      <c r="CV50" s="112">
        <f t="shared" si="25"/>
        <v>5415660.2420000006</v>
      </c>
      <c r="CW50" s="112">
        <f t="shared" si="26"/>
        <v>5659340.8999999994</v>
      </c>
      <c r="CX50" s="112">
        <f t="shared" si="56"/>
        <v>11075001.142000001</v>
      </c>
      <c r="CY50" s="112">
        <f t="shared" si="27"/>
        <v>19124546.066</v>
      </c>
      <c r="CZ50" s="112">
        <f t="shared" si="28"/>
        <v>21610699.954799995</v>
      </c>
      <c r="DA50" s="106"/>
      <c r="DB50" s="128">
        <f t="shared" si="57"/>
        <v>112.99980600961783</v>
      </c>
      <c r="DC50" s="106"/>
      <c r="DD50" s="106"/>
      <c r="DE50" s="106"/>
      <c r="DF50" s="106"/>
      <c r="DG50" s="618">
        <f t="shared" si="29"/>
        <v>0</v>
      </c>
      <c r="DH50" s="618">
        <f t="shared" si="30"/>
        <v>0</v>
      </c>
      <c r="DI50" s="618">
        <f t="shared" si="31"/>
        <v>0</v>
      </c>
      <c r="DJ50" s="106"/>
    </row>
    <row r="51" spans="1:114" s="32" customFormat="1" ht="63.75" customHeight="1">
      <c r="A51" s="20">
        <f t="shared" si="58"/>
        <v>38</v>
      </c>
      <c r="B51" s="1503"/>
      <c r="C51" s="1503"/>
      <c r="D51" s="748" t="s">
        <v>141</v>
      </c>
      <c r="E51" s="617">
        <v>4632024035</v>
      </c>
      <c r="F51" s="803" t="s">
        <v>8</v>
      </c>
      <c r="G51" s="751" t="s">
        <v>890</v>
      </c>
      <c r="H51" s="816">
        <f>2653.36*1.2</f>
        <v>3184.0320000000002</v>
      </c>
      <c r="I51" s="816">
        <f>2653.36*1.2</f>
        <v>3184.0320000000002</v>
      </c>
      <c r="J51" s="38">
        <v>2732.57</v>
      </c>
      <c r="K51" s="38"/>
      <c r="L51" s="816">
        <f>2653.36*1.2</f>
        <v>3184.0320000000002</v>
      </c>
      <c r="M51" s="38"/>
      <c r="N51" s="622">
        <f>2749.3*1.2</f>
        <v>3299.1600000000003</v>
      </c>
      <c r="O51" s="622">
        <f>2749.3*1.2</f>
        <v>3299.1600000000003</v>
      </c>
      <c r="P51" s="38">
        <v>2896.52</v>
      </c>
      <c r="Q51" s="38"/>
      <c r="R51" s="622">
        <f>2749.3*1.2</f>
        <v>3299.1600000000003</v>
      </c>
      <c r="S51" s="38"/>
      <c r="T51" s="178">
        <v>1164.28</v>
      </c>
      <c r="U51" s="16">
        <v>5.9</v>
      </c>
      <c r="V51" s="227"/>
      <c r="W51" s="16"/>
      <c r="X51" s="16"/>
      <c r="Y51" s="16"/>
      <c r="Z51" s="178">
        <f t="shared" si="34"/>
        <v>1170.18</v>
      </c>
      <c r="AA51" s="178">
        <v>865.39400000000001</v>
      </c>
      <c r="AB51" s="16">
        <v>4.4000000000000004</v>
      </c>
      <c r="AC51" s="227"/>
      <c r="AD51" s="16"/>
      <c r="AE51" s="16"/>
      <c r="AF51" s="16"/>
      <c r="AG51" s="178">
        <f t="shared" si="35"/>
        <v>869.79399999999998</v>
      </c>
      <c r="AH51" s="178">
        <f t="shared" si="36"/>
        <v>2039.9740000000002</v>
      </c>
      <c r="AI51" s="16">
        <f t="shared" si="64"/>
        <v>2029.674</v>
      </c>
      <c r="AJ51" s="16">
        <f t="shared" si="64"/>
        <v>10.3</v>
      </c>
      <c r="AK51" s="16">
        <f t="shared" si="64"/>
        <v>0</v>
      </c>
      <c r="AL51" s="16">
        <f t="shared" si="64"/>
        <v>0</v>
      </c>
      <c r="AM51" s="16">
        <f t="shared" si="64"/>
        <v>0</v>
      </c>
      <c r="AN51" s="16"/>
      <c r="AO51" s="16">
        <f t="shared" si="7"/>
        <v>2039.9739999999999</v>
      </c>
      <c r="AP51" s="16">
        <f t="shared" si="37"/>
        <v>2039.9739999999999</v>
      </c>
      <c r="AQ51" s="16">
        <f t="shared" si="38"/>
        <v>2039.9739999999999</v>
      </c>
      <c r="AR51" s="127">
        <f t="shared" si="39"/>
        <v>0</v>
      </c>
      <c r="AS51" s="112">
        <f t="shared" si="70"/>
        <v>6462546.9655680005</v>
      </c>
      <c r="AT51" s="112">
        <f t="shared" si="70"/>
        <v>28145.471000000005</v>
      </c>
      <c r="AU51" s="112">
        <f t="shared" si="70"/>
        <v>0</v>
      </c>
      <c r="AV51" s="112">
        <f t="shared" si="70"/>
        <v>0</v>
      </c>
      <c r="AW51" s="112">
        <f t="shared" si="70"/>
        <v>0</v>
      </c>
      <c r="AX51" s="112">
        <f t="shared" si="40"/>
        <v>6490692.4365680004</v>
      </c>
      <c r="AY51" s="112">
        <f t="shared" si="41"/>
        <v>6490692.4365680004</v>
      </c>
      <c r="AZ51" s="112">
        <f t="shared" si="71"/>
        <v>6696219.2738400009</v>
      </c>
      <c r="BA51" s="112">
        <f t="shared" si="71"/>
        <v>29834.156000000003</v>
      </c>
      <c r="BB51" s="112">
        <f t="shared" si="71"/>
        <v>0</v>
      </c>
      <c r="BC51" s="112">
        <f t="shared" si="71"/>
        <v>0</v>
      </c>
      <c r="BD51" s="112">
        <f t="shared" si="71"/>
        <v>0</v>
      </c>
      <c r="BE51" s="112">
        <f t="shared" si="42"/>
        <v>6726053.4298400013</v>
      </c>
      <c r="BF51" s="112">
        <f t="shared" si="43"/>
        <v>6726053.4298400013</v>
      </c>
      <c r="BG51" s="623">
        <f>(I51-J51)/1.2*U51/1000</f>
        <v>2.2196881666666668</v>
      </c>
      <c r="BH51" s="624">
        <f>(O51-P51)/1.2*AB51/1000</f>
        <v>1.4763466666666683</v>
      </c>
      <c r="BI51" s="623">
        <f t="shared" si="5"/>
        <v>3.6960348333333348</v>
      </c>
      <c r="BJ51" s="169"/>
      <c r="BK51" s="169"/>
      <c r="BL51" s="112">
        <f t="shared" si="72"/>
        <v>3707104.7769599999</v>
      </c>
      <c r="BM51" s="112">
        <f t="shared" si="72"/>
        <v>16122.163000000002</v>
      </c>
      <c r="BN51" s="112">
        <f t="shared" si="72"/>
        <v>0</v>
      </c>
      <c r="BO51" s="112">
        <f t="shared" si="72"/>
        <v>0</v>
      </c>
      <c r="BP51" s="112">
        <f t="shared" si="72"/>
        <v>0</v>
      </c>
      <c r="BQ51" s="112">
        <f t="shared" si="44"/>
        <v>3723226.9399600001</v>
      </c>
      <c r="BR51" s="112">
        <f t="shared" si="45"/>
        <v>3723226.9399600001</v>
      </c>
      <c r="BS51" s="112">
        <f t="shared" si="73"/>
        <v>2855073.2690400002</v>
      </c>
      <c r="BT51" s="112">
        <f t="shared" si="73"/>
        <v>12744.688</v>
      </c>
      <c r="BU51" s="112">
        <f t="shared" si="73"/>
        <v>0</v>
      </c>
      <c r="BV51" s="112">
        <f t="shared" si="12"/>
        <v>0</v>
      </c>
      <c r="BW51" s="112">
        <f t="shared" si="13"/>
        <v>0</v>
      </c>
      <c r="BX51" s="112">
        <f t="shared" si="46"/>
        <v>2867817.9570400002</v>
      </c>
      <c r="BY51" s="112">
        <f t="shared" si="47"/>
        <v>2867817.9570400002</v>
      </c>
      <c r="BZ51" s="113">
        <f t="shared" si="48"/>
        <v>28866.851000000002</v>
      </c>
      <c r="CA51" s="113">
        <f t="shared" si="48"/>
        <v>0</v>
      </c>
      <c r="CB51" s="113">
        <f t="shared" si="49"/>
        <v>28866.851000000002</v>
      </c>
      <c r="CC51" s="119">
        <f t="shared" si="50"/>
        <v>2802.6068932038834</v>
      </c>
      <c r="CD51" s="119" t="e">
        <f t="shared" si="50"/>
        <v>#DIV/0!</v>
      </c>
      <c r="CE51" s="119">
        <f t="shared" si="51"/>
        <v>2802.6068932038834</v>
      </c>
      <c r="CF51" s="119">
        <f t="shared" si="14"/>
        <v>2802.6068932038834</v>
      </c>
      <c r="CG51" s="619">
        <f t="shared" si="15"/>
        <v>33302.092800000006</v>
      </c>
      <c r="CH51" s="132">
        <f t="shared" si="52"/>
        <v>3233.2128932038841</v>
      </c>
      <c r="CI51" s="625"/>
      <c r="CJ51" s="208">
        <f t="shared" si="16"/>
        <v>3725.8905657600008</v>
      </c>
      <c r="CK51" s="208">
        <f t="shared" si="17"/>
        <v>2869.5895730400002</v>
      </c>
      <c r="CL51" s="208">
        <f>CJ51+CK51</f>
        <v>6595.4801388000014</v>
      </c>
      <c r="CM51" s="112">
        <f t="shared" si="18"/>
        <v>6595480.1388000008</v>
      </c>
      <c r="CN51" s="112">
        <f t="shared" si="19"/>
        <v>6490692.4365680004</v>
      </c>
      <c r="CO51" s="112">
        <f t="shared" si="20"/>
        <v>6490692.4365680004</v>
      </c>
      <c r="CP51" s="112">
        <f t="shared" si="21"/>
        <v>3723226.9399600001</v>
      </c>
      <c r="CQ51" s="112">
        <f t="shared" si="22"/>
        <v>6726053.4298400013</v>
      </c>
      <c r="CR51" s="112">
        <f t="shared" si="23"/>
        <v>6726053.4298400013</v>
      </c>
      <c r="CS51" s="112">
        <f t="shared" si="24"/>
        <v>2867817.9570400002</v>
      </c>
      <c r="CT51" s="112">
        <f t="shared" si="54"/>
        <v>13216745.866408002</v>
      </c>
      <c r="CU51" s="124">
        <f t="shared" si="55"/>
        <v>6478879.5672925245</v>
      </c>
      <c r="CV51" s="112">
        <f t="shared" si="25"/>
        <v>28145.471000000005</v>
      </c>
      <c r="CW51" s="112">
        <f t="shared" si="26"/>
        <v>29834.156000000003</v>
      </c>
      <c r="CX51" s="112">
        <f t="shared" si="56"/>
        <v>57979.627000000008</v>
      </c>
      <c r="CY51" s="112">
        <f t="shared" si="27"/>
        <v>6495342.4951680005</v>
      </c>
      <c r="CZ51" s="112">
        <f t="shared" si="28"/>
        <v>6730200.6218400011</v>
      </c>
      <c r="DA51" s="625"/>
      <c r="DB51" s="128">
        <f t="shared" si="57"/>
        <v>120.73469298133259</v>
      </c>
      <c r="DC51" s="625"/>
      <c r="DD51" s="625"/>
      <c r="DE51" s="625"/>
      <c r="DF51" s="625"/>
      <c r="DG51" s="618">
        <f t="shared" si="29"/>
        <v>0</v>
      </c>
      <c r="DH51" s="618">
        <f t="shared" si="30"/>
        <v>0</v>
      </c>
      <c r="DI51" s="618">
        <f t="shared" si="31"/>
        <v>0</v>
      </c>
      <c r="DJ51" s="123"/>
    </row>
    <row r="52" spans="1:114" s="13" customFormat="1" ht="76.5" hidden="1" customHeight="1">
      <c r="A52" s="695">
        <f t="shared" si="58"/>
        <v>39</v>
      </c>
      <c r="B52" s="1503"/>
      <c r="C52" s="1504"/>
      <c r="D52" s="696" t="s">
        <v>96</v>
      </c>
      <c r="E52" s="696">
        <v>4611013586</v>
      </c>
      <c r="F52" s="696" t="s">
        <v>8</v>
      </c>
      <c r="G52" s="805" t="s">
        <v>887</v>
      </c>
      <c r="H52" s="697">
        <v>3836.71</v>
      </c>
      <c r="I52" s="697">
        <v>0</v>
      </c>
      <c r="J52" s="697">
        <v>2772.86</v>
      </c>
      <c r="K52" s="697">
        <v>2772.86</v>
      </c>
      <c r="L52" s="697">
        <v>0</v>
      </c>
      <c r="M52" s="698">
        <v>0</v>
      </c>
      <c r="N52" s="698">
        <v>4041.47</v>
      </c>
      <c r="O52" s="698">
        <v>0</v>
      </c>
      <c r="P52" s="698">
        <v>2953.1</v>
      </c>
      <c r="Q52" s="698">
        <v>2953.1</v>
      </c>
      <c r="R52" s="698">
        <v>0</v>
      </c>
      <c r="S52" s="698">
        <v>0</v>
      </c>
      <c r="T52" s="18">
        <v>0</v>
      </c>
      <c r="U52" s="29">
        <v>186.66</v>
      </c>
      <c r="V52" s="29">
        <v>39.19</v>
      </c>
      <c r="W52" s="18">
        <v>0</v>
      </c>
      <c r="X52" s="18">
        <v>0</v>
      </c>
      <c r="Y52" s="18">
        <v>0</v>
      </c>
      <c r="Z52" s="99">
        <f>SUM(T52:W52)</f>
        <v>225.85</v>
      </c>
      <c r="AA52" s="18">
        <v>0</v>
      </c>
      <c r="AB52" s="29">
        <v>109.63</v>
      </c>
      <c r="AC52" s="29">
        <v>32.130000000000003</v>
      </c>
      <c r="AD52" s="18">
        <v>0</v>
      </c>
      <c r="AE52" s="18">
        <v>0</v>
      </c>
      <c r="AF52" s="18">
        <v>0</v>
      </c>
      <c r="AG52" s="99">
        <f>SUM(AA52:AD52)</f>
        <v>141.76</v>
      </c>
      <c r="AH52" s="99">
        <f>Z52+AG52</f>
        <v>367.61</v>
      </c>
      <c r="AI52" s="18">
        <f t="shared" si="64"/>
        <v>0</v>
      </c>
      <c r="AJ52" s="29">
        <f>U52+AB52</f>
        <v>296.28999999999996</v>
      </c>
      <c r="AK52" s="29">
        <f>V52+AC52</f>
        <v>71.319999999999993</v>
      </c>
      <c r="AL52" s="18">
        <f t="shared" si="64"/>
        <v>0</v>
      </c>
      <c r="AM52" s="18">
        <f t="shared" si="64"/>
        <v>0</v>
      </c>
      <c r="AN52" s="18"/>
      <c r="AO52" s="18">
        <f>SUM(AI52:AN52)</f>
        <v>367.60999999999996</v>
      </c>
      <c r="AP52" s="18">
        <f>SUM(AI52:AM52)</f>
        <v>367.60999999999996</v>
      </c>
      <c r="AQ52" s="18">
        <f>SUM(AI52:AL52)</f>
        <v>367.60999999999996</v>
      </c>
      <c r="AR52" s="99">
        <f t="shared" si="39"/>
        <v>0</v>
      </c>
      <c r="AS52" s="18">
        <f t="shared" si="70"/>
        <v>0</v>
      </c>
      <c r="AT52" s="18">
        <f t="shared" si="70"/>
        <v>821570.68939999992</v>
      </c>
      <c r="AU52" s="18">
        <f t="shared" si="70"/>
        <v>197760.37519999998</v>
      </c>
      <c r="AV52" s="18">
        <f t="shared" si="70"/>
        <v>0</v>
      </c>
      <c r="AW52" s="18">
        <f t="shared" si="70"/>
        <v>0</v>
      </c>
      <c r="AX52" s="18">
        <f t="shared" si="40"/>
        <v>1019331.0645999999</v>
      </c>
      <c r="AY52" s="18">
        <f t="shared" si="41"/>
        <v>1019331.0645999999</v>
      </c>
      <c r="AZ52" s="18">
        <f t="shared" si="71"/>
        <v>0</v>
      </c>
      <c r="BA52" s="18">
        <f t="shared" si="71"/>
        <v>874973.99899999984</v>
      </c>
      <c r="BB52" s="18">
        <f t="shared" si="71"/>
        <v>210615.09199999998</v>
      </c>
      <c r="BC52" s="18">
        <f t="shared" si="71"/>
        <v>0</v>
      </c>
      <c r="BD52" s="18">
        <f t="shared" si="71"/>
        <v>0</v>
      </c>
      <c r="BE52" s="18">
        <f t="shared" si="42"/>
        <v>1085589.0909999998</v>
      </c>
      <c r="BF52" s="18">
        <f t="shared" si="43"/>
        <v>1085589.0909999998</v>
      </c>
      <c r="BG52" s="18">
        <v>240.27099999999999</v>
      </c>
      <c r="BH52" s="18">
        <v>154.28800000000001</v>
      </c>
      <c r="BI52" s="18">
        <f t="shared" si="5"/>
        <v>394.55899999999997</v>
      </c>
      <c r="BJ52" s="29">
        <v>661.60057768295769</v>
      </c>
      <c r="BK52" s="18">
        <v>1691.15</v>
      </c>
      <c r="BL52" s="18">
        <f t="shared" si="72"/>
        <v>0</v>
      </c>
      <c r="BM52" s="18">
        <f>J52*U52</f>
        <v>517582.04759999999</v>
      </c>
      <c r="BN52" s="18">
        <f>K52*V52</f>
        <v>108668.38339999999</v>
      </c>
      <c r="BO52" s="18">
        <f t="shared" si="72"/>
        <v>0</v>
      </c>
      <c r="BP52" s="18">
        <f t="shared" si="72"/>
        <v>0</v>
      </c>
      <c r="BQ52" s="18">
        <f>BL52+BM52+BN52+BO52+BP52</f>
        <v>626250.43099999998</v>
      </c>
      <c r="BR52" s="18">
        <f>BQ52-BP52</f>
        <v>626250.43099999998</v>
      </c>
      <c r="BS52" s="18">
        <f t="shared" si="73"/>
        <v>0</v>
      </c>
      <c r="BT52" s="18">
        <f>P52*AB52</f>
        <v>323748.353</v>
      </c>
      <c r="BU52" s="18">
        <f>Q52*AC52</f>
        <v>94883.103000000003</v>
      </c>
      <c r="BV52" s="18">
        <f t="shared" si="12"/>
        <v>0</v>
      </c>
      <c r="BW52" s="18">
        <f t="shared" si="13"/>
        <v>0</v>
      </c>
      <c r="BX52" s="18">
        <f>BS52+BT52+BU52+BV52+BW52</f>
        <v>418631.45600000001</v>
      </c>
      <c r="BY52" s="18">
        <f>BX52-BW52</f>
        <v>418631.45600000001</v>
      </c>
      <c r="BZ52" s="161">
        <f t="shared" si="48"/>
        <v>841330.40060000005</v>
      </c>
      <c r="CA52" s="161">
        <f t="shared" si="48"/>
        <v>203551.48639999999</v>
      </c>
      <c r="CB52" s="161">
        <f t="shared" si="49"/>
        <v>1044881.8870000001</v>
      </c>
      <c r="CC52" s="162">
        <f t="shared" si="50"/>
        <v>2839.5504424719029</v>
      </c>
      <c r="CD52" s="162">
        <f t="shared" si="50"/>
        <v>2854.0589792484579</v>
      </c>
      <c r="CE52" s="162">
        <f t="shared" si="51"/>
        <v>2842.3652430565007</v>
      </c>
      <c r="CF52" s="162">
        <f t="shared" si="14"/>
        <v>2842.3652430565003</v>
      </c>
      <c r="CG52" s="651">
        <f t="shared" si="15"/>
        <v>0</v>
      </c>
      <c r="CH52" s="652">
        <f t="shared" si="52"/>
        <v>0</v>
      </c>
      <c r="CJ52" s="18">
        <f t="shared" si="16"/>
        <v>866.52095349999991</v>
      </c>
      <c r="CK52" s="18">
        <f t="shared" si="17"/>
        <v>572.91878719999988</v>
      </c>
      <c r="CL52" s="18">
        <f t="shared" si="53"/>
        <v>1439.4397406999997</v>
      </c>
      <c r="CM52" s="18">
        <f t="shared" si="18"/>
        <v>1439439.7407</v>
      </c>
      <c r="CN52" s="18">
        <f t="shared" si="19"/>
        <v>1019331.0645999999</v>
      </c>
      <c r="CO52" s="18">
        <f t="shared" si="20"/>
        <v>1019331.0645999999</v>
      </c>
      <c r="CP52" s="18">
        <f t="shared" si="21"/>
        <v>626250.43099999998</v>
      </c>
      <c r="CQ52" s="18">
        <f t="shared" si="22"/>
        <v>1085589.0909999998</v>
      </c>
      <c r="CR52" s="18">
        <f t="shared" si="23"/>
        <v>1085589.0909999998</v>
      </c>
      <c r="CS52" s="18">
        <f t="shared" si="24"/>
        <v>418631.45600000001</v>
      </c>
      <c r="CT52" s="18">
        <f t="shared" si="54"/>
        <v>2104920.1555999997</v>
      </c>
      <c r="CU52" s="29">
        <f t="shared" si="55"/>
        <v>5725959.9999999991</v>
      </c>
      <c r="CV52" s="18">
        <f t="shared" si="25"/>
        <v>1019331.0645999999</v>
      </c>
      <c r="CW52" s="18">
        <f t="shared" si="26"/>
        <v>1085589.0909999998</v>
      </c>
      <c r="CX52" s="18">
        <f t="shared" si="56"/>
        <v>2104920.1555999997</v>
      </c>
      <c r="CY52" s="18">
        <f t="shared" si="27"/>
        <v>1410412.9630999998</v>
      </c>
      <c r="CZ52" s="18">
        <f t="shared" si="28"/>
        <v>1485684.7866999998</v>
      </c>
      <c r="DB52" s="653">
        <f t="shared" si="57"/>
        <v>145.75095749514938</v>
      </c>
      <c r="DG52" s="701">
        <f t="shared" si="29"/>
        <v>0</v>
      </c>
      <c r="DH52" s="701">
        <f t="shared" si="30"/>
        <v>0</v>
      </c>
      <c r="DI52" s="701">
        <f t="shared" si="31"/>
        <v>0</v>
      </c>
    </row>
    <row r="53" spans="1:114" s="32" customFormat="1" ht="63.75" customHeight="1">
      <c r="A53" s="20">
        <f t="shared" si="58"/>
        <v>40</v>
      </c>
      <c r="B53" s="1503"/>
      <c r="C53" s="803" t="s">
        <v>94</v>
      </c>
      <c r="D53" s="748" t="s">
        <v>141</v>
      </c>
      <c r="E53" s="617">
        <v>4632024035</v>
      </c>
      <c r="F53" s="803" t="s">
        <v>8</v>
      </c>
      <c r="G53" s="751" t="s">
        <v>890</v>
      </c>
      <c r="H53" s="816">
        <f>2653.36*1.2</f>
        <v>3184.0320000000002</v>
      </c>
      <c r="I53" s="816">
        <f>2653.36*1.2</f>
        <v>3184.0320000000002</v>
      </c>
      <c r="J53" s="38"/>
      <c r="K53" s="38"/>
      <c r="L53" s="816">
        <f>2653.36*1.2</f>
        <v>3184.0320000000002</v>
      </c>
      <c r="M53" s="10"/>
      <c r="N53" s="622">
        <f>2749.3*1.2</f>
        <v>3299.1600000000003</v>
      </c>
      <c r="O53" s="622">
        <f>2749.3*1.2</f>
        <v>3299.1600000000003</v>
      </c>
      <c r="P53" s="10"/>
      <c r="Q53" s="10"/>
      <c r="R53" s="622">
        <f>2749.3*1.2</f>
        <v>3299.1600000000003</v>
      </c>
      <c r="S53" s="10"/>
      <c r="T53" s="178"/>
      <c r="U53" s="16"/>
      <c r="V53" s="227"/>
      <c r="W53" s="16"/>
      <c r="X53" s="16"/>
      <c r="Y53" s="16"/>
      <c r="Z53" s="35">
        <f t="shared" si="34"/>
        <v>0</v>
      </c>
      <c r="AA53" s="178"/>
      <c r="AB53" s="16"/>
      <c r="AC53" s="227"/>
      <c r="AD53" s="16"/>
      <c r="AE53" s="16"/>
      <c r="AF53" s="16"/>
      <c r="AG53" s="35">
        <f t="shared" si="35"/>
        <v>0</v>
      </c>
      <c r="AH53" s="35">
        <f t="shared" si="36"/>
        <v>0</v>
      </c>
      <c r="AI53" s="15">
        <f t="shared" si="64"/>
        <v>0</v>
      </c>
      <c r="AJ53" s="15">
        <f t="shared" si="64"/>
        <v>0</v>
      </c>
      <c r="AK53" s="15">
        <f t="shared" si="64"/>
        <v>0</v>
      </c>
      <c r="AL53" s="15">
        <f t="shared" si="64"/>
        <v>0</v>
      </c>
      <c r="AM53" s="15">
        <f t="shared" si="64"/>
        <v>0</v>
      </c>
      <c r="AN53" s="15"/>
      <c r="AO53" s="15">
        <f t="shared" si="7"/>
        <v>0</v>
      </c>
      <c r="AP53" s="15">
        <f t="shared" si="37"/>
        <v>0</v>
      </c>
      <c r="AQ53" s="15">
        <f t="shared" si="38"/>
        <v>0</v>
      </c>
      <c r="AR53" s="127">
        <f t="shared" si="39"/>
        <v>0</v>
      </c>
      <c r="AS53" s="112">
        <f t="shared" si="70"/>
        <v>0</v>
      </c>
      <c r="AT53" s="112">
        <f t="shared" si="70"/>
        <v>0</v>
      </c>
      <c r="AU53" s="112">
        <f t="shared" si="70"/>
        <v>0</v>
      </c>
      <c r="AV53" s="112">
        <f t="shared" si="70"/>
        <v>0</v>
      </c>
      <c r="AW53" s="112">
        <f t="shared" si="70"/>
        <v>0</v>
      </c>
      <c r="AX53" s="112">
        <f t="shared" si="40"/>
        <v>0</v>
      </c>
      <c r="AY53" s="112">
        <f t="shared" si="41"/>
        <v>0</v>
      </c>
      <c r="AZ53" s="112">
        <f t="shared" si="71"/>
        <v>0</v>
      </c>
      <c r="BA53" s="112">
        <f t="shared" si="71"/>
        <v>0</v>
      </c>
      <c r="BB53" s="112">
        <f t="shared" si="71"/>
        <v>0</v>
      </c>
      <c r="BC53" s="112">
        <f t="shared" si="71"/>
        <v>0</v>
      </c>
      <c r="BD53" s="112">
        <f t="shared" si="71"/>
        <v>0</v>
      </c>
      <c r="BE53" s="112">
        <f t="shared" si="42"/>
        <v>0</v>
      </c>
      <c r="BF53" s="112">
        <f t="shared" si="43"/>
        <v>0</v>
      </c>
      <c r="BG53" s="126"/>
      <c r="BH53" s="126"/>
      <c r="BI53" s="112">
        <f t="shared" si="5"/>
        <v>0</v>
      </c>
      <c r="BJ53" s="112"/>
      <c r="BK53" s="112"/>
      <c r="BL53" s="112">
        <f t="shared" si="72"/>
        <v>0</v>
      </c>
      <c r="BM53" s="112">
        <f t="shared" si="72"/>
        <v>0</v>
      </c>
      <c r="BN53" s="112">
        <f t="shared" si="72"/>
        <v>0</v>
      </c>
      <c r="BO53" s="112">
        <f t="shared" si="72"/>
        <v>0</v>
      </c>
      <c r="BP53" s="112">
        <f t="shared" si="72"/>
        <v>0</v>
      </c>
      <c r="BQ53" s="112">
        <f t="shared" si="44"/>
        <v>0</v>
      </c>
      <c r="BR53" s="112">
        <f t="shared" si="45"/>
        <v>0</v>
      </c>
      <c r="BS53" s="112">
        <f t="shared" si="73"/>
        <v>0</v>
      </c>
      <c r="BT53" s="112">
        <f t="shared" si="73"/>
        <v>0</v>
      </c>
      <c r="BU53" s="112">
        <f t="shared" si="73"/>
        <v>0</v>
      </c>
      <c r="BV53" s="112">
        <f t="shared" si="12"/>
        <v>0</v>
      </c>
      <c r="BW53" s="112">
        <f t="shared" si="13"/>
        <v>0</v>
      </c>
      <c r="BX53" s="112">
        <f t="shared" si="46"/>
        <v>0</v>
      </c>
      <c r="BY53" s="112">
        <f t="shared" si="47"/>
        <v>0</v>
      </c>
      <c r="BZ53" s="113">
        <f t="shared" si="48"/>
        <v>0</v>
      </c>
      <c r="CA53" s="113">
        <f t="shared" si="48"/>
        <v>0</v>
      </c>
      <c r="CB53" s="113">
        <f t="shared" si="49"/>
        <v>0</v>
      </c>
      <c r="CC53" s="119" t="e">
        <f t="shared" si="50"/>
        <v>#DIV/0!</v>
      </c>
      <c r="CD53" s="119" t="e">
        <f t="shared" si="50"/>
        <v>#DIV/0!</v>
      </c>
      <c r="CE53" s="119" t="e">
        <f t="shared" si="51"/>
        <v>#DIV/0!</v>
      </c>
      <c r="CF53" s="113" t="e">
        <f t="shared" si="14"/>
        <v>#DIV/0!</v>
      </c>
      <c r="CG53" s="619">
        <f t="shared" si="15"/>
        <v>0</v>
      </c>
      <c r="CH53" s="132" t="e">
        <f t="shared" si="52"/>
        <v>#DIV/0!</v>
      </c>
      <c r="CI53" s="625"/>
      <c r="CJ53" s="208">
        <f t="shared" si="16"/>
        <v>0</v>
      </c>
      <c r="CK53" s="208">
        <f t="shared" si="17"/>
        <v>0</v>
      </c>
      <c r="CL53" s="208">
        <f>CJ53+CK53</f>
        <v>0</v>
      </c>
      <c r="CM53" s="112">
        <f t="shared" si="18"/>
        <v>0</v>
      </c>
      <c r="CN53" s="112">
        <f t="shared" si="19"/>
        <v>0</v>
      </c>
      <c r="CO53" s="112">
        <f t="shared" si="20"/>
        <v>0</v>
      </c>
      <c r="CP53" s="112">
        <f t="shared" si="21"/>
        <v>0</v>
      </c>
      <c r="CQ53" s="112">
        <f t="shared" si="22"/>
        <v>0</v>
      </c>
      <c r="CR53" s="112">
        <f t="shared" si="23"/>
        <v>0</v>
      </c>
      <c r="CS53" s="112">
        <f t="shared" si="24"/>
        <v>0</v>
      </c>
      <c r="CT53" s="112">
        <f t="shared" si="54"/>
        <v>0</v>
      </c>
      <c r="CU53" s="124" t="e">
        <f t="shared" si="55"/>
        <v>#DIV/0!</v>
      </c>
      <c r="CV53" s="112">
        <f t="shared" si="25"/>
        <v>0</v>
      </c>
      <c r="CW53" s="112">
        <f t="shared" si="26"/>
        <v>0</v>
      </c>
      <c r="CX53" s="112">
        <f t="shared" si="56"/>
        <v>0</v>
      </c>
      <c r="CY53" s="112">
        <f t="shared" si="27"/>
        <v>0</v>
      </c>
      <c r="CZ53" s="112">
        <f t="shared" si="28"/>
        <v>0</v>
      </c>
      <c r="DA53" s="625"/>
      <c r="DB53" s="128" t="e">
        <f t="shared" si="57"/>
        <v>#DIV/0!</v>
      </c>
      <c r="DC53" s="625"/>
      <c r="DD53" s="625"/>
      <c r="DE53" s="625"/>
      <c r="DF53" s="625"/>
      <c r="DG53" s="618">
        <f t="shared" si="29"/>
        <v>0</v>
      </c>
      <c r="DH53" s="618">
        <f t="shared" si="30"/>
        <v>0</v>
      </c>
      <c r="DI53" s="618">
        <f t="shared" si="31"/>
        <v>0</v>
      </c>
      <c r="DJ53" s="123"/>
    </row>
    <row r="54" spans="1:114" s="13" customFormat="1" ht="60.75" hidden="1" customHeight="1">
      <c r="A54" s="695">
        <f t="shared" si="58"/>
        <v>41</v>
      </c>
      <c r="B54" s="1503"/>
      <c r="C54" s="696" t="s">
        <v>138</v>
      </c>
      <c r="D54" s="696" t="s">
        <v>95</v>
      </c>
      <c r="E54" s="696">
        <v>4611013586</v>
      </c>
      <c r="F54" s="696" t="s">
        <v>8</v>
      </c>
      <c r="G54" s="805" t="s">
        <v>887</v>
      </c>
      <c r="H54" s="697">
        <v>3836.71</v>
      </c>
      <c r="I54" s="697">
        <v>0</v>
      </c>
      <c r="J54" s="697">
        <v>2861.08</v>
      </c>
      <c r="K54" s="697">
        <v>0</v>
      </c>
      <c r="L54" s="697">
        <v>0</v>
      </c>
      <c r="M54" s="698">
        <v>0</v>
      </c>
      <c r="N54" s="700">
        <v>4041.47</v>
      </c>
      <c r="O54" s="698">
        <v>0</v>
      </c>
      <c r="P54" s="698">
        <v>2953.1</v>
      </c>
      <c r="Q54" s="698">
        <v>0</v>
      </c>
      <c r="R54" s="698">
        <v>0</v>
      </c>
      <c r="S54" s="698">
        <v>0</v>
      </c>
      <c r="T54" s="18">
        <v>0</v>
      </c>
      <c r="U54" s="18">
        <v>67.02</v>
      </c>
      <c r="V54" s="18">
        <v>0</v>
      </c>
      <c r="W54" s="18">
        <v>0</v>
      </c>
      <c r="X54" s="18">
        <v>0</v>
      </c>
      <c r="Y54" s="18">
        <v>0</v>
      </c>
      <c r="Z54" s="99">
        <f t="shared" si="34"/>
        <v>67.02</v>
      </c>
      <c r="AA54" s="18">
        <v>0</v>
      </c>
      <c r="AB54" s="18">
        <v>50.27</v>
      </c>
      <c r="AC54" s="18">
        <v>0</v>
      </c>
      <c r="AD54" s="18">
        <v>0</v>
      </c>
      <c r="AE54" s="18">
        <v>0</v>
      </c>
      <c r="AF54" s="18">
        <v>0</v>
      </c>
      <c r="AG54" s="99">
        <f t="shared" si="35"/>
        <v>50.27</v>
      </c>
      <c r="AH54" s="99">
        <f>Z54+AG54</f>
        <v>117.28999999999999</v>
      </c>
      <c r="AI54" s="18">
        <f t="shared" si="64"/>
        <v>0</v>
      </c>
      <c r="AJ54" s="702">
        <f>U54+AB54</f>
        <v>117.28999999999999</v>
      </c>
      <c r="AK54" s="18">
        <f t="shared" si="64"/>
        <v>0</v>
      </c>
      <c r="AL54" s="18">
        <f t="shared" si="64"/>
        <v>0</v>
      </c>
      <c r="AM54" s="18">
        <f t="shared" si="64"/>
        <v>0</v>
      </c>
      <c r="AN54" s="18"/>
      <c r="AO54" s="702">
        <f>SUM(AI54:AN54)</f>
        <v>117.28999999999999</v>
      </c>
      <c r="AP54" s="702">
        <f>SUM(AI54:AM54)</f>
        <v>117.28999999999999</v>
      </c>
      <c r="AQ54" s="29">
        <f>SUM(AI54:AL54)</f>
        <v>117.28999999999999</v>
      </c>
      <c r="AR54" s="99">
        <f t="shared" si="39"/>
        <v>0</v>
      </c>
      <c r="AS54" s="18">
        <f t="shared" si="70"/>
        <v>0</v>
      </c>
      <c r="AT54" s="18">
        <f t="shared" si="70"/>
        <v>335576.07319999998</v>
      </c>
      <c r="AU54" s="18">
        <f t="shared" si="70"/>
        <v>0</v>
      </c>
      <c r="AV54" s="18">
        <f t="shared" si="70"/>
        <v>0</v>
      </c>
      <c r="AW54" s="18">
        <f t="shared" si="70"/>
        <v>0</v>
      </c>
      <c r="AX54" s="18">
        <f t="shared" si="40"/>
        <v>335576.07319999998</v>
      </c>
      <c r="AY54" s="18">
        <f t="shared" si="41"/>
        <v>335576.07319999998</v>
      </c>
      <c r="AZ54" s="18">
        <f t="shared" si="71"/>
        <v>0</v>
      </c>
      <c r="BA54" s="18">
        <f t="shared" si="71"/>
        <v>346369.09899999999</v>
      </c>
      <c r="BB54" s="18">
        <f t="shared" si="71"/>
        <v>0</v>
      </c>
      <c r="BC54" s="18">
        <f t="shared" si="71"/>
        <v>0</v>
      </c>
      <c r="BD54" s="18">
        <f t="shared" si="71"/>
        <v>0</v>
      </c>
      <c r="BE54" s="18">
        <f t="shared" si="42"/>
        <v>346369.09899999999</v>
      </c>
      <c r="BF54" s="18">
        <f t="shared" si="43"/>
        <v>346369.09899999999</v>
      </c>
      <c r="BG54" s="18">
        <v>65.387</v>
      </c>
      <c r="BH54" s="18">
        <v>54.712000000000003</v>
      </c>
      <c r="BI54" s="18">
        <f>BG54+BH54</f>
        <v>120.099</v>
      </c>
      <c r="BJ54" s="29">
        <v>678.89924671218</v>
      </c>
      <c r="BK54" s="29">
        <v>784.2</v>
      </c>
      <c r="BL54" s="18">
        <f t="shared" si="72"/>
        <v>0</v>
      </c>
      <c r="BM54" s="18">
        <f>J54*U54</f>
        <v>191749.58159999998</v>
      </c>
      <c r="BN54" s="18">
        <f t="shared" si="72"/>
        <v>0</v>
      </c>
      <c r="BO54" s="18">
        <f t="shared" si="72"/>
        <v>0</v>
      </c>
      <c r="BP54" s="18">
        <f t="shared" si="72"/>
        <v>0</v>
      </c>
      <c r="BQ54" s="18">
        <f>BL54+BM54+BN54+BO54+BP54</f>
        <v>191749.58159999998</v>
      </c>
      <c r="BR54" s="18">
        <f>BQ54-BP54</f>
        <v>191749.58159999998</v>
      </c>
      <c r="BS54" s="18">
        <f t="shared" si="73"/>
        <v>0</v>
      </c>
      <c r="BT54" s="18">
        <f>P54*AB54</f>
        <v>148452.337</v>
      </c>
      <c r="BU54" s="18">
        <f t="shared" si="73"/>
        <v>0</v>
      </c>
      <c r="BV54" s="18">
        <f t="shared" si="12"/>
        <v>0</v>
      </c>
      <c r="BW54" s="18">
        <f t="shared" si="13"/>
        <v>0</v>
      </c>
      <c r="BX54" s="18">
        <f>BS54+BT54+BU54+BV54+BW54</f>
        <v>148452.337</v>
      </c>
      <c r="BY54" s="18">
        <f>BX54-BW54</f>
        <v>148452.337</v>
      </c>
      <c r="BZ54" s="161">
        <f t="shared" si="48"/>
        <v>340201.91859999998</v>
      </c>
      <c r="CA54" s="161">
        <f t="shared" si="48"/>
        <v>0</v>
      </c>
      <c r="CB54" s="161">
        <f t="shared" si="49"/>
        <v>340201.91859999998</v>
      </c>
      <c r="CC54" s="162">
        <f t="shared" si="50"/>
        <v>2900.5193844317505</v>
      </c>
      <c r="CD54" s="162" t="e">
        <f t="shared" si="50"/>
        <v>#DIV/0!</v>
      </c>
      <c r="CE54" s="162">
        <f t="shared" si="51"/>
        <v>2900.5193844317505</v>
      </c>
      <c r="CF54" s="162">
        <f t="shared" si="14"/>
        <v>2900.5193844317505</v>
      </c>
      <c r="CG54" s="651">
        <f t="shared" si="15"/>
        <v>0</v>
      </c>
      <c r="CH54" s="652">
        <f t="shared" si="52"/>
        <v>0</v>
      </c>
      <c r="CJ54" s="18">
        <f t="shared" si="16"/>
        <v>257.13630419999998</v>
      </c>
      <c r="CK54" s="18">
        <f t="shared" si="17"/>
        <v>203.16469690000002</v>
      </c>
      <c r="CL54" s="18">
        <f t="shared" si="53"/>
        <v>460.30100110000001</v>
      </c>
      <c r="CM54" s="18">
        <f t="shared" si="18"/>
        <v>460301.00109999999</v>
      </c>
      <c r="CN54" s="18">
        <f t="shared" si="19"/>
        <v>335576.07319999998</v>
      </c>
      <c r="CO54" s="18">
        <f t="shared" si="20"/>
        <v>335576.07319999998</v>
      </c>
      <c r="CP54" s="18">
        <f t="shared" si="21"/>
        <v>191749.58159999998</v>
      </c>
      <c r="CQ54" s="18">
        <f t="shared" si="22"/>
        <v>346369.09899999999</v>
      </c>
      <c r="CR54" s="18">
        <f t="shared" si="23"/>
        <v>346369.09899999999</v>
      </c>
      <c r="CS54" s="18">
        <f t="shared" si="24"/>
        <v>148452.337</v>
      </c>
      <c r="CT54" s="18">
        <f t="shared" si="54"/>
        <v>681945.17219999991</v>
      </c>
      <c r="CU54" s="29">
        <f t="shared" si="55"/>
        <v>5814179.9999999991</v>
      </c>
      <c r="CV54" s="18">
        <f t="shared" si="25"/>
        <v>335576.07319999998</v>
      </c>
      <c r="CW54" s="18">
        <f t="shared" si="26"/>
        <v>346369.09899999999</v>
      </c>
      <c r="CX54" s="18">
        <f t="shared" si="56"/>
        <v>681945.17219999991</v>
      </c>
      <c r="CY54" s="18">
        <f t="shared" si="27"/>
        <v>450007.71589999995</v>
      </c>
      <c r="CZ54" s="18">
        <f t="shared" si="28"/>
        <v>474024.01629999996</v>
      </c>
      <c r="DB54" s="653">
        <f t="shared" si="57"/>
        <v>141.25679813217386</v>
      </c>
      <c r="DG54" s="701">
        <f t="shared" si="29"/>
        <v>0</v>
      </c>
      <c r="DH54" s="701">
        <f t="shared" si="30"/>
        <v>0</v>
      </c>
      <c r="DI54" s="701">
        <f t="shared" si="31"/>
        <v>0</v>
      </c>
    </row>
    <row r="55" spans="1:114" s="32" customFormat="1" ht="63.75" customHeight="1">
      <c r="A55" s="20">
        <f t="shared" si="58"/>
        <v>42</v>
      </c>
      <c r="B55" s="1503"/>
      <c r="C55" s="803" t="s">
        <v>97</v>
      </c>
      <c r="D55" s="748" t="s">
        <v>141</v>
      </c>
      <c r="E55" s="617">
        <v>4632024035</v>
      </c>
      <c r="F55" s="803" t="s">
        <v>8</v>
      </c>
      <c r="G55" s="751" t="s">
        <v>890</v>
      </c>
      <c r="H55" s="816">
        <f>2653.36*1.2</f>
        <v>3184.0320000000002</v>
      </c>
      <c r="I55" s="816">
        <f>2653.36*1.2</f>
        <v>3184.0320000000002</v>
      </c>
      <c r="J55" s="38"/>
      <c r="K55" s="38"/>
      <c r="L55" s="816">
        <f>2653.36*1.2</f>
        <v>3184.0320000000002</v>
      </c>
      <c r="M55" s="10"/>
      <c r="N55" s="622">
        <f>2749.3*1.2</f>
        <v>3299.1600000000003</v>
      </c>
      <c r="O55" s="622">
        <f>2749.3*1.2</f>
        <v>3299.1600000000003</v>
      </c>
      <c r="P55" s="10"/>
      <c r="Q55" s="10"/>
      <c r="R55" s="622">
        <f>2749.3*1.2</f>
        <v>3299.1600000000003</v>
      </c>
      <c r="S55" s="10"/>
      <c r="T55" s="178">
        <v>759.99099999999999</v>
      </c>
      <c r="U55" s="16"/>
      <c r="V55" s="227"/>
      <c r="W55" s="16"/>
      <c r="X55" s="16"/>
      <c r="Y55" s="16"/>
      <c r="Z55" s="35">
        <f t="shared" si="34"/>
        <v>759.99099999999999</v>
      </c>
      <c r="AA55" s="178">
        <v>458.29999999999995</v>
      </c>
      <c r="AB55" s="16"/>
      <c r="AC55" s="227"/>
      <c r="AD55" s="16"/>
      <c r="AE55" s="16"/>
      <c r="AF55" s="16"/>
      <c r="AG55" s="35">
        <f t="shared" si="35"/>
        <v>458.29999999999995</v>
      </c>
      <c r="AH55" s="35">
        <f t="shared" si="36"/>
        <v>1218.2909999999999</v>
      </c>
      <c r="AI55" s="15">
        <f t="shared" si="64"/>
        <v>1218.2909999999999</v>
      </c>
      <c r="AJ55" s="15">
        <f t="shared" si="64"/>
        <v>0</v>
      </c>
      <c r="AK55" s="15">
        <f t="shared" si="64"/>
        <v>0</v>
      </c>
      <c r="AL55" s="15">
        <f t="shared" si="64"/>
        <v>0</v>
      </c>
      <c r="AM55" s="15">
        <f t="shared" si="64"/>
        <v>0</v>
      </c>
      <c r="AN55" s="15"/>
      <c r="AO55" s="15">
        <f t="shared" si="7"/>
        <v>1218.2909999999999</v>
      </c>
      <c r="AP55" s="15">
        <f t="shared" si="37"/>
        <v>1218.2909999999999</v>
      </c>
      <c r="AQ55" s="15">
        <f t="shared" si="38"/>
        <v>1218.2909999999999</v>
      </c>
      <c r="AR55" s="127">
        <f t="shared" si="39"/>
        <v>0</v>
      </c>
      <c r="AS55" s="112">
        <f t="shared" si="70"/>
        <v>3879077.5293120001</v>
      </c>
      <c r="AT55" s="112">
        <f t="shared" si="70"/>
        <v>0</v>
      </c>
      <c r="AU55" s="112">
        <f t="shared" si="70"/>
        <v>0</v>
      </c>
      <c r="AV55" s="112">
        <f t="shared" si="70"/>
        <v>0</v>
      </c>
      <c r="AW55" s="112">
        <f t="shared" si="70"/>
        <v>0</v>
      </c>
      <c r="AX55" s="112">
        <f t="shared" si="40"/>
        <v>3879077.5293120001</v>
      </c>
      <c r="AY55" s="112">
        <f t="shared" si="41"/>
        <v>3879077.5293120001</v>
      </c>
      <c r="AZ55" s="112">
        <f t="shared" si="71"/>
        <v>4019336.9355600001</v>
      </c>
      <c r="BA55" s="112">
        <f t="shared" si="71"/>
        <v>0</v>
      </c>
      <c r="BB55" s="112">
        <f t="shared" si="71"/>
        <v>0</v>
      </c>
      <c r="BC55" s="112">
        <f t="shared" si="71"/>
        <v>0</v>
      </c>
      <c r="BD55" s="112">
        <f t="shared" si="71"/>
        <v>0</v>
      </c>
      <c r="BE55" s="112">
        <f t="shared" si="42"/>
        <v>4019336.9355600001</v>
      </c>
      <c r="BF55" s="112">
        <f t="shared" si="43"/>
        <v>4019336.9355600001</v>
      </c>
      <c r="BG55" s="126"/>
      <c r="BH55" s="126"/>
      <c r="BI55" s="112">
        <f>BG55+BH55</f>
        <v>0</v>
      </c>
      <c r="BJ55" s="112"/>
      <c r="BK55" s="112"/>
      <c r="BL55" s="112">
        <f t="shared" si="72"/>
        <v>2419835.663712</v>
      </c>
      <c r="BM55" s="112">
        <f t="shared" si="72"/>
        <v>0</v>
      </c>
      <c r="BN55" s="112">
        <f t="shared" si="72"/>
        <v>0</v>
      </c>
      <c r="BO55" s="112">
        <f t="shared" si="72"/>
        <v>0</v>
      </c>
      <c r="BP55" s="112">
        <f t="shared" si="72"/>
        <v>0</v>
      </c>
      <c r="BQ55" s="112">
        <f t="shared" si="44"/>
        <v>2419835.663712</v>
      </c>
      <c r="BR55" s="112">
        <f t="shared" si="45"/>
        <v>2419835.663712</v>
      </c>
      <c r="BS55" s="112">
        <f t="shared" si="73"/>
        <v>1512005.0279999999</v>
      </c>
      <c r="BT55" s="112">
        <f t="shared" si="73"/>
        <v>0</v>
      </c>
      <c r="BU55" s="112">
        <f t="shared" si="73"/>
        <v>0</v>
      </c>
      <c r="BV55" s="112">
        <f t="shared" si="12"/>
        <v>0</v>
      </c>
      <c r="BW55" s="112">
        <f t="shared" si="13"/>
        <v>0</v>
      </c>
      <c r="BX55" s="112">
        <f t="shared" si="46"/>
        <v>1512005.0279999999</v>
      </c>
      <c r="BY55" s="112">
        <f t="shared" si="47"/>
        <v>1512005.0279999999</v>
      </c>
      <c r="BZ55" s="113">
        <f t="shared" si="48"/>
        <v>0</v>
      </c>
      <c r="CA55" s="113">
        <f t="shared" si="48"/>
        <v>0</v>
      </c>
      <c r="CB55" s="113">
        <f t="shared" si="49"/>
        <v>0</v>
      </c>
      <c r="CC55" s="119" t="e">
        <f t="shared" si="50"/>
        <v>#DIV/0!</v>
      </c>
      <c r="CD55" s="119" t="e">
        <f t="shared" si="50"/>
        <v>#DIV/0!</v>
      </c>
      <c r="CE55" s="119" t="e">
        <f t="shared" si="51"/>
        <v>#DIV/0!</v>
      </c>
      <c r="CF55" s="113" t="e">
        <f t="shared" si="14"/>
        <v>#DIV/0!</v>
      </c>
      <c r="CG55" s="619">
        <f t="shared" si="15"/>
        <v>0</v>
      </c>
      <c r="CH55" s="132" t="e">
        <f t="shared" si="52"/>
        <v>#DIV/0!</v>
      </c>
      <c r="CI55" s="625"/>
      <c r="CJ55" s="208">
        <f t="shared" si="16"/>
        <v>2419.835663712</v>
      </c>
      <c r="CK55" s="208">
        <f t="shared" si="17"/>
        <v>1512.005028</v>
      </c>
      <c r="CL55" s="208">
        <f t="shared" si="53"/>
        <v>3931.8406917120001</v>
      </c>
      <c r="CM55" s="112">
        <f t="shared" si="18"/>
        <v>3931840.6917119999</v>
      </c>
      <c r="CN55" s="112">
        <f t="shared" si="19"/>
        <v>3879077.5293120001</v>
      </c>
      <c r="CO55" s="112">
        <f t="shared" si="20"/>
        <v>3879077.5293120001</v>
      </c>
      <c r="CP55" s="112">
        <f t="shared" si="21"/>
        <v>2419835.663712</v>
      </c>
      <c r="CQ55" s="112">
        <f t="shared" si="22"/>
        <v>4019336.9355600001</v>
      </c>
      <c r="CR55" s="112">
        <f t="shared" si="23"/>
        <v>4019336.9355600001</v>
      </c>
      <c r="CS55" s="112">
        <f t="shared" si="24"/>
        <v>1512005.0279999999</v>
      </c>
      <c r="CT55" s="112">
        <f t="shared" si="54"/>
        <v>7898414.4648720007</v>
      </c>
      <c r="CU55" s="124">
        <f t="shared" si="55"/>
        <v>6483192.0000000009</v>
      </c>
      <c r="CV55" s="112">
        <f t="shared" si="25"/>
        <v>0</v>
      </c>
      <c r="CW55" s="112">
        <f t="shared" si="26"/>
        <v>0</v>
      </c>
      <c r="CX55" s="112">
        <f t="shared" si="56"/>
        <v>0</v>
      </c>
      <c r="CY55" s="112">
        <f t="shared" si="27"/>
        <v>3879077.5293120001</v>
      </c>
      <c r="CZ55" s="112">
        <f t="shared" si="28"/>
        <v>4019336.9355600001</v>
      </c>
      <c r="DA55" s="625"/>
      <c r="DB55" s="128" t="e">
        <f t="shared" si="57"/>
        <v>#DIV/0!</v>
      </c>
      <c r="DC55" s="625"/>
      <c r="DD55" s="625"/>
      <c r="DE55" s="625"/>
      <c r="DF55" s="625"/>
      <c r="DG55" s="618">
        <f t="shared" si="29"/>
        <v>0</v>
      </c>
      <c r="DH55" s="618">
        <f t="shared" si="30"/>
        <v>0</v>
      </c>
      <c r="DI55" s="618">
        <f t="shared" si="31"/>
        <v>0</v>
      </c>
      <c r="DJ55" s="123"/>
    </row>
    <row r="56" spans="1:114" s="32" customFormat="1" ht="63.75" customHeight="1">
      <c r="A56" s="20">
        <f t="shared" si="58"/>
        <v>43</v>
      </c>
      <c r="B56" s="1503"/>
      <c r="C56" s="803" t="s">
        <v>98</v>
      </c>
      <c r="D56" s="748" t="s">
        <v>141</v>
      </c>
      <c r="E56" s="617">
        <v>4632024035</v>
      </c>
      <c r="F56" s="803" t="s">
        <v>8</v>
      </c>
      <c r="G56" s="751" t="s">
        <v>890</v>
      </c>
      <c r="H56" s="816">
        <f>2653.36*1.2</f>
        <v>3184.0320000000002</v>
      </c>
      <c r="I56" s="816">
        <f>2653.36*1.2</f>
        <v>3184.0320000000002</v>
      </c>
      <c r="J56" s="38"/>
      <c r="K56" s="38"/>
      <c r="L56" s="816">
        <f>2653.36*1.2</f>
        <v>3184.0320000000002</v>
      </c>
      <c r="M56" s="10"/>
      <c r="N56" s="622">
        <f>2749.3*1.2</f>
        <v>3299.1600000000003</v>
      </c>
      <c r="O56" s="622">
        <f>2749.3*1.2</f>
        <v>3299.1600000000003</v>
      </c>
      <c r="P56" s="10"/>
      <c r="Q56" s="10"/>
      <c r="R56" s="622">
        <f>2749.3*1.2</f>
        <v>3299.1600000000003</v>
      </c>
      <c r="S56" s="10"/>
      <c r="T56" s="178">
        <v>536.81600000000003</v>
      </c>
      <c r="U56" s="16"/>
      <c r="V56" s="227"/>
      <c r="W56" s="16"/>
      <c r="X56" s="16"/>
      <c r="Y56" s="16"/>
      <c r="Z56" s="35">
        <f t="shared" si="34"/>
        <v>536.81600000000003</v>
      </c>
      <c r="AA56" s="178">
        <v>336.71600000000001</v>
      </c>
      <c r="AB56" s="16"/>
      <c r="AC56" s="227"/>
      <c r="AD56" s="16"/>
      <c r="AE56" s="16"/>
      <c r="AF56" s="16"/>
      <c r="AG56" s="35">
        <f t="shared" si="35"/>
        <v>336.71600000000001</v>
      </c>
      <c r="AH56" s="35">
        <f t="shared" si="36"/>
        <v>873.53200000000004</v>
      </c>
      <c r="AI56" s="15">
        <f t="shared" si="64"/>
        <v>873.53200000000004</v>
      </c>
      <c r="AJ56" s="15">
        <f t="shared" si="64"/>
        <v>0</v>
      </c>
      <c r="AK56" s="15">
        <f t="shared" si="64"/>
        <v>0</v>
      </c>
      <c r="AL56" s="15">
        <f t="shared" si="64"/>
        <v>0</v>
      </c>
      <c r="AM56" s="15">
        <f t="shared" si="64"/>
        <v>0</v>
      </c>
      <c r="AN56" s="15"/>
      <c r="AO56" s="15">
        <f t="shared" si="7"/>
        <v>873.53200000000004</v>
      </c>
      <c r="AP56" s="15">
        <f t="shared" si="37"/>
        <v>873.53200000000004</v>
      </c>
      <c r="AQ56" s="15">
        <f t="shared" si="38"/>
        <v>873.53200000000004</v>
      </c>
      <c r="AR56" s="127">
        <f t="shared" si="39"/>
        <v>0</v>
      </c>
      <c r="AS56" s="112">
        <f t="shared" si="70"/>
        <v>2781353.8410240002</v>
      </c>
      <c r="AT56" s="112">
        <f t="shared" si="70"/>
        <v>0</v>
      </c>
      <c r="AU56" s="112">
        <f t="shared" si="70"/>
        <v>0</v>
      </c>
      <c r="AV56" s="112">
        <f t="shared" si="70"/>
        <v>0</v>
      </c>
      <c r="AW56" s="112">
        <f t="shared" si="70"/>
        <v>0</v>
      </c>
      <c r="AX56" s="112">
        <f t="shared" si="40"/>
        <v>2781353.8410240002</v>
      </c>
      <c r="AY56" s="112">
        <f t="shared" si="41"/>
        <v>2781353.8410240002</v>
      </c>
      <c r="AZ56" s="112">
        <f t="shared" si="71"/>
        <v>2881921.8331200005</v>
      </c>
      <c r="BA56" s="112">
        <f t="shared" si="71"/>
        <v>0</v>
      </c>
      <c r="BB56" s="112">
        <f t="shared" si="71"/>
        <v>0</v>
      </c>
      <c r="BC56" s="112">
        <f t="shared" si="71"/>
        <v>0</v>
      </c>
      <c r="BD56" s="112">
        <f t="shared" si="71"/>
        <v>0</v>
      </c>
      <c r="BE56" s="112">
        <f t="shared" si="42"/>
        <v>2881921.8331200005</v>
      </c>
      <c r="BF56" s="112">
        <f t="shared" si="43"/>
        <v>2881921.8331200005</v>
      </c>
      <c r="BG56" s="126"/>
      <c r="BH56" s="126"/>
      <c r="BI56" s="112">
        <f>BG56+BH56</f>
        <v>0</v>
      </c>
      <c r="BJ56" s="112"/>
      <c r="BK56" s="112"/>
      <c r="BL56" s="112">
        <f t="shared" si="72"/>
        <v>1709239.3221120001</v>
      </c>
      <c r="BM56" s="112">
        <f t="shared" si="72"/>
        <v>0</v>
      </c>
      <c r="BN56" s="112">
        <f t="shared" si="72"/>
        <v>0</v>
      </c>
      <c r="BO56" s="112">
        <f t="shared" si="72"/>
        <v>0</v>
      </c>
      <c r="BP56" s="112">
        <f t="shared" si="72"/>
        <v>0</v>
      </c>
      <c r="BQ56" s="112">
        <f t="shared" si="44"/>
        <v>1709239.3221120001</v>
      </c>
      <c r="BR56" s="112">
        <f t="shared" si="45"/>
        <v>1709239.3221120001</v>
      </c>
      <c r="BS56" s="112">
        <f t="shared" si="73"/>
        <v>1110879.9585600002</v>
      </c>
      <c r="BT56" s="112">
        <f t="shared" si="73"/>
        <v>0</v>
      </c>
      <c r="BU56" s="112">
        <f t="shared" si="73"/>
        <v>0</v>
      </c>
      <c r="BV56" s="112">
        <f t="shared" si="12"/>
        <v>0</v>
      </c>
      <c r="BW56" s="112">
        <f t="shared" si="13"/>
        <v>0</v>
      </c>
      <c r="BX56" s="112">
        <f t="shared" si="46"/>
        <v>1110879.9585600002</v>
      </c>
      <c r="BY56" s="112">
        <f t="shared" si="47"/>
        <v>1110879.9585600002</v>
      </c>
      <c r="BZ56" s="113">
        <f t="shared" si="48"/>
        <v>0</v>
      </c>
      <c r="CA56" s="113">
        <f t="shared" si="48"/>
        <v>0</v>
      </c>
      <c r="CB56" s="113">
        <f t="shared" si="49"/>
        <v>0</v>
      </c>
      <c r="CC56" s="119" t="e">
        <f t="shared" si="50"/>
        <v>#DIV/0!</v>
      </c>
      <c r="CD56" s="119" t="e">
        <f t="shared" si="50"/>
        <v>#DIV/0!</v>
      </c>
      <c r="CE56" s="119" t="e">
        <f t="shared" si="51"/>
        <v>#DIV/0!</v>
      </c>
      <c r="CF56" s="113" t="e">
        <f t="shared" si="14"/>
        <v>#DIV/0!</v>
      </c>
      <c r="CG56" s="619">
        <f t="shared" si="15"/>
        <v>0</v>
      </c>
      <c r="CH56" s="132" t="e">
        <f t="shared" si="52"/>
        <v>#DIV/0!</v>
      </c>
      <c r="CI56" s="625"/>
      <c r="CJ56" s="208">
        <f t="shared" si="16"/>
        <v>1709.2393221120001</v>
      </c>
      <c r="CK56" s="208">
        <f t="shared" si="17"/>
        <v>1110.8799585600002</v>
      </c>
      <c r="CL56" s="208">
        <f t="shared" si="53"/>
        <v>2820.1192806720001</v>
      </c>
      <c r="CM56" s="112">
        <f t="shared" si="18"/>
        <v>2820119.2806720003</v>
      </c>
      <c r="CN56" s="112">
        <f t="shared" si="19"/>
        <v>2781353.8410240002</v>
      </c>
      <c r="CO56" s="112">
        <f t="shared" si="20"/>
        <v>2781353.8410240002</v>
      </c>
      <c r="CP56" s="112">
        <f t="shared" si="21"/>
        <v>1709239.3221120001</v>
      </c>
      <c r="CQ56" s="112">
        <f t="shared" si="22"/>
        <v>2881921.8331200005</v>
      </c>
      <c r="CR56" s="112">
        <f t="shared" si="23"/>
        <v>2881921.8331200005</v>
      </c>
      <c r="CS56" s="112">
        <f t="shared" si="24"/>
        <v>1110879.9585600002</v>
      </c>
      <c r="CT56" s="112">
        <f t="shared" si="54"/>
        <v>5663275.6741440007</v>
      </c>
      <c r="CU56" s="124">
        <f t="shared" si="55"/>
        <v>6483192.0000000009</v>
      </c>
      <c r="CV56" s="112">
        <f t="shared" si="25"/>
        <v>0</v>
      </c>
      <c r="CW56" s="112">
        <f t="shared" si="26"/>
        <v>0</v>
      </c>
      <c r="CX56" s="112">
        <f t="shared" si="56"/>
        <v>0</v>
      </c>
      <c r="CY56" s="112">
        <f t="shared" si="27"/>
        <v>2781353.8410240002</v>
      </c>
      <c r="CZ56" s="112">
        <f t="shared" si="28"/>
        <v>2881921.8331200005</v>
      </c>
      <c r="DA56" s="625"/>
      <c r="DB56" s="128" t="e">
        <f t="shared" si="57"/>
        <v>#DIV/0!</v>
      </c>
      <c r="DC56" s="625"/>
      <c r="DD56" s="625"/>
      <c r="DE56" s="625"/>
      <c r="DF56" s="625"/>
      <c r="DG56" s="618">
        <f t="shared" si="29"/>
        <v>0</v>
      </c>
      <c r="DH56" s="618">
        <f t="shared" si="30"/>
        <v>0</v>
      </c>
      <c r="DI56" s="618">
        <f t="shared" si="31"/>
        <v>0</v>
      </c>
      <c r="DJ56" s="123"/>
    </row>
    <row r="57" spans="1:114" s="13" customFormat="1" ht="57.75" hidden="1" customHeight="1">
      <c r="A57" s="695">
        <f t="shared" si="58"/>
        <v>44</v>
      </c>
      <c r="B57" s="1504"/>
      <c r="C57" s="805" t="s">
        <v>183</v>
      </c>
      <c r="D57" s="696" t="s">
        <v>96</v>
      </c>
      <c r="E57" s="696">
        <v>4611013586</v>
      </c>
      <c r="F57" s="696" t="s">
        <v>8</v>
      </c>
      <c r="G57" s="805" t="s">
        <v>887</v>
      </c>
      <c r="H57" s="697">
        <v>3836.71</v>
      </c>
      <c r="I57" s="697">
        <v>0</v>
      </c>
      <c r="J57" s="697">
        <v>2265.21</v>
      </c>
      <c r="K57" s="697">
        <v>2265.21</v>
      </c>
      <c r="L57" s="697">
        <v>0</v>
      </c>
      <c r="M57" s="698">
        <v>0</v>
      </c>
      <c r="N57" s="700">
        <v>4041.47</v>
      </c>
      <c r="O57" s="698">
        <v>0</v>
      </c>
      <c r="P57" s="698">
        <v>2412.4499999999998</v>
      </c>
      <c r="Q57" s="698">
        <v>2412.4499999999998</v>
      </c>
      <c r="R57" s="698">
        <v>0</v>
      </c>
      <c r="S57" s="698">
        <v>0</v>
      </c>
      <c r="T57" s="18">
        <v>0</v>
      </c>
      <c r="U57" s="18">
        <v>149.66999999999999</v>
      </c>
      <c r="V57" s="702">
        <v>110.8</v>
      </c>
      <c r="W57" s="18">
        <v>0</v>
      </c>
      <c r="X57" s="18">
        <v>0</v>
      </c>
      <c r="Y57" s="13">
        <v>0</v>
      </c>
      <c r="Z57" s="99">
        <f>SUM(T57:W57)</f>
        <v>260.46999999999997</v>
      </c>
      <c r="AA57" s="18">
        <v>0</v>
      </c>
      <c r="AB57" s="18">
        <v>112.91</v>
      </c>
      <c r="AC57" s="29">
        <v>107.2</v>
      </c>
      <c r="AD57" s="18">
        <v>0</v>
      </c>
      <c r="AE57" s="18">
        <v>0</v>
      </c>
      <c r="AF57" s="18">
        <v>0</v>
      </c>
      <c r="AG57" s="99">
        <f>SUM(AA57:AD57)</f>
        <v>220.11</v>
      </c>
      <c r="AH57" s="99">
        <f>Z57+AG57</f>
        <v>480.58</v>
      </c>
      <c r="AI57" s="18">
        <f t="shared" si="64"/>
        <v>0</v>
      </c>
      <c r="AJ57" s="18">
        <f t="shared" si="64"/>
        <v>262.58</v>
      </c>
      <c r="AK57" s="702">
        <f t="shared" si="64"/>
        <v>218</v>
      </c>
      <c r="AL57" s="18">
        <f t="shared" si="64"/>
        <v>0</v>
      </c>
      <c r="AM57" s="18">
        <f t="shared" si="64"/>
        <v>0</v>
      </c>
      <c r="AN57" s="18"/>
      <c r="AO57" s="18">
        <f>SUM(AI57:AN57)</f>
        <v>480.58</v>
      </c>
      <c r="AP57" s="18">
        <f>SUM(AI57:AM57)</f>
        <v>480.58</v>
      </c>
      <c r="AQ57" s="18">
        <f>SUM(AI57:AL57)</f>
        <v>480.58</v>
      </c>
      <c r="AR57" s="99">
        <f t="shared" si="39"/>
        <v>0</v>
      </c>
      <c r="AS57" s="18">
        <f t="shared" si="70"/>
        <v>0</v>
      </c>
      <c r="AT57" s="18">
        <f t="shared" si="70"/>
        <v>594798.84179999994</v>
      </c>
      <c r="AU57" s="18">
        <f t="shared" si="70"/>
        <v>493815.78</v>
      </c>
      <c r="AV57" s="18">
        <f t="shared" si="70"/>
        <v>0</v>
      </c>
      <c r="AW57" s="18">
        <f t="shared" si="70"/>
        <v>0</v>
      </c>
      <c r="AX57" s="18">
        <f t="shared" si="40"/>
        <v>1088614.6217999998</v>
      </c>
      <c r="AY57" s="18">
        <f t="shared" si="41"/>
        <v>1088614.6217999998</v>
      </c>
      <c r="AZ57" s="18">
        <f t="shared" si="71"/>
        <v>0</v>
      </c>
      <c r="BA57" s="18">
        <f t="shared" si="71"/>
        <v>633461.12099999993</v>
      </c>
      <c r="BB57" s="18">
        <f t="shared" si="71"/>
        <v>525914.1</v>
      </c>
      <c r="BC57" s="18">
        <f t="shared" si="71"/>
        <v>0</v>
      </c>
      <c r="BD57" s="18">
        <f t="shared" si="71"/>
        <v>0</v>
      </c>
      <c r="BE57" s="18">
        <f t="shared" si="42"/>
        <v>1159375.2209999999</v>
      </c>
      <c r="BF57" s="18">
        <f t="shared" si="43"/>
        <v>1159375.2209999999</v>
      </c>
      <c r="BG57" s="18">
        <v>409.33</v>
      </c>
      <c r="BH57" s="18">
        <v>358.56299999999999</v>
      </c>
      <c r="BI57" s="18">
        <f t="shared" si="5"/>
        <v>767.89300000000003</v>
      </c>
      <c r="BJ57" s="29">
        <v>2448.1569702342281</v>
      </c>
      <c r="BK57" s="18">
        <v>3255.59</v>
      </c>
      <c r="BL57" s="18">
        <f t="shared" si="72"/>
        <v>0</v>
      </c>
      <c r="BM57" s="18">
        <f>J57*U57</f>
        <v>339033.98069999996</v>
      </c>
      <c r="BN57" s="18">
        <f>K57*V57</f>
        <v>250985.26800000001</v>
      </c>
      <c r="BO57" s="18">
        <f t="shared" si="72"/>
        <v>0</v>
      </c>
      <c r="BP57" s="18">
        <f t="shared" si="72"/>
        <v>0</v>
      </c>
      <c r="BQ57" s="18">
        <f>BL57+BM57+BN57+BO57+BP57</f>
        <v>590019.2487</v>
      </c>
      <c r="BR57" s="18">
        <f>BQ57-BP57</f>
        <v>590019.2487</v>
      </c>
      <c r="BS57" s="18">
        <f t="shared" si="73"/>
        <v>0</v>
      </c>
      <c r="BT57" s="18">
        <f>P57*AB57</f>
        <v>272389.72949999996</v>
      </c>
      <c r="BU57" s="18">
        <f>Q57*AC57</f>
        <v>258614.63999999998</v>
      </c>
      <c r="BV57" s="18">
        <f t="shared" si="12"/>
        <v>0</v>
      </c>
      <c r="BW57" s="18">
        <f t="shared" si="13"/>
        <v>0</v>
      </c>
      <c r="BX57" s="18">
        <f>BS57+BT57+BU57+BV57+BW57</f>
        <v>531004.36949999991</v>
      </c>
      <c r="BY57" s="18">
        <f>BX57-BW57</f>
        <v>531004.36949999991</v>
      </c>
      <c r="BZ57" s="161">
        <f t="shared" si="48"/>
        <v>611423.71019999986</v>
      </c>
      <c r="CA57" s="161">
        <f t="shared" si="48"/>
        <v>509599.908</v>
      </c>
      <c r="CB57" s="161">
        <f t="shared" si="49"/>
        <v>1121023.6181999999</v>
      </c>
      <c r="CC57" s="162">
        <f t="shared" si="50"/>
        <v>2328.523536446035</v>
      </c>
      <c r="CD57" s="162">
        <f t="shared" si="50"/>
        <v>2337.614256880734</v>
      </c>
      <c r="CE57" s="162">
        <f t="shared" si="51"/>
        <v>2332.6472558158889</v>
      </c>
      <c r="CF57" s="162">
        <f t="shared" si="14"/>
        <v>2332.6472558158889</v>
      </c>
      <c r="CG57" s="651">
        <f t="shared" si="15"/>
        <v>0</v>
      </c>
      <c r="CH57" s="652">
        <f t="shared" si="52"/>
        <v>0</v>
      </c>
      <c r="CJ57" s="18">
        <f t="shared" si="16"/>
        <v>999.34785369999986</v>
      </c>
      <c r="CK57" s="18">
        <f t="shared" si="17"/>
        <v>889.56796169999996</v>
      </c>
      <c r="CL57" s="18">
        <f t="shared" si="53"/>
        <v>1888.9158153999997</v>
      </c>
      <c r="CM57" s="18">
        <f t="shared" si="18"/>
        <v>1888915.8153999997</v>
      </c>
      <c r="CN57" s="18">
        <f t="shared" si="19"/>
        <v>1088614.6217999998</v>
      </c>
      <c r="CO57" s="18">
        <f t="shared" si="20"/>
        <v>1088614.6218000001</v>
      </c>
      <c r="CP57" s="18">
        <f t="shared" si="21"/>
        <v>590019.2487</v>
      </c>
      <c r="CQ57" s="18">
        <f t="shared" si="22"/>
        <v>1159375.2209999999</v>
      </c>
      <c r="CR57" s="18">
        <f t="shared" si="23"/>
        <v>1159375.2209999999</v>
      </c>
      <c r="CS57" s="18">
        <f t="shared" si="24"/>
        <v>531004.36949999991</v>
      </c>
      <c r="CT57" s="18">
        <f t="shared" si="54"/>
        <v>2247989.8427999998</v>
      </c>
      <c r="CU57" s="29">
        <f t="shared" si="55"/>
        <v>4677660</v>
      </c>
      <c r="CV57" s="18">
        <f t="shared" si="25"/>
        <v>1088614.6217999998</v>
      </c>
      <c r="CW57" s="18">
        <f t="shared" si="26"/>
        <v>1159375.2209999999</v>
      </c>
      <c r="CX57" s="18">
        <f t="shared" si="56"/>
        <v>2247989.8427999998</v>
      </c>
      <c r="CY57" s="18">
        <f t="shared" si="27"/>
        <v>1843846.0918000001</v>
      </c>
      <c r="CZ57" s="18">
        <f t="shared" si="28"/>
        <v>1942249.6525999999</v>
      </c>
      <c r="DB57" s="653">
        <f t="shared" si="57"/>
        <v>178.41480480838422</v>
      </c>
      <c r="DG57" s="701">
        <f t="shared" si="29"/>
        <v>0</v>
      </c>
      <c r="DH57" s="701">
        <f t="shared" si="30"/>
        <v>0</v>
      </c>
      <c r="DI57" s="701">
        <f t="shared" si="31"/>
        <v>0</v>
      </c>
    </row>
    <row r="58" spans="1:114" s="13" customFormat="1" ht="66.75" hidden="1" customHeight="1">
      <c r="A58" s="695">
        <f t="shared" si="58"/>
        <v>45</v>
      </c>
      <c r="B58" s="1568" t="s">
        <v>19</v>
      </c>
      <c r="C58" s="828" t="s">
        <v>62</v>
      </c>
      <c r="D58" s="828" t="s">
        <v>20</v>
      </c>
      <c r="E58" s="706">
        <v>4634008455</v>
      </c>
      <c r="F58" s="696" t="s">
        <v>8</v>
      </c>
      <c r="G58" s="805" t="s">
        <v>883</v>
      </c>
      <c r="H58" s="697">
        <v>735.74</v>
      </c>
      <c r="I58" s="697">
        <v>735.74</v>
      </c>
      <c r="J58" s="697">
        <v>735.74</v>
      </c>
      <c r="K58" s="697">
        <v>735.74</v>
      </c>
      <c r="L58" s="697">
        <v>735.74</v>
      </c>
      <c r="M58" s="697">
        <v>0</v>
      </c>
      <c r="N58" s="741">
        <v>762.98</v>
      </c>
      <c r="O58" s="697">
        <v>762.98</v>
      </c>
      <c r="P58" s="697">
        <v>762.98</v>
      </c>
      <c r="Q58" s="697">
        <v>762.98</v>
      </c>
      <c r="R58" s="697">
        <v>762.98</v>
      </c>
      <c r="S58" s="697">
        <v>0</v>
      </c>
      <c r="T58" s="18">
        <v>2000</v>
      </c>
      <c r="U58" s="18">
        <v>1913.7</v>
      </c>
      <c r="V58" s="18">
        <v>786.3</v>
      </c>
      <c r="W58" s="18">
        <v>10728.5</v>
      </c>
      <c r="X58" s="18"/>
      <c r="Y58" s="18"/>
      <c r="Z58" s="99">
        <f t="shared" si="34"/>
        <v>15428.5</v>
      </c>
      <c r="AA58" s="18">
        <v>1107</v>
      </c>
      <c r="AB58" s="18">
        <v>2003.26</v>
      </c>
      <c r="AC58" s="18">
        <v>933.74</v>
      </c>
      <c r="AD58" s="18">
        <v>9289.5</v>
      </c>
      <c r="AE58" s="18"/>
      <c r="AF58" s="18"/>
      <c r="AG58" s="99">
        <f t="shared" si="35"/>
        <v>13333.5</v>
      </c>
      <c r="AH58" s="99">
        <f t="shared" si="36"/>
        <v>28762</v>
      </c>
      <c r="AI58" s="18">
        <f t="shared" si="64"/>
        <v>3107</v>
      </c>
      <c r="AJ58" s="18">
        <f t="shared" si="64"/>
        <v>3916.96</v>
      </c>
      <c r="AK58" s="18">
        <f t="shared" si="64"/>
        <v>1720.04</v>
      </c>
      <c r="AL58" s="18">
        <f t="shared" si="64"/>
        <v>20018</v>
      </c>
      <c r="AM58" s="18">
        <f t="shared" si="64"/>
        <v>0</v>
      </c>
      <c r="AN58" s="18"/>
      <c r="AO58" s="18">
        <f t="shared" si="7"/>
        <v>28762</v>
      </c>
      <c r="AP58" s="18">
        <f t="shared" si="37"/>
        <v>28762</v>
      </c>
      <c r="AQ58" s="18">
        <f t="shared" si="38"/>
        <v>28762</v>
      </c>
      <c r="AR58" s="99">
        <f t="shared" si="39"/>
        <v>0</v>
      </c>
      <c r="AS58" s="18">
        <f t="shared" si="70"/>
        <v>2285944.1800000002</v>
      </c>
      <c r="AT58" s="18">
        <f t="shared" si="70"/>
        <v>2881864.1504000002</v>
      </c>
      <c r="AU58" s="18">
        <f t="shared" si="70"/>
        <v>1265502.2296</v>
      </c>
      <c r="AV58" s="18">
        <f t="shared" si="70"/>
        <v>14728043.32</v>
      </c>
      <c r="AW58" s="18">
        <f t="shared" si="70"/>
        <v>0</v>
      </c>
      <c r="AX58" s="18">
        <f t="shared" si="40"/>
        <v>21161353.880000003</v>
      </c>
      <c r="AY58" s="18">
        <f t="shared" si="41"/>
        <v>21161353.880000003</v>
      </c>
      <c r="AZ58" s="18">
        <f t="shared" si="71"/>
        <v>2370578.86</v>
      </c>
      <c r="BA58" s="18">
        <f t="shared" si="71"/>
        <v>2988562.1408000002</v>
      </c>
      <c r="BB58" s="18">
        <f t="shared" si="71"/>
        <v>1312356.1192000001</v>
      </c>
      <c r="BC58" s="18">
        <f t="shared" si="71"/>
        <v>15273333.640000001</v>
      </c>
      <c r="BD58" s="18">
        <f t="shared" si="71"/>
        <v>0</v>
      </c>
      <c r="BE58" s="18">
        <f t="shared" si="42"/>
        <v>21944830.760000002</v>
      </c>
      <c r="BF58" s="18">
        <f t="shared" si="43"/>
        <v>21944830.760000002</v>
      </c>
      <c r="BG58" s="18">
        <v>0</v>
      </c>
      <c r="BH58" s="18">
        <v>0</v>
      </c>
      <c r="BI58" s="18">
        <f t="shared" si="5"/>
        <v>0</v>
      </c>
      <c r="BJ58" s="18">
        <v>21524.62</v>
      </c>
      <c r="BK58" s="18">
        <v>26231.3</v>
      </c>
      <c r="BL58" s="18">
        <f t="shared" si="72"/>
        <v>1471480</v>
      </c>
      <c r="BM58" s="18">
        <f t="shared" si="72"/>
        <v>1407985.638</v>
      </c>
      <c r="BN58" s="18">
        <f t="shared" si="72"/>
        <v>578512.36199999996</v>
      </c>
      <c r="BO58" s="18">
        <f t="shared" si="72"/>
        <v>7893386.5899999999</v>
      </c>
      <c r="BP58" s="18">
        <f t="shared" si="72"/>
        <v>0</v>
      </c>
      <c r="BQ58" s="18">
        <f t="shared" si="44"/>
        <v>11351364.59</v>
      </c>
      <c r="BR58" s="18">
        <f t="shared" si="45"/>
        <v>11351364.59</v>
      </c>
      <c r="BS58" s="18">
        <f t="shared" si="73"/>
        <v>844618.86</v>
      </c>
      <c r="BT58" s="18">
        <f t="shared" si="73"/>
        <v>1528447.3148000001</v>
      </c>
      <c r="BU58" s="18">
        <f t="shared" si="73"/>
        <v>712424.94520000007</v>
      </c>
      <c r="BV58" s="18">
        <f t="shared" si="12"/>
        <v>8185630.9300000006</v>
      </c>
      <c r="BW58" s="18">
        <f t="shared" si="13"/>
        <v>0</v>
      </c>
      <c r="BX58" s="18">
        <f t="shared" si="46"/>
        <v>11271122.050000001</v>
      </c>
      <c r="BY58" s="18">
        <f t="shared" si="47"/>
        <v>11271122.050000001</v>
      </c>
      <c r="BZ58" s="161">
        <f t="shared" si="48"/>
        <v>2936432.9528000001</v>
      </c>
      <c r="CA58" s="161">
        <f t="shared" si="48"/>
        <v>1290937.3072000002</v>
      </c>
      <c r="CB58" s="161">
        <f t="shared" si="49"/>
        <v>4227370.26</v>
      </c>
      <c r="CC58" s="162">
        <f t="shared" si="50"/>
        <v>749.67141681303872</v>
      </c>
      <c r="CD58" s="162">
        <f t="shared" si="50"/>
        <v>750.52749191879275</v>
      </c>
      <c r="CE58" s="162">
        <f t="shared" si="51"/>
        <v>749.93263437998928</v>
      </c>
      <c r="CF58" s="162">
        <f t="shared" si="14"/>
        <v>749.93263437998928</v>
      </c>
      <c r="CG58" s="651">
        <f t="shared" si="15"/>
        <v>4227370.26</v>
      </c>
      <c r="CH58" s="652">
        <f t="shared" si="52"/>
        <v>749.93263437998928</v>
      </c>
      <c r="CJ58" s="18">
        <f t="shared" si="16"/>
        <v>11351.364589999999</v>
      </c>
      <c r="CK58" s="18">
        <f t="shared" si="17"/>
        <v>10173.19383</v>
      </c>
      <c r="CL58" s="18">
        <f t="shared" si="53"/>
        <v>21524.558420000001</v>
      </c>
      <c r="CM58" s="18">
        <f t="shared" si="18"/>
        <v>21524558.420000002</v>
      </c>
      <c r="CN58" s="18">
        <f t="shared" si="19"/>
        <v>21161353.880000003</v>
      </c>
      <c r="CO58" s="18">
        <f t="shared" si="20"/>
        <v>21161353.880000003</v>
      </c>
      <c r="CP58" s="18">
        <f t="shared" si="21"/>
        <v>11351364.59</v>
      </c>
      <c r="CQ58" s="18">
        <f t="shared" si="22"/>
        <v>21944830.760000002</v>
      </c>
      <c r="CR58" s="18">
        <f t="shared" si="23"/>
        <v>21944830.759999998</v>
      </c>
      <c r="CS58" s="18">
        <f t="shared" si="24"/>
        <v>10173193.83</v>
      </c>
      <c r="CT58" s="18">
        <f t="shared" si="54"/>
        <v>43106184.640000001</v>
      </c>
      <c r="CU58" s="29">
        <f t="shared" si="55"/>
        <v>1498720</v>
      </c>
      <c r="CV58" s="18">
        <f t="shared" si="25"/>
        <v>4147366.38</v>
      </c>
      <c r="CW58" s="18">
        <f t="shared" si="26"/>
        <v>4300918.26</v>
      </c>
      <c r="CX58" s="18">
        <f t="shared" si="56"/>
        <v>8448284.6400000006</v>
      </c>
      <c r="CY58" s="18">
        <f t="shared" si="27"/>
        <v>21161353.880000003</v>
      </c>
      <c r="CZ58" s="18">
        <f t="shared" si="28"/>
        <v>21944830.760000002</v>
      </c>
      <c r="DB58" s="653">
        <f t="shared" si="57"/>
        <v>103.70239486775219</v>
      </c>
      <c r="DG58" s="701">
        <f t="shared" si="29"/>
        <v>0</v>
      </c>
      <c r="DH58" s="701">
        <f t="shared" si="30"/>
        <v>0</v>
      </c>
      <c r="DI58" s="701">
        <f t="shared" si="31"/>
        <v>0</v>
      </c>
    </row>
    <row r="59" spans="1:114" ht="66.75" hidden="1" customHeight="1">
      <c r="A59" s="20">
        <f t="shared" si="58"/>
        <v>46</v>
      </c>
      <c r="B59" s="1569"/>
      <c r="C59" s="828" t="s">
        <v>280</v>
      </c>
      <c r="D59" s="827" t="s">
        <v>255</v>
      </c>
      <c r="E59" s="696">
        <v>4634002573</v>
      </c>
      <c r="F59" s="696" t="s">
        <v>8</v>
      </c>
      <c r="G59" s="696" t="s">
        <v>885</v>
      </c>
      <c r="H59" s="697">
        <v>721.93</v>
      </c>
      <c r="I59" s="742">
        <v>721.93</v>
      </c>
      <c r="J59" s="742">
        <v>721.93</v>
      </c>
      <c r="K59" s="742">
        <v>721.93</v>
      </c>
      <c r="L59" s="742">
        <v>721.93</v>
      </c>
      <c r="M59" s="742">
        <v>0</v>
      </c>
      <c r="N59" s="743">
        <v>748.15</v>
      </c>
      <c r="O59" s="743">
        <v>748.15</v>
      </c>
      <c r="P59" s="743">
        <v>748.15</v>
      </c>
      <c r="Q59" s="743">
        <v>748.15</v>
      </c>
      <c r="R59" s="743">
        <v>748.15</v>
      </c>
      <c r="S59" s="743">
        <v>748.15</v>
      </c>
      <c r="T59" s="18"/>
      <c r="U59" s="18">
        <v>4183.6099999999997</v>
      </c>
      <c r="V59" s="18">
        <f>'[28]2021_ИСХ'!$AI$38*1000</f>
        <v>952.36178180000002</v>
      </c>
      <c r="W59" s="18">
        <v>825.13</v>
      </c>
      <c r="X59" s="18"/>
      <c r="Y59" s="18"/>
      <c r="Z59" s="99">
        <f t="shared" si="34"/>
        <v>5961.1017818</v>
      </c>
      <c r="AA59" s="18"/>
      <c r="AB59" s="18">
        <v>3092.24</v>
      </c>
      <c r="AC59" s="18">
        <f>'[28]2021_ИСХ'!$AL$38*1000</f>
        <v>1070.8874794000001</v>
      </c>
      <c r="AD59" s="18">
        <v>825.13</v>
      </c>
      <c r="AE59" s="18"/>
      <c r="AF59" s="18"/>
      <c r="AG59" s="99">
        <f t="shared" si="35"/>
        <v>4988.2574794000002</v>
      </c>
      <c r="AH59" s="99">
        <f>Z59+AG59</f>
        <v>10949.359261199999</v>
      </c>
      <c r="AI59" s="18">
        <f t="shared" si="64"/>
        <v>0</v>
      </c>
      <c r="AJ59" s="18">
        <f t="shared" si="64"/>
        <v>7275.8499999999995</v>
      </c>
      <c r="AK59" s="18">
        <f t="shared" si="64"/>
        <v>2023.2492612000001</v>
      </c>
      <c r="AL59" s="18">
        <f t="shared" si="64"/>
        <v>1650.26</v>
      </c>
      <c r="AM59" s="18">
        <f t="shared" si="64"/>
        <v>0</v>
      </c>
      <c r="AN59" s="15"/>
      <c r="AO59" s="15">
        <f t="shared" si="7"/>
        <v>10949.359261199999</v>
      </c>
      <c r="AP59" s="15">
        <f t="shared" si="37"/>
        <v>10949.359261199999</v>
      </c>
      <c r="AQ59" s="15">
        <f t="shared" si="38"/>
        <v>10949.359261199999</v>
      </c>
      <c r="AR59" s="654"/>
      <c r="AS59" s="182"/>
      <c r="AT59" s="182"/>
      <c r="AU59" s="182"/>
      <c r="AV59" s="182"/>
      <c r="AW59" s="182"/>
      <c r="AX59" s="182"/>
      <c r="AY59" s="182"/>
      <c r="AZ59" s="182"/>
      <c r="BA59" s="182"/>
      <c r="BB59" s="182"/>
      <c r="BC59" s="182"/>
      <c r="BD59" s="182"/>
      <c r="BE59" s="182"/>
      <c r="BF59" s="182"/>
      <c r="BG59" s="112">
        <v>0</v>
      </c>
      <c r="BH59" s="112">
        <v>0</v>
      </c>
      <c r="BI59" s="112">
        <f t="shared" si="5"/>
        <v>0</v>
      </c>
      <c r="BJ59" s="112"/>
      <c r="BK59" s="182"/>
      <c r="BL59" s="182"/>
      <c r="BM59" s="182"/>
      <c r="BN59" s="182"/>
      <c r="BO59" s="182"/>
      <c r="BP59" s="182"/>
      <c r="BQ59" s="182"/>
      <c r="BR59" s="182"/>
      <c r="BS59" s="182"/>
      <c r="BT59" s="182"/>
      <c r="BU59" s="182"/>
      <c r="BV59" s="182"/>
      <c r="BW59" s="182"/>
      <c r="BX59" s="182"/>
      <c r="BY59" s="182"/>
      <c r="BZ59" s="183"/>
      <c r="CA59" s="183"/>
      <c r="CB59" s="183"/>
      <c r="CC59" s="184"/>
      <c r="CD59" s="184"/>
      <c r="CE59" s="184"/>
      <c r="CF59" s="184"/>
      <c r="CG59" s="655"/>
      <c r="CH59" s="656"/>
      <c r="CI59" s="185"/>
      <c r="CJ59" s="112">
        <f t="shared" si="16"/>
        <v>4303.4982093348735</v>
      </c>
      <c r="CK59" s="112">
        <f t="shared" si="17"/>
        <v>3731.9648332131101</v>
      </c>
      <c r="CL59" s="112">
        <f t="shared" si="53"/>
        <v>8035.4630425479836</v>
      </c>
      <c r="CM59" s="112">
        <f t="shared" si="18"/>
        <v>8035463.042547984</v>
      </c>
      <c r="CN59" s="112">
        <f t="shared" si="19"/>
        <v>7904670.9314381145</v>
      </c>
      <c r="CO59" s="112">
        <f t="shared" si="20"/>
        <v>7904670.9314381145</v>
      </c>
      <c r="CP59" s="112">
        <f t="shared" si="21"/>
        <v>4303498.2093348736</v>
      </c>
      <c r="CQ59" s="112">
        <f t="shared" si="22"/>
        <v>8191763.1312667783</v>
      </c>
      <c r="CR59" s="112">
        <f t="shared" si="23"/>
        <v>8191763.1312667783</v>
      </c>
      <c r="CS59" s="112">
        <f t="shared" si="24"/>
        <v>3731964.8332131095</v>
      </c>
      <c r="CT59" s="112">
        <f t="shared" si="54"/>
        <v>16096434.062704893</v>
      </c>
      <c r="CU59" s="124">
        <f t="shared" si="55"/>
        <v>1470079.9999999998</v>
      </c>
      <c r="CV59" s="112">
        <f t="shared" si="25"/>
        <v>6713298.7296381146</v>
      </c>
      <c r="CW59" s="112">
        <f t="shared" si="26"/>
        <v>6957121.1122667789</v>
      </c>
      <c r="CX59" s="112">
        <f t="shared" si="56"/>
        <v>13670419.841904894</v>
      </c>
      <c r="CY59" s="112">
        <f t="shared" si="27"/>
        <v>7904670.9314381145</v>
      </c>
      <c r="CZ59" s="112">
        <f t="shared" si="28"/>
        <v>8191763.1312667783</v>
      </c>
      <c r="DA59" s="106"/>
      <c r="DB59" s="128"/>
      <c r="DC59" s="106"/>
      <c r="DD59" s="106"/>
      <c r="DE59" s="106"/>
      <c r="DF59" s="106"/>
      <c r="DG59" s="618">
        <f t="shared" si="29"/>
        <v>0</v>
      </c>
      <c r="DH59" s="618">
        <f t="shared" si="30"/>
        <v>0</v>
      </c>
      <c r="DI59" s="618">
        <f t="shared" si="31"/>
        <v>0</v>
      </c>
      <c r="DJ59" s="106"/>
    </row>
    <row r="60" spans="1:114" s="21" customFormat="1" ht="63.75" customHeight="1">
      <c r="A60" s="20">
        <f t="shared" si="58"/>
        <v>47</v>
      </c>
      <c r="B60" s="1570"/>
      <c r="C60" s="808" t="s">
        <v>99</v>
      </c>
      <c r="D60" s="749" t="s">
        <v>141</v>
      </c>
      <c r="E60" s="617">
        <v>4632024035</v>
      </c>
      <c r="F60" s="5" t="s">
        <v>8</v>
      </c>
      <c r="G60" s="751" t="s">
        <v>890</v>
      </c>
      <c r="H60" s="816">
        <f t="shared" ref="H60:I63" si="74">2653.36*1.2</f>
        <v>3184.0320000000002</v>
      </c>
      <c r="I60" s="816">
        <f t="shared" si="74"/>
        <v>3184.0320000000002</v>
      </c>
      <c r="J60" s="38">
        <v>2498.12</v>
      </c>
      <c r="K60" s="38"/>
      <c r="L60" s="816">
        <f t="shared" ref="L60:L67" si="75">2653.36*1.2</f>
        <v>3184.0320000000002</v>
      </c>
      <c r="M60" s="607"/>
      <c r="N60" s="622">
        <f t="shared" ref="N60:O63" si="76">2749.3*1.2</f>
        <v>3299.1600000000003</v>
      </c>
      <c r="O60" s="622">
        <f t="shared" si="76"/>
        <v>3299.1600000000003</v>
      </c>
      <c r="P60" s="38">
        <v>2660.25</v>
      </c>
      <c r="Q60" s="38"/>
      <c r="R60" s="622">
        <f t="shared" ref="R60:R67" si="77">2749.3*1.2</f>
        <v>3299.1600000000003</v>
      </c>
      <c r="S60" s="607"/>
      <c r="T60" s="657">
        <v>2666.93</v>
      </c>
      <c r="U60" s="658">
        <v>8466.1959999999999</v>
      </c>
      <c r="V60" s="659"/>
      <c r="W60" s="658"/>
      <c r="X60" s="658"/>
      <c r="Y60" s="658"/>
      <c r="Z60" s="178">
        <f t="shared" si="34"/>
        <v>11133.126</v>
      </c>
      <c r="AA60" s="657">
        <v>1629.827</v>
      </c>
      <c r="AB60" s="658">
        <v>6349.6469999999999</v>
      </c>
      <c r="AC60" s="659"/>
      <c r="AD60" s="658"/>
      <c r="AE60" s="658"/>
      <c r="AF60" s="658"/>
      <c r="AG60" s="178">
        <f t="shared" si="35"/>
        <v>7979.4740000000002</v>
      </c>
      <c r="AH60" s="178">
        <f t="shared" si="36"/>
        <v>19112.599999999999</v>
      </c>
      <c r="AI60" s="16">
        <f t="shared" si="64"/>
        <v>4296.7569999999996</v>
      </c>
      <c r="AJ60" s="16">
        <f t="shared" si="64"/>
        <v>14815.843000000001</v>
      </c>
      <c r="AK60" s="16">
        <f t="shared" si="64"/>
        <v>0</v>
      </c>
      <c r="AL60" s="16">
        <f t="shared" si="64"/>
        <v>0</v>
      </c>
      <c r="AM60" s="16">
        <f t="shared" si="64"/>
        <v>0</v>
      </c>
      <c r="AN60" s="16"/>
      <c r="AO60" s="16">
        <f t="shared" si="7"/>
        <v>19112.599999999999</v>
      </c>
      <c r="AP60" s="16">
        <f t="shared" si="37"/>
        <v>19112.599999999999</v>
      </c>
      <c r="AQ60" s="16">
        <f t="shared" si="38"/>
        <v>19112.599999999999</v>
      </c>
      <c r="AR60" s="127">
        <f t="shared" si="39"/>
        <v>0</v>
      </c>
      <c r="AS60" s="112">
        <f t="shared" si="70"/>
        <v>13681011.784224</v>
      </c>
      <c r="AT60" s="112">
        <f t="shared" si="70"/>
        <v>37011753.715159997</v>
      </c>
      <c r="AU60" s="112">
        <f t="shared" si="70"/>
        <v>0</v>
      </c>
      <c r="AV60" s="112">
        <f t="shared" si="70"/>
        <v>0</v>
      </c>
      <c r="AW60" s="112">
        <f t="shared" si="70"/>
        <v>0</v>
      </c>
      <c r="AX60" s="112">
        <f t="shared" si="40"/>
        <v>50692765.499384001</v>
      </c>
      <c r="AY60" s="112">
        <f t="shared" si="41"/>
        <v>50692765.499384001</v>
      </c>
      <c r="AZ60" s="112">
        <f t="shared" si="71"/>
        <v>14175688.82412</v>
      </c>
      <c r="BA60" s="112">
        <f t="shared" si="71"/>
        <v>39413846.340750001</v>
      </c>
      <c r="BB60" s="112">
        <f t="shared" si="71"/>
        <v>0</v>
      </c>
      <c r="BC60" s="112">
        <f t="shared" si="71"/>
        <v>0</v>
      </c>
      <c r="BD60" s="112">
        <f t="shared" si="71"/>
        <v>0</v>
      </c>
      <c r="BE60" s="112">
        <f t="shared" si="42"/>
        <v>53589535.164870001</v>
      </c>
      <c r="BF60" s="112">
        <f t="shared" si="43"/>
        <v>53589535.164870001</v>
      </c>
      <c r="BG60" s="623">
        <f>(I60-J60)/1.2*U60/1000</f>
        <v>4839.2211922933357</v>
      </c>
      <c r="BH60" s="624">
        <f>(O60-P60)/1.2*AB60/1000</f>
        <v>3380.7108039750019</v>
      </c>
      <c r="BI60" s="623">
        <f t="shared" si="5"/>
        <v>8219.9319962683367</v>
      </c>
      <c r="BJ60" s="169"/>
      <c r="BK60" s="169"/>
      <c r="BL60" s="112">
        <f t="shared" si="72"/>
        <v>8491590.4617599994</v>
      </c>
      <c r="BM60" s="112">
        <f t="shared" si="72"/>
        <v>21149573.551519997</v>
      </c>
      <c r="BN60" s="112">
        <f t="shared" si="72"/>
        <v>0</v>
      </c>
      <c r="BO60" s="112">
        <f t="shared" si="72"/>
        <v>0</v>
      </c>
      <c r="BP60" s="112">
        <f t="shared" si="72"/>
        <v>0</v>
      </c>
      <c r="BQ60" s="112">
        <f t="shared" si="44"/>
        <v>29641164.013279997</v>
      </c>
      <c r="BR60" s="112">
        <f t="shared" si="45"/>
        <v>29641164.013279997</v>
      </c>
      <c r="BS60" s="112">
        <f t="shared" si="73"/>
        <v>5377060.0453200005</v>
      </c>
      <c r="BT60" s="112">
        <f t="shared" si="73"/>
        <v>16891648.43175</v>
      </c>
      <c r="BU60" s="112">
        <f t="shared" si="73"/>
        <v>0</v>
      </c>
      <c r="BV60" s="112">
        <f t="shared" si="12"/>
        <v>0</v>
      </c>
      <c r="BW60" s="112">
        <f t="shared" si="13"/>
        <v>0</v>
      </c>
      <c r="BX60" s="112">
        <f t="shared" si="46"/>
        <v>22268708.47707</v>
      </c>
      <c r="BY60" s="112">
        <f t="shared" si="47"/>
        <v>22268708.47707</v>
      </c>
      <c r="BZ60" s="113">
        <f t="shared" si="48"/>
        <v>38041221.983269997</v>
      </c>
      <c r="CA60" s="113">
        <f t="shared" si="48"/>
        <v>0</v>
      </c>
      <c r="CB60" s="113">
        <f t="shared" si="49"/>
        <v>38041221.983269997</v>
      </c>
      <c r="CC60" s="119">
        <f t="shared" si="50"/>
        <v>2567.6042857142852</v>
      </c>
      <c r="CD60" s="119" t="e">
        <f t="shared" si="50"/>
        <v>#DIV/0!</v>
      </c>
      <c r="CE60" s="119">
        <f t="shared" si="51"/>
        <v>2567.6042857142852</v>
      </c>
      <c r="CF60" s="119">
        <f t="shared" si="14"/>
        <v>2567.6042857142852</v>
      </c>
      <c r="CG60" s="619">
        <f t="shared" si="15"/>
        <v>47905140.378792003</v>
      </c>
      <c r="CH60" s="132">
        <f t="shared" si="52"/>
        <v>3233.3725714285715</v>
      </c>
      <c r="CI60" s="171"/>
      <c r="CJ60" s="208">
        <f t="shared" si="16"/>
        <v>35448.229444032004</v>
      </c>
      <c r="CK60" s="208">
        <f t="shared" si="17"/>
        <v>26325.561441840004</v>
      </c>
      <c r="CL60" s="208">
        <f t="shared" si="53"/>
        <v>61773.790885872004</v>
      </c>
      <c r="CM60" s="112">
        <f t="shared" si="18"/>
        <v>61773790.885872006</v>
      </c>
      <c r="CN60" s="112">
        <f t="shared" si="19"/>
        <v>50692765.499384001</v>
      </c>
      <c r="CO60" s="112">
        <f t="shared" si="20"/>
        <v>50692765.499384001</v>
      </c>
      <c r="CP60" s="112">
        <f t="shared" si="21"/>
        <v>29641164.013279997</v>
      </c>
      <c r="CQ60" s="112">
        <f t="shared" si="22"/>
        <v>53589535.164870001</v>
      </c>
      <c r="CR60" s="112">
        <f t="shared" si="23"/>
        <v>53589535.164870001</v>
      </c>
      <c r="CS60" s="112">
        <f t="shared" si="24"/>
        <v>22268708.47707</v>
      </c>
      <c r="CT60" s="112">
        <f t="shared" si="54"/>
        <v>104282300.66425401</v>
      </c>
      <c r="CU60" s="124">
        <f t="shared" si="55"/>
        <v>5456206.9349148739</v>
      </c>
      <c r="CV60" s="112">
        <f t="shared" si="25"/>
        <v>37011753.715159997</v>
      </c>
      <c r="CW60" s="112">
        <f t="shared" si="26"/>
        <v>39413846.340750001</v>
      </c>
      <c r="CX60" s="112">
        <f t="shared" si="56"/>
        <v>76425600.055909991</v>
      </c>
      <c r="CY60" s="112">
        <f t="shared" si="27"/>
        <v>60855130.003200009</v>
      </c>
      <c r="CZ60" s="112">
        <f t="shared" si="28"/>
        <v>63055525.416000009</v>
      </c>
      <c r="DA60" s="171"/>
      <c r="DB60" s="128">
        <f t="shared" si="57"/>
        <v>132.06571341648922</v>
      </c>
      <c r="DC60" s="171"/>
      <c r="DD60" s="171"/>
      <c r="DE60" s="171"/>
      <c r="DF60" s="171"/>
      <c r="DG60" s="618">
        <f t="shared" si="29"/>
        <v>0</v>
      </c>
      <c r="DH60" s="618">
        <f t="shared" si="30"/>
        <v>0</v>
      </c>
      <c r="DI60" s="618">
        <f t="shared" si="31"/>
        <v>0</v>
      </c>
      <c r="DJ60" s="125"/>
    </row>
    <row r="61" spans="1:114" s="32" customFormat="1" ht="63.75" customHeight="1">
      <c r="A61" s="20">
        <f t="shared" si="58"/>
        <v>48</v>
      </c>
      <c r="B61" s="1503" t="s">
        <v>21</v>
      </c>
      <c r="C61" s="801" t="s">
        <v>67</v>
      </c>
      <c r="D61" s="748" t="s">
        <v>141</v>
      </c>
      <c r="E61" s="617">
        <v>4632024035</v>
      </c>
      <c r="F61" s="803" t="s">
        <v>8</v>
      </c>
      <c r="G61" s="751" t="s">
        <v>890</v>
      </c>
      <c r="H61" s="816">
        <f t="shared" si="74"/>
        <v>3184.0320000000002</v>
      </c>
      <c r="I61" s="816">
        <f t="shared" si="74"/>
        <v>3184.0320000000002</v>
      </c>
      <c r="J61" s="38">
        <v>2103.35</v>
      </c>
      <c r="K61" s="38"/>
      <c r="L61" s="816">
        <f t="shared" si="75"/>
        <v>3184.0320000000002</v>
      </c>
      <c r="M61" s="607"/>
      <c r="N61" s="622">
        <f t="shared" si="76"/>
        <v>3299.1600000000003</v>
      </c>
      <c r="O61" s="622">
        <f t="shared" si="76"/>
        <v>3299.1600000000003</v>
      </c>
      <c r="P61" s="38">
        <v>2239.86</v>
      </c>
      <c r="Q61" s="38"/>
      <c r="R61" s="622">
        <f t="shared" si="77"/>
        <v>3299.1600000000003</v>
      </c>
      <c r="S61" s="607"/>
      <c r="T61" s="649">
        <v>7454.027</v>
      </c>
      <c r="U61" s="660">
        <v>9483.7219999999998</v>
      </c>
      <c r="V61" s="661"/>
      <c r="W61" s="662"/>
      <c r="X61" s="662"/>
      <c r="Y61" s="662"/>
      <c r="Z61" s="178">
        <f t="shared" si="34"/>
        <v>16937.749</v>
      </c>
      <c r="AA61" s="657">
        <v>4714.1260000000002</v>
      </c>
      <c r="AB61" s="662">
        <v>7112.7920000000004</v>
      </c>
      <c r="AC61" s="661"/>
      <c r="AD61" s="662"/>
      <c r="AE61" s="662"/>
      <c r="AF61" s="662"/>
      <c r="AG61" s="178">
        <f t="shared" si="35"/>
        <v>11826.918000000001</v>
      </c>
      <c r="AH61" s="178">
        <f t="shared" si="36"/>
        <v>28764.667000000001</v>
      </c>
      <c r="AI61" s="16">
        <f t="shared" si="64"/>
        <v>12168.153</v>
      </c>
      <c r="AJ61" s="16">
        <f t="shared" si="64"/>
        <v>16596.513999999999</v>
      </c>
      <c r="AK61" s="16">
        <f t="shared" si="64"/>
        <v>0</v>
      </c>
      <c r="AL61" s="16">
        <f t="shared" si="64"/>
        <v>0</v>
      </c>
      <c r="AM61" s="16">
        <f t="shared" si="64"/>
        <v>0</v>
      </c>
      <c r="AN61" s="16"/>
      <c r="AO61" s="16">
        <f t="shared" si="7"/>
        <v>28764.667000000001</v>
      </c>
      <c r="AP61" s="16">
        <f t="shared" si="37"/>
        <v>28764.667000000001</v>
      </c>
      <c r="AQ61" s="16">
        <f t="shared" si="38"/>
        <v>28764.667000000001</v>
      </c>
      <c r="AR61" s="127">
        <f t="shared" si="39"/>
        <v>0</v>
      </c>
      <c r="AS61" s="112">
        <f t="shared" si="70"/>
        <v>38743788.532896005</v>
      </c>
      <c r="AT61" s="112">
        <f t="shared" si="70"/>
        <v>34908277.721899994</v>
      </c>
      <c r="AU61" s="112">
        <f t="shared" si="70"/>
        <v>0</v>
      </c>
      <c r="AV61" s="112">
        <f t="shared" si="70"/>
        <v>0</v>
      </c>
      <c r="AW61" s="112">
        <f t="shared" si="70"/>
        <v>0</v>
      </c>
      <c r="AX61" s="112">
        <f t="shared" si="40"/>
        <v>73652066.254795998</v>
      </c>
      <c r="AY61" s="112">
        <f t="shared" si="41"/>
        <v>73652066.254795998</v>
      </c>
      <c r="AZ61" s="112">
        <f t="shared" si="71"/>
        <v>40144683.651480004</v>
      </c>
      <c r="BA61" s="112">
        <f t="shared" si="71"/>
        <v>37173867.84804</v>
      </c>
      <c r="BB61" s="112">
        <f t="shared" si="71"/>
        <v>0</v>
      </c>
      <c r="BC61" s="112">
        <f t="shared" si="71"/>
        <v>0</v>
      </c>
      <c r="BD61" s="112">
        <f t="shared" si="71"/>
        <v>0</v>
      </c>
      <c r="BE61" s="112">
        <f t="shared" si="42"/>
        <v>77318551.499520004</v>
      </c>
      <c r="BF61" s="112">
        <f t="shared" si="43"/>
        <v>77318551.499520004</v>
      </c>
      <c r="BG61" s="623">
        <f>(I61-J61)/1.2*U61/1000</f>
        <v>8540.7397153366692</v>
      </c>
      <c r="BH61" s="624">
        <f>(O61-P61)/1.2*AB61/1000</f>
        <v>6278.8171380000022</v>
      </c>
      <c r="BI61" s="623">
        <f t="shared" si="5"/>
        <v>14819.556853336671</v>
      </c>
      <c r="BJ61" s="169"/>
      <c r="BK61" s="169"/>
      <c r="BL61" s="112">
        <f t="shared" si="72"/>
        <v>23733860.496864002</v>
      </c>
      <c r="BM61" s="112">
        <f t="shared" si="72"/>
        <v>19947586.668699998</v>
      </c>
      <c r="BN61" s="112">
        <f t="shared" si="72"/>
        <v>0</v>
      </c>
      <c r="BO61" s="112">
        <f t="shared" si="72"/>
        <v>0</v>
      </c>
      <c r="BP61" s="112">
        <f t="shared" si="72"/>
        <v>0</v>
      </c>
      <c r="BQ61" s="112">
        <f t="shared" si="44"/>
        <v>43681447.165564001</v>
      </c>
      <c r="BR61" s="112">
        <f t="shared" si="45"/>
        <v>43681447.165564001</v>
      </c>
      <c r="BS61" s="112">
        <f t="shared" si="73"/>
        <v>15552655.934160002</v>
      </c>
      <c r="BT61" s="112">
        <f t="shared" si="73"/>
        <v>15931658.289120002</v>
      </c>
      <c r="BU61" s="112">
        <f t="shared" si="73"/>
        <v>0</v>
      </c>
      <c r="BV61" s="112">
        <f t="shared" si="12"/>
        <v>0</v>
      </c>
      <c r="BW61" s="112">
        <f t="shared" si="13"/>
        <v>0</v>
      </c>
      <c r="BX61" s="112">
        <f t="shared" si="46"/>
        <v>31484314.223280005</v>
      </c>
      <c r="BY61" s="112">
        <f t="shared" si="47"/>
        <v>31484314.223280005</v>
      </c>
      <c r="BZ61" s="113">
        <f t="shared" si="48"/>
        <v>35879244.957819998</v>
      </c>
      <c r="CA61" s="113">
        <f t="shared" si="48"/>
        <v>0</v>
      </c>
      <c r="CB61" s="113">
        <f t="shared" si="49"/>
        <v>35879244.957819998</v>
      </c>
      <c r="CC61" s="119">
        <f t="shared" si="50"/>
        <v>2161.854288064349</v>
      </c>
      <c r="CD61" s="119" t="e">
        <f t="shared" si="50"/>
        <v>#DIV/0!</v>
      </c>
      <c r="CE61" s="119">
        <f t="shared" si="51"/>
        <v>2161.854288064349</v>
      </c>
      <c r="CF61" s="119">
        <f t="shared" si="14"/>
        <v>2161.854288064349</v>
      </c>
      <c r="CG61" s="619">
        <f t="shared" si="15"/>
        <v>53662713.181824006</v>
      </c>
      <c r="CH61" s="132">
        <f t="shared" si="52"/>
        <v>3233.3725734105374</v>
      </c>
      <c r="CI61" s="625"/>
      <c r="CJ61" s="208">
        <f t="shared" si="16"/>
        <v>53930.334823967998</v>
      </c>
      <c r="CK61" s="208">
        <f t="shared" si="17"/>
        <v>39018.894788880003</v>
      </c>
      <c r="CL61" s="208">
        <f t="shared" si="53"/>
        <v>92949.229612847994</v>
      </c>
      <c r="CM61" s="112">
        <f t="shared" si="18"/>
        <v>92949229.612848014</v>
      </c>
      <c r="CN61" s="112">
        <f t="shared" si="19"/>
        <v>73652066.254795998</v>
      </c>
      <c r="CO61" s="112">
        <f t="shared" si="20"/>
        <v>73652066.254795998</v>
      </c>
      <c r="CP61" s="112">
        <f t="shared" si="21"/>
        <v>43681447.165564001</v>
      </c>
      <c r="CQ61" s="112">
        <f t="shared" si="22"/>
        <v>77318551.499520004</v>
      </c>
      <c r="CR61" s="112">
        <f t="shared" si="23"/>
        <v>77318551.499520004</v>
      </c>
      <c r="CS61" s="112">
        <f t="shared" si="24"/>
        <v>31484314.223280005</v>
      </c>
      <c r="CT61" s="112">
        <f t="shared" si="54"/>
        <v>150970617.754316</v>
      </c>
      <c r="CU61" s="124">
        <f t="shared" si="55"/>
        <v>5248474.3784559024</v>
      </c>
      <c r="CV61" s="112">
        <f t="shared" si="25"/>
        <v>34908277.721899994</v>
      </c>
      <c r="CW61" s="112">
        <f t="shared" si="26"/>
        <v>37173867.84804</v>
      </c>
      <c r="CX61" s="112">
        <f t="shared" si="56"/>
        <v>72082145.569940001</v>
      </c>
      <c r="CY61" s="112">
        <f t="shared" si="27"/>
        <v>91587620.197344005</v>
      </c>
      <c r="CZ61" s="112">
        <f t="shared" si="28"/>
        <v>94899238.779720008</v>
      </c>
      <c r="DA61" s="625"/>
      <c r="DB61" s="128">
        <f t="shared" si="57"/>
        <v>156.8526398364514</v>
      </c>
      <c r="DC61" s="625"/>
      <c r="DD61" s="625"/>
      <c r="DE61" s="625"/>
      <c r="DF61" s="625"/>
      <c r="DG61" s="618">
        <f t="shared" si="29"/>
        <v>0</v>
      </c>
      <c r="DH61" s="618">
        <f t="shared" si="30"/>
        <v>0</v>
      </c>
      <c r="DI61" s="618">
        <f t="shared" si="31"/>
        <v>0</v>
      </c>
      <c r="DJ61" s="123"/>
    </row>
    <row r="62" spans="1:114" s="153" customFormat="1" ht="63.75" customHeight="1">
      <c r="A62" s="20">
        <f t="shared" si="58"/>
        <v>49</v>
      </c>
      <c r="B62" s="1561"/>
      <c r="C62" s="803" t="s">
        <v>100</v>
      </c>
      <c r="D62" s="748" t="s">
        <v>141</v>
      </c>
      <c r="E62" s="617">
        <v>4632024035</v>
      </c>
      <c r="F62" s="803" t="s">
        <v>8</v>
      </c>
      <c r="G62" s="751" t="s">
        <v>890</v>
      </c>
      <c r="H62" s="816">
        <f t="shared" si="74"/>
        <v>3184.0320000000002</v>
      </c>
      <c r="I62" s="816">
        <f t="shared" si="74"/>
        <v>3184.0320000000002</v>
      </c>
      <c r="J62" s="38">
        <v>2732.57</v>
      </c>
      <c r="K62" s="38"/>
      <c r="L62" s="816">
        <f t="shared" si="75"/>
        <v>3184.0320000000002</v>
      </c>
      <c r="M62" s="604"/>
      <c r="N62" s="622">
        <f t="shared" si="76"/>
        <v>3299.1600000000003</v>
      </c>
      <c r="O62" s="622">
        <f t="shared" si="76"/>
        <v>3299.1600000000003</v>
      </c>
      <c r="P62" s="38">
        <v>2896.52</v>
      </c>
      <c r="Q62" s="603"/>
      <c r="R62" s="622">
        <f t="shared" si="77"/>
        <v>3299.1600000000003</v>
      </c>
      <c r="S62" s="604"/>
      <c r="T62" s="663">
        <v>503.40499999999997</v>
      </c>
      <c r="U62" s="664">
        <v>1357.9</v>
      </c>
      <c r="V62" s="665"/>
      <c r="W62" s="664"/>
      <c r="X62" s="664"/>
      <c r="Y62" s="664"/>
      <c r="Z62" s="620">
        <f t="shared" si="34"/>
        <v>1861.3050000000001</v>
      </c>
      <c r="AA62" s="663">
        <v>292.32</v>
      </c>
      <c r="AB62" s="664">
        <v>1018.4</v>
      </c>
      <c r="AC62" s="665"/>
      <c r="AD62" s="664"/>
      <c r="AE62" s="664"/>
      <c r="AF62" s="664"/>
      <c r="AG62" s="620">
        <f t="shared" si="35"/>
        <v>1310.72</v>
      </c>
      <c r="AH62" s="620">
        <f t="shared" si="36"/>
        <v>3172.0250000000001</v>
      </c>
      <c r="AI62" s="606">
        <f t="shared" si="64"/>
        <v>795.72499999999991</v>
      </c>
      <c r="AJ62" s="606">
        <f t="shared" si="64"/>
        <v>2376.3000000000002</v>
      </c>
      <c r="AK62" s="606">
        <f t="shared" si="64"/>
        <v>0</v>
      </c>
      <c r="AL62" s="606">
        <f t="shared" si="64"/>
        <v>0</v>
      </c>
      <c r="AM62" s="606">
        <f t="shared" si="64"/>
        <v>0</v>
      </c>
      <c r="AN62" s="606"/>
      <c r="AO62" s="606">
        <f t="shared" si="7"/>
        <v>3172.0250000000001</v>
      </c>
      <c r="AP62" s="606">
        <f t="shared" si="37"/>
        <v>3172.0250000000001</v>
      </c>
      <c r="AQ62" s="606">
        <f t="shared" si="38"/>
        <v>3172.0250000000001</v>
      </c>
      <c r="AR62" s="127">
        <f t="shared" si="39"/>
        <v>0</v>
      </c>
      <c r="AS62" s="112">
        <f t="shared" si="70"/>
        <v>2533613.8632</v>
      </c>
      <c r="AT62" s="112">
        <f t="shared" si="70"/>
        <v>6493406.0910000009</v>
      </c>
      <c r="AU62" s="112">
        <f t="shared" si="70"/>
        <v>0</v>
      </c>
      <c r="AV62" s="112">
        <f t="shared" si="70"/>
        <v>0</v>
      </c>
      <c r="AW62" s="112">
        <f t="shared" si="70"/>
        <v>0</v>
      </c>
      <c r="AX62" s="112">
        <f t="shared" si="40"/>
        <v>9027019.9542000014</v>
      </c>
      <c r="AY62" s="112">
        <f t="shared" si="41"/>
        <v>9027019.9542000014</v>
      </c>
      <c r="AZ62" s="112">
        <f t="shared" si="71"/>
        <v>2625224.091</v>
      </c>
      <c r="BA62" s="112">
        <f t="shared" si="71"/>
        <v>6883000.4760000007</v>
      </c>
      <c r="BB62" s="112">
        <f t="shared" si="71"/>
        <v>0</v>
      </c>
      <c r="BC62" s="112">
        <f t="shared" si="71"/>
        <v>0</v>
      </c>
      <c r="BD62" s="112">
        <f t="shared" si="71"/>
        <v>0</v>
      </c>
      <c r="BE62" s="112">
        <f t="shared" si="42"/>
        <v>9508224.5670000017</v>
      </c>
      <c r="BF62" s="112">
        <f t="shared" si="43"/>
        <v>9508224.5670000017</v>
      </c>
      <c r="BG62" s="666">
        <f>(I62-J62)/1.2*U62/1000</f>
        <v>510.86687483333344</v>
      </c>
      <c r="BH62" s="667">
        <f>(O62-P62)/1.2*AB62/1000</f>
        <v>341.70714666666697</v>
      </c>
      <c r="BI62" s="666">
        <f t="shared" si="5"/>
        <v>852.57402150000041</v>
      </c>
      <c r="BJ62" s="169"/>
      <c r="BK62" s="169"/>
      <c r="BL62" s="112">
        <f t="shared" si="72"/>
        <v>1602857.6289599999</v>
      </c>
      <c r="BM62" s="112">
        <f t="shared" si="72"/>
        <v>3710556.8030000003</v>
      </c>
      <c r="BN62" s="112">
        <f t="shared" si="72"/>
        <v>0</v>
      </c>
      <c r="BO62" s="112">
        <f t="shared" si="72"/>
        <v>0</v>
      </c>
      <c r="BP62" s="112">
        <f t="shared" si="72"/>
        <v>0</v>
      </c>
      <c r="BQ62" s="112">
        <f t="shared" si="44"/>
        <v>5313414.4319599997</v>
      </c>
      <c r="BR62" s="112">
        <f t="shared" si="45"/>
        <v>5313414.4319599997</v>
      </c>
      <c r="BS62" s="112">
        <f t="shared" si="73"/>
        <v>964410.45120000001</v>
      </c>
      <c r="BT62" s="112">
        <f t="shared" si="73"/>
        <v>2949815.9679999999</v>
      </c>
      <c r="BU62" s="112">
        <f t="shared" si="73"/>
        <v>0</v>
      </c>
      <c r="BV62" s="112">
        <f t="shared" si="12"/>
        <v>0</v>
      </c>
      <c r="BW62" s="112">
        <f t="shared" si="13"/>
        <v>0</v>
      </c>
      <c r="BX62" s="112">
        <f t="shared" si="46"/>
        <v>3914226.4191999999</v>
      </c>
      <c r="BY62" s="112">
        <f t="shared" si="47"/>
        <v>3914226.4191999999</v>
      </c>
      <c r="BZ62" s="113">
        <f t="shared" si="48"/>
        <v>6660372.7709999997</v>
      </c>
      <c r="CA62" s="113">
        <f t="shared" si="48"/>
        <v>0</v>
      </c>
      <c r="CB62" s="113">
        <f t="shared" si="49"/>
        <v>6660372.7709999997</v>
      </c>
      <c r="CC62" s="119">
        <f t="shared" si="50"/>
        <v>2802.8333000883722</v>
      </c>
      <c r="CD62" s="119" t="e">
        <f t="shared" si="50"/>
        <v>#DIV/0!</v>
      </c>
      <c r="CE62" s="119">
        <f t="shared" si="51"/>
        <v>2802.8333000883722</v>
      </c>
      <c r="CF62" s="119">
        <f t="shared" si="14"/>
        <v>2802.8333000883722</v>
      </c>
      <c r="CG62" s="619">
        <f t="shared" si="15"/>
        <v>7683461.5968000013</v>
      </c>
      <c r="CH62" s="132">
        <f t="shared" si="52"/>
        <v>3233.3718793081684</v>
      </c>
      <c r="CI62" s="625"/>
      <c r="CJ62" s="208">
        <f t="shared" si="16"/>
        <v>5926.4546817600003</v>
      </c>
      <c r="CK62" s="208">
        <f t="shared" si="17"/>
        <v>4324.2749952000004</v>
      </c>
      <c r="CL62" s="208">
        <f t="shared" si="53"/>
        <v>10250.72967696</v>
      </c>
      <c r="CM62" s="112">
        <f t="shared" si="18"/>
        <v>10250729.676960001</v>
      </c>
      <c r="CN62" s="112">
        <f t="shared" si="19"/>
        <v>9027019.9542000014</v>
      </c>
      <c r="CO62" s="112">
        <f t="shared" si="20"/>
        <v>9027019.9542000014</v>
      </c>
      <c r="CP62" s="112">
        <f t="shared" si="21"/>
        <v>5313414.4319599997</v>
      </c>
      <c r="CQ62" s="112">
        <f t="shared" si="22"/>
        <v>9508224.5670000017</v>
      </c>
      <c r="CR62" s="112">
        <f t="shared" si="23"/>
        <v>9508224.5670000017</v>
      </c>
      <c r="CS62" s="112">
        <f t="shared" si="24"/>
        <v>3914226.4191999999</v>
      </c>
      <c r="CT62" s="112">
        <f t="shared" si="54"/>
        <v>18535244.521200001</v>
      </c>
      <c r="CU62" s="124">
        <f t="shared" si="55"/>
        <v>5843347.552809326</v>
      </c>
      <c r="CV62" s="112">
        <f t="shared" si="25"/>
        <v>6493406.0910000009</v>
      </c>
      <c r="CW62" s="112">
        <f t="shared" si="26"/>
        <v>6883000.4760000007</v>
      </c>
      <c r="CX62" s="112">
        <f t="shared" si="56"/>
        <v>13376406.567000002</v>
      </c>
      <c r="CY62" s="112">
        <f t="shared" si="27"/>
        <v>10099829.104800001</v>
      </c>
      <c r="CZ62" s="112">
        <f t="shared" si="28"/>
        <v>10465017.999000002</v>
      </c>
      <c r="DA62" s="625"/>
      <c r="DB62" s="128">
        <f t="shared" si="57"/>
        <v>120.73469298133259</v>
      </c>
      <c r="DC62" s="625"/>
      <c r="DD62" s="625"/>
      <c r="DE62" s="625"/>
      <c r="DF62" s="625"/>
      <c r="DG62" s="618">
        <f t="shared" si="29"/>
        <v>0</v>
      </c>
      <c r="DH62" s="618">
        <f t="shared" si="30"/>
        <v>0</v>
      </c>
      <c r="DI62" s="618">
        <f t="shared" si="31"/>
        <v>0</v>
      </c>
      <c r="DJ62" s="152"/>
    </row>
    <row r="63" spans="1:114" s="32" customFormat="1" ht="63.75" customHeight="1">
      <c r="A63" s="20">
        <f t="shared" si="58"/>
        <v>50</v>
      </c>
      <c r="B63" s="1503"/>
      <c r="C63" s="803" t="s">
        <v>101</v>
      </c>
      <c r="D63" s="748" t="s">
        <v>141</v>
      </c>
      <c r="E63" s="617">
        <v>4632024035</v>
      </c>
      <c r="F63" s="803" t="s">
        <v>8</v>
      </c>
      <c r="G63" s="751" t="s">
        <v>890</v>
      </c>
      <c r="H63" s="816">
        <f t="shared" si="74"/>
        <v>3184.0320000000002</v>
      </c>
      <c r="I63" s="816">
        <f t="shared" si="74"/>
        <v>3184.0320000000002</v>
      </c>
      <c r="J63" s="38">
        <v>2732.57</v>
      </c>
      <c r="K63" s="38"/>
      <c r="L63" s="816">
        <f t="shared" si="75"/>
        <v>3184.0320000000002</v>
      </c>
      <c r="M63" s="36"/>
      <c r="N63" s="622">
        <f t="shared" si="76"/>
        <v>3299.1600000000003</v>
      </c>
      <c r="O63" s="622">
        <f t="shared" si="76"/>
        <v>3299.1600000000003</v>
      </c>
      <c r="P63" s="38">
        <v>2896.52</v>
      </c>
      <c r="Q63" s="10"/>
      <c r="R63" s="622">
        <f t="shared" si="77"/>
        <v>3299.1600000000003</v>
      </c>
      <c r="S63" s="36"/>
      <c r="T63" s="657">
        <v>215.745</v>
      </c>
      <c r="U63" s="662">
        <v>64.396999999999991</v>
      </c>
      <c r="V63" s="661"/>
      <c r="W63" s="662"/>
      <c r="X63" s="662"/>
      <c r="Y63" s="662"/>
      <c r="Z63" s="35">
        <f t="shared" si="34"/>
        <v>280.142</v>
      </c>
      <c r="AA63" s="657">
        <v>125.27999999999999</v>
      </c>
      <c r="AB63" s="662">
        <v>48.298000000000002</v>
      </c>
      <c r="AC63" s="661"/>
      <c r="AD63" s="662"/>
      <c r="AE63" s="662"/>
      <c r="AF63" s="662"/>
      <c r="AG63" s="35">
        <f t="shared" si="35"/>
        <v>173.57799999999997</v>
      </c>
      <c r="AH63" s="35">
        <f t="shared" si="36"/>
        <v>453.71999999999997</v>
      </c>
      <c r="AI63" s="15">
        <f t="shared" si="64"/>
        <v>341.02499999999998</v>
      </c>
      <c r="AJ63" s="15">
        <f t="shared" si="64"/>
        <v>112.69499999999999</v>
      </c>
      <c r="AK63" s="15">
        <f t="shared" si="64"/>
        <v>0</v>
      </c>
      <c r="AL63" s="15">
        <f t="shared" si="64"/>
        <v>0</v>
      </c>
      <c r="AM63" s="15">
        <f t="shared" si="64"/>
        <v>0</v>
      </c>
      <c r="AN63" s="15"/>
      <c r="AO63" s="15">
        <f t="shared" si="7"/>
        <v>453.71999999999997</v>
      </c>
      <c r="AP63" s="15">
        <f t="shared" si="37"/>
        <v>453.71999999999997</v>
      </c>
      <c r="AQ63" s="15">
        <f t="shared" si="38"/>
        <v>453.71999999999997</v>
      </c>
      <c r="AR63" s="127">
        <f t="shared" si="39"/>
        <v>0</v>
      </c>
      <c r="AS63" s="112">
        <f t="shared" si="70"/>
        <v>1085834.5127999999</v>
      </c>
      <c r="AT63" s="112">
        <f t="shared" si="70"/>
        <v>307946.97615</v>
      </c>
      <c r="AU63" s="112">
        <f t="shared" si="70"/>
        <v>0</v>
      </c>
      <c r="AV63" s="112">
        <f t="shared" si="70"/>
        <v>0</v>
      </c>
      <c r="AW63" s="112">
        <f t="shared" si="70"/>
        <v>0</v>
      </c>
      <c r="AX63" s="112">
        <f t="shared" si="40"/>
        <v>1393781.4889499999</v>
      </c>
      <c r="AY63" s="112">
        <f t="shared" si="41"/>
        <v>1393781.4889499999</v>
      </c>
      <c r="AZ63" s="112">
        <f t="shared" si="71"/>
        <v>1125096.0390000001</v>
      </c>
      <c r="BA63" s="112">
        <f t="shared" si="71"/>
        <v>326423.32139999996</v>
      </c>
      <c r="BB63" s="112">
        <f t="shared" si="71"/>
        <v>0</v>
      </c>
      <c r="BC63" s="112">
        <f t="shared" si="71"/>
        <v>0</v>
      </c>
      <c r="BD63" s="112">
        <f t="shared" si="71"/>
        <v>0</v>
      </c>
      <c r="BE63" s="112">
        <f t="shared" si="42"/>
        <v>1451519.3604000001</v>
      </c>
      <c r="BF63" s="112">
        <f t="shared" si="43"/>
        <v>1451519.3604000001</v>
      </c>
      <c r="BG63" s="623">
        <f>(I63-J63)/1.2*U63/1000</f>
        <v>24.227332011666665</v>
      </c>
      <c r="BH63" s="624">
        <f>(O63-P63)/1.2*AB63/1000</f>
        <v>16.205588933333349</v>
      </c>
      <c r="BI63" s="623">
        <f t="shared" si="5"/>
        <v>40.432920945000014</v>
      </c>
      <c r="BJ63" s="169"/>
      <c r="BK63" s="169"/>
      <c r="BL63" s="112">
        <f t="shared" si="72"/>
        <v>686938.98384</v>
      </c>
      <c r="BM63" s="112">
        <f t="shared" si="72"/>
        <v>175969.31028999999</v>
      </c>
      <c r="BN63" s="112">
        <f t="shared" si="72"/>
        <v>0</v>
      </c>
      <c r="BO63" s="112">
        <f t="shared" si="72"/>
        <v>0</v>
      </c>
      <c r="BP63" s="112">
        <f t="shared" si="72"/>
        <v>0</v>
      </c>
      <c r="BQ63" s="112">
        <f t="shared" si="44"/>
        <v>862908.29413000005</v>
      </c>
      <c r="BR63" s="112">
        <f t="shared" si="45"/>
        <v>862908.29413000005</v>
      </c>
      <c r="BS63" s="112">
        <f t="shared" si="73"/>
        <v>413318.7648</v>
      </c>
      <c r="BT63" s="112">
        <f t="shared" si="73"/>
        <v>139896.12296000001</v>
      </c>
      <c r="BU63" s="112">
        <f t="shared" si="73"/>
        <v>0</v>
      </c>
      <c r="BV63" s="112">
        <f t="shared" si="12"/>
        <v>0</v>
      </c>
      <c r="BW63" s="112">
        <f t="shared" si="13"/>
        <v>0</v>
      </c>
      <c r="BX63" s="112">
        <f t="shared" si="46"/>
        <v>553214.88776000007</v>
      </c>
      <c r="BY63" s="112">
        <f t="shared" si="47"/>
        <v>553214.88776000007</v>
      </c>
      <c r="BZ63" s="113">
        <f t="shared" si="48"/>
        <v>315865.43325</v>
      </c>
      <c r="CA63" s="113">
        <f t="shared" si="48"/>
        <v>0</v>
      </c>
      <c r="CB63" s="113">
        <f t="shared" si="49"/>
        <v>315865.43325</v>
      </c>
      <c r="CC63" s="119">
        <f t="shared" si="50"/>
        <v>2802.834493544523</v>
      </c>
      <c r="CD63" s="119" t="e">
        <f t="shared" si="50"/>
        <v>#DIV/0!</v>
      </c>
      <c r="CE63" s="119">
        <f t="shared" si="51"/>
        <v>2802.834493544523</v>
      </c>
      <c r="CF63" s="119">
        <f t="shared" si="14"/>
        <v>2802.834493544523</v>
      </c>
      <c r="CG63" s="619">
        <f t="shared" si="15"/>
        <v>364384.93838399998</v>
      </c>
      <c r="CH63" s="132">
        <f t="shared" si="52"/>
        <v>3233.3727173698921</v>
      </c>
      <c r="CI63" s="625"/>
      <c r="CJ63" s="208">
        <f t="shared" si="16"/>
        <v>891.98109254400003</v>
      </c>
      <c r="CK63" s="208">
        <f t="shared" si="17"/>
        <v>572.66159447999996</v>
      </c>
      <c r="CL63" s="208">
        <f t="shared" si="53"/>
        <v>1464.642687024</v>
      </c>
      <c r="CM63" s="112">
        <f t="shared" si="18"/>
        <v>1464642.6870240001</v>
      </c>
      <c r="CN63" s="112">
        <f t="shared" si="19"/>
        <v>1393781.4889499999</v>
      </c>
      <c r="CO63" s="112">
        <f t="shared" si="20"/>
        <v>1393781.4889499999</v>
      </c>
      <c r="CP63" s="112">
        <f t="shared" si="21"/>
        <v>862908.29413000005</v>
      </c>
      <c r="CQ63" s="112">
        <f t="shared" si="22"/>
        <v>1451519.3604000001</v>
      </c>
      <c r="CR63" s="112">
        <f t="shared" si="23"/>
        <v>1451519.3604000001</v>
      </c>
      <c r="CS63" s="112">
        <f t="shared" si="24"/>
        <v>553214.88776000007</v>
      </c>
      <c r="CT63" s="112">
        <f t="shared" si="54"/>
        <v>2845300.8493499998</v>
      </c>
      <c r="CU63" s="124">
        <f t="shared" si="55"/>
        <v>6271050.0955435075</v>
      </c>
      <c r="CV63" s="112">
        <f t="shared" si="25"/>
        <v>307946.97615</v>
      </c>
      <c r="CW63" s="112">
        <f t="shared" si="26"/>
        <v>326423.32139999996</v>
      </c>
      <c r="CX63" s="112">
        <f t="shared" si="56"/>
        <v>634370.29755000002</v>
      </c>
      <c r="CY63" s="112">
        <f t="shared" si="27"/>
        <v>1444658.9990399999</v>
      </c>
      <c r="CZ63" s="112">
        <f t="shared" si="28"/>
        <v>1496894.8752000001</v>
      </c>
      <c r="DA63" s="625"/>
      <c r="DB63" s="128">
        <f t="shared" si="57"/>
        <v>120.73469298133259</v>
      </c>
      <c r="DC63" s="625"/>
      <c r="DD63" s="625"/>
      <c r="DE63" s="625"/>
      <c r="DF63" s="625"/>
      <c r="DG63" s="618">
        <f t="shared" si="29"/>
        <v>0</v>
      </c>
      <c r="DH63" s="618">
        <f t="shared" si="30"/>
        <v>0</v>
      </c>
      <c r="DI63" s="618">
        <f t="shared" si="31"/>
        <v>0</v>
      </c>
      <c r="DJ63" s="123"/>
    </row>
    <row r="64" spans="1:114" s="33" customFormat="1" ht="63.75" customHeight="1">
      <c r="A64" s="20">
        <f t="shared" si="58"/>
        <v>51</v>
      </c>
      <c r="B64" s="1504"/>
      <c r="C64" s="803" t="s">
        <v>102</v>
      </c>
      <c r="D64" s="748" t="s">
        <v>141</v>
      </c>
      <c r="E64" s="617">
        <v>4632024035</v>
      </c>
      <c r="F64" s="803" t="s">
        <v>8</v>
      </c>
      <c r="G64" s="751" t="s">
        <v>890</v>
      </c>
      <c r="H64" s="816">
        <f>2653.36*1.2</f>
        <v>3184.0320000000002</v>
      </c>
      <c r="I64" s="816">
        <f>2653.36*1.2</f>
        <v>3184.0320000000002</v>
      </c>
      <c r="J64" s="38"/>
      <c r="K64" s="38"/>
      <c r="L64" s="816">
        <f t="shared" si="75"/>
        <v>3184.0320000000002</v>
      </c>
      <c r="M64" s="36"/>
      <c r="N64" s="622">
        <f t="shared" ref="N64:O67" si="78">2749.3*1.2</f>
        <v>3299.1600000000003</v>
      </c>
      <c r="O64" s="622">
        <f t="shared" si="78"/>
        <v>3299.1600000000003</v>
      </c>
      <c r="P64" s="10"/>
      <c r="Q64" s="10"/>
      <c r="R64" s="622">
        <f t="shared" si="77"/>
        <v>3299.1600000000003</v>
      </c>
      <c r="S64" s="36"/>
      <c r="T64" s="663">
        <v>132.417</v>
      </c>
      <c r="U64" s="664"/>
      <c r="V64" s="665"/>
      <c r="W64" s="664"/>
      <c r="X64" s="664"/>
      <c r="Y64" s="664"/>
      <c r="Z64" s="35">
        <f t="shared" si="34"/>
        <v>132.417</v>
      </c>
      <c r="AA64" s="663">
        <v>75.58</v>
      </c>
      <c r="AB64" s="664"/>
      <c r="AC64" s="665"/>
      <c r="AD64" s="664"/>
      <c r="AE64" s="664"/>
      <c r="AF64" s="664"/>
      <c r="AG64" s="35">
        <f t="shared" si="35"/>
        <v>75.58</v>
      </c>
      <c r="AH64" s="35">
        <f t="shared" si="36"/>
        <v>207.99700000000001</v>
      </c>
      <c r="AI64" s="15">
        <f t="shared" si="64"/>
        <v>207.99700000000001</v>
      </c>
      <c r="AJ64" s="15">
        <f t="shared" si="64"/>
        <v>0</v>
      </c>
      <c r="AK64" s="15">
        <f t="shared" si="64"/>
        <v>0</v>
      </c>
      <c r="AL64" s="15">
        <f t="shared" si="64"/>
        <v>0</v>
      </c>
      <c r="AM64" s="15">
        <f t="shared" si="64"/>
        <v>0</v>
      </c>
      <c r="AN64" s="15"/>
      <c r="AO64" s="15">
        <f t="shared" si="7"/>
        <v>207.99700000000001</v>
      </c>
      <c r="AP64" s="15">
        <f t="shared" si="37"/>
        <v>207.99700000000001</v>
      </c>
      <c r="AQ64" s="15">
        <f t="shared" si="38"/>
        <v>207.99700000000001</v>
      </c>
      <c r="AR64" s="127">
        <f t="shared" si="39"/>
        <v>0</v>
      </c>
      <c r="AS64" s="112">
        <f t="shared" si="70"/>
        <v>662269.10390400013</v>
      </c>
      <c r="AT64" s="112">
        <f t="shared" si="70"/>
        <v>0</v>
      </c>
      <c r="AU64" s="112">
        <f t="shared" si="70"/>
        <v>0</v>
      </c>
      <c r="AV64" s="112">
        <f t="shared" si="70"/>
        <v>0</v>
      </c>
      <c r="AW64" s="112">
        <f t="shared" si="70"/>
        <v>0</v>
      </c>
      <c r="AX64" s="112">
        <f t="shared" si="40"/>
        <v>662269.10390400013</v>
      </c>
      <c r="AY64" s="112">
        <f t="shared" si="41"/>
        <v>662269.10390400013</v>
      </c>
      <c r="AZ64" s="112">
        <f t="shared" si="71"/>
        <v>686215.3825200001</v>
      </c>
      <c r="BA64" s="112">
        <f t="shared" si="71"/>
        <v>0</v>
      </c>
      <c r="BB64" s="112">
        <f t="shared" si="71"/>
        <v>0</v>
      </c>
      <c r="BC64" s="112">
        <f t="shared" si="71"/>
        <v>0</v>
      </c>
      <c r="BD64" s="112">
        <f t="shared" si="71"/>
        <v>0</v>
      </c>
      <c r="BE64" s="112">
        <f t="shared" si="42"/>
        <v>686215.3825200001</v>
      </c>
      <c r="BF64" s="112">
        <f t="shared" si="43"/>
        <v>686215.3825200001</v>
      </c>
      <c r="BG64" s="668"/>
      <c r="BH64" s="668"/>
      <c r="BI64" s="118">
        <f t="shared" si="5"/>
        <v>0</v>
      </c>
      <c r="BJ64" s="118"/>
      <c r="BK64" s="118"/>
      <c r="BL64" s="112">
        <f t="shared" si="72"/>
        <v>421619.96534400003</v>
      </c>
      <c r="BM64" s="112">
        <f t="shared" si="72"/>
        <v>0</v>
      </c>
      <c r="BN64" s="112">
        <f t="shared" si="72"/>
        <v>0</v>
      </c>
      <c r="BO64" s="112">
        <f t="shared" si="72"/>
        <v>0</v>
      </c>
      <c r="BP64" s="112">
        <f t="shared" si="72"/>
        <v>0</v>
      </c>
      <c r="BQ64" s="112">
        <f t="shared" si="44"/>
        <v>421619.96534400003</v>
      </c>
      <c r="BR64" s="112">
        <f t="shared" si="45"/>
        <v>421619.96534400003</v>
      </c>
      <c r="BS64" s="112">
        <f t="shared" si="73"/>
        <v>249350.51280000003</v>
      </c>
      <c r="BT64" s="112">
        <f t="shared" si="73"/>
        <v>0</v>
      </c>
      <c r="BU64" s="112">
        <f t="shared" si="73"/>
        <v>0</v>
      </c>
      <c r="BV64" s="112">
        <f t="shared" si="12"/>
        <v>0</v>
      </c>
      <c r="BW64" s="112">
        <f t="shared" si="13"/>
        <v>0</v>
      </c>
      <c r="BX64" s="112">
        <f t="shared" si="46"/>
        <v>249350.51280000003</v>
      </c>
      <c r="BY64" s="112">
        <f t="shared" si="47"/>
        <v>249350.51280000003</v>
      </c>
      <c r="BZ64" s="113">
        <f t="shared" si="48"/>
        <v>0</v>
      </c>
      <c r="CA64" s="113">
        <f t="shared" si="48"/>
        <v>0</v>
      </c>
      <c r="CB64" s="113">
        <f t="shared" si="49"/>
        <v>0</v>
      </c>
      <c r="CC64" s="119" t="e">
        <f t="shared" si="50"/>
        <v>#DIV/0!</v>
      </c>
      <c r="CD64" s="119" t="e">
        <f t="shared" si="50"/>
        <v>#DIV/0!</v>
      </c>
      <c r="CE64" s="119" t="e">
        <f t="shared" si="51"/>
        <v>#DIV/0!</v>
      </c>
      <c r="CF64" s="113" t="e">
        <f t="shared" si="14"/>
        <v>#DIV/0!</v>
      </c>
      <c r="CG64" s="619">
        <f t="shared" si="15"/>
        <v>0</v>
      </c>
      <c r="CH64" s="132" t="e">
        <f t="shared" si="52"/>
        <v>#DIV/0!</v>
      </c>
      <c r="CI64" s="621"/>
      <c r="CJ64" s="208">
        <f t="shared" si="16"/>
        <v>421.61996534400004</v>
      </c>
      <c r="CK64" s="208">
        <f t="shared" si="17"/>
        <v>249.35051280000002</v>
      </c>
      <c r="CL64" s="208">
        <f t="shared" si="53"/>
        <v>670.97047814400003</v>
      </c>
      <c r="CM64" s="112">
        <f t="shared" si="18"/>
        <v>670970.47814400005</v>
      </c>
      <c r="CN64" s="112">
        <f t="shared" si="19"/>
        <v>662269.10390400013</v>
      </c>
      <c r="CO64" s="112">
        <f t="shared" si="20"/>
        <v>662269.10390400013</v>
      </c>
      <c r="CP64" s="112">
        <f t="shared" si="21"/>
        <v>421619.96534400003</v>
      </c>
      <c r="CQ64" s="112">
        <f t="shared" si="22"/>
        <v>686215.3825200001</v>
      </c>
      <c r="CR64" s="112">
        <f t="shared" si="23"/>
        <v>686215.3825200001</v>
      </c>
      <c r="CS64" s="112">
        <f t="shared" si="24"/>
        <v>249350.51280000003</v>
      </c>
      <c r="CT64" s="112">
        <f t="shared" si="54"/>
        <v>1348484.4864240002</v>
      </c>
      <c r="CU64" s="124">
        <f t="shared" si="55"/>
        <v>6483192.0000000009</v>
      </c>
      <c r="CV64" s="112">
        <f t="shared" si="25"/>
        <v>0</v>
      </c>
      <c r="CW64" s="112">
        <f t="shared" si="26"/>
        <v>0</v>
      </c>
      <c r="CX64" s="112">
        <f t="shared" si="56"/>
        <v>0</v>
      </c>
      <c r="CY64" s="112">
        <f t="shared" si="27"/>
        <v>662269.10390400013</v>
      </c>
      <c r="CZ64" s="112">
        <f t="shared" si="28"/>
        <v>686215.3825200001</v>
      </c>
      <c r="DA64" s="621"/>
      <c r="DB64" s="128" t="e">
        <f t="shared" si="57"/>
        <v>#DIV/0!</v>
      </c>
      <c r="DC64" s="621"/>
      <c r="DD64" s="621"/>
      <c r="DE64" s="621"/>
      <c r="DF64" s="621"/>
      <c r="DG64" s="618">
        <f t="shared" si="29"/>
        <v>0</v>
      </c>
      <c r="DH64" s="618">
        <f t="shared" si="30"/>
        <v>0</v>
      </c>
      <c r="DI64" s="618">
        <f t="shared" si="31"/>
        <v>0</v>
      </c>
      <c r="DJ64" s="121"/>
    </row>
    <row r="65" spans="1:116" s="33" customFormat="1" ht="63.75" customHeight="1">
      <c r="A65" s="20">
        <f t="shared" si="58"/>
        <v>52</v>
      </c>
      <c r="B65" s="1502" t="s">
        <v>22</v>
      </c>
      <c r="C65" s="22" t="s">
        <v>103</v>
      </c>
      <c r="D65" s="748" t="s">
        <v>142</v>
      </c>
      <c r="E65" s="617">
        <v>4632024035</v>
      </c>
      <c r="F65" s="803" t="s">
        <v>8</v>
      </c>
      <c r="G65" s="751" t="s">
        <v>890</v>
      </c>
      <c r="H65" s="816">
        <f t="shared" ref="H65:I67" si="79">2653.36*1.2</f>
        <v>3184.0320000000002</v>
      </c>
      <c r="I65" s="816">
        <f t="shared" si="79"/>
        <v>3184.0320000000002</v>
      </c>
      <c r="J65" s="38">
        <v>2103.35</v>
      </c>
      <c r="K65" s="38"/>
      <c r="L65" s="816">
        <f t="shared" si="75"/>
        <v>3184.0320000000002</v>
      </c>
      <c r="M65" s="10"/>
      <c r="N65" s="622">
        <f t="shared" si="78"/>
        <v>3299.1600000000003</v>
      </c>
      <c r="O65" s="622">
        <f t="shared" si="78"/>
        <v>3299.1600000000003</v>
      </c>
      <c r="P65" s="38">
        <v>2239.86</v>
      </c>
      <c r="Q65" s="10"/>
      <c r="R65" s="622">
        <f t="shared" si="77"/>
        <v>3299.1600000000003</v>
      </c>
      <c r="S65" s="10"/>
      <c r="T65" s="648">
        <v>3159.7249999999999</v>
      </c>
      <c r="U65" s="650">
        <v>178.70000000000002</v>
      </c>
      <c r="V65" s="669"/>
      <c r="W65" s="606"/>
      <c r="X65" s="606"/>
      <c r="Y65" s="606"/>
      <c r="Z65" s="35">
        <f t="shared" si="34"/>
        <v>3338.4249999999997</v>
      </c>
      <c r="AA65" s="620">
        <v>1847.933</v>
      </c>
      <c r="AB65" s="620">
        <v>134</v>
      </c>
      <c r="AC65" s="669"/>
      <c r="AD65" s="606"/>
      <c r="AE65" s="606"/>
      <c r="AF65" s="606"/>
      <c r="AG65" s="35">
        <f t="shared" si="35"/>
        <v>1981.933</v>
      </c>
      <c r="AH65" s="35">
        <f t="shared" si="36"/>
        <v>5320.3580000000002</v>
      </c>
      <c r="AI65" s="15">
        <f t="shared" si="64"/>
        <v>5007.6579999999994</v>
      </c>
      <c r="AJ65" s="15">
        <f t="shared" si="64"/>
        <v>312.70000000000005</v>
      </c>
      <c r="AK65" s="15">
        <f t="shared" si="64"/>
        <v>0</v>
      </c>
      <c r="AL65" s="15">
        <f t="shared" si="64"/>
        <v>0</v>
      </c>
      <c r="AM65" s="15">
        <f t="shared" si="64"/>
        <v>0</v>
      </c>
      <c r="AN65" s="15"/>
      <c r="AO65" s="15">
        <f t="shared" si="7"/>
        <v>5320.3579999999993</v>
      </c>
      <c r="AP65" s="15">
        <f t="shared" si="37"/>
        <v>5320.3579999999993</v>
      </c>
      <c r="AQ65" s="15">
        <f t="shared" si="38"/>
        <v>5320.3579999999993</v>
      </c>
      <c r="AR65" s="127">
        <f t="shared" si="39"/>
        <v>0</v>
      </c>
      <c r="AS65" s="112">
        <f t="shared" si="70"/>
        <v>15944543.317055998</v>
      </c>
      <c r="AT65" s="112">
        <f t="shared" si="70"/>
        <v>657717.54500000004</v>
      </c>
      <c r="AU65" s="112">
        <f t="shared" si="70"/>
        <v>0</v>
      </c>
      <c r="AV65" s="112">
        <f t="shared" si="70"/>
        <v>0</v>
      </c>
      <c r="AW65" s="112">
        <f t="shared" si="70"/>
        <v>0</v>
      </c>
      <c r="AX65" s="112">
        <f t="shared" si="40"/>
        <v>16602260.862055998</v>
      </c>
      <c r="AY65" s="112">
        <f t="shared" si="41"/>
        <v>16602260.862055998</v>
      </c>
      <c r="AZ65" s="112">
        <f t="shared" si="71"/>
        <v>16521064.96728</v>
      </c>
      <c r="BA65" s="112">
        <f t="shared" si="71"/>
        <v>700404.22200000018</v>
      </c>
      <c r="BB65" s="112">
        <f t="shared" si="71"/>
        <v>0</v>
      </c>
      <c r="BC65" s="112">
        <f t="shared" si="71"/>
        <v>0</v>
      </c>
      <c r="BD65" s="112">
        <f t="shared" si="71"/>
        <v>0</v>
      </c>
      <c r="BE65" s="112">
        <f t="shared" si="42"/>
        <v>17221469.18928</v>
      </c>
      <c r="BF65" s="112">
        <f t="shared" si="43"/>
        <v>17221469.18928</v>
      </c>
      <c r="BG65" s="623">
        <f>(I65-J65)/1.2*U65/1000</f>
        <v>160.93156116666674</v>
      </c>
      <c r="BH65" s="624">
        <f>(O65-P65)/1.2*AB65/1000</f>
        <v>118.28850000000003</v>
      </c>
      <c r="BI65" s="623">
        <f t="shared" si="5"/>
        <v>279.22006116666677</v>
      </c>
      <c r="BJ65" s="169"/>
      <c r="BK65" s="169"/>
      <c r="BL65" s="112">
        <f t="shared" si="72"/>
        <v>10060665.5112</v>
      </c>
      <c r="BM65" s="112">
        <f t="shared" si="72"/>
        <v>375868.64500000002</v>
      </c>
      <c r="BN65" s="112">
        <f t="shared" si="72"/>
        <v>0</v>
      </c>
      <c r="BO65" s="112">
        <f t="shared" si="72"/>
        <v>0</v>
      </c>
      <c r="BP65" s="112">
        <f t="shared" si="72"/>
        <v>0</v>
      </c>
      <c r="BQ65" s="112">
        <f t="shared" si="44"/>
        <v>10436534.156199999</v>
      </c>
      <c r="BR65" s="112">
        <f t="shared" si="45"/>
        <v>10436534.156199999</v>
      </c>
      <c r="BS65" s="112">
        <f t="shared" si="73"/>
        <v>6096626.6362800002</v>
      </c>
      <c r="BT65" s="112">
        <f t="shared" si="73"/>
        <v>300141.24</v>
      </c>
      <c r="BU65" s="112">
        <f t="shared" si="73"/>
        <v>0</v>
      </c>
      <c r="BV65" s="112">
        <f t="shared" si="12"/>
        <v>0</v>
      </c>
      <c r="BW65" s="112">
        <f t="shared" si="13"/>
        <v>0</v>
      </c>
      <c r="BX65" s="112">
        <f t="shared" si="46"/>
        <v>6396767.8762800004</v>
      </c>
      <c r="BY65" s="112">
        <f t="shared" si="47"/>
        <v>6396767.8762800004</v>
      </c>
      <c r="BZ65" s="113">
        <f t="shared" si="48"/>
        <v>676009.88500000001</v>
      </c>
      <c r="CA65" s="113">
        <f t="shared" si="48"/>
        <v>0</v>
      </c>
      <c r="CB65" s="113">
        <f t="shared" si="49"/>
        <v>676009.88500000001</v>
      </c>
      <c r="CC65" s="119">
        <f t="shared" si="50"/>
        <v>2161.8480492484805</v>
      </c>
      <c r="CD65" s="119" t="e">
        <f t="shared" si="50"/>
        <v>#DIV/0!</v>
      </c>
      <c r="CE65" s="119">
        <f t="shared" si="51"/>
        <v>2161.8480492484805</v>
      </c>
      <c r="CF65" s="119">
        <f t="shared" si="14"/>
        <v>2161.8480492484805</v>
      </c>
      <c r="CG65" s="619">
        <f t="shared" si="15"/>
        <v>1011073.9584000001</v>
      </c>
      <c r="CH65" s="132">
        <f t="shared" si="52"/>
        <v>3233.3673118004476</v>
      </c>
      <c r="CI65" s="621"/>
      <c r="CJ65" s="208">
        <f t="shared" si="16"/>
        <v>10629.6520296</v>
      </c>
      <c r="CK65" s="208">
        <f t="shared" si="17"/>
        <v>6538.7140762800009</v>
      </c>
      <c r="CL65" s="208">
        <f t="shared" si="53"/>
        <v>17168.366105879999</v>
      </c>
      <c r="CM65" s="112">
        <f t="shared" si="18"/>
        <v>17168366.10588</v>
      </c>
      <c r="CN65" s="112">
        <f t="shared" si="19"/>
        <v>16602260.862055998</v>
      </c>
      <c r="CO65" s="112">
        <f t="shared" si="20"/>
        <v>16602260.862055998</v>
      </c>
      <c r="CP65" s="112">
        <f t="shared" si="21"/>
        <v>10436534.156199999</v>
      </c>
      <c r="CQ65" s="112">
        <f t="shared" si="22"/>
        <v>17221469.18928</v>
      </c>
      <c r="CR65" s="112">
        <f t="shared" si="23"/>
        <v>17221469.18928</v>
      </c>
      <c r="CS65" s="112">
        <f t="shared" si="24"/>
        <v>6396767.8762800004</v>
      </c>
      <c r="CT65" s="112">
        <f t="shared" si="54"/>
        <v>33823730.051335998</v>
      </c>
      <c r="CU65" s="124">
        <f t="shared" si="55"/>
        <v>6357416.1835229881</v>
      </c>
      <c r="CV65" s="112">
        <f t="shared" si="25"/>
        <v>657717.54500000004</v>
      </c>
      <c r="CW65" s="112">
        <f t="shared" si="26"/>
        <v>700404.22200000018</v>
      </c>
      <c r="CX65" s="112">
        <f t="shared" si="56"/>
        <v>1358121.7670000002</v>
      </c>
      <c r="CY65" s="112">
        <f t="shared" si="27"/>
        <v>16940190.123455998</v>
      </c>
      <c r="CZ65" s="112">
        <f t="shared" si="28"/>
        <v>17552712.299279999</v>
      </c>
      <c r="DA65" s="621"/>
      <c r="DB65" s="128">
        <f t="shared" si="57"/>
        <v>156.8526398364514</v>
      </c>
      <c r="DC65" s="621"/>
      <c r="DD65" s="621"/>
      <c r="DE65" s="621"/>
      <c r="DF65" s="621"/>
      <c r="DG65" s="618">
        <f t="shared" si="29"/>
        <v>0</v>
      </c>
      <c r="DH65" s="618">
        <f t="shared" si="30"/>
        <v>0</v>
      </c>
      <c r="DI65" s="618">
        <f t="shared" si="31"/>
        <v>0</v>
      </c>
      <c r="DJ65" s="121"/>
    </row>
    <row r="66" spans="1:116" s="32" customFormat="1" ht="63.75" customHeight="1">
      <c r="A66" s="20">
        <f t="shared" si="58"/>
        <v>53</v>
      </c>
      <c r="B66" s="1503"/>
      <c r="C66" s="803" t="s">
        <v>104</v>
      </c>
      <c r="D66" s="748" t="s">
        <v>141</v>
      </c>
      <c r="E66" s="617">
        <v>4632024035</v>
      </c>
      <c r="F66" s="803" t="s">
        <v>8</v>
      </c>
      <c r="G66" s="751" t="s">
        <v>890</v>
      </c>
      <c r="H66" s="816">
        <f t="shared" si="79"/>
        <v>3184.0320000000002</v>
      </c>
      <c r="I66" s="816">
        <f t="shared" si="79"/>
        <v>3184.0320000000002</v>
      </c>
      <c r="J66" s="38"/>
      <c r="K66" s="38"/>
      <c r="L66" s="816">
        <f t="shared" si="75"/>
        <v>3184.0320000000002</v>
      </c>
      <c r="M66" s="10"/>
      <c r="N66" s="622">
        <f t="shared" si="78"/>
        <v>3299.1600000000003</v>
      </c>
      <c r="O66" s="622">
        <f t="shared" si="78"/>
        <v>3299.1600000000003</v>
      </c>
      <c r="P66" s="10"/>
      <c r="Q66" s="10"/>
      <c r="R66" s="622">
        <f t="shared" si="77"/>
        <v>3299.1600000000003</v>
      </c>
      <c r="S66" s="10"/>
      <c r="T66" s="178">
        <v>118.66</v>
      </c>
      <c r="U66" s="16"/>
      <c r="V66" s="227"/>
      <c r="W66" s="16"/>
      <c r="X66" s="16"/>
      <c r="Y66" s="16"/>
      <c r="Z66" s="35">
        <f t="shared" si="34"/>
        <v>118.66</v>
      </c>
      <c r="AA66" s="178">
        <v>68.903999999999996</v>
      </c>
      <c r="AB66" s="16"/>
      <c r="AC66" s="227"/>
      <c r="AD66" s="16"/>
      <c r="AE66" s="16"/>
      <c r="AF66" s="16"/>
      <c r="AG66" s="35">
        <f t="shared" si="35"/>
        <v>68.903999999999996</v>
      </c>
      <c r="AH66" s="35">
        <f t="shared" si="36"/>
        <v>187.56399999999999</v>
      </c>
      <c r="AI66" s="15">
        <f t="shared" si="64"/>
        <v>187.56399999999999</v>
      </c>
      <c r="AJ66" s="15">
        <f t="shared" si="64"/>
        <v>0</v>
      </c>
      <c r="AK66" s="15">
        <f t="shared" si="64"/>
        <v>0</v>
      </c>
      <c r="AL66" s="15">
        <f t="shared" si="64"/>
        <v>0</v>
      </c>
      <c r="AM66" s="15">
        <f t="shared" si="64"/>
        <v>0</v>
      </c>
      <c r="AN66" s="15"/>
      <c r="AO66" s="15">
        <f t="shared" si="7"/>
        <v>187.56399999999999</v>
      </c>
      <c r="AP66" s="15">
        <f t="shared" si="37"/>
        <v>187.56399999999999</v>
      </c>
      <c r="AQ66" s="15">
        <f t="shared" si="38"/>
        <v>187.56399999999999</v>
      </c>
      <c r="AR66" s="127">
        <f t="shared" si="39"/>
        <v>0</v>
      </c>
      <c r="AS66" s="112">
        <f t="shared" si="70"/>
        <v>597209.77804799995</v>
      </c>
      <c r="AT66" s="112">
        <f t="shared" si="70"/>
        <v>0</v>
      </c>
      <c r="AU66" s="112">
        <f t="shared" si="70"/>
        <v>0</v>
      </c>
      <c r="AV66" s="112">
        <f t="shared" si="70"/>
        <v>0</v>
      </c>
      <c r="AW66" s="112">
        <f t="shared" si="70"/>
        <v>0</v>
      </c>
      <c r="AX66" s="112">
        <f t="shared" si="40"/>
        <v>597209.77804799995</v>
      </c>
      <c r="AY66" s="112">
        <f t="shared" si="41"/>
        <v>597209.77804799995</v>
      </c>
      <c r="AZ66" s="112">
        <f t="shared" si="71"/>
        <v>618803.64624000003</v>
      </c>
      <c r="BA66" s="112">
        <f t="shared" si="71"/>
        <v>0</v>
      </c>
      <c r="BB66" s="112">
        <f t="shared" si="71"/>
        <v>0</v>
      </c>
      <c r="BC66" s="112">
        <f t="shared" si="71"/>
        <v>0</v>
      </c>
      <c r="BD66" s="112">
        <f t="shared" si="71"/>
        <v>0</v>
      </c>
      <c r="BE66" s="112">
        <f t="shared" si="42"/>
        <v>618803.64624000003</v>
      </c>
      <c r="BF66" s="112">
        <f t="shared" si="43"/>
        <v>618803.64624000003</v>
      </c>
      <c r="BG66" s="126"/>
      <c r="BH66" s="126"/>
      <c r="BI66" s="112">
        <f t="shared" si="5"/>
        <v>0</v>
      </c>
      <c r="BJ66" s="112"/>
      <c r="BK66" s="112"/>
      <c r="BL66" s="112">
        <f t="shared" si="72"/>
        <v>377817.23712000001</v>
      </c>
      <c r="BM66" s="112">
        <f t="shared" si="72"/>
        <v>0</v>
      </c>
      <c r="BN66" s="112">
        <f t="shared" si="72"/>
        <v>0</v>
      </c>
      <c r="BO66" s="112">
        <f t="shared" si="72"/>
        <v>0</v>
      </c>
      <c r="BP66" s="112">
        <f t="shared" si="72"/>
        <v>0</v>
      </c>
      <c r="BQ66" s="112">
        <f t="shared" si="44"/>
        <v>377817.23712000001</v>
      </c>
      <c r="BR66" s="112">
        <f t="shared" si="45"/>
        <v>377817.23712000001</v>
      </c>
      <c r="BS66" s="112">
        <f t="shared" si="73"/>
        <v>227325.32064000002</v>
      </c>
      <c r="BT66" s="112">
        <f t="shared" si="73"/>
        <v>0</v>
      </c>
      <c r="BU66" s="112">
        <f t="shared" si="73"/>
        <v>0</v>
      </c>
      <c r="BV66" s="112">
        <f t="shared" si="12"/>
        <v>0</v>
      </c>
      <c r="BW66" s="112">
        <f t="shared" si="13"/>
        <v>0</v>
      </c>
      <c r="BX66" s="112">
        <f t="shared" si="46"/>
        <v>227325.32064000002</v>
      </c>
      <c r="BY66" s="112">
        <f t="shared" si="47"/>
        <v>227325.32064000002</v>
      </c>
      <c r="BZ66" s="113">
        <f t="shared" si="48"/>
        <v>0</v>
      </c>
      <c r="CA66" s="113">
        <f t="shared" si="48"/>
        <v>0</v>
      </c>
      <c r="CB66" s="113">
        <f t="shared" si="49"/>
        <v>0</v>
      </c>
      <c r="CC66" s="119" t="e">
        <f t="shared" si="50"/>
        <v>#DIV/0!</v>
      </c>
      <c r="CD66" s="119" t="e">
        <f t="shared" si="50"/>
        <v>#DIV/0!</v>
      </c>
      <c r="CE66" s="119" t="e">
        <f t="shared" si="51"/>
        <v>#DIV/0!</v>
      </c>
      <c r="CF66" s="113" t="e">
        <f t="shared" si="14"/>
        <v>#DIV/0!</v>
      </c>
      <c r="CG66" s="619">
        <f t="shared" si="15"/>
        <v>0</v>
      </c>
      <c r="CH66" s="132" t="e">
        <f t="shared" si="52"/>
        <v>#DIV/0!</v>
      </c>
      <c r="CI66" s="625"/>
      <c r="CJ66" s="208">
        <f t="shared" si="16"/>
        <v>377.81723712000002</v>
      </c>
      <c r="CK66" s="208">
        <f t="shared" si="17"/>
        <v>227.32532064000003</v>
      </c>
      <c r="CL66" s="208">
        <f t="shared" si="53"/>
        <v>605.14255776000005</v>
      </c>
      <c r="CM66" s="112">
        <f t="shared" si="18"/>
        <v>605142.55776</v>
      </c>
      <c r="CN66" s="112">
        <f t="shared" si="19"/>
        <v>597209.77804799995</v>
      </c>
      <c r="CO66" s="112">
        <f t="shared" si="20"/>
        <v>597209.77804799995</v>
      </c>
      <c r="CP66" s="112">
        <f t="shared" si="21"/>
        <v>377817.23712000001</v>
      </c>
      <c r="CQ66" s="112">
        <f t="shared" si="22"/>
        <v>618803.64624000003</v>
      </c>
      <c r="CR66" s="112">
        <f t="shared" si="23"/>
        <v>618803.64624000003</v>
      </c>
      <c r="CS66" s="112">
        <f t="shared" si="24"/>
        <v>227325.32064000002</v>
      </c>
      <c r="CT66" s="112">
        <f t="shared" si="54"/>
        <v>1216013.424288</v>
      </c>
      <c r="CU66" s="124">
        <f t="shared" si="55"/>
        <v>6483192</v>
      </c>
      <c r="CV66" s="112">
        <f t="shared" si="25"/>
        <v>0</v>
      </c>
      <c r="CW66" s="112">
        <f t="shared" si="26"/>
        <v>0</v>
      </c>
      <c r="CX66" s="112">
        <f t="shared" si="56"/>
        <v>0</v>
      </c>
      <c r="CY66" s="112">
        <f t="shared" si="27"/>
        <v>597209.77804799995</v>
      </c>
      <c r="CZ66" s="112">
        <f t="shared" si="28"/>
        <v>618803.64624000003</v>
      </c>
      <c r="DA66" s="625"/>
      <c r="DB66" s="128" t="e">
        <f t="shared" si="57"/>
        <v>#DIV/0!</v>
      </c>
      <c r="DC66" s="625"/>
      <c r="DD66" s="625"/>
      <c r="DE66" s="625"/>
      <c r="DF66" s="625"/>
      <c r="DG66" s="618">
        <f t="shared" si="29"/>
        <v>0</v>
      </c>
      <c r="DH66" s="618">
        <f t="shared" si="30"/>
        <v>0</v>
      </c>
      <c r="DI66" s="618">
        <f t="shared" si="31"/>
        <v>0</v>
      </c>
      <c r="DJ66" s="123"/>
    </row>
    <row r="67" spans="1:116" s="32" customFormat="1" ht="63.75" customHeight="1">
      <c r="A67" s="20">
        <f t="shared" si="58"/>
        <v>54</v>
      </c>
      <c r="B67" s="1504"/>
      <c r="C67" s="803" t="s">
        <v>105</v>
      </c>
      <c r="D67" s="748" t="s">
        <v>141</v>
      </c>
      <c r="E67" s="617">
        <v>4632024035</v>
      </c>
      <c r="F67" s="803" t="s">
        <v>8</v>
      </c>
      <c r="G67" s="751" t="s">
        <v>890</v>
      </c>
      <c r="H67" s="816">
        <f t="shared" si="79"/>
        <v>3184.0320000000002</v>
      </c>
      <c r="I67" s="816">
        <f t="shared" si="79"/>
        <v>3184.0320000000002</v>
      </c>
      <c r="J67" s="38"/>
      <c r="K67" s="38"/>
      <c r="L67" s="816">
        <f t="shared" si="75"/>
        <v>3184.0320000000002</v>
      </c>
      <c r="M67" s="10"/>
      <c r="N67" s="622">
        <f t="shared" si="78"/>
        <v>3299.1600000000003</v>
      </c>
      <c r="O67" s="622">
        <f t="shared" si="78"/>
        <v>3299.1600000000003</v>
      </c>
      <c r="P67" s="10"/>
      <c r="Q67" s="10"/>
      <c r="R67" s="622">
        <f t="shared" si="77"/>
        <v>3299.1600000000003</v>
      </c>
      <c r="S67" s="10"/>
      <c r="T67" s="178">
        <v>428.685</v>
      </c>
      <c r="U67" s="16"/>
      <c r="V67" s="227"/>
      <c r="W67" s="16"/>
      <c r="X67" s="16"/>
      <c r="Y67" s="16"/>
      <c r="Z67" s="35">
        <f t="shared" si="34"/>
        <v>428.685</v>
      </c>
      <c r="AA67" s="178">
        <v>259.20299999999997</v>
      </c>
      <c r="AB67" s="16"/>
      <c r="AC67" s="227"/>
      <c r="AD67" s="16"/>
      <c r="AE67" s="16"/>
      <c r="AF67" s="16"/>
      <c r="AG67" s="35">
        <f t="shared" si="35"/>
        <v>259.20299999999997</v>
      </c>
      <c r="AH67" s="35">
        <f t="shared" si="36"/>
        <v>687.88799999999992</v>
      </c>
      <c r="AI67" s="15">
        <f t="shared" si="64"/>
        <v>687.88799999999992</v>
      </c>
      <c r="AJ67" s="15">
        <f t="shared" si="64"/>
        <v>0</v>
      </c>
      <c r="AK67" s="15">
        <f t="shared" si="64"/>
        <v>0</v>
      </c>
      <c r="AL67" s="15">
        <f t="shared" si="64"/>
        <v>0</v>
      </c>
      <c r="AM67" s="15">
        <f t="shared" si="64"/>
        <v>0</v>
      </c>
      <c r="AN67" s="15"/>
      <c r="AO67" s="15">
        <f t="shared" si="7"/>
        <v>687.88799999999992</v>
      </c>
      <c r="AP67" s="15">
        <f t="shared" si="37"/>
        <v>687.88799999999992</v>
      </c>
      <c r="AQ67" s="15">
        <f t="shared" si="38"/>
        <v>687.88799999999992</v>
      </c>
      <c r="AR67" s="127">
        <f t="shared" si="39"/>
        <v>0</v>
      </c>
      <c r="AS67" s="112">
        <f t="shared" si="70"/>
        <v>2190257.404416</v>
      </c>
      <c r="AT67" s="112">
        <f t="shared" si="70"/>
        <v>0</v>
      </c>
      <c r="AU67" s="112">
        <f t="shared" si="70"/>
        <v>0</v>
      </c>
      <c r="AV67" s="112">
        <f t="shared" si="70"/>
        <v>0</v>
      </c>
      <c r="AW67" s="112">
        <f t="shared" si="70"/>
        <v>0</v>
      </c>
      <c r="AX67" s="112">
        <f t="shared" si="40"/>
        <v>2190257.404416</v>
      </c>
      <c r="AY67" s="112">
        <f t="shared" si="41"/>
        <v>2190257.404416</v>
      </c>
      <c r="AZ67" s="112">
        <f t="shared" si="71"/>
        <v>2269452.5740800002</v>
      </c>
      <c r="BA67" s="112">
        <f t="shared" si="71"/>
        <v>0</v>
      </c>
      <c r="BB67" s="112">
        <f t="shared" si="71"/>
        <v>0</v>
      </c>
      <c r="BC67" s="112">
        <f t="shared" si="71"/>
        <v>0</v>
      </c>
      <c r="BD67" s="112">
        <f t="shared" si="71"/>
        <v>0</v>
      </c>
      <c r="BE67" s="112">
        <f t="shared" si="42"/>
        <v>2269452.5740800002</v>
      </c>
      <c r="BF67" s="112">
        <f t="shared" si="43"/>
        <v>2269452.5740800002</v>
      </c>
      <c r="BG67" s="126"/>
      <c r="BH67" s="126"/>
      <c r="BI67" s="112">
        <f t="shared" si="5"/>
        <v>0</v>
      </c>
      <c r="BJ67" s="112"/>
      <c r="BK67" s="112"/>
      <c r="BL67" s="112">
        <f t="shared" si="72"/>
        <v>1364946.75792</v>
      </c>
      <c r="BM67" s="112">
        <f t="shared" si="72"/>
        <v>0</v>
      </c>
      <c r="BN67" s="112">
        <f t="shared" si="72"/>
        <v>0</v>
      </c>
      <c r="BO67" s="112">
        <f t="shared" si="72"/>
        <v>0</v>
      </c>
      <c r="BP67" s="112">
        <f t="shared" si="72"/>
        <v>0</v>
      </c>
      <c r="BQ67" s="112">
        <f t="shared" si="44"/>
        <v>1364946.75792</v>
      </c>
      <c r="BR67" s="112">
        <f t="shared" si="45"/>
        <v>1364946.75792</v>
      </c>
      <c r="BS67" s="112">
        <f t="shared" si="73"/>
        <v>855152.16948000004</v>
      </c>
      <c r="BT67" s="112">
        <f t="shared" si="73"/>
        <v>0</v>
      </c>
      <c r="BU67" s="112">
        <f t="shared" si="73"/>
        <v>0</v>
      </c>
      <c r="BV67" s="112">
        <f t="shared" si="12"/>
        <v>0</v>
      </c>
      <c r="BW67" s="112">
        <f t="shared" si="13"/>
        <v>0</v>
      </c>
      <c r="BX67" s="112">
        <f t="shared" si="46"/>
        <v>855152.16948000004</v>
      </c>
      <c r="BY67" s="112">
        <f t="shared" si="47"/>
        <v>855152.16948000004</v>
      </c>
      <c r="BZ67" s="113">
        <f t="shared" si="48"/>
        <v>0</v>
      </c>
      <c r="CA67" s="113">
        <f t="shared" si="48"/>
        <v>0</v>
      </c>
      <c r="CB67" s="113">
        <f t="shared" si="49"/>
        <v>0</v>
      </c>
      <c r="CC67" s="119" t="e">
        <f t="shared" si="50"/>
        <v>#DIV/0!</v>
      </c>
      <c r="CD67" s="119" t="e">
        <f t="shared" si="50"/>
        <v>#DIV/0!</v>
      </c>
      <c r="CE67" s="119" t="e">
        <f t="shared" si="51"/>
        <v>#DIV/0!</v>
      </c>
      <c r="CF67" s="113" t="e">
        <f t="shared" si="14"/>
        <v>#DIV/0!</v>
      </c>
      <c r="CG67" s="619">
        <f t="shared" si="15"/>
        <v>0</v>
      </c>
      <c r="CH67" s="132" t="e">
        <f t="shared" si="52"/>
        <v>#DIV/0!</v>
      </c>
      <c r="CI67" s="625"/>
      <c r="CJ67" s="208">
        <f t="shared" si="16"/>
        <v>1364.94675792</v>
      </c>
      <c r="CK67" s="208">
        <f t="shared" si="17"/>
        <v>855.15216948</v>
      </c>
      <c r="CL67" s="208">
        <f>CJ67+CK67</f>
        <v>2220.0989273999999</v>
      </c>
      <c r="CM67" s="112">
        <f t="shared" si="18"/>
        <v>2220098.9273999999</v>
      </c>
      <c r="CN67" s="112">
        <f t="shared" si="19"/>
        <v>2190257.404416</v>
      </c>
      <c r="CO67" s="112">
        <f t="shared" si="20"/>
        <v>2190257.404416</v>
      </c>
      <c r="CP67" s="112">
        <f t="shared" si="21"/>
        <v>1364946.75792</v>
      </c>
      <c r="CQ67" s="112">
        <f t="shared" si="22"/>
        <v>2269452.5740800002</v>
      </c>
      <c r="CR67" s="112">
        <f t="shared" si="23"/>
        <v>2269452.5740800002</v>
      </c>
      <c r="CS67" s="112">
        <f t="shared" si="24"/>
        <v>855152.16948000004</v>
      </c>
      <c r="CT67" s="112">
        <f t="shared" si="54"/>
        <v>4459709.9784960002</v>
      </c>
      <c r="CU67" s="124">
        <f t="shared" si="55"/>
        <v>6483192.0000000009</v>
      </c>
      <c r="CV67" s="112">
        <f t="shared" si="25"/>
        <v>0</v>
      </c>
      <c r="CW67" s="112">
        <f t="shared" si="26"/>
        <v>0</v>
      </c>
      <c r="CX67" s="112">
        <f t="shared" si="56"/>
        <v>0</v>
      </c>
      <c r="CY67" s="112">
        <f t="shared" si="27"/>
        <v>2190257.404416</v>
      </c>
      <c r="CZ67" s="112">
        <f t="shared" si="28"/>
        <v>2269452.5740800002</v>
      </c>
      <c r="DA67" s="625"/>
      <c r="DB67" s="128" t="e">
        <f t="shared" si="57"/>
        <v>#DIV/0!</v>
      </c>
      <c r="DC67" s="625"/>
      <c r="DD67" s="625"/>
      <c r="DE67" s="625"/>
      <c r="DF67" s="625"/>
      <c r="DG67" s="618">
        <f t="shared" si="29"/>
        <v>0</v>
      </c>
      <c r="DH67" s="618">
        <f t="shared" si="30"/>
        <v>0</v>
      </c>
      <c r="DI67" s="618">
        <f t="shared" si="31"/>
        <v>0</v>
      </c>
      <c r="DJ67" s="123"/>
    </row>
    <row r="68" spans="1:116" s="13" customFormat="1" ht="79.5" hidden="1" customHeight="1">
      <c r="A68" s="695">
        <f t="shared" si="58"/>
        <v>55</v>
      </c>
      <c r="B68" s="1502" t="s">
        <v>23</v>
      </c>
      <c r="C68" s="705" t="s">
        <v>68</v>
      </c>
      <c r="D68" s="805" t="s">
        <v>24</v>
      </c>
      <c r="E68" s="745">
        <v>4616008283</v>
      </c>
      <c r="F68" s="696" t="s">
        <v>8</v>
      </c>
      <c r="G68" s="805" t="s">
        <v>888</v>
      </c>
      <c r="H68" s="697">
        <v>2969.65</v>
      </c>
      <c r="I68" s="697">
        <v>2969.65</v>
      </c>
      <c r="J68" s="697">
        <v>2641.64</v>
      </c>
      <c r="K68" s="697">
        <v>2641.64</v>
      </c>
      <c r="L68" s="697">
        <v>2969.65</v>
      </c>
      <c r="M68" s="697">
        <v>0</v>
      </c>
      <c r="N68" s="714">
        <v>3133.05</v>
      </c>
      <c r="O68" s="714">
        <v>3133.05</v>
      </c>
      <c r="P68" s="714">
        <v>2813.32</v>
      </c>
      <c r="Q68" s="714">
        <v>2813.32</v>
      </c>
      <c r="R68" s="714">
        <v>3133.05</v>
      </c>
      <c r="S68" s="714">
        <v>0</v>
      </c>
      <c r="T68" s="746">
        <v>4718.74</v>
      </c>
      <c r="U68" s="746">
        <v>1360.3150000000001</v>
      </c>
      <c r="V68" s="18">
        <v>47.765000000000001</v>
      </c>
      <c r="W68" s="18">
        <v>400.84</v>
      </c>
      <c r="X68" s="18">
        <v>0</v>
      </c>
      <c r="Y68" s="18">
        <v>0</v>
      </c>
      <c r="Z68" s="29">
        <f>SUM(T68:W68)</f>
        <v>6527.6600000000008</v>
      </c>
      <c r="AA68" s="746">
        <v>2759.84</v>
      </c>
      <c r="AB68" s="746">
        <v>965.65700000000004</v>
      </c>
      <c r="AC68" s="18">
        <v>31.843</v>
      </c>
      <c r="AD68" s="18">
        <v>197.8</v>
      </c>
      <c r="AE68" s="18">
        <v>0</v>
      </c>
      <c r="AF68" s="18">
        <v>0</v>
      </c>
      <c r="AG68" s="99">
        <f>SUM(AA68:AD68)</f>
        <v>3955.1400000000003</v>
      </c>
      <c r="AH68" s="99">
        <f>Z68+AG68</f>
        <v>10482.800000000001</v>
      </c>
      <c r="AI68" s="746">
        <f>T68+AA68</f>
        <v>7478.58</v>
      </c>
      <c r="AJ68" s="746">
        <f>U68+AB68</f>
        <v>2325.9720000000002</v>
      </c>
      <c r="AK68" s="18">
        <f>V68+AC68</f>
        <v>79.608000000000004</v>
      </c>
      <c r="AL68" s="18">
        <f>W68+AD68</f>
        <v>598.64</v>
      </c>
      <c r="AM68" s="18">
        <f t="shared" si="64"/>
        <v>0</v>
      </c>
      <c r="AN68" s="18"/>
      <c r="AO68" s="746">
        <f>SUM(AI68:AN68)</f>
        <v>10482.799999999999</v>
      </c>
      <c r="AP68" s="746">
        <f>SUM(AI68:AM68)</f>
        <v>10482.799999999999</v>
      </c>
      <c r="AQ68" s="746">
        <f>SUM(AI68:AL68)</f>
        <v>10482.799999999999</v>
      </c>
      <c r="AR68" s="99">
        <f t="shared" si="39"/>
        <v>0</v>
      </c>
      <c r="AS68" s="18">
        <f t="shared" si="70"/>
        <v>22208765.096999999</v>
      </c>
      <c r="AT68" s="18">
        <f t="shared" si="70"/>
        <v>6144380.6740800003</v>
      </c>
      <c r="AU68" s="18">
        <f t="shared" si="70"/>
        <v>210295.67712000001</v>
      </c>
      <c r="AV68" s="18">
        <f t="shared" si="70"/>
        <v>1777751.2760000001</v>
      </c>
      <c r="AW68" s="18">
        <f t="shared" si="70"/>
        <v>0</v>
      </c>
      <c r="AX68" s="18">
        <f t="shared" si="40"/>
        <v>30341192.724199999</v>
      </c>
      <c r="AY68" s="18">
        <f t="shared" si="41"/>
        <v>30341192.724199999</v>
      </c>
      <c r="AZ68" s="18">
        <f t="shared" si="71"/>
        <v>23430765.069000002</v>
      </c>
      <c r="BA68" s="18">
        <f t="shared" si="71"/>
        <v>6543703.5470400006</v>
      </c>
      <c r="BB68" s="18">
        <f t="shared" si="71"/>
        <v>223962.77856000004</v>
      </c>
      <c r="BC68" s="18">
        <f t="shared" si="71"/>
        <v>1875569.0520000001</v>
      </c>
      <c r="BD68" s="18">
        <f t="shared" si="71"/>
        <v>0</v>
      </c>
      <c r="BE68" s="18">
        <f t="shared" si="42"/>
        <v>32074000.446600005</v>
      </c>
      <c r="BF68" s="18">
        <f t="shared" si="43"/>
        <v>32074000.446600005</v>
      </c>
      <c r="BG68" s="18">
        <v>461.86399999999998</v>
      </c>
      <c r="BH68" s="18">
        <v>318.93099999999998</v>
      </c>
      <c r="BI68" s="18">
        <f>BG68+BH68</f>
        <v>780.79499999999996</v>
      </c>
      <c r="BJ68" s="18">
        <v>31776.53</v>
      </c>
      <c r="BK68" s="18">
        <v>32626.45</v>
      </c>
      <c r="BL68" s="18">
        <f>I68*T68</f>
        <v>14013006.241</v>
      </c>
      <c r="BM68" s="18">
        <f>J68*U68</f>
        <v>3593462.5165999997</v>
      </c>
      <c r="BN68" s="18">
        <f>K68*V68</f>
        <v>126177.93459999999</v>
      </c>
      <c r="BO68" s="18">
        <f>L68*W68</f>
        <v>1190354.5060000001</v>
      </c>
      <c r="BP68" s="18">
        <f t="shared" si="72"/>
        <v>0</v>
      </c>
      <c r="BQ68" s="18">
        <f>BL68+BM68+BN68+BO68+BP68</f>
        <v>18923001.198200002</v>
      </c>
      <c r="BR68" s="18">
        <f>BQ68-BP68</f>
        <v>18923001.198200002</v>
      </c>
      <c r="BS68" s="18">
        <f>O68*AA68</f>
        <v>8646716.7120000012</v>
      </c>
      <c r="BT68" s="18">
        <f>P68*AB68</f>
        <v>2716702.15124</v>
      </c>
      <c r="BU68" s="18">
        <f>Q68*AC68</f>
        <v>89584.548760000005</v>
      </c>
      <c r="BV68" s="18">
        <f>R68*W68</f>
        <v>1255851.7620000001</v>
      </c>
      <c r="BW68" s="18">
        <f t="shared" si="13"/>
        <v>0</v>
      </c>
      <c r="BX68" s="18">
        <f>BS68+BT68+BU68+BV68+BW68</f>
        <v>12708855.174000002</v>
      </c>
      <c r="BY68" s="18">
        <f>BX68-BW68</f>
        <v>12708855.174000002</v>
      </c>
      <c r="BZ68" s="161">
        <f>BM68+BT68</f>
        <v>6310164.6678400002</v>
      </c>
      <c r="CA68" s="161">
        <f>BN68+BU68</f>
        <v>215762.48336000001</v>
      </c>
      <c r="CB68" s="161">
        <f>BZ68+CA68</f>
        <v>6525927.1512000002</v>
      </c>
      <c r="CC68" s="162">
        <f t="shared" si="50"/>
        <v>2712.9151459432874</v>
      </c>
      <c r="CD68" s="162">
        <f t="shared" si="50"/>
        <v>2710.311568686564</v>
      </c>
      <c r="CE68" s="162">
        <f t="shared" si="51"/>
        <v>2712.8289856084598</v>
      </c>
      <c r="CF68" s="162">
        <f t="shared" si="14"/>
        <v>2712.8289856084607</v>
      </c>
      <c r="CG68" s="651">
        <f t="shared" si="15"/>
        <v>7306722.1470000008</v>
      </c>
      <c r="CH68" s="652">
        <f t="shared" si="52"/>
        <v>3037.4055932457036</v>
      </c>
      <c r="CJ68" s="18">
        <f t="shared" si="16"/>
        <v>19384.865519000003</v>
      </c>
      <c r="CK68" s="18">
        <f t="shared" si="17"/>
        <v>12391.651377000002</v>
      </c>
      <c r="CL68" s="18">
        <f t="shared" si="53"/>
        <v>31776.516896000005</v>
      </c>
      <c r="CM68" s="18">
        <f t="shared" si="18"/>
        <v>31776516.896000005</v>
      </c>
      <c r="CN68" s="18">
        <f t="shared" si="19"/>
        <v>30341192.724199999</v>
      </c>
      <c r="CO68" s="18">
        <f t="shared" si="20"/>
        <v>30341192.724199999</v>
      </c>
      <c r="CP68" s="18">
        <f t="shared" si="21"/>
        <v>18923001.198200002</v>
      </c>
      <c r="CQ68" s="18">
        <f t="shared" si="22"/>
        <v>32074000.446600005</v>
      </c>
      <c r="CR68" s="18">
        <f t="shared" si="23"/>
        <v>32074000.446600005</v>
      </c>
      <c r="CS68" s="18">
        <f t="shared" si="24"/>
        <v>12072720.702000003</v>
      </c>
      <c r="CT68" s="18">
        <f t="shared" si="54"/>
        <v>62415193.1708</v>
      </c>
      <c r="CU68" s="29">
        <f t="shared" si="55"/>
        <v>5954057.4246193757</v>
      </c>
      <c r="CV68" s="18">
        <f t="shared" si="25"/>
        <v>6354676.3512000004</v>
      </c>
      <c r="CW68" s="18">
        <f t="shared" si="26"/>
        <v>6767666.325600001</v>
      </c>
      <c r="CX68" s="18">
        <f t="shared" si="56"/>
        <v>13122342.676800001</v>
      </c>
      <c r="CY68" s="18">
        <f t="shared" si="27"/>
        <v>31130247.02</v>
      </c>
      <c r="CZ68" s="18">
        <f t="shared" si="28"/>
        <v>32843136.540000003</v>
      </c>
      <c r="DB68" s="653">
        <f t="shared" si="57"/>
        <v>118.60245907845129</v>
      </c>
      <c r="DG68" s="701">
        <f t="shared" si="29"/>
        <v>0</v>
      </c>
      <c r="DH68" s="701">
        <f t="shared" si="30"/>
        <v>0</v>
      </c>
      <c r="DI68" s="701">
        <f t="shared" si="31"/>
        <v>0</v>
      </c>
    </row>
    <row r="69" spans="1:116" s="32" customFormat="1" ht="63.75" customHeight="1">
      <c r="A69" s="20">
        <f t="shared" si="58"/>
        <v>56</v>
      </c>
      <c r="B69" s="1503"/>
      <c r="C69" s="803" t="s">
        <v>106</v>
      </c>
      <c r="D69" s="748" t="s">
        <v>141</v>
      </c>
      <c r="E69" s="617">
        <v>4632024035</v>
      </c>
      <c r="F69" s="803" t="s">
        <v>8</v>
      </c>
      <c r="G69" s="751" t="s">
        <v>890</v>
      </c>
      <c r="H69" s="816">
        <f>2653.36*1.2</f>
        <v>3184.0320000000002</v>
      </c>
      <c r="I69" s="816">
        <f>2653.36*1.2</f>
        <v>3184.0320000000002</v>
      </c>
      <c r="J69" s="38"/>
      <c r="K69" s="38"/>
      <c r="L69" s="816">
        <f>2653.36*1.2</f>
        <v>3184.0320000000002</v>
      </c>
      <c r="M69" s="10"/>
      <c r="N69" s="622">
        <f>2749.3*1.2</f>
        <v>3299.1600000000003</v>
      </c>
      <c r="O69" s="622">
        <f>2749.3*1.2</f>
        <v>3299.1600000000003</v>
      </c>
      <c r="P69" s="10"/>
      <c r="Q69" s="10"/>
      <c r="R69" s="622">
        <f>2749.3*1.2</f>
        <v>3299.1600000000003</v>
      </c>
      <c r="S69" s="10"/>
      <c r="T69" s="178">
        <v>527.74400000000003</v>
      </c>
      <c r="U69" s="16"/>
      <c r="V69" s="227"/>
      <c r="W69" s="16"/>
      <c r="X69" s="16"/>
      <c r="Y69" s="16"/>
      <c r="Z69" s="35">
        <f t="shared" si="34"/>
        <v>527.74400000000003</v>
      </c>
      <c r="AA69" s="178">
        <v>313.524</v>
      </c>
      <c r="AB69" s="16"/>
      <c r="AC69" s="227"/>
      <c r="AD69" s="16"/>
      <c r="AE69" s="16"/>
      <c r="AF69" s="16"/>
      <c r="AG69" s="35">
        <f t="shared" si="35"/>
        <v>313.524</v>
      </c>
      <c r="AH69" s="35">
        <f t="shared" si="36"/>
        <v>841.26800000000003</v>
      </c>
      <c r="AI69" s="15">
        <f t="shared" si="64"/>
        <v>841.26800000000003</v>
      </c>
      <c r="AJ69" s="15">
        <f t="shared" si="64"/>
        <v>0</v>
      </c>
      <c r="AK69" s="15">
        <f t="shared" si="64"/>
        <v>0</v>
      </c>
      <c r="AL69" s="15">
        <f t="shared" si="64"/>
        <v>0</v>
      </c>
      <c r="AM69" s="15">
        <f t="shared" si="64"/>
        <v>0</v>
      </c>
      <c r="AN69" s="15"/>
      <c r="AO69" s="15">
        <f t="shared" si="7"/>
        <v>841.26800000000003</v>
      </c>
      <c r="AP69" s="15">
        <f t="shared" si="37"/>
        <v>841.26800000000003</v>
      </c>
      <c r="AQ69" s="15">
        <f t="shared" si="38"/>
        <v>841.26800000000003</v>
      </c>
      <c r="AR69" s="127">
        <f t="shared" si="39"/>
        <v>0</v>
      </c>
      <c r="AS69" s="112">
        <f t="shared" si="70"/>
        <v>2678624.232576</v>
      </c>
      <c r="AT69" s="112">
        <f t="shared" si="70"/>
        <v>0</v>
      </c>
      <c r="AU69" s="112">
        <f t="shared" si="70"/>
        <v>0</v>
      </c>
      <c r="AV69" s="112">
        <f t="shared" si="70"/>
        <v>0</v>
      </c>
      <c r="AW69" s="112">
        <f t="shared" si="70"/>
        <v>0</v>
      </c>
      <c r="AX69" s="112">
        <f t="shared" si="40"/>
        <v>2678624.232576</v>
      </c>
      <c r="AY69" s="112">
        <f t="shared" si="41"/>
        <v>2678624.232576</v>
      </c>
      <c r="AZ69" s="112">
        <f t="shared" si="71"/>
        <v>2775477.7348800004</v>
      </c>
      <c r="BA69" s="112">
        <f t="shared" si="71"/>
        <v>0</v>
      </c>
      <c r="BB69" s="112">
        <f t="shared" si="71"/>
        <v>0</v>
      </c>
      <c r="BC69" s="112">
        <f t="shared" si="71"/>
        <v>0</v>
      </c>
      <c r="BD69" s="112">
        <f t="shared" si="71"/>
        <v>0</v>
      </c>
      <c r="BE69" s="112">
        <f t="shared" si="42"/>
        <v>2775477.7348800004</v>
      </c>
      <c r="BF69" s="112">
        <f t="shared" si="43"/>
        <v>2775477.7348800004</v>
      </c>
      <c r="BG69" s="126"/>
      <c r="BH69" s="126"/>
      <c r="BI69" s="112">
        <f t="shared" ref="BI69:BI127" si="80">BG69+BH69</f>
        <v>0</v>
      </c>
      <c r="BJ69" s="112"/>
      <c r="BK69" s="112"/>
      <c r="BL69" s="112">
        <f t="shared" si="72"/>
        <v>1680353.7838080002</v>
      </c>
      <c r="BM69" s="112">
        <f t="shared" si="72"/>
        <v>0</v>
      </c>
      <c r="BN69" s="112">
        <f t="shared" si="72"/>
        <v>0</v>
      </c>
      <c r="BO69" s="112">
        <f t="shared" si="72"/>
        <v>0</v>
      </c>
      <c r="BP69" s="112">
        <f t="shared" si="72"/>
        <v>0</v>
      </c>
      <c r="BQ69" s="112">
        <f t="shared" si="44"/>
        <v>1680353.7838080002</v>
      </c>
      <c r="BR69" s="112">
        <f t="shared" si="45"/>
        <v>1680353.7838080002</v>
      </c>
      <c r="BS69" s="112">
        <f t="shared" si="73"/>
        <v>1034365.8398400001</v>
      </c>
      <c r="BT69" s="112">
        <f t="shared" si="73"/>
        <v>0</v>
      </c>
      <c r="BU69" s="112">
        <f t="shared" si="73"/>
        <v>0</v>
      </c>
      <c r="BV69" s="112">
        <f t="shared" si="12"/>
        <v>0</v>
      </c>
      <c r="BW69" s="112">
        <f t="shared" si="13"/>
        <v>0</v>
      </c>
      <c r="BX69" s="112">
        <f t="shared" si="46"/>
        <v>1034365.8398400001</v>
      </c>
      <c r="BY69" s="112">
        <f t="shared" si="47"/>
        <v>1034365.8398400001</v>
      </c>
      <c r="BZ69" s="113">
        <f t="shared" si="48"/>
        <v>0</v>
      </c>
      <c r="CA69" s="113">
        <f t="shared" si="48"/>
        <v>0</v>
      </c>
      <c r="CB69" s="113">
        <f t="shared" si="49"/>
        <v>0</v>
      </c>
      <c r="CC69" s="119" t="e">
        <f t="shared" si="50"/>
        <v>#DIV/0!</v>
      </c>
      <c r="CD69" s="119" t="e">
        <f t="shared" si="50"/>
        <v>#DIV/0!</v>
      </c>
      <c r="CE69" s="119" t="e">
        <f t="shared" si="51"/>
        <v>#DIV/0!</v>
      </c>
      <c r="CF69" s="113" t="e">
        <f t="shared" si="14"/>
        <v>#DIV/0!</v>
      </c>
      <c r="CG69" s="619">
        <f t="shared" si="15"/>
        <v>0</v>
      </c>
      <c r="CH69" s="132" t="e">
        <f t="shared" si="52"/>
        <v>#DIV/0!</v>
      </c>
      <c r="CI69" s="625"/>
      <c r="CJ69" s="208">
        <f t="shared" si="16"/>
        <v>1680.3537838080001</v>
      </c>
      <c r="CK69" s="208">
        <f t="shared" si="17"/>
        <v>1034.36583984</v>
      </c>
      <c r="CL69" s="208">
        <f t="shared" si="53"/>
        <v>2714.7196236480004</v>
      </c>
      <c r="CM69" s="112">
        <f t="shared" si="18"/>
        <v>2714719.6236480004</v>
      </c>
      <c r="CN69" s="112">
        <f t="shared" si="19"/>
        <v>2678624.232576</v>
      </c>
      <c r="CO69" s="112">
        <f t="shared" si="20"/>
        <v>2678624.232576</v>
      </c>
      <c r="CP69" s="112">
        <f t="shared" si="21"/>
        <v>1680353.7838080002</v>
      </c>
      <c r="CQ69" s="112">
        <f t="shared" si="22"/>
        <v>2775477.7348800004</v>
      </c>
      <c r="CR69" s="112">
        <f t="shared" si="23"/>
        <v>2775477.7348800004</v>
      </c>
      <c r="CS69" s="112">
        <f t="shared" si="24"/>
        <v>1034365.8398400001</v>
      </c>
      <c r="CT69" s="112">
        <f t="shared" si="54"/>
        <v>5454101.9674559999</v>
      </c>
      <c r="CU69" s="124">
        <f t="shared" si="55"/>
        <v>6483192</v>
      </c>
      <c r="CV69" s="112">
        <f t="shared" si="25"/>
        <v>0</v>
      </c>
      <c r="CW69" s="112">
        <f t="shared" si="26"/>
        <v>0</v>
      </c>
      <c r="CX69" s="112">
        <f t="shared" si="56"/>
        <v>0</v>
      </c>
      <c r="CY69" s="112">
        <f t="shared" si="27"/>
        <v>2678624.232576</v>
      </c>
      <c r="CZ69" s="112">
        <f t="shared" si="28"/>
        <v>2775477.7348800004</v>
      </c>
      <c r="DA69" s="625"/>
      <c r="DB69" s="128" t="e">
        <f t="shared" si="57"/>
        <v>#DIV/0!</v>
      </c>
      <c r="DC69" s="625"/>
      <c r="DD69" s="625"/>
      <c r="DE69" s="625"/>
      <c r="DF69" s="625"/>
      <c r="DG69" s="618">
        <f t="shared" si="29"/>
        <v>0</v>
      </c>
      <c r="DH69" s="618">
        <f t="shared" si="30"/>
        <v>0</v>
      </c>
      <c r="DI69" s="618">
        <f t="shared" si="31"/>
        <v>0</v>
      </c>
      <c r="DJ69" s="123"/>
    </row>
    <row r="70" spans="1:116" s="20" customFormat="1" ht="63.75" customHeight="1">
      <c r="A70" s="20">
        <f t="shared" si="58"/>
        <v>57</v>
      </c>
      <c r="B70" s="1504"/>
      <c r="C70" s="803" t="s">
        <v>107</v>
      </c>
      <c r="D70" s="748" t="s">
        <v>141</v>
      </c>
      <c r="E70" s="617">
        <v>4632024035</v>
      </c>
      <c r="F70" s="803" t="s">
        <v>8</v>
      </c>
      <c r="G70" s="751" t="s">
        <v>890</v>
      </c>
      <c r="H70" s="816">
        <f>2653.36*1.2</f>
        <v>3184.0320000000002</v>
      </c>
      <c r="I70" s="816">
        <f>2653.36*1.2</f>
        <v>3184.0320000000002</v>
      </c>
      <c r="J70" s="38"/>
      <c r="K70" s="38"/>
      <c r="L70" s="816">
        <f>2653.36*1.2</f>
        <v>3184.0320000000002</v>
      </c>
      <c r="M70" s="10"/>
      <c r="N70" s="622">
        <f>2749.3*1.2</f>
        <v>3299.1600000000003</v>
      </c>
      <c r="O70" s="622">
        <f>2749.3*1.2</f>
        <v>3299.1600000000003</v>
      </c>
      <c r="P70" s="10"/>
      <c r="Q70" s="10"/>
      <c r="R70" s="622">
        <f>2749.3*1.2</f>
        <v>3299.1600000000003</v>
      </c>
      <c r="S70" s="10"/>
      <c r="T70" s="178">
        <v>167.80199999999999</v>
      </c>
      <c r="U70" s="670"/>
      <c r="V70" s="671"/>
      <c r="W70" s="622"/>
      <c r="X70" s="622"/>
      <c r="Y70" s="622"/>
      <c r="Z70" s="35">
        <f t="shared" si="34"/>
        <v>167.80199999999999</v>
      </c>
      <c r="AA70" s="178">
        <v>97.440000000000012</v>
      </c>
      <c r="AB70" s="15"/>
      <c r="AC70" s="208"/>
      <c r="AD70" s="15"/>
      <c r="AE70" s="15"/>
      <c r="AF70" s="15"/>
      <c r="AG70" s="35">
        <f t="shared" si="35"/>
        <v>97.440000000000012</v>
      </c>
      <c r="AH70" s="35">
        <f t="shared" si="36"/>
        <v>265.24200000000002</v>
      </c>
      <c r="AI70" s="15">
        <f t="shared" si="64"/>
        <v>265.24200000000002</v>
      </c>
      <c r="AJ70" s="15">
        <f t="shared" si="64"/>
        <v>0</v>
      </c>
      <c r="AK70" s="15">
        <f t="shared" si="64"/>
        <v>0</v>
      </c>
      <c r="AL70" s="15">
        <f t="shared" si="64"/>
        <v>0</v>
      </c>
      <c r="AM70" s="15">
        <f t="shared" si="64"/>
        <v>0</v>
      </c>
      <c r="AN70" s="15"/>
      <c r="AO70" s="15">
        <f t="shared" si="7"/>
        <v>265.24200000000002</v>
      </c>
      <c r="AP70" s="15">
        <f t="shared" si="37"/>
        <v>265.24200000000002</v>
      </c>
      <c r="AQ70" s="15">
        <f t="shared" si="38"/>
        <v>265.24200000000002</v>
      </c>
      <c r="AR70" s="127">
        <f t="shared" si="39"/>
        <v>0</v>
      </c>
      <c r="AS70" s="112">
        <f t="shared" si="70"/>
        <v>844539.01574400009</v>
      </c>
      <c r="AT70" s="112">
        <f t="shared" si="70"/>
        <v>0</v>
      </c>
      <c r="AU70" s="112">
        <f t="shared" si="70"/>
        <v>0</v>
      </c>
      <c r="AV70" s="112">
        <f t="shared" si="70"/>
        <v>0</v>
      </c>
      <c r="AW70" s="112">
        <f t="shared" si="70"/>
        <v>0</v>
      </c>
      <c r="AX70" s="112">
        <f t="shared" si="40"/>
        <v>844539.01574400009</v>
      </c>
      <c r="AY70" s="112">
        <f t="shared" si="41"/>
        <v>844539.01574400009</v>
      </c>
      <c r="AZ70" s="112">
        <f t="shared" si="71"/>
        <v>875075.7967200001</v>
      </c>
      <c r="BA70" s="112">
        <f t="shared" si="71"/>
        <v>0</v>
      </c>
      <c r="BB70" s="112">
        <f t="shared" si="71"/>
        <v>0</v>
      </c>
      <c r="BC70" s="112">
        <f t="shared" si="71"/>
        <v>0</v>
      </c>
      <c r="BD70" s="112">
        <f t="shared" si="71"/>
        <v>0</v>
      </c>
      <c r="BE70" s="112">
        <f t="shared" si="42"/>
        <v>875075.7967200001</v>
      </c>
      <c r="BF70" s="112">
        <f t="shared" si="43"/>
        <v>875075.7967200001</v>
      </c>
      <c r="BG70" s="112"/>
      <c r="BH70" s="112"/>
      <c r="BI70" s="112">
        <f t="shared" si="80"/>
        <v>0</v>
      </c>
      <c r="BJ70" s="112"/>
      <c r="BK70" s="112"/>
      <c r="BL70" s="112">
        <f t="shared" si="72"/>
        <v>534286.93766399997</v>
      </c>
      <c r="BM70" s="112">
        <f t="shared" si="72"/>
        <v>0</v>
      </c>
      <c r="BN70" s="112">
        <f t="shared" si="72"/>
        <v>0</v>
      </c>
      <c r="BO70" s="112">
        <f t="shared" si="72"/>
        <v>0</v>
      </c>
      <c r="BP70" s="112">
        <f t="shared" si="72"/>
        <v>0</v>
      </c>
      <c r="BQ70" s="112">
        <f t="shared" si="44"/>
        <v>534286.93766399997</v>
      </c>
      <c r="BR70" s="112">
        <f t="shared" si="45"/>
        <v>534286.93766399997</v>
      </c>
      <c r="BS70" s="112">
        <f t="shared" si="73"/>
        <v>321470.15040000004</v>
      </c>
      <c r="BT70" s="112">
        <f t="shared" si="73"/>
        <v>0</v>
      </c>
      <c r="BU70" s="112">
        <f t="shared" si="73"/>
        <v>0</v>
      </c>
      <c r="BV70" s="112">
        <f t="shared" si="12"/>
        <v>0</v>
      </c>
      <c r="BW70" s="112">
        <f t="shared" si="13"/>
        <v>0</v>
      </c>
      <c r="BX70" s="112">
        <f t="shared" si="46"/>
        <v>321470.15040000004</v>
      </c>
      <c r="BY70" s="112">
        <f t="shared" si="47"/>
        <v>321470.15040000004</v>
      </c>
      <c r="BZ70" s="113">
        <f t="shared" si="48"/>
        <v>0</v>
      </c>
      <c r="CA70" s="113">
        <f t="shared" si="48"/>
        <v>0</v>
      </c>
      <c r="CB70" s="113">
        <f t="shared" si="49"/>
        <v>0</v>
      </c>
      <c r="CC70" s="119" t="e">
        <f t="shared" si="50"/>
        <v>#DIV/0!</v>
      </c>
      <c r="CD70" s="119" t="e">
        <f t="shared" si="50"/>
        <v>#DIV/0!</v>
      </c>
      <c r="CE70" s="119" t="e">
        <f t="shared" si="51"/>
        <v>#DIV/0!</v>
      </c>
      <c r="CF70" s="113" t="e">
        <f t="shared" si="14"/>
        <v>#DIV/0!</v>
      </c>
      <c r="CG70" s="619">
        <f t="shared" si="15"/>
        <v>0</v>
      </c>
      <c r="CH70" s="132" t="e">
        <f t="shared" si="52"/>
        <v>#DIV/0!</v>
      </c>
      <c r="CI70" s="106"/>
      <c r="CJ70" s="208">
        <f t="shared" si="16"/>
        <v>534.28693766399999</v>
      </c>
      <c r="CK70" s="208">
        <f t="shared" si="17"/>
        <v>321.47015040000002</v>
      </c>
      <c r="CL70" s="208">
        <f t="shared" si="53"/>
        <v>855.75708806400007</v>
      </c>
      <c r="CM70" s="112">
        <f t="shared" si="18"/>
        <v>855757.08806400001</v>
      </c>
      <c r="CN70" s="112">
        <f t="shared" si="19"/>
        <v>844539.01574400009</v>
      </c>
      <c r="CO70" s="112">
        <f t="shared" si="20"/>
        <v>844539.01574400009</v>
      </c>
      <c r="CP70" s="112">
        <f t="shared" si="21"/>
        <v>534286.93766399997</v>
      </c>
      <c r="CQ70" s="112">
        <f t="shared" si="22"/>
        <v>875075.7967200001</v>
      </c>
      <c r="CR70" s="112">
        <f t="shared" si="23"/>
        <v>875075.7967200001</v>
      </c>
      <c r="CS70" s="112">
        <f t="shared" si="24"/>
        <v>321470.15040000004</v>
      </c>
      <c r="CT70" s="112">
        <f t="shared" si="54"/>
        <v>1719614.8124640002</v>
      </c>
      <c r="CU70" s="124">
        <f t="shared" si="55"/>
        <v>6483192</v>
      </c>
      <c r="CV70" s="112">
        <f t="shared" si="25"/>
        <v>0</v>
      </c>
      <c r="CW70" s="112">
        <f t="shared" si="26"/>
        <v>0</v>
      </c>
      <c r="CX70" s="112">
        <f t="shared" si="56"/>
        <v>0</v>
      </c>
      <c r="CY70" s="112">
        <f t="shared" si="27"/>
        <v>844539.01574400009</v>
      </c>
      <c r="CZ70" s="112">
        <f t="shared" si="28"/>
        <v>875075.7967200001</v>
      </c>
      <c r="DA70" s="106"/>
      <c r="DB70" s="128" t="e">
        <f t="shared" si="57"/>
        <v>#DIV/0!</v>
      </c>
      <c r="DC70" s="106"/>
      <c r="DD70" s="106"/>
      <c r="DE70" s="106"/>
      <c r="DF70" s="106"/>
      <c r="DG70" s="618">
        <f t="shared" si="29"/>
        <v>0</v>
      </c>
      <c r="DH70" s="618">
        <f t="shared" si="30"/>
        <v>0</v>
      </c>
      <c r="DI70" s="618">
        <f t="shared" si="31"/>
        <v>0</v>
      </c>
      <c r="DJ70" s="115"/>
    </row>
    <row r="71" spans="1:116" s="45" customFormat="1" ht="56.25" hidden="1" customHeight="1">
      <c r="A71" s="20">
        <f t="shared" si="58"/>
        <v>58</v>
      </c>
      <c r="B71" s="1562" t="s">
        <v>25</v>
      </c>
      <c r="C71" s="1502" t="s">
        <v>108</v>
      </c>
      <c r="D71" s="696" t="s">
        <v>26</v>
      </c>
      <c r="E71" s="758">
        <v>4617004147</v>
      </c>
      <c r="F71" s="696" t="s">
        <v>8</v>
      </c>
      <c r="G71" s="801" t="s">
        <v>901</v>
      </c>
      <c r="H71" s="607">
        <v>2468.0000000000009</v>
      </c>
      <c r="I71" s="38">
        <v>2468.0000000000009</v>
      </c>
      <c r="J71" s="607">
        <v>2468.0000000000009</v>
      </c>
      <c r="K71" s="607"/>
      <c r="L71" s="607"/>
      <c r="M71" s="36"/>
      <c r="N71" s="36">
        <v>2555.4899999999998</v>
      </c>
      <c r="O71" s="10">
        <v>2555.4899999999998</v>
      </c>
      <c r="P71" s="36">
        <v>2555.4899999999998</v>
      </c>
      <c r="Q71" s="36"/>
      <c r="R71" s="36"/>
      <c r="S71" s="36"/>
      <c r="T71" s="177">
        <v>1742.6670000000001</v>
      </c>
      <c r="U71" s="173">
        <v>537.31299999999999</v>
      </c>
      <c r="V71" s="224">
        <v>0</v>
      </c>
      <c r="W71" s="173">
        <v>0</v>
      </c>
      <c r="X71" s="173">
        <v>0</v>
      </c>
      <c r="Y71" s="173">
        <v>0</v>
      </c>
      <c r="Z71" s="35">
        <f t="shared" si="34"/>
        <v>2279.98</v>
      </c>
      <c r="AA71" s="177">
        <v>1183.9153333333331</v>
      </c>
      <c r="AB71" s="173">
        <v>398.15899999999993</v>
      </c>
      <c r="AC71" s="224">
        <v>0</v>
      </c>
      <c r="AD71" s="173">
        <v>0</v>
      </c>
      <c r="AE71" s="173">
        <v>0</v>
      </c>
      <c r="AF71" s="173">
        <v>0</v>
      </c>
      <c r="AG71" s="35">
        <f t="shared" si="35"/>
        <v>1582.074333333333</v>
      </c>
      <c r="AH71" s="35">
        <f t="shared" si="36"/>
        <v>3862.054333333333</v>
      </c>
      <c r="AI71" s="15">
        <f t="shared" si="64"/>
        <v>2926.5823333333333</v>
      </c>
      <c r="AJ71" s="15">
        <f t="shared" si="64"/>
        <v>935.47199999999998</v>
      </c>
      <c r="AK71" s="15">
        <f t="shared" si="64"/>
        <v>0</v>
      </c>
      <c r="AL71" s="15">
        <f t="shared" si="64"/>
        <v>0</v>
      </c>
      <c r="AM71" s="15">
        <f t="shared" si="64"/>
        <v>0</v>
      </c>
      <c r="AN71" s="15"/>
      <c r="AO71" s="15">
        <f t="shared" si="7"/>
        <v>3862.0543333333335</v>
      </c>
      <c r="AP71" s="15">
        <f t="shared" si="37"/>
        <v>3862.0543333333335</v>
      </c>
      <c r="AQ71" s="15">
        <f t="shared" si="38"/>
        <v>3862.0543333333335</v>
      </c>
      <c r="AR71" s="127">
        <f t="shared" si="39"/>
        <v>0</v>
      </c>
      <c r="AS71" s="112">
        <f t="shared" si="70"/>
        <v>7222805.1986666694</v>
      </c>
      <c r="AT71" s="112">
        <f t="shared" si="70"/>
        <v>2308744.8960000006</v>
      </c>
      <c r="AU71" s="112">
        <f t="shared" si="70"/>
        <v>0</v>
      </c>
      <c r="AV71" s="112">
        <f t="shared" si="70"/>
        <v>0</v>
      </c>
      <c r="AW71" s="112">
        <f t="shared" si="70"/>
        <v>0</v>
      </c>
      <c r="AX71" s="112">
        <f t="shared" si="40"/>
        <v>9531550.094666671</v>
      </c>
      <c r="AY71" s="112">
        <f t="shared" si="41"/>
        <v>9531550.094666671</v>
      </c>
      <c r="AZ71" s="112">
        <f t="shared" si="71"/>
        <v>7478851.8870099988</v>
      </c>
      <c r="BA71" s="112">
        <f t="shared" si="71"/>
        <v>2390589.3412799998</v>
      </c>
      <c r="BB71" s="112">
        <f t="shared" si="71"/>
        <v>0</v>
      </c>
      <c r="BC71" s="112">
        <f t="shared" si="71"/>
        <v>0</v>
      </c>
      <c r="BD71" s="112">
        <f t="shared" si="71"/>
        <v>0</v>
      </c>
      <c r="BE71" s="112">
        <f t="shared" si="42"/>
        <v>9869441.2282899991</v>
      </c>
      <c r="BF71" s="112">
        <f t="shared" si="43"/>
        <v>9869441.2282899991</v>
      </c>
      <c r="BG71" s="169"/>
      <c r="BH71" s="170"/>
      <c r="BI71" s="169">
        <f t="shared" si="80"/>
        <v>0</v>
      </c>
      <c r="BJ71" s="169">
        <v>9669.9500000000007</v>
      </c>
      <c r="BK71" s="169"/>
      <c r="BL71" s="112">
        <f t="shared" si="72"/>
        <v>4300902.1560000023</v>
      </c>
      <c r="BM71" s="112">
        <f t="shared" si="72"/>
        <v>1326088.4840000004</v>
      </c>
      <c r="BN71" s="112">
        <f t="shared" si="72"/>
        <v>0</v>
      </c>
      <c r="BO71" s="112">
        <f t="shared" si="72"/>
        <v>0</v>
      </c>
      <c r="BP71" s="112">
        <f t="shared" si="72"/>
        <v>0</v>
      </c>
      <c r="BQ71" s="112">
        <f t="shared" si="44"/>
        <v>5626990.6400000025</v>
      </c>
      <c r="BR71" s="112">
        <f t="shared" si="45"/>
        <v>5626990.6400000025</v>
      </c>
      <c r="BS71" s="112">
        <f t="shared" si="73"/>
        <v>3025483.7951799994</v>
      </c>
      <c r="BT71" s="112">
        <f t="shared" si="73"/>
        <v>1017491.3429099998</v>
      </c>
      <c r="BU71" s="112">
        <f t="shared" si="73"/>
        <v>0</v>
      </c>
      <c r="BV71" s="112">
        <f t="shared" si="12"/>
        <v>0</v>
      </c>
      <c r="BW71" s="112">
        <f t="shared" si="13"/>
        <v>0</v>
      </c>
      <c r="BX71" s="112">
        <f t="shared" si="46"/>
        <v>4042975.1380899991</v>
      </c>
      <c r="BY71" s="112">
        <f t="shared" si="47"/>
        <v>4042975.1380899991</v>
      </c>
      <c r="BZ71" s="113">
        <f t="shared" si="48"/>
        <v>2343579.8269100003</v>
      </c>
      <c r="CA71" s="113">
        <f t="shared" si="48"/>
        <v>0</v>
      </c>
      <c r="CB71" s="113">
        <f t="shared" si="49"/>
        <v>2343579.8269100003</v>
      </c>
      <c r="CC71" s="119">
        <f t="shared" si="50"/>
        <v>2505.2378124732759</v>
      </c>
      <c r="CD71" s="119" t="e">
        <f t="shared" si="50"/>
        <v>#DIV/0!</v>
      </c>
      <c r="CE71" s="119">
        <f t="shared" si="51"/>
        <v>2505.2378124732759</v>
      </c>
      <c r="CF71" s="119">
        <f t="shared" si="14"/>
        <v>2505.2378124732759</v>
      </c>
      <c r="CG71" s="619">
        <f t="shared" si="15"/>
        <v>2343579.8269100003</v>
      </c>
      <c r="CH71" s="132">
        <f t="shared" si="52"/>
        <v>2505.2378124732759</v>
      </c>
      <c r="CI71" s="171"/>
      <c r="CJ71" s="112">
        <f t="shared" si="16"/>
        <v>5626.9906400000027</v>
      </c>
      <c r="CK71" s="112">
        <f t="shared" si="17"/>
        <v>4042.9751380899988</v>
      </c>
      <c r="CL71" s="112">
        <f t="shared" si="53"/>
        <v>9669.9657780900015</v>
      </c>
      <c r="CM71" s="112">
        <f t="shared" si="18"/>
        <v>9669965.7780900002</v>
      </c>
      <c r="CN71" s="112">
        <f t="shared" si="19"/>
        <v>9531550.094666671</v>
      </c>
      <c r="CO71" s="112">
        <f t="shared" si="20"/>
        <v>9531550.094666671</v>
      </c>
      <c r="CP71" s="112">
        <f t="shared" si="21"/>
        <v>5626990.6400000025</v>
      </c>
      <c r="CQ71" s="112">
        <f t="shared" si="22"/>
        <v>9869441.2282899991</v>
      </c>
      <c r="CR71" s="112">
        <f t="shared" si="23"/>
        <v>9869441.2282899991</v>
      </c>
      <c r="CS71" s="112">
        <f t="shared" si="24"/>
        <v>4042975.1380899991</v>
      </c>
      <c r="CT71" s="112">
        <f t="shared" si="54"/>
        <v>19400991.32295667</v>
      </c>
      <c r="CU71" s="124">
        <f t="shared" si="55"/>
        <v>5023490.0000000019</v>
      </c>
      <c r="CV71" s="112">
        <f t="shared" si="25"/>
        <v>2308744.8960000006</v>
      </c>
      <c r="CW71" s="112">
        <f t="shared" si="26"/>
        <v>2390589.3412799998</v>
      </c>
      <c r="CX71" s="112">
        <f t="shared" si="56"/>
        <v>4699334.23728</v>
      </c>
      <c r="CY71" s="112">
        <f t="shared" si="27"/>
        <v>9531550.094666671</v>
      </c>
      <c r="CZ71" s="112">
        <f t="shared" si="28"/>
        <v>9869441.2282899991</v>
      </c>
      <c r="DA71" s="171"/>
      <c r="DB71" s="128">
        <f t="shared" si="57"/>
        <v>103.54497568881681</v>
      </c>
      <c r="DC71" s="171"/>
      <c r="DD71" s="171"/>
      <c r="DE71" s="171"/>
      <c r="DF71" s="171"/>
      <c r="DG71" s="618">
        <f t="shared" si="29"/>
        <v>0</v>
      </c>
      <c r="DH71" s="618">
        <f t="shared" si="30"/>
        <v>0</v>
      </c>
      <c r="DI71" s="618">
        <f t="shared" si="31"/>
        <v>0</v>
      </c>
      <c r="DJ71" s="125"/>
      <c r="DK71" s="21"/>
      <c r="DL71" s="21"/>
    </row>
    <row r="72" spans="1:116" s="21" customFormat="1" ht="67.5" customHeight="1">
      <c r="A72" s="20">
        <f t="shared" si="58"/>
        <v>59</v>
      </c>
      <c r="B72" s="1562"/>
      <c r="C72" s="1504"/>
      <c r="D72" s="748" t="s">
        <v>141</v>
      </c>
      <c r="E72" s="617">
        <v>4632024035</v>
      </c>
      <c r="F72" s="803" t="s">
        <v>8</v>
      </c>
      <c r="G72" s="751" t="s">
        <v>890</v>
      </c>
      <c r="H72" s="816">
        <f>2653.36*1.2</f>
        <v>3184.0320000000002</v>
      </c>
      <c r="I72" s="816">
        <f>2653.36*1.2</f>
        <v>3184.0320000000002</v>
      </c>
      <c r="J72" s="38">
        <v>2732.57</v>
      </c>
      <c r="K72" s="38"/>
      <c r="L72" s="816">
        <f>2653.36*1.2</f>
        <v>3184.0320000000002</v>
      </c>
      <c r="M72" s="36"/>
      <c r="N72" s="622">
        <f>2749.3*1.2</f>
        <v>3299.1600000000003</v>
      </c>
      <c r="O72" s="622">
        <f>2749.3*1.2</f>
        <v>3299.1600000000003</v>
      </c>
      <c r="P72" s="38">
        <v>2896.52</v>
      </c>
      <c r="Q72" s="10"/>
      <c r="R72" s="622">
        <f>2749.3*1.2</f>
        <v>3299.1600000000003</v>
      </c>
      <c r="S72" s="36"/>
      <c r="T72" s="177">
        <v>159.517</v>
      </c>
      <c r="U72" s="173">
        <v>1797.1</v>
      </c>
      <c r="V72" s="224"/>
      <c r="W72" s="173"/>
      <c r="X72" s="173"/>
      <c r="Y72" s="173"/>
      <c r="Z72" s="35">
        <f t="shared" si="34"/>
        <v>1956.617</v>
      </c>
      <c r="AA72" s="177">
        <v>94.62</v>
      </c>
      <c r="AB72" s="173">
        <v>1347.8</v>
      </c>
      <c r="AC72" s="224"/>
      <c r="AD72" s="173"/>
      <c r="AE72" s="173"/>
      <c r="AF72" s="173"/>
      <c r="AG72" s="35">
        <f t="shared" si="35"/>
        <v>1442.42</v>
      </c>
      <c r="AH72" s="35">
        <f>Z72+AG72</f>
        <v>3399.0370000000003</v>
      </c>
      <c r="AI72" s="15">
        <f t="shared" si="64"/>
        <v>254.137</v>
      </c>
      <c r="AJ72" s="15">
        <f t="shared" si="64"/>
        <v>3144.8999999999996</v>
      </c>
      <c r="AK72" s="15">
        <f t="shared" si="64"/>
        <v>0</v>
      </c>
      <c r="AL72" s="15">
        <f t="shared" si="64"/>
        <v>0</v>
      </c>
      <c r="AM72" s="15">
        <f t="shared" si="64"/>
        <v>0</v>
      </c>
      <c r="AN72" s="15"/>
      <c r="AO72" s="15">
        <f t="shared" si="7"/>
        <v>3399.0369999999998</v>
      </c>
      <c r="AP72" s="15">
        <f t="shared" si="37"/>
        <v>3399.0369999999998</v>
      </c>
      <c r="AQ72" s="15">
        <f t="shared" ref="AQ72:AQ135" si="81">SUM(AI72:AL72)</f>
        <v>3399.0369999999998</v>
      </c>
      <c r="AR72" s="127">
        <f t="shared" si="39"/>
        <v>0</v>
      </c>
      <c r="AS72" s="112">
        <f t="shared" si="70"/>
        <v>809180.3403840001</v>
      </c>
      <c r="AT72" s="112">
        <f t="shared" si="70"/>
        <v>8593659.3929999992</v>
      </c>
      <c r="AU72" s="112">
        <f t="shared" si="70"/>
        <v>0</v>
      </c>
      <c r="AV72" s="112">
        <f t="shared" si="70"/>
        <v>0</v>
      </c>
      <c r="AW72" s="112">
        <f t="shared" si="70"/>
        <v>0</v>
      </c>
      <c r="AX72" s="112">
        <f t="shared" si="40"/>
        <v>9402839.7333840001</v>
      </c>
      <c r="AY72" s="112">
        <f t="shared" si="41"/>
        <v>9402839.7333840001</v>
      </c>
      <c r="AZ72" s="112">
        <f t="shared" si="71"/>
        <v>838438.62492000009</v>
      </c>
      <c r="BA72" s="112">
        <f t="shared" si="71"/>
        <v>9109265.7479999997</v>
      </c>
      <c r="BB72" s="112">
        <f t="shared" si="71"/>
        <v>0</v>
      </c>
      <c r="BC72" s="112">
        <f t="shared" si="71"/>
        <v>0</v>
      </c>
      <c r="BD72" s="112">
        <f t="shared" si="71"/>
        <v>0</v>
      </c>
      <c r="BE72" s="112">
        <f t="shared" si="42"/>
        <v>9947704.3729199991</v>
      </c>
      <c r="BF72" s="112">
        <f t="shared" si="43"/>
        <v>9947704.3729199991</v>
      </c>
      <c r="BG72" s="623">
        <f>(I72-J72)/1.2*U72/1000</f>
        <v>676.10196683333334</v>
      </c>
      <c r="BH72" s="624">
        <f>(O72-P72)/1.2*AB72/1000</f>
        <v>452.23182666666708</v>
      </c>
      <c r="BI72" s="623">
        <f>BG72+BH72</f>
        <v>1128.3337935000004</v>
      </c>
      <c r="BJ72" s="169"/>
      <c r="BK72" s="169"/>
      <c r="BL72" s="112">
        <f t="shared" si="72"/>
        <v>507907.23254400003</v>
      </c>
      <c r="BM72" s="112">
        <f t="shared" si="72"/>
        <v>4910701.5470000003</v>
      </c>
      <c r="BN72" s="112">
        <f t="shared" si="72"/>
        <v>0</v>
      </c>
      <c r="BO72" s="112">
        <f t="shared" si="72"/>
        <v>0</v>
      </c>
      <c r="BP72" s="112">
        <f t="shared" si="72"/>
        <v>0</v>
      </c>
      <c r="BQ72" s="112">
        <f t="shared" si="44"/>
        <v>5418608.7795440005</v>
      </c>
      <c r="BR72" s="112">
        <f t="shared" si="45"/>
        <v>5418608.7795440005</v>
      </c>
      <c r="BS72" s="112">
        <f t="shared" si="73"/>
        <v>312166.51920000004</v>
      </c>
      <c r="BT72" s="112">
        <f t="shared" si="73"/>
        <v>3903929.656</v>
      </c>
      <c r="BU72" s="112">
        <f t="shared" si="73"/>
        <v>0</v>
      </c>
      <c r="BV72" s="112">
        <f t="shared" si="12"/>
        <v>0</v>
      </c>
      <c r="BW72" s="112">
        <f t="shared" si="13"/>
        <v>0</v>
      </c>
      <c r="BX72" s="112">
        <f t="shared" si="46"/>
        <v>4216096.1752000004</v>
      </c>
      <c r="BY72" s="112">
        <f t="shared" si="47"/>
        <v>4216096.1752000004</v>
      </c>
      <c r="BZ72" s="113">
        <f t="shared" si="48"/>
        <v>8814631.2029999997</v>
      </c>
      <c r="CA72" s="113">
        <f t="shared" si="48"/>
        <v>0</v>
      </c>
      <c r="CB72" s="113">
        <f t="shared" si="49"/>
        <v>8814631.2029999997</v>
      </c>
      <c r="CC72" s="119">
        <f t="shared" si="50"/>
        <v>2802.8335409710962</v>
      </c>
      <c r="CD72" s="119" t="e">
        <f t="shared" si="50"/>
        <v>#DIV/0!</v>
      </c>
      <c r="CE72" s="119">
        <f t="shared" si="51"/>
        <v>2802.8335409710962</v>
      </c>
      <c r="CF72" s="119">
        <f t="shared" si="14"/>
        <v>2802.8335409710962</v>
      </c>
      <c r="CG72" s="619">
        <f t="shared" si="15"/>
        <v>10168631.7552</v>
      </c>
      <c r="CH72" s="132">
        <f t="shared" si="52"/>
        <v>3233.372048459411</v>
      </c>
      <c r="CI72" s="171"/>
      <c r="CJ72" s="208">
        <f t="shared" si="16"/>
        <v>6229.9311397440006</v>
      </c>
      <c r="CK72" s="208">
        <f t="shared" si="17"/>
        <v>4758.7743672000015</v>
      </c>
      <c r="CL72" s="208">
        <f>CJ72+CK72</f>
        <v>10988.705506944003</v>
      </c>
      <c r="CM72" s="112">
        <f t="shared" si="18"/>
        <v>10988705.506944001</v>
      </c>
      <c r="CN72" s="112">
        <f t="shared" si="19"/>
        <v>9402839.7333840001</v>
      </c>
      <c r="CO72" s="112">
        <f t="shared" si="20"/>
        <v>9402839.7333840001</v>
      </c>
      <c r="CP72" s="112">
        <f t="shared" si="21"/>
        <v>5418608.7795440005</v>
      </c>
      <c r="CQ72" s="112">
        <f t="shared" si="22"/>
        <v>9947704.3729199991</v>
      </c>
      <c r="CR72" s="112">
        <f t="shared" si="23"/>
        <v>9947704.3729199991</v>
      </c>
      <c r="CS72" s="112">
        <f t="shared" si="24"/>
        <v>4216096.1752000004</v>
      </c>
      <c r="CT72" s="112">
        <f t="shared" si="54"/>
        <v>19350544.106303997</v>
      </c>
      <c r="CU72" s="124">
        <f t="shared" si="55"/>
        <v>5692948.945923212</v>
      </c>
      <c r="CV72" s="112">
        <f t="shared" si="25"/>
        <v>8593659.3929999992</v>
      </c>
      <c r="CW72" s="112">
        <f t="shared" si="26"/>
        <v>9109265.7479999997</v>
      </c>
      <c r="CX72" s="112">
        <f t="shared" si="56"/>
        <v>17702925.140999999</v>
      </c>
      <c r="CY72" s="112">
        <f t="shared" si="27"/>
        <v>10822642.577184001</v>
      </c>
      <c r="CZ72" s="112">
        <f t="shared" si="28"/>
        <v>11213966.908919999</v>
      </c>
      <c r="DA72" s="171"/>
      <c r="DB72" s="128">
        <f t="shared" si="57"/>
        <v>120.73469298133259</v>
      </c>
      <c r="DC72" s="171"/>
      <c r="DD72" s="171"/>
      <c r="DE72" s="171"/>
      <c r="DF72" s="171"/>
      <c r="DG72" s="618">
        <f t="shared" si="29"/>
        <v>0</v>
      </c>
      <c r="DH72" s="618">
        <f t="shared" si="30"/>
        <v>0</v>
      </c>
      <c r="DI72" s="618">
        <f t="shared" si="31"/>
        <v>0</v>
      </c>
      <c r="DJ72" s="125"/>
    </row>
    <row r="73" spans="1:116" s="21" customFormat="1" ht="38.25" hidden="1" customHeight="1">
      <c r="A73" s="20">
        <f t="shared" si="58"/>
        <v>60</v>
      </c>
      <c r="B73" s="1562"/>
      <c r="C73" s="759" t="s">
        <v>902</v>
      </c>
      <c r="D73" s="757" t="s">
        <v>161</v>
      </c>
      <c r="E73" s="760">
        <v>4617004147</v>
      </c>
      <c r="F73" s="757" t="s">
        <v>8</v>
      </c>
      <c r="G73" s="1563" t="s">
        <v>903</v>
      </c>
      <c r="H73" s="607">
        <v>3572.4999999999982</v>
      </c>
      <c r="I73" s="607">
        <v>3572.4999999999982</v>
      </c>
      <c r="J73" s="607"/>
      <c r="K73" s="607"/>
      <c r="L73" s="607"/>
      <c r="M73" s="36"/>
      <c r="N73" s="36">
        <v>3701.43</v>
      </c>
      <c r="O73" s="36">
        <v>3701.43</v>
      </c>
      <c r="P73" s="36"/>
      <c r="Q73" s="36"/>
      <c r="R73" s="36"/>
      <c r="S73" s="36"/>
      <c r="T73" s="173">
        <f t="shared" ref="T73:T79" si="82">2909.97/7</f>
        <v>415.71</v>
      </c>
      <c r="U73" s="173">
        <v>0</v>
      </c>
      <c r="V73" s="224">
        <v>0</v>
      </c>
      <c r="W73" s="173">
        <v>0</v>
      </c>
      <c r="X73" s="173">
        <v>0</v>
      </c>
      <c r="Y73" s="173">
        <v>0</v>
      </c>
      <c r="Z73" s="35">
        <f t="shared" si="34"/>
        <v>415.71</v>
      </c>
      <c r="AA73" s="173">
        <f t="shared" ref="AA73:AA79" si="83">2092.53/7</f>
        <v>298.93285714285719</v>
      </c>
      <c r="AB73" s="173">
        <v>0</v>
      </c>
      <c r="AC73" s="224">
        <v>0</v>
      </c>
      <c r="AD73" s="173">
        <v>0</v>
      </c>
      <c r="AE73" s="173">
        <v>0</v>
      </c>
      <c r="AF73" s="173">
        <v>0</v>
      </c>
      <c r="AG73" s="35">
        <f t="shared" si="35"/>
        <v>298.93285714285719</v>
      </c>
      <c r="AH73" s="35">
        <f t="shared" si="36"/>
        <v>714.64285714285711</v>
      </c>
      <c r="AI73" s="15">
        <f t="shared" si="64"/>
        <v>714.64285714285711</v>
      </c>
      <c r="AJ73" s="15">
        <f t="shared" si="64"/>
        <v>0</v>
      </c>
      <c r="AK73" s="15">
        <f t="shared" si="64"/>
        <v>0</v>
      </c>
      <c r="AL73" s="15">
        <f t="shared" si="64"/>
        <v>0</v>
      </c>
      <c r="AM73" s="15">
        <f t="shared" si="64"/>
        <v>0</v>
      </c>
      <c r="AN73" s="15"/>
      <c r="AO73" s="15">
        <f t="shared" si="7"/>
        <v>714.64285714285711</v>
      </c>
      <c r="AP73" s="15">
        <f t="shared" si="37"/>
        <v>714.64285714285711</v>
      </c>
      <c r="AQ73" s="15">
        <f t="shared" si="81"/>
        <v>714.64285714285711</v>
      </c>
      <c r="AR73" s="127">
        <f t="shared" si="39"/>
        <v>0</v>
      </c>
      <c r="AS73" s="112">
        <f t="shared" si="70"/>
        <v>2553061.6071428559</v>
      </c>
      <c r="AT73" s="112">
        <f t="shared" si="70"/>
        <v>0</v>
      </c>
      <c r="AU73" s="112">
        <f t="shared" si="70"/>
        <v>0</v>
      </c>
      <c r="AV73" s="112">
        <f t="shared" si="70"/>
        <v>0</v>
      </c>
      <c r="AW73" s="112">
        <f t="shared" si="70"/>
        <v>0</v>
      </c>
      <c r="AX73" s="112">
        <f t="shared" si="40"/>
        <v>2553061.6071428559</v>
      </c>
      <c r="AY73" s="112">
        <f t="shared" si="41"/>
        <v>2553061.6071428559</v>
      </c>
      <c r="AZ73" s="112">
        <f t="shared" si="71"/>
        <v>2645200.5107142855</v>
      </c>
      <c r="BA73" s="112">
        <f t="shared" si="71"/>
        <v>0</v>
      </c>
      <c r="BB73" s="112">
        <f t="shared" si="71"/>
        <v>0</v>
      </c>
      <c r="BC73" s="112">
        <f t="shared" si="71"/>
        <v>0</v>
      </c>
      <c r="BD73" s="112">
        <f t="shared" si="71"/>
        <v>0</v>
      </c>
      <c r="BE73" s="112">
        <f t="shared" si="42"/>
        <v>2645200.5107142855</v>
      </c>
      <c r="BF73" s="112">
        <f t="shared" si="43"/>
        <v>2645200.5107142855</v>
      </c>
      <c r="BG73" s="117"/>
      <c r="BH73" s="117"/>
      <c r="BI73" s="112">
        <f t="shared" si="80"/>
        <v>0</v>
      </c>
      <c r="BJ73" s="112"/>
      <c r="BK73" s="112"/>
      <c r="BL73" s="112">
        <f t="shared" si="72"/>
        <v>1485123.9749999992</v>
      </c>
      <c r="BM73" s="112">
        <f t="shared" si="72"/>
        <v>0</v>
      </c>
      <c r="BN73" s="112">
        <f t="shared" si="72"/>
        <v>0</v>
      </c>
      <c r="BO73" s="112">
        <f t="shared" si="72"/>
        <v>0</v>
      </c>
      <c r="BP73" s="112">
        <f t="shared" si="72"/>
        <v>0</v>
      </c>
      <c r="BQ73" s="112">
        <f t="shared" si="44"/>
        <v>1485123.9749999992</v>
      </c>
      <c r="BR73" s="112">
        <f t="shared" si="45"/>
        <v>1485123.9749999992</v>
      </c>
      <c r="BS73" s="112">
        <f t="shared" si="73"/>
        <v>1106479.0454142857</v>
      </c>
      <c r="BT73" s="112">
        <f t="shared" si="73"/>
        <v>0</v>
      </c>
      <c r="BU73" s="112">
        <f t="shared" si="73"/>
        <v>0</v>
      </c>
      <c r="BV73" s="112">
        <f t="shared" si="12"/>
        <v>0</v>
      </c>
      <c r="BW73" s="112">
        <f t="shared" si="13"/>
        <v>0</v>
      </c>
      <c r="BX73" s="112">
        <f t="shared" si="46"/>
        <v>1106479.0454142857</v>
      </c>
      <c r="BY73" s="112">
        <f t="shared" si="47"/>
        <v>1106479.0454142857</v>
      </c>
      <c r="BZ73" s="113">
        <f t="shared" si="48"/>
        <v>0</v>
      </c>
      <c r="CA73" s="113">
        <f t="shared" si="48"/>
        <v>0</v>
      </c>
      <c r="CB73" s="113">
        <f t="shared" si="49"/>
        <v>0</v>
      </c>
      <c r="CC73" s="119" t="e">
        <f t="shared" si="50"/>
        <v>#DIV/0!</v>
      </c>
      <c r="CD73" s="119" t="e">
        <f t="shared" si="50"/>
        <v>#DIV/0!</v>
      </c>
      <c r="CE73" s="119" t="e">
        <f t="shared" si="51"/>
        <v>#DIV/0!</v>
      </c>
      <c r="CF73" s="113" t="e">
        <f t="shared" si="14"/>
        <v>#DIV/0!</v>
      </c>
      <c r="CG73" s="619">
        <f t="shared" si="15"/>
        <v>0</v>
      </c>
      <c r="CH73" s="132" t="e">
        <f t="shared" si="52"/>
        <v>#DIV/0!</v>
      </c>
      <c r="CI73" s="171"/>
      <c r="CJ73" s="112">
        <f t="shared" si="16"/>
        <v>1485.1239749999991</v>
      </c>
      <c r="CK73" s="15">
        <f t="shared" si="17"/>
        <v>1106.4790454142858</v>
      </c>
      <c r="CL73" s="112">
        <f>CJ73+CK73</f>
        <v>2591.6030204142849</v>
      </c>
      <c r="CM73" s="112">
        <f t="shared" si="18"/>
        <v>2591603.0204142849</v>
      </c>
      <c r="CN73" s="112">
        <f t="shared" si="19"/>
        <v>2553061.6071428559</v>
      </c>
      <c r="CO73" s="112">
        <f t="shared" si="20"/>
        <v>2553061.6071428559</v>
      </c>
      <c r="CP73" s="112">
        <f t="shared" si="21"/>
        <v>1485123.9749999992</v>
      </c>
      <c r="CQ73" s="112">
        <f t="shared" si="22"/>
        <v>2645200.5107142855</v>
      </c>
      <c r="CR73" s="112">
        <f t="shared" si="23"/>
        <v>2645200.5107142855</v>
      </c>
      <c r="CS73" s="112">
        <f t="shared" si="24"/>
        <v>1106479.0454142857</v>
      </c>
      <c r="CT73" s="112">
        <f t="shared" si="54"/>
        <v>5198262.1178571414</v>
      </c>
      <c r="CU73" s="124">
        <f t="shared" si="55"/>
        <v>7273929.9999999981</v>
      </c>
      <c r="CV73" s="112">
        <f t="shared" si="25"/>
        <v>0</v>
      </c>
      <c r="CW73" s="112">
        <f t="shared" si="26"/>
        <v>0</v>
      </c>
      <c r="CX73" s="112">
        <f t="shared" si="56"/>
        <v>0</v>
      </c>
      <c r="CY73" s="112">
        <f t="shared" si="27"/>
        <v>2553061.6071428559</v>
      </c>
      <c r="CZ73" s="112">
        <f t="shared" si="28"/>
        <v>2645200.5107142855</v>
      </c>
      <c r="DA73" s="171"/>
      <c r="DB73" s="128" t="e">
        <f t="shared" si="57"/>
        <v>#DIV/0!</v>
      </c>
      <c r="DC73" s="171"/>
      <c r="DD73" s="171"/>
      <c r="DE73" s="171"/>
      <c r="DF73" s="171"/>
      <c r="DG73" s="618">
        <f t="shared" si="29"/>
        <v>0</v>
      </c>
      <c r="DH73" s="618">
        <f t="shared" si="30"/>
        <v>0</v>
      </c>
      <c r="DI73" s="618">
        <f t="shared" si="31"/>
        <v>0</v>
      </c>
      <c r="DJ73" s="125"/>
    </row>
    <row r="74" spans="1:116" s="21" customFormat="1" ht="51" hidden="1">
      <c r="A74" s="20">
        <f t="shared" si="58"/>
        <v>61</v>
      </c>
      <c r="B74" s="1562"/>
      <c r="C74" s="759" t="s">
        <v>156</v>
      </c>
      <c r="D74" s="757" t="s">
        <v>161</v>
      </c>
      <c r="E74" s="760">
        <v>4617004147</v>
      </c>
      <c r="F74" s="757" t="s">
        <v>8</v>
      </c>
      <c r="G74" s="1564"/>
      <c r="H74" s="607">
        <v>3572.4999999999982</v>
      </c>
      <c r="I74" s="607">
        <v>3572.4999999999982</v>
      </c>
      <c r="J74" s="607"/>
      <c r="K74" s="607"/>
      <c r="L74" s="607"/>
      <c r="M74" s="36"/>
      <c r="N74" s="36">
        <v>3701.43</v>
      </c>
      <c r="O74" s="36">
        <v>3701.43</v>
      </c>
      <c r="P74" s="36"/>
      <c r="Q74" s="36"/>
      <c r="R74" s="36"/>
      <c r="S74" s="36"/>
      <c r="T74" s="173">
        <f t="shared" si="82"/>
        <v>415.71</v>
      </c>
      <c r="U74" s="173">
        <v>0</v>
      </c>
      <c r="V74" s="224">
        <v>0</v>
      </c>
      <c r="W74" s="173">
        <v>0</v>
      </c>
      <c r="X74" s="173">
        <v>0</v>
      </c>
      <c r="Y74" s="173">
        <v>0</v>
      </c>
      <c r="Z74" s="35">
        <f t="shared" si="34"/>
        <v>415.71</v>
      </c>
      <c r="AA74" s="173">
        <f t="shared" si="83"/>
        <v>298.93285714285719</v>
      </c>
      <c r="AB74" s="173">
        <v>0</v>
      </c>
      <c r="AC74" s="224">
        <v>0</v>
      </c>
      <c r="AD74" s="173">
        <v>0</v>
      </c>
      <c r="AE74" s="173">
        <v>0</v>
      </c>
      <c r="AF74" s="173">
        <v>0</v>
      </c>
      <c r="AG74" s="35">
        <f t="shared" si="35"/>
        <v>298.93285714285719</v>
      </c>
      <c r="AH74" s="35">
        <f t="shared" si="36"/>
        <v>714.64285714285711</v>
      </c>
      <c r="AI74" s="15">
        <f t="shared" si="64"/>
        <v>714.64285714285711</v>
      </c>
      <c r="AJ74" s="15">
        <f t="shared" si="64"/>
        <v>0</v>
      </c>
      <c r="AK74" s="15">
        <f t="shared" si="64"/>
        <v>0</v>
      </c>
      <c r="AL74" s="15">
        <f t="shared" si="64"/>
        <v>0</v>
      </c>
      <c r="AM74" s="15">
        <f t="shared" si="64"/>
        <v>0</v>
      </c>
      <c r="AN74" s="15"/>
      <c r="AO74" s="15">
        <f t="shared" si="7"/>
        <v>714.64285714285711</v>
      </c>
      <c r="AP74" s="15">
        <f t="shared" si="37"/>
        <v>714.64285714285711</v>
      </c>
      <c r="AQ74" s="15">
        <f t="shared" si="81"/>
        <v>714.64285714285711</v>
      </c>
      <c r="AR74" s="127">
        <f t="shared" si="39"/>
        <v>0</v>
      </c>
      <c r="AS74" s="112">
        <f t="shared" si="70"/>
        <v>2553061.6071428559</v>
      </c>
      <c r="AT74" s="112">
        <f t="shared" si="70"/>
        <v>0</v>
      </c>
      <c r="AU74" s="112">
        <f t="shared" si="70"/>
        <v>0</v>
      </c>
      <c r="AV74" s="112">
        <f t="shared" si="70"/>
        <v>0</v>
      </c>
      <c r="AW74" s="112">
        <f t="shared" si="70"/>
        <v>0</v>
      </c>
      <c r="AX74" s="112">
        <f t="shared" si="40"/>
        <v>2553061.6071428559</v>
      </c>
      <c r="AY74" s="112">
        <f t="shared" si="41"/>
        <v>2553061.6071428559</v>
      </c>
      <c r="AZ74" s="112">
        <f t="shared" si="71"/>
        <v>2645200.5107142855</v>
      </c>
      <c r="BA74" s="112">
        <f t="shared" si="71"/>
        <v>0</v>
      </c>
      <c r="BB74" s="112">
        <f t="shared" si="71"/>
        <v>0</v>
      </c>
      <c r="BC74" s="112">
        <f t="shared" si="71"/>
        <v>0</v>
      </c>
      <c r="BD74" s="112">
        <f t="shared" si="71"/>
        <v>0</v>
      </c>
      <c r="BE74" s="112">
        <f t="shared" si="42"/>
        <v>2645200.5107142855</v>
      </c>
      <c r="BF74" s="112">
        <f t="shared" si="43"/>
        <v>2645200.5107142855</v>
      </c>
      <c r="BG74" s="117"/>
      <c r="BH74" s="117"/>
      <c r="BI74" s="112">
        <f t="shared" si="80"/>
        <v>0</v>
      </c>
      <c r="BJ74" s="112"/>
      <c r="BK74" s="112"/>
      <c r="BL74" s="112">
        <f t="shared" si="72"/>
        <v>1485123.9749999992</v>
      </c>
      <c r="BM74" s="112">
        <f t="shared" si="72"/>
        <v>0</v>
      </c>
      <c r="BN74" s="112">
        <f t="shared" si="72"/>
        <v>0</v>
      </c>
      <c r="BO74" s="112">
        <f t="shared" si="72"/>
        <v>0</v>
      </c>
      <c r="BP74" s="112">
        <f t="shared" si="72"/>
        <v>0</v>
      </c>
      <c r="BQ74" s="112">
        <f t="shared" si="44"/>
        <v>1485123.9749999992</v>
      </c>
      <c r="BR74" s="112">
        <f t="shared" si="45"/>
        <v>1485123.9749999992</v>
      </c>
      <c r="BS74" s="112">
        <f t="shared" si="73"/>
        <v>1106479.0454142857</v>
      </c>
      <c r="BT74" s="112">
        <f t="shared" si="73"/>
        <v>0</v>
      </c>
      <c r="BU74" s="112">
        <f t="shared" si="73"/>
        <v>0</v>
      </c>
      <c r="BV74" s="112">
        <f t="shared" si="12"/>
        <v>0</v>
      </c>
      <c r="BW74" s="112">
        <f t="shared" si="13"/>
        <v>0</v>
      </c>
      <c r="BX74" s="112">
        <f t="shared" si="46"/>
        <v>1106479.0454142857</v>
      </c>
      <c r="BY74" s="112">
        <f t="shared" si="47"/>
        <v>1106479.0454142857</v>
      </c>
      <c r="BZ74" s="113">
        <f t="shared" si="48"/>
        <v>0</v>
      </c>
      <c r="CA74" s="113">
        <f t="shared" si="48"/>
        <v>0</v>
      </c>
      <c r="CB74" s="113">
        <f t="shared" si="49"/>
        <v>0</v>
      </c>
      <c r="CC74" s="119" t="e">
        <f t="shared" si="50"/>
        <v>#DIV/0!</v>
      </c>
      <c r="CD74" s="119" t="e">
        <f t="shared" si="50"/>
        <v>#DIV/0!</v>
      </c>
      <c r="CE74" s="119" t="e">
        <f t="shared" si="51"/>
        <v>#DIV/0!</v>
      </c>
      <c r="CF74" s="113" t="e">
        <f t="shared" si="14"/>
        <v>#DIV/0!</v>
      </c>
      <c r="CG74" s="619">
        <f t="shared" si="15"/>
        <v>0</v>
      </c>
      <c r="CH74" s="132" t="e">
        <f t="shared" si="52"/>
        <v>#DIV/0!</v>
      </c>
      <c r="CI74" s="171"/>
      <c r="CJ74" s="112">
        <f t="shared" si="16"/>
        <v>1485.1239749999991</v>
      </c>
      <c r="CK74" s="15">
        <f t="shared" si="17"/>
        <v>1106.4790454142858</v>
      </c>
      <c r="CL74" s="112">
        <f t="shared" ref="CL74:CL137" si="84">CJ74+CK74</f>
        <v>2591.6030204142849</v>
      </c>
      <c r="CM74" s="112">
        <f t="shared" si="18"/>
        <v>2591603.0204142849</v>
      </c>
      <c r="CN74" s="112">
        <f t="shared" si="19"/>
        <v>2553061.6071428559</v>
      </c>
      <c r="CO74" s="112">
        <f t="shared" si="20"/>
        <v>2553061.6071428559</v>
      </c>
      <c r="CP74" s="112">
        <f t="shared" si="21"/>
        <v>1485123.9749999992</v>
      </c>
      <c r="CQ74" s="112">
        <f t="shared" si="22"/>
        <v>2645200.5107142855</v>
      </c>
      <c r="CR74" s="112">
        <f t="shared" si="23"/>
        <v>2645200.5107142855</v>
      </c>
      <c r="CS74" s="112">
        <f t="shared" si="24"/>
        <v>1106479.0454142857</v>
      </c>
      <c r="CT74" s="112">
        <f t="shared" si="54"/>
        <v>5198262.1178571414</v>
      </c>
      <c r="CU74" s="124">
        <f t="shared" si="55"/>
        <v>7273929.9999999981</v>
      </c>
      <c r="CV74" s="112">
        <f t="shared" si="25"/>
        <v>0</v>
      </c>
      <c r="CW74" s="112">
        <f t="shared" si="26"/>
        <v>0</v>
      </c>
      <c r="CX74" s="112">
        <f t="shared" si="56"/>
        <v>0</v>
      </c>
      <c r="CY74" s="112">
        <f t="shared" si="27"/>
        <v>2553061.6071428559</v>
      </c>
      <c r="CZ74" s="112">
        <f t="shared" si="28"/>
        <v>2645200.5107142855</v>
      </c>
      <c r="DA74" s="171"/>
      <c r="DB74" s="128" t="e">
        <f t="shared" si="57"/>
        <v>#DIV/0!</v>
      </c>
      <c r="DC74" s="171"/>
      <c r="DD74" s="171"/>
      <c r="DE74" s="171"/>
      <c r="DF74" s="171"/>
      <c r="DG74" s="618">
        <f t="shared" si="29"/>
        <v>0</v>
      </c>
      <c r="DH74" s="618">
        <f t="shared" si="30"/>
        <v>0</v>
      </c>
      <c r="DI74" s="618">
        <f t="shared" si="31"/>
        <v>0</v>
      </c>
      <c r="DJ74" s="125"/>
    </row>
    <row r="75" spans="1:116" s="21" customFormat="1" ht="51" hidden="1">
      <c r="A75" s="20">
        <f t="shared" si="58"/>
        <v>62</v>
      </c>
      <c r="B75" s="1562"/>
      <c r="C75" s="759" t="s">
        <v>157</v>
      </c>
      <c r="D75" s="757" t="s">
        <v>161</v>
      </c>
      <c r="E75" s="760">
        <v>4617004147</v>
      </c>
      <c r="F75" s="757" t="s">
        <v>8</v>
      </c>
      <c r="G75" s="1564"/>
      <c r="H75" s="607">
        <v>3572.4999999999982</v>
      </c>
      <c r="I75" s="607">
        <v>3572.4999999999982</v>
      </c>
      <c r="J75" s="607"/>
      <c r="K75" s="607"/>
      <c r="L75" s="607"/>
      <c r="M75" s="36"/>
      <c r="N75" s="36">
        <v>3701.43</v>
      </c>
      <c r="O75" s="36">
        <v>3701.43</v>
      </c>
      <c r="P75" s="36"/>
      <c r="Q75" s="36"/>
      <c r="R75" s="36"/>
      <c r="S75" s="36"/>
      <c r="T75" s="173">
        <f t="shared" si="82"/>
        <v>415.71</v>
      </c>
      <c r="U75" s="173">
        <v>0</v>
      </c>
      <c r="V75" s="224">
        <v>0</v>
      </c>
      <c r="W75" s="173">
        <v>0</v>
      </c>
      <c r="X75" s="173">
        <v>0</v>
      </c>
      <c r="Y75" s="173">
        <v>0</v>
      </c>
      <c r="Z75" s="35">
        <f t="shared" si="34"/>
        <v>415.71</v>
      </c>
      <c r="AA75" s="173">
        <f t="shared" si="83"/>
        <v>298.93285714285719</v>
      </c>
      <c r="AB75" s="173">
        <v>0</v>
      </c>
      <c r="AC75" s="224">
        <v>0</v>
      </c>
      <c r="AD75" s="173">
        <v>0</v>
      </c>
      <c r="AE75" s="173">
        <v>0</v>
      </c>
      <c r="AF75" s="173">
        <v>0</v>
      </c>
      <c r="AG75" s="35">
        <f t="shared" si="35"/>
        <v>298.93285714285719</v>
      </c>
      <c r="AH75" s="35">
        <f t="shared" si="36"/>
        <v>714.64285714285711</v>
      </c>
      <c r="AI75" s="15">
        <f t="shared" si="64"/>
        <v>714.64285714285711</v>
      </c>
      <c r="AJ75" s="15">
        <f t="shared" si="64"/>
        <v>0</v>
      </c>
      <c r="AK75" s="15">
        <f t="shared" si="64"/>
        <v>0</v>
      </c>
      <c r="AL75" s="15">
        <f t="shared" si="64"/>
        <v>0</v>
      </c>
      <c r="AM75" s="15">
        <f t="shared" si="64"/>
        <v>0</v>
      </c>
      <c r="AN75" s="15"/>
      <c r="AO75" s="15">
        <f t="shared" si="7"/>
        <v>714.64285714285711</v>
      </c>
      <c r="AP75" s="15">
        <f t="shared" si="37"/>
        <v>714.64285714285711</v>
      </c>
      <c r="AQ75" s="15">
        <f t="shared" si="81"/>
        <v>714.64285714285711</v>
      </c>
      <c r="AR75" s="127">
        <f t="shared" si="39"/>
        <v>0</v>
      </c>
      <c r="AS75" s="112">
        <f t="shared" si="70"/>
        <v>2553061.6071428559</v>
      </c>
      <c r="AT75" s="112">
        <f t="shared" si="70"/>
        <v>0</v>
      </c>
      <c r="AU75" s="112">
        <f t="shared" si="70"/>
        <v>0</v>
      </c>
      <c r="AV75" s="112">
        <f t="shared" si="70"/>
        <v>0</v>
      </c>
      <c r="AW75" s="112">
        <f t="shared" si="70"/>
        <v>0</v>
      </c>
      <c r="AX75" s="112">
        <f t="shared" si="40"/>
        <v>2553061.6071428559</v>
      </c>
      <c r="AY75" s="112">
        <f t="shared" si="41"/>
        <v>2553061.6071428559</v>
      </c>
      <c r="AZ75" s="112">
        <f t="shared" si="71"/>
        <v>2645200.5107142855</v>
      </c>
      <c r="BA75" s="112">
        <f t="shared" si="71"/>
        <v>0</v>
      </c>
      <c r="BB75" s="112">
        <f t="shared" si="71"/>
        <v>0</v>
      </c>
      <c r="BC75" s="112">
        <f t="shared" si="71"/>
        <v>0</v>
      </c>
      <c r="BD75" s="112">
        <f t="shared" si="71"/>
        <v>0</v>
      </c>
      <c r="BE75" s="112">
        <f t="shared" si="42"/>
        <v>2645200.5107142855</v>
      </c>
      <c r="BF75" s="112">
        <f t="shared" si="43"/>
        <v>2645200.5107142855</v>
      </c>
      <c r="BG75" s="117"/>
      <c r="BH75" s="117"/>
      <c r="BI75" s="112">
        <f t="shared" si="80"/>
        <v>0</v>
      </c>
      <c r="BJ75" s="112"/>
      <c r="BK75" s="112"/>
      <c r="BL75" s="112">
        <f t="shared" si="72"/>
        <v>1485123.9749999992</v>
      </c>
      <c r="BM75" s="112">
        <f t="shared" si="72"/>
        <v>0</v>
      </c>
      <c r="BN75" s="112">
        <f t="shared" si="72"/>
        <v>0</v>
      </c>
      <c r="BO75" s="112">
        <f t="shared" si="72"/>
        <v>0</v>
      </c>
      <c r="BP75" s="112">
        <f t="shared" si="72"/>
        <v>0</v>
      </c>
      <c r="BQ75" s="112">
        <f t="shared" si="44"/>
        <v>1485123.9749999992</v>
      </c>
      <c r="BR75" s="112">
        <f t="shared" si="45"/>
        <v>1485123.9749999992</v>
      </c>
      <c r="BS75" s="112">
        <f t="shared" si="73"/>
        <v>1106479.0454142857</v>
      </c>
      <c r="BT75" s="112">
        <f t="shared" si="73"/>
        <v>0</v>
      </c>
      <c r="BU75" s="112">
        <f t="shared" si="73"/>
        <v>0</v>
      </c>
      <c r="BV75" s="112">
        <f t="shared" si="12"/>
        <v>0</v>
      </c>
      <c r="BW75" s="112">
        <f t="shared" si="13"/>
        <v>0</v>
      </c>
      <c r="BX75" s="112">
        <f t="shared" si="46"/>
        <v>1106479.0454142857</v>
      </c>
      <c r="BY75" s="112">
        <f t="shared" si="47"/>
        <v>1106479.0454142857</v>
      </c>
      <c r="BZ75" s="113">
        <f t="shared" si="48"/>
        <v>0</v>
      </c>
      <c r="CA75" s="113">
        <f t="shared" si="48"/>
        <v>0</v>
      </c>
      <c r="CB75" s="113">
        <f t="shared" si="49"/>
        <v>0</v>
      </c>
      <c r="CC75" s="119" t="e">
        <f t="shared" si="50"/>
        <v>#DIV/0!</v>
      </c>
      <c r="CD75" s="119" t="e">
        <f t="shared" si="50"/>
        <v>#DIV/0!</v>
      </c>
      <c r="CE75" s="119" t="e">
        <f t="shared" si="51"/>
        <v>#DIV/0!</v>
      </c>
      <c r="CF75" s="113" t="e">
        <f t="shared" si="14"/>
        <v>#DIV/0!</v>
      </c>
      <c r="CG75" s="619">
        <f t="shared" si="15"/>
        <v>0</v>
      </c>
      <c r="CH75" s="132" t="e">
        <f t="shared" si="52"/>
        <v>#DIV/0!</v>
      </c>
      <c r="CI75" s="171"/>
      <c r="CJ75" s="112">
        <f t="shared" si="16"/>
        <v>1485.1239749999991</v>
      </c>
      <c r="CK75" s="15">
        <f t="shared" si="17"/>
        <v>1106.4790454142858</v>
      </c>
      <c r="CL75" s="112">
        <f t="shared" si="84"/>
        <v>2591.6030204142849</v>
      </c>
      <c r="CM75" s="112">
        <f t="shared" si="18"/>
        <v>2591603.0204142849</v>
      </c>
      <c r="CN75" s="112">
        <f t="shared" si="19"/>
        <v>2553061.6071428559</v>
      </c>
      <c r="CO75" s="112">
        <f t="shared" si="20"/>
        <v>2553061.6071428559</v>
      </c>
      <c r="CP75" s="112">
        <f t="shared" si="21"/>
        <v>1485123.9749999992</v>
      </c>
      <c r="CQ75" s="112">
        <f t="shared" si="22"/>
        <v>2645200.5107142855</v>
      </c>
      <c r="CR75" s="112">
        <f t="shared" si="23"/>
        <v>2645200.5107142855</v>
      </c>
      <c r="CS75" s="112">
        <f t="shared" si="24"/>
        <v>1106479.0454142857</v>
      </c>
      <c r="CT75" s="112">
        <f t="shared" si="54"/>
        <v>5198262.1178571414</v>
      </c>
      <c r="CU75" s="124">
        <f t="shared" si="55"/>
        <v>7273929.9999999981</v>
      </c>
      <c r="CV75" s="112">
        <f t="shared" si="25"/>
        <v>0</v>
      </c>
      <c r="CW75" s="112">
        <f t="shared" si="26"/>
        <v>0</v>
      </c>
      <c r="CX75" s="112">
        <f t="shared" si="56"/>
        <v>0</v>
      </c>
      <c r="CY75" s="112">
        <f t="shared" si="27"/>
        <v>2553061.6071428559</v>
      </c>
      <c r="CZ75" s="112">
        <f t="shared" si="28"/>
        <v>2645200.5107142855</v>
      </c>
      <c r="DA75" s="171"/>
      <c r="DB75" s="128" t="e">
        <f t="shared" si="57"/>
        <v>#DIV/0!</v>
      </c>
      <c r="DC75" s="171"/>
      <c r="DD75" s="171"/>
      <c r="DE75" s="171"/>
      <c r="DF75" s="171"/>
      <c r="DG75" s="618">
        <f t="shared" si="29"/>
        <v>0</v>
      </c>
      <c r="DH75" s="618">
        <f t="shared" si="30"/>
        <v>0</v>
      </c>
      <c r="DI75" s="618">
        <f t="shared" si="31"/>
        <v>0</v>
      </c>
      <c r="DJ75" s="125"/>
    </row>
    <row r="76" spans="1:116" s="21" customFormat="1" ht="51" hidden="1">
      <c r="A76" s="20">
        <f t="shared" si="58"/>
        <v>63</v>
      </c>
      <c r="B76" s="1562"/>
      <c r="C76" s="759" t="s">
        <v>158</v>
      </c>
      <c r="D76" s="757" t="s">
        <v>161</v>
      </c>
      <c r="E76" s="760">
        <v>4617004147</v>
      </c>
      <c r="F76" s="757" t="s">
        <v>8</v>
      </c>
      <c r="G76" s="1564"/>
      <c r="H76" s="607">
        <v>3572.4999999999982</v>
      </c>
      <c r="I76" s="607">
        <v>3572.4999999999982</v>
      </c>
      <c r="J76" s="607"/>
      <c r="K76" s="607"/>
      <c r="L76" s="607"/>
      <c r="M76" s="36"/>
      <c r="N76" s="36">
        <v>3701.43</v>
      </c>
      <c r="O76" s="36">
        <v>3701.43</v>
      </c>
      <c r="P76" s="36"/>
      <c r="Q76" s="36"/>
      <c r="R76" s="36"/>
      <c r="S76" s="36"/>
      <c r="T76" s="173">
        <f t="shared" si="82"/>
        <v>415.71</v>
      </c>
      <c r="U76" s="173">
        <v>0</v>
      </c>
      <c r="V76" s="224">
        <v>0</v>
      </c>
      <c r="W76" s="173">
        <v>0</v>
      </c>
      <c r="X76" s="173">
        <v>0</v>
      </c>
      <c r="Y76" s="173">
        <v>0</v>
      </c>
      <c r="Z76" s="35">
        <f t="shared" si="34"/>
        <v>415.71</v>
      </c>
      <c r="AA76" s="173">
        <f t="shared" si="83"/>
        <v>298.93285714285719</v>
      </c>
      <c r="AB76" s="173">
        <v>0</v>
      </c>
      <c r="AC76" s="224">
        <v>0</v>
      </c>
      <c r="AD76" s="173">
        <v>0</v>
      </c>
      <c r="AE76" s="173">
        <v>0</v>
      </c>
      <c r="AF76" s="173">
        <v>0</v>
      </c>
      <c r="AG76" s="35">
        <f t="shared" si="35"/>
        <v>298.93285714285719</v>
      </c>
      <c r="AH76" s="35">
        <f t="shared" si="36"/>
        <v>714.64285714285711</v>
      </c>
      <c r="AI76" s="15">
        <f t="shared" si="64"/>
        <v>714.64285714285711</v>
      </c>
      <c r="AJ76" s="15">
        <f t="shared" si="64"/>
        <v>0</v>
      </c>
      <c r="AK76" s="15">
        <f t="shared" si="64"/>
        <v>0</v>
      </c>
      <c r="AL76" s="15">
        <f t="shared" si="64"/>
        <v>0</v>
      </c>
      <c r="AM76" s="15">
        <f t="shared" si="64"/>
        <v>0</v>
      </c>
      <c r="AN76" s="15"/>
      <c r="AO76" s="15">
        <f t="shared" ref="AO76:AO136" si="85">SUM(AI76:AN76)</f>
        <v>714.64285714285711</v>
      </c>
      <c r="AP76" s="15">
        <f t="shared" ref="AP76:AP137" si="86">SUM(AI76:AM76)</f>
        <v>714.64285714285711</v>
      </c>
      <c r="AQ76" s="15">
        <f t="shared" si="81"/>
        <v>714.64285714285711</v>
      </c>
      <c r="AR76" s="127">
        <f t="shared" si="39"/>
        <v>0</v>
      </c>
      <c r="AS76" s="112">
        <f t="shared" ref="AS76:AW91" si="87">I76*AI76</f>
        <v>2553061.6071428559</v>
      </c>
      <c r="AT76" s="112">
        <f t="shared" si="87"/>
        <v>0</v>
      </c>
      <c r="AU76" s="112">
        <f t="shared" si="87"/>
        <v>0</v>
      </c>
      <c r="AV76" s="112">
        <f t="shared" si="87"/>
        <v>0</v>
      </c>
      <c r="AW76" s="112">
        <f t="shared" si="87"/>
        <v>0</v>
      </c>
      <c r="AX76" s="112">
        <f t="shared" si="40"/>
        <v>2553061.6071428559</v>
      </c>
      <c r="AY76" s="112">
        <f t="shared" si="41"/>
        <v>2553061.6071428559</v>
      </c>
      <c r="AZ76" s="112">
        <f t="shared" ref="AZ76:BD91" si="88">O76*AI76</f>
        <v>2645200.5107142855</v>
      </c>
      <c r="BA76" s="112">
        <f t="shared" si="88"/>
        <v>0</v>
      </c>
      <c r="BB76" s="112">
        <f t="shared" si="88"/>
        <v>0</v>
      </c>
      <c r="BC76" s="112">
        <f t="shared" si="88"/>
        <v>0</v>
      </c>
      <c r="BD76" s="112">
        <f t="shared" si="88"/>
        <v>0</v>
      </c>
      <c r="BE76" s="112">
        <f t="shared" si="42"/>
        <v>2645200.5107142855</v>
      </c>
      <c r="BF76" s="112">
        <f t="shared" si="43"/>
        <v>2645200.5107142855</v>
      </c>
      <c r="BG76" s="117"/>
      <c r="BH76" s="117"/>
      <c r="BI76" s="112">
        <f t="shared" si="80"/>
        <v>0</v>
      </c>
      <c r="BJ76" s="112"/>
      <c r="BK76" s="112"/>
      <c r="BL76" s="112">
        <f t="shared" ref="BL76:BP107" si="89">I76*T76</f>
        <v>1485123.9749999992</v>
      </c>
      <c r="BM76" s="112">
        <f t="shared" si="89"/>
        <v>0</v>
      </c>
      <c r="BN76" s="112">
        <f t="shared" si="89"/>
        <v>0</v>
      </c>
      <c r="BO76" s="112">
        <f t="shared" si="89"/>
        <v>0</v>
      </c>
      <c r="BP76" s="112">
        <f t="shared" si="89"/>
        <v>0</v>
      </c>
      <c r="BQ76" s="112">
        <f t="shared" si="44"/>
        <v>1485123.9749999992</v>
      </c>
      <c r="BR76" s="112">
        <f t="shared" si="45"/>
        <v>1485123.9749999992</v>
      </c>
      <c r="BS76" s="112">
        <f t="shared" ref="BS76:BU107" si="90">O76*AA76</f>
        <v>1106479.0454142857</v>
      </c>
      <c r="BT76" s="112">
        <f t="shared" si="90"/>
        <v>0</v>
      </c>
      <c r="BU76" s="112">
        <f t="shared" si="90"/>
        <v>0</v>
      </c>
      <c r="BV76" s="112">
        <f t="shared" si="12"/>
        <v>0</v>
      </c>
      <c r="BW76" s="112">
        <f t="shared" si="13"/>
        <v>0</v>
      </c>
      <c r="BX76" s="112">
        <f t="shared" si="46"/>
        <v>1106479.0454142857</v>
      </c>
      <c r="BY76" s="112">
        <f t="shared" si="47"/>
        <v>1106479.0454142857</v>
      </c>
      <c r="BZ76" s="113">
        <f t="shared" ref="BZ76:CA139" si="91">BM76+BT76</f>
        <v>0</v>
      </c>
      <c r="CA76" s="113">
        <f t="shared" si="91"/>
        <v>0</v>
      </c>
      <c r="CB76" s="113">
        <f t="shared" si="49"/>
        <v>0</v>
      </c>
      <c r="CC76" s="119" t="e">
        <f t="shared" ref="CC76:CD139" si="92">BZ76/AJ76</f>
        <v>#DIV/0!</v>
      </c>
      <c r="CD76" s="119" t="e">
        <f t="shared" si="92"/>
        <v>#DIV/0!</v>
      </c>
      <c r="CE76" s="119" t="e">
        <f t="shared" si="51"/>
        <v>#DIV/0!</v>
      </c>
      <c r="CF76" s="113" t="e">
        <f t="shared" si="14"/>
        <v>#DIV/0!</v>
      </c>
      <c r="CG76" s="619">
        <f t="shared" si="15"/>
        <v>0</v>
      </c>
      <c r="CH76" s="132" t="e">
        <f t="shared" si="52"/>
        <v>#DIV/0!</v>
      </c>
      <c r="CI76" s="171"/>
      <c r="CJ76" s="112">
        <f t="shared" si="16"/>
        <v>1485.1239749999991</v>
      </c>
      <c r="CK76" s="15">
        <f t="shared" si="17"/>
        <v>1106.4790454142858</v>
      </c>
      <c r="CL76" s="112">
        <f t="shared" si="84"/>
        <v>2591.6030204142849</v>
      </c>
      <c r="CM76" s="112">
        <f t="shared" si="18"/>
        <v>2591603.0204142849</v>
      </c>
      <c r="CN76" s="112">
        <f t="shared" si="19"/>
        <v>2553061.6071428559</v>
      </c>
      <c r="CO76" s="112">
        <f t="shared" si="20"/>
        <v>2553061.6071428559</v>
      </c>
      <c r="CP76" s="112">
        <f t="shared" si="21"/>
        <v>1485123.9749999992</v>
      </c>
      <c r="CQ76" s="112">
        <f t="shared" si="22"/>
        <v>2645200.5107142855</v>
      </c>
      <c r="CR76" s="112">
        <f t="shared" si="23"/>
        <v>2645200.5107142855</v>
      </c>
      <c r="CS76" s="112">
        <f t="shared" si="24"/>
        <v>1106479.0454142857</v>
      </c>
      <c r="CT76" s="112">
        <f t="shared" si="54"/>
        <v>5198262.1178571414</v>
      </c>
      <c r="CU76" s="124">
        <f t="shared" si="55"/>
        <v>7273929.9999999981</v>
      </c>
      <c r="CV76" s="112">
        <f t="shared" si="25"/>
        <v>0</v>
      </c>
      <c r="CW76" s="112">
        <f t="shared" si="26"/>
        <v>0</v>
      </c>
      <c r="CX76" s="112">
        <f t="shared" si="56"/>
        <v>0</v>
      </c>
      <c r="CY76" s="112">
        <f t="shared" si="27"/>
        <v>2553061.6071428559</v>
      </c>
      <c r="CZ76" s="112">
        <f t="shared" si="28"/>
        <v>2645200.5107142855</v>
      </c>
      <c r="DA76" s="171"/>
      <c r="DB76" s="128" t="e">
        <f t="shared" si="57"/>
        <v>#DIV/0!</v>
      </c>
      <c r="DC76" s="171"/>
      <c r="DD76" s="171"/>
      <c r="DE76" s="171"/>
      <c r="DF76" s="171"/>
      <c r="DG76" s="618">
        <f t="shared" si="29"/>
        <v>0</v>
      </c>
      <c r="DH76" s="618">
        <f t="shared" si="30"/>
        <v>0</v>
      </c>
      <c r="DI76" s="618">
        <f t="shared" si="31"/>
        <v>0</v>
      </c>
      <c r="DJ76" s="125"/>
    </row>
    <row r="77" spans="1:116" s="21" customFormat="1" ht="51" hidden="1">
      <c r="A77" s="20">
        <f t="shared" si="58"/>
        <v>64</v>
      </c>
      <c r="B77" s="1562"/>
      <c r="C77" s="759" t="s">
        <v>159</v>
      </c>
      <c r="D77" s="757" t="s">
        <v>161</v>
      </c>
      <c r="E77" s="760">
        <v>4617004147</v>
      </c>
      <c r="F77" s="757" t="s">
        <v>8</v>
      </c>
      <c r="G77" s="1564"/>
      <c r="H77" s="607">
        <v>3572.4999999999982</v>
      </c>
      <c r="I77" s="607">
        <v>3572.4999999999982</v>
      </c>
      <c r="J77" s="607"/>
      <c r="K77" s="607"/>
      <c r="L77" s="607"/>
      <c r="M77" s="36"/>
      <c r="N77" s="36">
        <v>3701.43</v>
      </c>
      <c r="O77" s="36">
        <v>3701.43</v>
      </c>
      <c r="P77" s="36"/>
      <c r="Q77" s="36"/>
      <c r="R77" s="36"/>
      <c r="S77" s="36"/>
      <c r="T77" s="173">
        <f t="shared" si="82"/>
        <v>415.71</v>
      </c>
      <c r="U77" s="173">
        <v>0</v>
      </c>
      <c r="V77" s="224">
        <v>0</v>
      </c>
      <c r="W77" s="173">
        <v>0</v>
      </c>
      <c r="X77" s="173">
        <v>0</v>
      </c>
      <c r="Y77" s="173">
        <v>0</v>
      </c>
      <c r="Z77" s="35">
        <f>SUM(T77:W77)</f>
        <v>415.71</v>
      </c>
      <c r="AA77" s="173">
        <f t="shared" si="83"/>
        <v>298.93285714285719</v>
      </c>
      <c r="AB77" s="173">
        <v>0</v>
      </c>
      <c r="AC77" s="224">
        <v>0</v>
      </c>
      <c r="AD77" s="173">
        <v>0</v>
      </c>
      <c r="AE77" s="173">
        <v>0</v>
      </c>
      <c r="AF77" s="173">
        <v>0</v>
      </c>
      <c r="AG77" s="35">
        <f>SUM(AA77:AD77)</f>
        <v>298.93285714285719</v>
      </c>
      <c r="AH77" s="35">
        <f t="shared" si="36"/>
        <v>714.64285714285711</v>
      </c>
      <c r="AI77" s="15">
        <f t="shared" si="64"/>
        <v>714.64285714285711</v>
      </c>
      <c r="AJ77" s="15">
        <f t="shared" si="64"/>
        <v>0</v>
      </c>
      <c r="AK77" s="15">
        <f t="shared" si="64"/>
        <v>0</v>
      </c>
      <c r="AL77" s="15">
        <f t="shared" si="64"/>
        <v>0</v>
      </c>
      <c r="AM77" s="15">
        <f t="shared" si="64"/>
        <v>0</v>
      </c>
      <c r="AN77" s="15"/>
      <c r="AO77" s="15">
        <f t="shared" si="85"/>
        <v>714.64285714285711</v>
      </c>
      <c r="AP77" s="15">
        <f t="shared" si="86"/>
        <v>714.64285714285711</v>
      </c>
      <c r="AQ77" s="15">
        <f t="shared" si="81"/>
        <v>714.64285714285711</v>
      </c>
      <c r="AR77" s="127">
        <f t="shared" si="39"/>
        <v>0</v>
      </c>
      <c r="AS77" s="112">
        <f t="shared" si="87"/>
        <v>2553061.6071428559</v>
      </c>
      <c r="AT77" s="112">
        <f t="shared" si="87"/>
        <v>0</v>
      </c>
      <c r="AU77" s="112">
        <f t="shared" si="87"/>
        <v>0</v>
      </c>
      <c r="AV77" s="112">
        <f t="shared" si="87"/>
        <v>0</v>
      </c>
      <c r="AW77" s="112">
        <f t="shared" si="87"/>
        <v>0</v>
      </c>
      <c r="AX77" s="112">
        <f t="shared" si="40"/>
        <v>2553061.6071428559</v>
      </c>
      <c r="AY77" s="112">
        <f t="shared" si="41"/>
        <v>2553061.6071428559</v>
      </c>
      <c r="AZ77" s="112">
        <f t="shared" si="88"/>
        <v>2645200.5107142855</v>
      </c>
      <c r="BA77" s="112">
        <f t="shared" si="88"/>
        <v>0</v>
      </c>
      <c r="BB77" s="112">
        <f t="shared" si="88"/>
        <v>0</v>
      </c>
      <c r="BC77" s="112">
        <f t="shared" si="88"/>
        <v>0</v>
      </c>
      <c r="BD77" s="112">
        <f t="shared" si="88"/>
        <v>0</v>
      </c>
      <c r="BE77" s="112">
        <f t="shared" si="42"/>
        <v>2645200.5107142855</v>
      </c>
      <c r="BF77" s="112">
        <f t="shared" si="43"/>
        <v>2645200.5107142855</v>
      </c>
      <c r="BG77" s="117"/>
      <c r="BH77" s="117"/>
      <c r="BI77" s="112">
        <f t="shared" si="80"/>
        <v>0</v>
      </c>
      <c r="BJ77" s="112"/>
      <c r="BK77" s="112"/>
      <c r="BL77" s="112">
        <f t="shared" si="89"/>
        <v>1485123.9749999992</v>
      </c>
      <c r="BM77" s="112">
        <f t="shared" si="89"/>
        <v>0</v>
      </c>
      <c r="BN77" s="112">
        <f t="shared" si="89"/>
        <v>0</v>
      </c>
      <c r="BO77" s="112">
        <f t="shared" si="89"/>
        <v>0</v>
      </c>
      <c r="BP77" s="112">
        <f t="shared" si="89"/>
        <v>0</v>
      </c>
      <c r="BQ77" s="112">
        <f t="shared" si="44"/>
        <v>1485123.9749999992</v>
      </c>
      <c r="BR77" s="112">
        <f t="shared" si="45"/>
        <v>1485123.9749999992</v>
      </c>
      <c r="BS77" s="112">
        <f t="shared" si="90"/>
        <v>1106479.0454142857</v>
      </c>
      <c r="BT77" s="112">
        <f t="shared" si="90"/>
        <v>0</v>
      </c>
      <c r="BU77" s="112">
        <f t="shared" si="90"/>
        <v>0</v>
      </c>
      <c r="BV77" s="112">
        <f t="shared" si="12"/>
        <v>0</v>
      </c>
      <c r="BW77" s="112">
        <f t="shared" si="13"/>
        <v>0</v>
      </c>
      <c r="BX77" s="112">
        <f t="shared" si="46"/>
        <v>1106479.0454142857</v>
      </c>
      <c r="BY77" s="112">
        <f t="shared" si="47"/>
        <v>1106479.0454142857</v>
      </c>
      <c r="BZ77" s="113">
        <f t="shared" si="91"/>
        <v>0</v>
      </c>
      <c r="CA77" s="113">
        <f t="shared" si="91"/>
        <v>0</v>
      </c>
      <c r="CB77" s="113">
        <f t="shared" si="49"/>
        <v>0</v>
      </c>
      <c r="CC77" s="119" t="e">
        <f t="shared" si="92"/>
        <v>#DIV/0!</v>
      </c>
      <c r="CD77" s="119" t="e">
        <f t="shared" si="92"/>
        <v>#DIV/0!</v>
      </c>
      <c r="CE77" s="119" t="e">
        <f t="shared" si="51"/>
        <v>#DIV/0!</v>
      </c>
      <c r="CF77" s="113" t="e">
        <f t="shared" si="14"/>
        <v>#DIV/0!</v>
      </c>
      <c r="CG77" s="619">
        <f t="shared" si="15"/>
        <v>0</v>
      </c>
      <c r="CH77" s="132" t="e">
        <f t="shared" si="52"/>
        <v>#DIV/0!</v>
      </c>
      <c r="CI77" s="171"/>
      <c r="CJ77" s="112">
        <f t="shared" si="16"/>
        <v>1485.1239749999991</v>
      </c>
      <c r="CK77" s="15">
        <f t="shared" si="17"/>
        <v>1106.4790454142858</v>
      </c>
      <c r="CL77" s="112">
        <f t="shared" si="84"/>
        <v>2591.6030204142849</v>
      </c>
      <c r="CM77" s="112">
        <f t="shared" si="18"/>
        <v>2591603.0204142849</v>
      </c>
      <c r="CN77" s="112">
        <f t="shared" si="19"/>
        <v>2553061.6071428559</v>
      </c>
      <c r="CO77" s="112">
        <f t="shared" si="20"/>
        <v>2553061.6071428559</v>
      </c>
      <c r="CP77" s="112">
        <f t="shared" si="21"/>
        <v>1485123.9749999992</v>
      </c>
      <c r="CQ77" s="112">
        <f t="shared" si="22"/>
        <v>2645200.5107142855</v>
      </c>
      <c r="CR77" s="112">
        <f t="shared" si="23"/>
        <v>2645200.5107142855</v>
      </c>
      <c r="CS77" s="112">
        <f t="shared" si="24"/>
        <v>1106479.0454142857</v>
      </c>
      <c r="CT77" s="112">
        <f t="shared" si="54"/>
        <v>5198262.1178571414</v>
      </c>
      <c r="CU77" s="124">
        <f t="shared" si="55"/>
        <v>7273929.9999999981</v>
      </c>
      <c r="CV77" s="112">
        <f t="shared" si="25"/>
        <v>0</v>
      </c>
      <c r="CW77" s="112">
        <f t="shared" si="26"/>
        <v>0</v>
      </c>
      <c r="CX77" s="112">
        <f t="shared" si="56"/>
        <v>0</v>
      </c>
      <c r="CY77" s="112">
        <f t="shared" si="27"/>
        <v>2553061.6071428559</v>
      </c>
      <c r="CZ77" s="112">
        <f t="shared" si="28"/>
        <v>2645200.5107142855</v>
      </c>
      <c r="DA77" s="171"/>
      <c r="DB77" s="128" t="e">
        <f t="shared" si="57"/>
        <v>#DIV/0!</v>
      </c>
      <c r="DC77" s="171"/>
      <c r="DD77" s="171"/>
      <c r="DE77" s="171"/>
      <c r="DF77" s="171"/>
      <c r="DG77" s="618">
        <f t="shared" si="29"/>
        <v>0</v>
      </c>
      <c r="DH77" s="618">
        <f t="shared" si="30"/>
        <v>0</v>
      </c>
      <c r="DI77" s="618">
        <f t="shared" si="31"/>
        <v>0</v>
      </c>
      <c r="DJ77" s="125"/>
    </row>
    <row r="78" spans="1:116" s="21" customFormat="1" ht="51" hidden="1">
      <c r="A78" s="20">
        <f t="shared" si="58"/>
        <v>65</v>
      </c>
      <c r="B78" s="1562"/>
      <c r="C78" s="759" t="s">
        <v>160</v>
      </c>
      <c r="D78" s="757" t="s">
        <v>161</v>
      </c>
      <c r="E78" s="760">
        <v>4617004147</v>
      </c>
      <c r="F78" s="757" t="s">
        <v>8</v>
      </c>
      <c r="G78" s="1564"/>
      <c r="H78" s="607">
        <v>3572.4999999999982</v>
      </c>
      <c r="I78" s="607">
        <v>3572.4999999999982</v>
      </c>
      <c r="J78" s="607"/>
      <c r="K78" s="607"/>
      <c r="L78" s="607"/>
      <c r="M78" s="36"/>
      <c r="N78" s="36">
        <v>3701.43</v>
      </c>
      <c r="O78" s="36">
        <v>3701.43</v>
      </c>
      <c r="P78" s="36"/>
      <c r="Q78" s="36"/>
      <c r="R78" s="36"/>
      <c r="S78" s="36"/>
      <c r="T78" s="173">
        <f t="shared" si="82"/>
        <v>415.71</v>
      </c>
      <c r="U78" s="173">
        <v>0</v>
      </c>
      <c r="V78" s="224">
        <v>0</v>
      </c>
      <c r="W78" s="173">
        <v>0</v>
      </c>
      <c r="X78" s="173">
        <v>0</v>
      </c>
      <c r="Y78" s="173">
        <v>0</v>
      </c>
      <c r="Z78" s="35">
        <f>SUM(T78:W78)</f>
        <v>415.71</v>
      </c>
      <c r="AA78" s="173">
        <f t="shared" si="83"/>
        <v>298.93285714285719</v>
      </c>
      <c r="AB78" s="173">
        <v>0</v>
      </c>
      <c r="AC78" s="224">
        <v>0</v>
      </c>
      <c r="AD78" s="173">
        <v>0</v>
      </c>
      <c r="AE78" s="173">
        <v>0</v>
      </c>
      <c r="AF78" s="173">
        <v>0</v>
      </c>
      <c r="AG78" s="35">
        <f>SUM(AA78:AD78)</f>
        <v>298.93285714285719</v>
      </c>
      <c r="AH78" s="35">
        <f t="shared" si="36"/>
        <v>714.64285714285711</v>
      </c>
      <c r="AI78" s="15">
        <f t="shared" si="64"/>
        <v>714.64285714285711</v>
      </c>
      <c r="AJ78" s="15">
        <f t="shared" si="64"/>
        <v>0</v>
      </c>
      <c r="AK78" s="15">
        <f t="shared" si="64"/>
        <v>0</v>
      </c>
      <c r="AL78" s="15">
        <f t="shared" si="64"/>
        <v>0</v>
      </c>
      <c r="AM78" s="15">
        <f t="shared" si="64"/>
        <v>0</v>
      </c>
      <c r="AN78" s="15"/>
      <c r="AO78" s="15">
        <f t="shared" si="85"/>
        <v>714.64285714285711</v>
      </c>
      <c r="AP78" s="15">
        <f t="shared" si="86"/>
        <v>714.64285714285711</v>
      </c>
      <c r="AQ78" s="15">
        <f t="shared" si="81"/>
        <v>714.64285714285711</v>
      </c>
      <c r="AR78" s="127">
        <f t="shared" si="39"/>
        <v>0</v>
      </c>
      <c r="AS78" s="112">
        <f t="shared" si="87"/>
        <v>2553061.6071428559</v>
      </c>
      <c r="AT78" s="112">
        <f t="shared" si="87"/>
        <v>0</v>
      </c>
      <c r="AU78" s="112">
        <f t="shared" si="87"/>
        <v>0</v>
      </c>
      <c r="AV78" s="112">
        <f t="shared" si="87"/>
        <v>0</v>
      </c>
      <c r="AW78" s="112">
        <f t="shared" si="87"/>
        <v>0</v>
      </c>
      <c r="AX78" s="112">
        <f t="shared" si="40"/>
        <v>2553061.6071428559</v>
      </c>
      <c r="AY78" s="112">
        <f t="shared" si="41"/>
        <v>2553061.6071428559</v>
      </c>
      <c r="AZ78" s="112">
        <f t="shared" si="88"/>
        <v>2645200.5107142855</v>
      </c>
      <c r="BA78" s="112">
        <f t="shared" si="88"/>
        <v>0</v>
      </c>
      <c r="BB78" s="112">
        <f t="shared" si="88"/>
        <v>0</v>
      </c>
      <c r="BC78" s="112">
        <f t="shared" si="88"/>
        <v>0</v>
      </c>
      <c r="BD78" s="112">
        <f t="shared" si="88"/>
        <v>0</v>
      </c>
      <c r="BE78" s="112">
        <f t="shared" si="42"/>
        <v>2645200.5107142855</v>
      </c>
      <c r="BF78" s="112">
        <f t="shared" si="43"/>
        <v>2645200.5107142855</v>
      </c>
      <c r="BG78" s="117"/>
      <c r="BH78" s="117"/>
      <c r="BI78" s="112">
        <f t="shared" si="80"/>
        <v>0</v>
      </c>
      <c r="BJ78" s="112"/>
      <c r="BK78" s="112"/>
      <c r="BL78" s="112">
        <f t="shared" si="89"/>
        <v>1485123.9749999992</v>
      </c>
      <c r="BM78" s="112">
        <f t="shared" si="89"/>
        <v>0</v>
      </c>
      <c r="BN78" s="112">
        <f t="shared" si="89"/>
        <v>0</v>
      </c>
      <c r="BO78" s="112">
        <f t="shared" si="89"/>
        <v>0</v>
      </c>
      <c r="BP78" s="112">
        <f t="shared" si="89"/>
        <v>0</v>
      </c>
      <c r="BQ78" s="112">
        <f t="shared" si="44"/>
        <v>1485123.9749999992</v>
      </c>
      <c r="BR78" s="112">
        <f t="shared" si="45"/>
        <v>1485123.9749999992</v>
      </c>
      <c r="BS78" s="112">
        <f t="shared" si="90"/>
        <v>1106479.0454142857</v>
      </c>
      <c r="BT78" s="112">
        <f t="shared" si="90"/>
        <v>0</v>
      </c>
      <c r="BU78" s="112">
        <f t="shared" si="90"/>
        <v>0</v>
      </c>
      <c r="BV78" s="112">
        <f t="shared" ref="BV78:BV140" si="93">R78*W78</f>
        <v>0</v>
      </c>
      <c r="BW78" s="112">
        <f t="shared" ref="BW78:BW130" si="94">S78*AE78</f>
        <v>0</v>
      </c>
      <c r="BX78" s="112">
        <f t="shared" si="46"/>
        <v>1106479.0454142857</v>
      </c>
      <c r="BY78" s="112">
        <f t="shared" si="47"/>
        <v>1106479.0454142857</v>
      </c>
      <c r="BZ78" s="113">
        <f t="shared" si="91"/>
        <v>0</v>
      </c>
      <c r="CA78" s="113">
        <f t="shared" si="91"/>
        <v>0</v>
      </c>
      <c r="CB78" s="113">
        <f t="shared" si="49"/>
        <v>0</v>
      </c>
      <c r="CC78" s="119" t="e">
        <f t="shared" si="92"/>
        <v>#DIV/0!</v>
      </c>
      <c r="CD78" s="119" t="e">
        <f t="shared" si="92"/>
        <v>#DIV/0!</v>
      </c>
      <c r="CE78" s="119" t="e">
        <f t="shared" si="51"/>
        <v>#DIV/0!</v>
      </c>
      <c r="CF78" s="113" t="e">
        <f t="shared" ref="CF78:CF141" si="95">CB78/(U78+V78+AB78+AC78)</f>
        <v>#DIV/0!</v>
      </c>
      <c r="CG78" s="619">
        <f t="shared" ref="CG78:CG141" si="96">I78*(U78+V78)+O78*(AB78+AC78)</f>
        <v>0</v>
      </c>
      <c r="CH78" s="132" t="e">
        <f t="shared" si="52"/>
        <v>#DIV/0!</v>
      </c>
      <c r="CI78" s="171"/>
      <c r="CJ78" s="112">
        <f t="shared" ref="CJ78:CJ141" si="97">H78*Z78/1000</f>
        <v>1485.1239749999991</v>
      </c>
      <c r="CK78" s="15">
        <f t="shared" ref="CK78:CK141" si="98">N78*AG78/1000</f>
        <v>1106.4790454142858</v>
      </c>
      <c r="CL78" s="112">
        <f t="shared" si="84"/>
        <v>2591.6030204142849</v>
      </c>
      <c r="CM78" s="112">
        <f t="shared" ref="CM78:CM141" si="99">H78*Z78+N78*AG78</f>
        <v>2591603.0204142849</v>
      </c>
      <c r="CN78" s="112">
        <f t="shared" ref="CN78:CN140" si="100">I78*AI78+J78*AJ78+K78*AK78+L78*AL78</f>
        <v>2553061.6071428559</v>
      </c>
      <c r="CO78" s="112">
        <f t="shared" ref="CO78:CO140" si="101">I78*AI78+J78*(AJ78+AK78)+L78*AL78</f>
        <v>2553061.6071428559</v>
      </c>
      <c r="CP78" s="112">
        <f t="shared" ref="CP78:CP140" si="102">I78*T78+J78*U78+K78*V78+L78*W78</f>
        <v>1485123.9749999992</v>
      </c>
      <c r="CQ78" s="112">
        <f t="shared" ref="CQ78:CQ140" si="103">O78*AI78+P78*AJ78+Q78*AK78+R78*AL78</f>
        <v>2645200.5107142855</v>
      </c>
      <c r="CR78" s="112">
        <f t="shared" ref="CR78:CR140" si="104">O78*AI78+P78*(AJ78+AK78)+R78*AL78</f>
        <v>2645200.5107142855</v>
      </c>
      <c r="CS78" s="112">
        <f t="shared" ref="CS78:CS140" si="105">O78*AA78+P78*AB78+Q78*AC78+R78*AD78</f>
        <v>1106479.0454142857</v>
      </c>
      <c r="CT78" s="112">
        <f t="shared" si="54"/>
        <v>5198262.1178571414</v>
      </c>
      <c r="CU78" s="124">
        <f t="shared" si="55"/>
        <v>7273929.9999999981</v>
      </c>
      <c r="CV78" s="112">
        <f t="shared" ref="CV78:CV140" si="106">J78*AJ78+K78*AK78</f>
        <v>0</v>
      </c>
      <c r="CW78" s="112">
        <f t="shared" ref="CW78:CW140" si="107">P78*AJ78+Q78*AK78</f>
        <v>0</v>
      </c>
      <c r="CX78" s="112">
        <f t="shared" si="56"/>
        <v>0</v>
      </c>
      <c r="CY78" s="112">
        <f t="shared" ref="CY78:CY140" si="108">H78*AI78+H78*AJ78+H78*AK78+H78*AL78</f>
        <v>2553061.6071428559</v>
      </c>
      <c r="CZ78" s="112">
        <f t="shared" ref="CZ78:CZ140" si="109">N78*AI78+N78*AJ78+N78*AK78+N78*AL78</f>
        <v>2645200.5107142855</v>
      </c>
      <c r="DA78" s="171"/>
      <c r="DB78" s="128" t="e">
        <f t="shared" si="57"/>
        <v>#DIV/0!</v>
      </c>
      <c r="DC78" s="171"/>
      <c r="DD78" s="171"/>
      <c r="DE78" s="171"/>
      <c r="DF78" s="171"/>
      <c r="DG78" s="618">
        <f t="shared" ref="DG78:DG141" si="110">M78*X78/1000</f>
        <v>0</v>
      </c>
      <c r="DH78" s="618">
        <f t="shared" ref="DH78:DH141" si="111">S78*AE78/1000</f>
        <v>0</v>
      </c>
      <c r="DI78" s="618">
        <f t="shared" ref="DI78:DI141" si="112">DG78+DH78</f>
        <v>0</v>
      </c>
      <c r="DJ78" s="125"/>
    </row>
    <row r="79" spans="1:116" s="21" customFormat="1" ht="51" hidden="1">
      <c r="A79" s="20">
        <f t="shared" si="58"/>
        <v>66</v>
      </c>
      <c r="B79" s="1555"/>
      <c r="C79" s="759" t="s">
        <v>155</v>
      </c>
      <c r="D79" s="757" t="s">
        <v>161</v>
      </c>
      <c r="E79" s="760">
        <v>4617004147</v>
      </c>
      <c r="F79" s="757" t="s">
        <v>8</v>
      </c>
      <c r="G79" s="1565"/>
      <c r="H79" s="607">
        <v>3572.4999999999982</v>
      </c>
      <c r="I79" s="607">
        <v>3572.4999999999982</v>
      </c>
      <c r="J79" s="607"/>
      <c r="K79" s="607"/>
      <c r="L79" s="607"/>
      <c r="M79" s="36"/>
      <c r="N79" s="36">
        <v>3701.43</v>
      </c>
      <c r="O79" s="36">
        <v>3701.43</v>
      </c>
      <c r="P79" s="36"/>
      <c r="Q79" s="36"/>
      <c r="R79" s="36"/>
      <c r="S79" s="36"/>
      <c r="T79" s="173">
        <f t="shared" si="82"/>
        <v>415.71</v>
      </c>
      <c r="U79" s="173">
        <v>0</v>
      </c>
      <c r="V79" s="224">
        <v>0</v>
      </c>
      <c r="W79" s="173">
        <v>0</v>
      </c>
      <c r="X79" s="173">
        <v>0</v>
      </c>
      <c r="Y79" s="173">
        <v>0</v>
      </c>
      <c r="Z79" s="35">
        <f>SUM(T79:W79)</f>
        <v>415.71</v>
      </c>
      <c r="AA79" s="173">
        <f t="shared" si="83"/>
        <v>298.93285714285719</v>
      </c>
      <c r="AB79" s="173">
        <v>0</v>
      </c>
      <c r="AC79" s="224">
        <v>0</v>
      </c>
      <c r="AD79" s="173">
        <v>0</v>
      </c>
      <c r="AE79" s="173">
        <v>0</v>
      </c>
      <c r="AF79" s="173">
        <v>0</v>
      </c>
      <c r="AG79" s="35">
        <f>SUM(AA79:AD79)</f>
        <v>298.93285714285719</v>
      </c>
      <c r="AH79" s="35">
        <f t="shared" ref="AH79:AH141" si="113">Z79+AG79</f>
        <v>714.64285714285711</v>
      </c>
      <c r="AI79" s="15">
        <f t="shared" si="64"/>
        <v>714.64285714285711</v>
      </c>
      <c r="AJ79" s="15">
        <f t="shared" si="64"/>
        <v>0</v>
      </c>
      <c r="AK79" s="15">
        <f t="shared" si="64"/>
        <v>0</v>
      </c>
      <c r="AL79" s="15">
        <f t="shared" si="64"/>
        <v>0</v>
      </c>
      <c r="AM79" s="15">
        <f t="shared" si="64"/>
        <v>0</v>
      </c>
      <c r="AN79" s="15"/>
      <c r="AO79" s="15">
        <f t="shared" si="85"/>
        <v>714.64285714285711</v>
      </c>
      <c r="AP79" s="15">
        <f t="shared" si="86"/>
        <v>714.64285714285711</v>
      </c>
      <c r="AQ79" s="15">
        <f t="shared" si="81"/>
        <v>714.64285714285711</v>
      </c>
      <c r="AR79" s="127">
        <f t="shared" ref="AR79:AR141" si="114">AQ79-AH79</f>
        <v>0</v>
      </c>
      <c r="AS79" s="112">
        <f t="shared" si="87"/>
        <v>2553061.6071428559</v>
      </c>
      <c r="AT79" s="112">
        <f t="shared" si="87"/>
        <v>0</v>
      </c>
      <c r="AU79" s="112">
        <f t="shared" si="87"/>
        <v>0</v>
      </c>
      <c r="AV79" s="112">
        <f t="shared" si="87"/>
        <v>0</v>
      </c>
      <c r="AW79" s="112">
        <f t="shared" si="87"/>
        <v>0</v>
      </c>
      <c r="AX79" s="112">
        <f t="shared" ref="AX79:AX140" si="115">SUM(AS79:AW79)</f>
        <v>2553061.6071428559</v>
      </c>
      <c r="AY79" s="112">
        <f t="shared" ref="AY79:AY140" si="116">SUM(AS79:AV79)</f>
        <v>2553061.6071428559</v>
      </c>
      <c r="AZ79" s="112">
        <f t="shared" si="88"/>
        <v>2645200.5107142855</v>
      </c>
      <c r="BA79" s="112">
        <f t="shared" si="88"/>
        <v>0</v>
      </c>
      <c r="BB79" s="112">
        <f t="shared" si="88"/>
        <v>0</v>
      </c>
      <c r="BC79" s="112">
        <f t="shared" si="88"/>
        <v>0</v>
      </c>
      <c r="BD79" s="112">
        <f t="shared" si="88"/>
        <v>0</v>
      </c>
      <c r="BE79" s="112">
        <f t="shared" ref="BE79:BE140" si="117">SUM(AZ79:BD79)</f>
        <v>2645200.5107142855</v>
      </c>
      <c r="BF79" s="112">
        <f t="shared" ref="BF79:BF140" si="118">SUM(AZ79:BC79)</f>
        <v>2645200.5107142855</v>
      </c>
      <c r="BG79" s="117"/>
      <c r="BH79" s="117"/>
      <c r="BI79" s="112">
        <f t="shared" si="80"/>
        <v>0</v>
      </c>
      <c r="BJ79" s="112"/>
      <c r="BK79" s="112"/>
      <c r="BL79" s="112">
        <f t="shared" si="89"/>
        <v>1485123.9749999992</v>
      </c>
      <c r="BM79" s="112">
        <f t="shared" si="89"/>
        <v>0</v>
      </c>
      <c r="BN79" s="112">
        <f t="shared" si="89"/>
        <v>0</v>
      </c>
      <c r="BO79" s="112">
        <f t="shared" si="89"/>
        <v>0</v>
      </c>
      <c r="BP79" s="112">
        <f t="shared" si="89"/>
        <v>0</v>
      </c>
      <c r="BQ79" s="112">
        <f t="shared" ref="BQ79:BQ138" si="119">BL79+BM79+BN79+BO79+BP79</f>
        <v>1485123.9749999992</v>
      </c>
      <c r="BR79" s="112">
        <f t="shared" ref="BR79:BR138" si="120">BQ79-BP79</f>
        <v>1485123.9749999992</v>
      </c>
      <c r="BS79" s="112">
        <f t="shared" si="90"/>
        <v>1106479.0454142857</v>
      </c>
      <c r="BT79" s="112">
        <f t="shared" si="90"/>
        <v>0</v>
      </c>
      <c r="BU79" s="112">
        <f t="shared" si="90"/>
        <v>0</v>
      </c>
      <c r="BV79" s="112">
        <f t="shared" si="93"/>
        <v>0</v>
      </c>
      <c r="BW79" s="112">
        <f t="shared" si="94"/>
        <v>0</v>
      </c>
      <c r="BX79" s="112">
        <f t="shared" ref="BX79:BX141" si="121">BS79+BT79+BU79+BV79+BW79</f>
        <v>1106479.0454142857</v>
      </c>
      <c r="BY79" s="112">
        <f t="shared" ref="BY79:BY141" si="122">BX79-BW79</f>
        <v>1106479.0454142857</v>
      </c>
      <c r="BZ79" s="113">
        <f t="shared" si="91"/>
        <v>0</v>
      </c>
      <c r="CA79" s="113">
        <f t="shared" si="91"/>
        <v>0</v>
      </c>
      <c r="CB79" s="113">
        <f t="shared" ref="CB79:CB141" si="123">BZ79+CA79</f>
        <v>0</v>
      </c>
      <c r="CC79" s="119" t="e">
        <f t="shared" si="92"/>
        <v>#DIV/0!</v>
      </c>
      <c r="CD79" s="119" t="e">
        <f t="shared" si="92"/>
        <v>#DIV/0!</v>
      </c>
      <c r="CE79" s="119" t="e">
        <f t="shared" ref="CE79:CE141" si="124">CB79/(AJ79+AK79)</f>
        <v>#DIV/0!</v>
      </c>
      <c r="CF79" s="113" t="e">
        <f t="shared" si="95"/>
        <v>#DIV/0!</v>
      </c>
      <c r="CG79" s="619">
        <f t="shared" si="96"/>
        <v>0</v>
      </c>
      <c r="CH79" s="132" t="e">
        <f t="shared" ref="CH79:CH141" si="125">CG79/(AJ79+AK79)</f>
        <v>#DIV/0!</v>
      </c>
      <c r="CI79" s="171"/>
      <c r="CJ79" s="112">
        <f t="shared" si="97"/>
        <v>1485.1239749999991</v>
      </c>
      <c r="CK79" s="15">
        <f t="shared" si="98"/>
        <v>1106.4790454142858</v>
      </c>
      <c r="CL79" s="112">
        <f t="shared" si="84"/>
        <v>2591.6030204142849</v>
      </c>
      <c r="CM79" s="112">
        <f t="shared" si="99"/>
        <v>2591603.0204142849</v>
      </c>
      <c r="CN79" s="112">
        <f t="shared" si="100"/>
        <v>2553061.6071428559</v>
      </c>
      <c r="CO79" s="112">
        <f t="shared" si="101"/>
        <v>2553061.6071428559</v>
      </c>
      <c r="CP79" s="112">
        <f t="shared" si="102"/>
        <v>1485123.9749999992</v>
      </c>
      <c r="CQ79" s="112">
        <f t="shared" si="103"/>
        <v>2645200.5107142855</v>
      </c>
      <c r="CR79" s="112">
        <f t="shared" si="104"/>
        <v>2645200.5107142855</v>
      </c>
      <c r="CS79" s="112">
        <f t="shared" si="105"/>
        <v>1106479.0454142857</v>
      </c>
      <c r="CT79" s="112">
        <f t="shared" ref="CT79:CT141" si="126">CN79+CQ79</f>
        <v>5198262.1178571414</v>
      </c>
      <c r="CU79" s="124">
        <f t="shared" ref="CU79:CU139" si="127">CT79/AH79*1000</f>
        <v>7273929.9999999981</v>
      </c>
      <c r="CV79" s="112">
        <f t="shared" si="106"/>
        <v>0</v>
      </c>
      <c r="CW79" s="112">
        <f t="shared" si="107"/>
        <v>0</v>
      </c>
      <c r="CX79" s="112">
        <f t="shared" ref="CX79:CX140" si="128">CV79+CW79</f>
        <v>0</v>
      </c>
      <c r="CY79" s="112">
        <f t="shared" si="108"/>
        <v>2553061.6071428559</v>
      </c>
      <c r="CZ79" s="112">
        <f t="shared" si="109"/>
        <v>2645200.5107142855</v>
      </c>
      <c r="DA79" s="171"/>
      <c r="DB79" s="128" t="e">
        <f t="shared" ref="DB79:DB141" si="129">N79/J79*100</f>
        <v>#DIV/0!</v>
      </c>
      <c r="DC79" s="171"/>
      <c r="DD79" s="171"/>
      <c r="DE79" s="171"/>
      <c r="DF79" s="171"/>
      <c r="DG79" s="618">
        <f t="shared" si="110"/>
        <v>0</v>
      </c>
      <c r="DH79" s="618">
        <f t="shared" si="111"/>
        <v>0</v>
      </c>
      <c r="DI79" s="618">
        <f t="shared" si="112"/>
        <v>0</v>
      </c>
      <c r="DJ79" s="125"/>
    </row>
    <row r="80" spans="1:116" ht="65.25" hidden="1" customHeight="1">
      <c r="A80" s="20">
        <f t="shared" ref="A80:A141" si="130">A79+1</f>
        <v>67</v>
      </c>
      <c r="B80" s="1502" t="s">
        <v>27</v>
      </c>
      <c r="C80" s="705" t="s">
        <v>63</v>
      </c>
      <c r="D80" s="696" t="s">
        <v>28</v>
      </c>
      <c r="E80" s="696">
        <v>4618003724</v>
      </c>
      <c r="F80" s="696" t="s">
        <v>8</v>
      </c>
      <c r="G80" s="801" t="s">
        <v>900</v>
      </c>
      <c r="H80" s="38">
        <v>2520.77</v>
      </c>
      <c r="I80" s="38">
        <v>2520.77</v>
      </c>
      <c r="J80" s="38">
        <v>2421.02</v>
      </c>
      <c r="K80" s="38">
        <v>0</v>
      </c>
      <c r="L80" s="38">
        <v>2520.77</v>
      </c>
      <c r="M80" s="10">
        <v>0</v>
      </c>
      <c r="N80" s="10">
        <v>2556.21</v>
      </c>
      <c r="O80" s="10">
        <v>2556.21</v>
      </c>
      <c r="P80" s="10">
        <v>2556.21</v>
      </c>
      <c r="Q80" s="10"/>
      <c r="R80" s="10">
        <v>2556.21</v>
      </c>
      <c r="S80" s="10"/>
      <c r="T80" s="23">
        <v>2581</v>
      </c>
      <c r="U80" s="15">
        <v>1010</v>
      </c>
      <c r="V80" s="208">
        <v>0</v>
      </c>
      <c r="W80" s="15">
        <v>430</v>
      </c>
      <c r="X80" s="15">
        <v>0</v>
      </c>
      <c r="Y80" s="15">
        <v>0</v>
      </c>
      <c r="Z80" s="35">
        <f t="shared" ref="Z80:Z140" si="131">SUM(T80:W80)</f>
        <v>4021</v>
      </c>
      <c r="AA80" s="15">
        <v>1561</v>
      </c>
      <c r="AB80" s="179">
        <v>640</v>
      </c>
      <c r="AC80" s="208">
        <v>0</v>
      </c>
      <c r="AD80" s="15">
        <v>420</v>
      </c>
      <c r="AE80" s="15">
        <v>0</v>
      </c>
      <c r="AF80" s="15">
        <v>0</v>
      </c>
      <c r="AG80" s="35">
        <f t="shared" ref="AG80:AG140" si="132">SUM(AA80:AD80)</f>
        <v>2621</v>
      </c>
      <c r="AH80" s="35">
        <f t="shared" si="113"/>
        <v>6642</v>
      </c>
      <c r="AI80" s="15">
        <f t="shared" si="64"/>
        <v>4142</v>
      </c>
      <c r="AJ80" s="15">
        <f t="shared" si="64"/>
        <v>1650</v>
      </c>
      <c r="AK80" s="15">
        <f t="shared" si="64"/>
        <v>0</v>
      </c>
      <c r="AL80" s="15">
        <f t="shared" si="64"/>
        <v>850</v>
      </c>
      <c r="AM80" s="15">
        <f t="shared" si="64"/>
        <v>0</v>
      </c>
      <c r="AN80" s="15">
        <v>0</v>
      </c>
      <c r="AO80" s="15">
        <f t="shared" si="85"/>
        <v>6642</v>
      </c>
      <c r="AP80" s="15">
        <f t="shared" si="86"/>
        <v>6642</v>
      </c>
      <c r="AQ80" s="15">
        <f t="shared" si="81"/>
        <v>6642</v>
      </c>
      <c r="AR80" s="127">
        <f t="shared" si="114"/>
        <v>0</v>
      </c>
      <c r="AS80" s="112">
        <f t="shared" si="87"/>
        <v>10441029.34</v>
      </c>
      <c r="AT80" s="112">
        <f t="shared" si="87"/>
        <v>3994683</v>
      </c>
      <c r="AU80" s="112">
        <f t="shared" si="87"/>
        <v>0</v>
      </c>
      <c r="AV80" s="112">
        <f t="shared" si="87"/>
        <v>2142654.5</v>
      </c>
      <c r="AW80" s="112">
        <f t="shared" si="87"/>
        <v>0</v>
      </c>
      <c r="AX80" s="112">
        <f t="shared" si="115"/>
        <v>16578366.84</v>
      </c>
      <c r="AY80" s="112">
        <f t="shared" si="116"/>
        <v>16578366.84</v>
      </c>
      <c r="AZ80" s="112">
        <f t="shared" si="88"/>
        <v>10587821.82</v>
      </c>
      <c r="BA80" s="112">
        <f t="shared" si="88"/>
        <v>4217746.5</v>
      </c>
      <c r="BB80" s="112">
        <f t="shared" si="88"/>
        <v>0</v>
      </c>
      <c r="BC80" s="112">
        <f t="shared" si="88"/>
        <v>2172778.5</v>
      </c>
      <c r="BD80" s="112">
        <f t="shared" si="88"/>
        <v>0</v>
      </c>
      <c r="BE80" s="112">
        <f t="shared" si="117"/>
        <v>16978346.82</v>
      </c>
      <c r="BF80" s="112">
        <f t="shared" si="118"/>
        <v>16978346.82</v>
      </c>
      <c r="BG80" s="112">
        <v>100.748</v>
      </c>
      <c r="BH80" s="112">
        <v>0</v>
      </c>
      <c r="BI80" s="112">
        <f t="shared" si="80"/>
        <v>100.748</v>
      </c>
      <c r="BJ80" s="112">
        <v>16835.830000000002</v>
      </c>
      <c r="BK80" s="112">
        <v>17317.7</v>
      </c>
      <c r="BL80" s="112">
        <f t="shared" si="89"/>
        <v>6506107.3700000001</v>
      </c>
      <c r="BM80" s="112">
        <f t="shared" si="89"/>
        <v>2445230.2000000002</v>
      </c>
      <c r="BN80" s="112">
        <f t="shared" si="89"/>
        <v>0</v>
      </c>
      <c r="BO80" s="112">
        <f t="shared" si="89"/>
        <v>1083931.1000000001</v>
      </c>
      <c r="BP80" s="112">
        <f t="shared" si="89"/>
        <v>0</v>
      </c>
      <c r="BQ80" s="112">
        <f t="shared" si="119"/>
        <v>10035268.67</v>
      </c>
      <c r="BR80" s="112">
        <f t="shared" si="120"/>
        <v>10035268.67</v>
      </c>
      <c r="BS80" s="112">
        <f t="shared" si="90"/>
        <v>3990243.81</v>
      </c>
      <c r="BT80" s="112">
        <f t="shared" si="90"/>
        <v>1635974.4</v>
      </c>
      <c r="BU80" s="112">
        <f t="shared" si="90"/>
        <v>0</v>
      </c>
      <c r="BV80" s="112">
        <f t="shared" si="93"/>
        <v>1099170.3</v>
      </c>
      <c r="BW80" s="112">
        <f t="shared" si="94"/>
        <v>0</v>
      </c>
      <c r="BX80" s="112">
        <f t="shared" si="121"/>
        <v>6725388.5099999998</v>
      </c>
      <c r="BY80" s="112">
        <f t="shared" si="122"/>
        <v>6725388.5099999998</v>
      </c>
      <c r="BZ80" s="113">
        <f t="shared" si="91"/>
        <v>4081204.6</v>
      </c>
      <c r="CA80" s="113">
        <f t="shared" si="91"/>
        <v>0</v>
      </c>
      <c r="CB80" s="113">
        <f t="shared" si="123"/>
        <v>4081204.6</v>
      </c>
      <c r="CC80" s="119">
        <f t="shared" si="92"/>
        <v>2473.4573333333333</v>
      </c>
      <c r="CD80" s="119" t="e">
        <f t="shared" si="92"/>
        <v>#DIV/0!</v>
      </c>
      <c r="CE80" s="119">
        <f t="shared" si="124"/>
        <v>2473.4573333333333</v>
      </c>
      <c r="CF80" s="119">
        <f t="shared" si="95"/>
        <v>2473.4573333333333</v>
      </c>
      <c r="CG80" s="619">
        <f t="shared" si="96"/>
        <v>4181952.1</v>
      </c>
      <c r="CH80" s="132">
        <f t="shared" si="125"/>
        <v>2534.5164242424244</v>
      </c>
      <c r="CI80" s="106"/>
      <c r="CJ80" s="112">
        <f t="shared" si="97"/>
        <v>10136.016170000001</v>
      </c>
      <c r="CK80" s="112">
        <f t="shared" si="98"/>
        <v>6699.8264100000006</v>
      </c>
      <c r="CL80" s="112">
        <f t="shared" si="84"/>
        <v>16835.84258</v>
      </c>
      <c r="CM80" s="112">
        <f t="shared" si="99"/>
        <v>16835842.579999998</v>
      </c>
      <c r="CN80" s="112">
        <f t="shared" si="100"/>
        <v>16578366.84</v>
      </c>
      <c r="CO80" s="112">
        <f t="shared" si="101"/>
        <v>16578366.84</v>
      </c>
      <c r="CP80" s="112">
        <f t="shared" si="102"/>
        <v>10035268.67</v>
      </c>
      <c r="CQ80" s="112">
        <f t="shared" si="103"/>
        <v>16978346.82</v>
      </c>
      <c r="CR80" s="112">
        <f t="shared" si="104"/>
        <v>16978346.82</v>
      </c>
      <c r="CS80" s="112">
        <f t="shared" si="105"/>
        <v>6699826.4100000001</v>
      </c>
      <c r="CT80" s="112">
        <f t="shared" si="126"/>
        <v>33556713.659999996</v>
      </c>
      <c r="CU80" s="124">
        <f t="shared" si="127"/>
        <v>5052200.1897018962</v>
      </c>
      <c r="CV80" s="112">
        <f t="shared" si="106"/>
        <v>3994683</v>
      </c>
      <c r="CW80" s="112">
        <f t="shared" si="107"/>
        <v>4217746.5</v>
      </c>
      <c r="CX80" s="112">
        <f t="shared" si="128"/>
        <v>8212429.5</v>
      </c>
      <c r="CY80" s="112">
        <f t="shared" si="108"/>
        <v>16742954.34</v>
      </c>
      <c r="CZ80" s="112">
        <f t="shared" si="109"/>
        <v>16978346.82</v>
      </c>
      <c r="DA80" s="106"/>
      <c r="DB80" s="128">
        <f t="shared" si="129"/>
        <v>105.58401004535278</v>
      </c>
      <c r="DC80" s="106"/>
      <c r="DD80" s="106"/>
      <c r="DE80" s="106"/>
      <c r="DF80" s="106"/>
      <c r="DG80" s="618">
        <f t="shared" si="110"/>
        <v>0</v>
      </c>
      <c r="DH80" s="618">
        <f t="shared" si="111"/>
        <v>0</v>
      </c>
      <c r="DI80" s="618">
        <f t="shared" si="112"/>
        <v>0</v>
      </c>
      <c r="DJ80" s="106"/>
    </row>
    <row r="81" spans="1:116" s="32" customFormat="1" ht="63.75" customHeight="1">
      <c r="A81" s="20">
        <f t="shared" si="130"/>
        <v>68</v>
      </c>
      <c r="B81" s="1503"/>
      <c r="C81" s="803" t="s">
        <v>109</v>
      </c>
      <c r="D81" s="748" t="s">
        <v>141</v>
      </c>
      <c r="E81" s="617">
        <v>4632024035</v>
      </c>
      <c r="F81" s="803" t="s">
        <v>8</v>
      </c>
      <c r="G81" s="751" t="s">
        <v>890</v>
      </c>
      <c r="H81" s="816">
        <f>2653.36*1.2</f>
        <v>3184.0320000000002</v>
      </c>
      <c r="I81" s="816">
        <f>2653.36*1.2</f>
        <v>3184.0320000000002</v>
      </c>
      <c r="J81" s="38"/>
      <c r="K81" s="38"/>
      <c r="L81" s="816">
        <f>2653.36*1.2</f>
        <v>3184.0320000000002</v>
      </c>
      <c r="M81" s="10"/>
      <c r="N81" s="622">
        <f>2749.3*1.2</f>
        <v>3299.1600000000003</v>
      </c>
      <c r="O81" s="622">
        <f>2749.3*1.2</f>
        <v>3299.1600000000003</v>
      </c>
      <c r="P81" s="10"/>
      <c r="Q81" s="10"/>
      <c r="R81" s="622">
        <f>2749.3*1.2</f>
        <v>3299.1600000000003</v>
      </c>
      <c r="S81" s="10"/>
      <c r="T81" s="178">
        <v>194.17099999999999</v>
      </c>
      <c r="U81" s="16"/>
      <c r="V81" s="227"/>
      <c r="W81" s="16"/>
      <c r="X81" s="16"/>
      <c r="Y81" s="16"/>
      <c r="Z81" s="35">
        <f t="shared" si="131"/>
        <v>194.17099999999999</v>
      </c>
      <c r="AA81" s="178">
        <v>112.752</v>
      </c>
      <c r="AB81" s="178"/>
      <c r="AC81" s="227"/>
      <c r="AD81" s="16"/>
      <c r="AE81" s="16"/>
      <c r="AF81" s="16"/>
      <c r="AG81" s="35">
        <f t="shared" si="132"/>
        <v>112.752</v>
      </c>
      <c r="AH81" s="35">
        <f t="shared" si="113"/>
        <v>306.923</v>
      </c>
      <c r="AI81" s="15">
        <f t="shared" si="64"/>
        <v>306.923</v>
      </c>
      <c r="AJ81" s="15">
        <f t="shared" si="64"/>
        <v>0</v>
      </c>
      <c r="AK81" s="15">
        <f t="shared" si="64"/>
        <v>0</v>
      </c>
      <c r="AL81" s="15">
        <f t="shared" si="64"/>
        <v>0</v>
      </c>
      <c r="AM81" s="15">
        <f t="shared" si="64"/>
        <v>0</v>
      </c>
      <c r="AN81" s="15"/>
      <c r="AO81" s="15">
        <f t="shared" si="85"/>
        <v>306.923</v>
      </c>
      <c r="AP81" s="15">
        <f t="shared" si="86"/>
        <v>306.923</v>
      </c>
      <c r="AQ81" s="15">
        <f t="shared" si="81"/>
        <v>306.923</v>
      </c>
      <c r="AR81" s="127">
        <f t="shared" si="114"/>
        <v>0</v>
      </c>
      <c r="AS81" s="112">
        <f t="shared" si="87"/>
        <v>977252.65353600006</v>
      </c>
      <c r="AT81" s="112">
        <f t="shared" si="87"/>
        <v>0</v>
      </c>
      <c r="AU81" s="112">
        <f t="shared" si="87"/>
        <v>0</v>
      </c>
      <c r="AV81" s="112">
        <f t="shared" si="87"/>
        <v>0</v>
      </c>
      <c r="AW81" s="112">
        <f t="shared" si="87"/>
        <v>0</v>
      </c>
      <c r="AX81" s="112">
        <f t="shared" si="115"/>
        <v>977252.65353600006</v>
      </c>
      <c r="AY81" s="112">
        <f t="shared" si="116"/>
        <v>977252.65353600006</v>
      </c>
      <c r="AZ81" s="112">
        <f t="shared" si="88"/>
        <v>1012588.0846800001</v>
      </c>
      <c r="BA81" s="112">
        <f t="shared" si="88"/>
        <v>0</v>
      </c>
      <c r="BB81" s="112">
        <f t="shared" si="88"/>
        <v>0</v>
      </c>
      <c r="BC81" s="112">
        <f t="shared" si="88"/>
        <v>0</v>
      </c>
      <c r="BD81" s="112">
        <f t="shared" si="88"/>
        <v>0</v>
      </c>
      <c r="BE81" s="112">
        <f t="shared" si="117"/>
        <v>1012588.0846800001</v>
      </c>
      <c r="BF81" s="112">
        <f t="shared" si="118"/>
        <v>1012588.0846800001</v>
      </c>
      <c r="BG81" s="169">
        <f>(I81-J81)/1.2*U81/1000</f>
        <v>0</v>
      </c>
      <c r="BH81" s="170">
        <f>(O81-P81)/1.2*AB81/1000</f>
        <v>0</v>
      </c>
      <c r="BI81" s="169">
        <f t="shared" si="80"/>
        <v>0</v>
      </c>
      <c r="BJ81" s="169"/>
      <c r="BK81" s="169"/>
      <c r="BL81" s="112">
        <f t="shared" si="89"/>
        <v>618246.67747200001</v>
      </c>
      <c r="BM81" s="112">
        <f t="shared" si="89"/>
        <v>0</v>
      </c>
      <c r="BN81" s="112">
        <f t="shared" si="89"/>
        <v>0</v>
      </c>
      <c r="BO81" s="112">
        <f t="shared" si="89"/>
        <v>0</v>
      </c>
      <c r="BP81" s="112">
        <f t="shared" si="89"/>
        <v>0</v>
      </c>
      <c r="BQ81" s="112">
        <f t="shared" si="119"/>
        <v>618246.67747200001</v>
      </c>
      <c r="BR81" s="112">
        <f t="shared" si="120"/>
        <v>618246.67747200001</v>
      </c>
      <c r="BS81" s="112">
        <f t="shared" si="90"/>
        <v>371986.88832000003</v>
      </c>
      <c r="BT81" s="112">
        <f t="shared" si="90"/>
        <v>0</v>
      </c>
      <c r="BU81" s="112">
        <f t="shared" si="90"/>
        <v>0</v>
      </c>
      <c r="BV81" s="112">
        <f t="shared" si="93"/>
        <v>0</v>
      </c>
      <c r="BW81" s="112">
        <f t="shared" si="94"/>
        <v>0</v>
      </c>
      <c r="BX81" s="112">
        <f t="shared" si="121"/>
        <v>371986.88832000003</v>
      </c>
      <c r="BY81" s="112">
        <f t="shared" si="122"/>
        <v>371986.88832000003</v>
      </c>
      <c r="BZ81" s="113">
        <f t="shared" si="91"/>
        <v>0</v>
      </c>
      <c r="CA81" s="113">
        <f t="shared" si="91"/>
        <v>0</v>
      </c>
      <c r="CB81" s="113">
        <f t="shared" si="123"/>
        <v>0</v>
      </c>
      <c r="CC81" s="119" t="e">
        <f t="shared" si="92"/>
        <v>#DIV/0!</v>
      </c>
      <c r="CD81" s="119" t="e">
        <f t="shared" si="92"/>
        <v>#DIV/0!</v>
      </c>
      <c r="CE81" s="119" t="e">
        <f t="shared" si="124"/>
        <v>#DIV/0!</v>
      </c>
      <c r="CF81" s="113" t="e">
        <f t="shared" si="95"/>
        <v>#DIV/0!</v>
      </c>
      <c r="CG81" s="619">
        <f t="shared" si="96"/>
        <v>0</v>
      </c>
      <c r="CH81" s="132" t="e">
        <f t="shared" si="125"/>
        <v>#DIV/0!</v>
      </c>
      <c r="CI81" s="625"/>
      <c r="CJ81" s="208">
        <f t="shared" si="97"/>
        <v>618.24667747199999</v>
      </c>
      <c r="CK81" s="208">
        <f t="shared" si="98"/>
        <v>371.98688832000005</v>
      </c>
      <c r="CL81" s="208">
        <f t="shared" si="84"/>
        <v>990.23356579200004</v>
      </c>
      <c r="CM81" s="112">
        <f t="shared" si="99"/>
        <v>990233.56579200004</v>
      </c>
      <c r="CN81" s="112">
        <f t="shared" si="100"/>
        <v>977252.65353600006</v>
      </c>
      <c r="CO81" s="112">
        <f t="shared" si="101"/>
        <v>977252.65353600006</v>
      </c>
      <c r="CP81" s="112">
        <f t="shared" si="102"/>
        <v>618246.67747200001</v>
      </c>
      <c r="CQ81" s="112">
        <f t="shared" si="103"/>
        <v>1012588.0846800001</v>
      </c>
      <c r="CR81" s="112">
        <f t="shared" si="104"/>
        <v>1012588.0846800001</v>
      </c>
      <c r="CS81" s="112">
        <f t="shared" si="105"/>
        <v>371986.88832000003</v>
      </c>
      <c r="CT81" s="112">
        <f t="shared" si="126"/>
        <v>1989840.7382160001</v>
      </c>
      <c r="CU81" s="124">
        <f t="shared" si="127"/>
        <v>6483192</v>
      </c>
      <c r="CV81" s="112">
        <f t="shared" si="106"/>
        <v>0</v>
      </c>
      <c r="CW81" s="112">
        <f t="shared" si="107"/>
        <v>0</v>
      </c>
      <c r="CX81" s="112">
        <f t="shared" si="128"/>
        <v>0</v>
      </c>
      <c r="CY81" s="112">
        <f t="shared" si="108"/>
        <v>977252.65353600006</v>
      </c>
      <c r="CZ81" s="112">
        <f t="shared" si="109"/>
        <v>1012588.0846800001</v>
      </c>
      <c r="DA81" s="625"/>
      <c r="DB81" s="128" t="e">
        <f t="shared" si="129"/>
        <v>#DIV/0!</v>
      </c>
      <c r="DC81" s="625"/>
      <c r="DD81" s="625"/>
      <c r="DE81" s="625"/>
      <c r="DF81" s="625"/>
      <c r="DG81" s="618">
        <f t="shared" si="110"/>
        <v>0</v>
      </c>
      <c r="DH81" s="618">
        <f t="shared" si="111"/>
        <v>0</v>
      </c>
      <c r="DI81" s="618">
        <f t="shared" si="112"/>
        <v>0</v>
      </c>
      <c r="DJ81" s="123"/>
    </row>
    <row r="82" spans="1:116" s="32" customFormat="1" ht="63.75" customHeight="1">
      <c r="A82" s="20">
        <f t="shared" si="130"/>
        <v>69</v>
      </c>
      <c r="B82" s="1504"/>
      <c r="C82" s="803" t="s">
        <v>110</v>
      </c>
      <c r="D82" s="748" t="s">
        <v>142</v>
      </c>
      <c r="E82" s="617">
        <v>4632024035</v>
      </c>
      <c r="F82" s="803" t="s">
        <v>8</v>
      </c>
      <c r="G82" s="751" t="s">
        <v>890</v>
      </c>
      <c r="H82" s="816">
        <f>2653.36*1.2</f>
        <v>3184.0320000000002</v>
      </c>
      <c r="I82" s="816">
        <f>2653.36*1.2</f>
        <v>3184.0320000000002</v>
      </c>
      <c r="J82" s="38">
        <v>2732.57</v>
      </c>
      <c r="K82" s="38"/>
      <c r="L82" s="816">
        <f>2653.36*1.2</f>
        <v>3184.0320000000002</v>
      </c>
      <c r="M82" s="10"/>
      <c r="N82" s="622">
        <f>2749.3*1.2</f>
        <v>3299.1600000000003</v>
      </c>
      <c r="O82" s="622">
        <f>2749.3*1.2</f>
        <v>3299.1600000000003</v>
      </c>
      <c r="P82" s="38">
        <v>2896.52</v>
      </c>
      <c r="Q82" s="10"/>
      <c r="R82" s="622">
        <f>2749.3*1.2</f>
        <v>3299.1600000000003</v>
      </c>
      <c r="S82" s="10"/>
      <c r="T82" s="178">
        <v>635.24800000000005</v>
      </c>
      <c r="U82" s="16">
        <v>193.29999999999998</v>
      </c>
      <c r="V82" s="227"/>
      <c r="W82" s="16"/>
      <c r="X82" s="16"/>
      <c r="Y82" s="16"/>
      <c r="Z82" s="35">
        <f t="shared" si="131"/>
        <v>828.548</v>
      </c>
      <c r="AA82" s="178">
        <v>368.88</v>
      </c>
      <c r="AB82" s="178">
        <v>145</v>
      </c>
      <c r="AC82" s="227"/>
      <c r="AD82" s="16"/>
      <c r="AE82" s="16"/>
      <c r="AF82" s="16"/>
      <c r="AG82" s="35">
        <f t="shared" si="132"/>
        <v>513.88</v>
      </c>
      <c r="AH82" s="35">
        <f t="shared" si="113"/>
        <v>1342.4279999999999</v>
      </c>
      <c r="AI82" s="15">
        <f t="shared" si="64"/>
        <v>1004.128</v>
      </c>
      <c r="AJ82" s="15">
        <f t="shared" si="64"/>
        <v>338.29999999999995</v>
      </c>
      <c r="AK82" s="15">
        <f t="shared" si="64"/>
        <v>0</v>
      </c>
      <c r="AL82" s="15">
        <f t="shared" si="64"/>
        <v>0</v>
      </c>
      <c r="AM82" s="15">
        <f t="shared" si="64"/>
        <v>0</v>
      </c>
      <c r="AN82" s="15"/>
      <c r="AO82" s="15">
        <f t="shared" si="85"/>
        <v>1342.4279999999999</v>
      </c>
      <c r="AP82" s="15">
        <f t="shared" si="86"/>
        <v>1342.4279999999999</v>
      </c>
      <c r="AQ82" s="15">
        <f t="shared" si="81"/>
        <v>1342.4279999999999</v>
      </c>
      <c r="AR82" s="127">
        <f t="shared" si="114"/>
        <v>0</v>
      </c>
      <c r="AS82" s="112">
        <f t="shared" si="87"/>
        <v>3197175.6840960002</v>
      </c>
      <c r="AT82" s="112">
        <f t="shared" si="87"/>
        <v>924428.43099999998</v>
      </c>
      <c r="AU82" s="112">
        <f t="shared" si="87"/>
        <v>0</v>
      </c>
      <c r="AV82" s="112">
        <f t="shared" si="87"/>
        <v>0</v>
      </c>
      <c r="AW82" s="112">
        <f t="shared" si="87"/>
        <v>0</v>
      </c>
      <c r="AX82" s="112">
        <f t="shared" si="115"/>
        <v>4121604.115096</v>
      </c>
      <c r="AY82" s="112">
        <f t="shared" si="116"/>
        <v>4121604.115096</v>
      </c>
      <c r="AZ82" s="112">
        <f t="shared" si="88"/>
        <v>3312778.9324800004</v>
      </c>
      <c r="BA82" s="112">
        <f t="shared" si="88"/>
        <v>979892.7159999999</v>
      </c>
      <c r="BB82" s="112">
        <f t="shared" si="88"/>
        <v>0</v>
      </c>
      <c r="BC82" s="112">
        <f t="shared" si="88"/>
        <v>0</v>
      </c>
      <c r="BD82" s="112">
        <f t="shared" si="88"/>
        <v>0</v>
      </c>
      <c r="BE82" s="112">
        <f t="shared" si="117"/>
        <v>4292671.64848</v>
      </c>
      <c r="BF82" s="112">
        <f t="shared" si="118"/>
        <v>4292671.64848</v>
      </c>
      <c r="BG82" s="623">
        <f>(I82-J82)/1.2*U82/1000</f>
        <v>72.723003833333337</v>
      </c>
      <c r="BH82" s="624">
        <f>(O82-P82)/1.2*AB82/1000</f>
        <v>48.652333333333381</v>
      </c>
      <c r="BI82" s="623">
        <f t="shared" si="80"/>
        <v>121.37533716666672</v>
      </c>
      <c r="BJ82" s="169"/>
      <c r="BK82" s="169"/>
      <c r="BL82" s="112">
        <f t="shared" si="89"/>
        <v>2022649.9599360002</v>
      </c>
      <c r="BM82" s="112">
        <f t="shared" si="89"/>
        <v>528205.78099999996</v>
      </c>
      <c r="BN82" s="112">
        <f t="shared" si="89"/>
        <v>0</v>
      </c>
      <c r="BO82" s="112">
        <f t="shared" si="89"/>
        <v>0</v>
      </c>
      <c r="BP82" s="112">
        <f t="shared" si="89"/>
        <v>0</v>
      </c>
      <c r="BQ82" s="112">
        <f t="shared" si="119"/>
        <v>2550855.7409359999</v>
      </c>
      <c r="BR82" s="112">
        <f t="shared" si="120"/>
        <v>2550855.7409359999</v>
      </c>
      <c r="BS82" s="112">
        <f t="shared" si="90"/>
        <v>1216994.1408000002</v>
      </c>
      <c r="BT82" s="112">
        <f t="shared" si="90"/>
        <v>419995.4</v>
      </c>
      <c r="BU82" s="112">
        <f t="shared" si="90"/>
        <v>0</v>
      </c>
      <c r="BV82" s="112">
        <f t="shared" si="93"/>
        <v>0</v>
      </c>
      <c r="BW82" s="112">
        <f t="shared" si="94"/>
        <v>0</v>
      </c>
      <c r="BX82" s="112">
        <f t="shared" si="121"/>
        <v>1636989.5408000001</v>
      </c>
      <c r="BY82" s="112">
        <f t="shared" si="122"/>
        <v>1636989.5408000001</v>
      </c>
      <c r="BZ82" s="113">
        <f t="shared" si="91"/>
        <v>948201.18099999998</v>
      </c>
      <c r="CA82" s="113">
        <f t="shared" si="91"/>
        <v>0</v>
      </c>
      <c r="CB82" s="113">
        <f t="shared" si="123"/>
        <v>948201.18099999998</v>
      </c>
      <c r="CC82" s="119">
        <f t="shared" si="92"/>
        <v>2802.8412089861072</v>
      </c>
      <c r="CD82" s="119" t="e">
        <f t="shared" si="92"/>
        <v>#DIV/0!</v>
      </c>
      <c r="CE82" s="119">
        <f t="shared" si="124"/>
        <v>2802.8412089861072</v>
      </c>
      <c r="CF82" s="119">
        <f t="shared" si="95"/>
        <v>2802.8412089861072</v>
      </c>
      <c r="CG82" s="619">
        <f t="shared" si="96"/>
        <v>1093851.5855999999</v>
      </c>
      <c r="CH82" s="132">
        <f t="shared" si="125"/>
        <v>3233.3774330475908</v>
      </c>
      <c r="CI82" s="625"/>
      <c r="CJ82" s="208">
        <f t="shared" si="97"/>
        <v>2638.1233455360002</v>
      </c>
      <c r="CK82" s="208">
        <f t="shared" si="98"/>
        <v>1695.3723408000001</v>
      </c>
      <c r="CL82" s="208">
        <f t="shared" si="84"/>
        <v>4333.4956863360003</v>
      </c>
      <c r="CM82" s="112">
        <f t="shared" si="99"/>
        <v>4333495.6863360004</v>
      </c>
      <c r="CN82" s="112">
        <f t="shared" si="100"/>
        <v>4121604.115096</v>
      </c>
      <c r="CO82" s="112">
        <f t="shared" si="101"/>
        <v>4121604.115096</v>
      </c>
      <c r="CP82" s="112">
        <f t="shared" si="102"/>
        <v>2550855.7409359999</v>
      </c>
      <c r="CQ82" s="112">
        <f t="shared" si="103"/>
        <v>4292671.64848</v>
      </c>
      <c r="CR82" s="112">
        <f t="shared" si="104"/>
        <v>4292671.64848</v>
      </c>
      <c r="CS82" s="112">
        <f t="shared" si="105"/>
        <v>1636989.5408000001</v>
      </c>
      <c r="CT82" s="112">
        <f t="shared" si="126"/>
        <v>8414275.7635760009</v>
      </c>
      <c r="CU82" s="124">
        <f t="shared" si="127"/>
        <v>6267953.1144880783</v>
      </c>
      <c r="CV82" s="112">
        <f t="shared" si="106"/>
        <v>924428.43099999998</v>
      </c>
      <c r="CW82" s="112">
        <f t="shared" si="107"/>
        <v>979892.7159999999</v>
      </c>
      <c r="CX82" s="112">
        <f t="shared" si="128"/>
        <v>1904321.1469999999</v>
      </c>
      <c r="CY82" s="112">
        <f t="shared" si="108"/>
        <v>4274333.7096960004</v>
      </c>
      <c r="CZ82" s="112">
        <f t="shared" si="109"/>
        <v>4428884.7604800006</v>
      </c>
      <c r="DA82" s="625"/>
      <c r="DB82" s="128">
        <f t="shared" si="129"/>
        <v>120.73469298133259</v>
      </c>
      <c r="DC82" s="625"/>
      <c r="DD82" s="625"/>
      <c r="DE82" s="625"/>
      <c r="DF82" s="625"/>
      <c r="DG82" s="618">
        <f t="shared" si="110"/>
        <v>0</v>
      </c>
      <c r="DH82" s="618">
        <f t="shared" si="111"/>
        <v>0</v>
      </c>
      <c r="DI82" s="618">
        <f t="shared" si="112"/>
        <v>0</v>
      </c>
      <c r="DJ82" s="123"/>
    </row>
    <row r="83" spans="1:116" s="45" customFormat="1" ht="63.75" hidden="1" customHeight="1">
      <c r="A83" s="20">
        <f t="shared" si="130"/>
        <v>70</v>
      </c>
      <c r="B83" s="1555" t="s">
        <v>29</v>
      </c>
      <c r="C83" s="761" t="s">
        <v>112</v>
      </c>
      <c r="D83" s="696" t="s">
        <v>111</v>
      </c>
      <c r="E83" s="758">
        <v>4617004147</v>
      </c>
      <c r="F83" s="696" t="s">
        <v>8</v>
      </c>
      <c r="G83" s="801" t="s">
        <v>904</v>
      </c>
      <c r="H83" s="607">
        <v>2899.0000000000005</v>
      </c>
      <c r="I83" s="38">
        <v>2899.0000000000005</v>
      </c>
      <c r="J83" s="607">
        <v>2899.0000000000005</v>
      </c>
      <c r="K83" s="607"/>
      <c r="L83" s="607"/>
      <c r="M83" s="36"/>
      <c r="N83" s="36">
        <v>2999.01</v>
      </c>
      <c r="O83" s="10">
        <v>2999.01</v>
      </c>
      <c r="P83" s="36">
        <v>2999.01</v>
      </c>
      <c r="Q83" s="36"/>
      <c r="R83" s="36"/>
      <c r="S83" s="36"/>
      <c r="T83" s="177">
        <v>1485.2766666666666</v>
      </c>
      <c r="U83" s="173">
        <v>103.92</v>
      </c>
      <c r="V83" s="224">
        <v>0</v>
      </c>
      <c r="W83" s="173">
        <v>0</v>
      </c>
      <c r="X83" s="173">
        <v>0</v>
      </c>
      <c r="Y83" s="173">
        <v>0</v>
      </c>
      <c r="Z83" s="35">
        <f t="shared" si="131"/>
        <v>1589.1966666666667</v>
      </c>
      <c r="AA83" s="177">
        <v>1125.9566666666667</v>
      </c>
      <c r="AB83" s="173">
        <v>75.029999999999987</v>
      </c>
      <c r="AC83" s="224">
        <v>0</v>
      </c>
      <c r="AD83" s="173">
        <v>0</v>
      </c>
      <c r="AE83" s="173">
        <v>0</v>
      </c>
      <c r="AF83" s="173">
        <v>0</v>
      </c>
      <c r="AG83" s="35">
        <f t="shared" si="132"/>
        <v>1200.9866666666667</v>
      </c>
      <c r="AH83" s="35">
        <f t="shared" si="113"/>
        <v>2790.1833333333334</v>
      </c>
      <c r="AI83" s="15">
        <f t="shared" si="64"/>
        <v>2611.2333333333336</v>
      </c>
      <c r="AJ83" s="15">
        <f t="shared" si="64"/>
        <v>178.95</v>
      </c>
      <c r="AK83" s="15">
        <f t="shared" si="64"/>
        <v>0</v>
      </c>
      <c r="AL83" s="15">
        <f t="shared" si="64"/>
        <v>0</v>
      </c>
      <c r="AM83" s="15">
        <f t="shared" si="64"/>
        <v>0</v>
      </c>
      <c r="AN83" s="15"/>
      <c r="AO83" s="15">
        <f t="shared" si="85"/>
        <v>2790.1833333333334</v>
      </c>
      <c r="AP83" s="15">
        <f t="shared" si="86"/>
        <v>2790.1833333333334</v>
      </c>
      <c r="AQ83" s="15">
        <f t="shared" si="81"/>
        <v>2790.1833333333334</v>
      </c>
      <c r="AR83" s="127">
        <f t="shared" si="114"/>
        <v>0</v>
      </c>
      <c r="AS83" s="112">
        <f t="shared" si="87"/>
        <v>7569965.4333333354</v>
      </c>
      <c r="AT83" s="112">
        <f t="shared" si="87"/>
        <v>518776.05000000005</v>
      </c>
      <c r="AU83" s="112">
        <f t="shared" si="87"/>
        <v>0</v>
      </c>
      <c r="AV83" s="112">
        <f t="shared" si="87"/>
        <v>0</v>
      </c>
      <c r="AW83" s="112">
        <f t="shared" si="87"/>
        <v>0</v>
      </c>
      <c r="AX83" s="112">
        <f t="shared" si="115"/>
        <v>8088741.4833333353</v>
      </c>
      <c r="AY83" s="112">
        <f t="shared" si="116"/>
        <v>8088741.4833333353</v>
      </c>
      <c r="AZ83" s="112">
        <f t="shared" si="88"/>
        <v>7831114.8790000016</v>
      </c>
      <c r="BA83" s="112">
        <f t="shared" si="88"/>
        <v>536672.8395</v>
      </c>
      <c r="BB83" s="112">
        <f t="shared" si="88"/>
        <v>0</v>
      </c>
      <c r="BC83" s="112">
        <f t="shared" si="88"/>
        <v>0</v>
      </c>
      <c r="BD83" s="112">
        <f t="shared" si="88"/>
        <v>0</v>
      </c>
      <c r="BE83" s="112">
        <f t="shared" si="117"/>
        <v>8367787.7185000014</v>
      </c>
      <c r="BF83" s="112">
        <f t="shared" si="118"/>
        <v>8367787.7185000014</v>
      </c>
      <c r="BG83" s="169"/>
      <c r="BH83" s="170"/>
      <c r="BI83" s="169">
        <f t="shared" si="80"/>
        <v>0</v>
      </c>
      <c r="BJ83" s="169">
        <v>8208.84</v>
      </c>
      <c r="BK83" s="169"/>
      <c r="BL83" s="112">
        <f t="shared" si="89"/>
        <v>4305817.0566666676</v>
      </c>
      <c r="BM83" s="112">
        <f t="shared" si="89"/>
        <v>301264.08000000007</v>
      </c>
      <c r="BN83" s="112">
        <f t="shared" si="89"/>
        <v>0</v>
      </c>
      <c r="BO83" s="112">
        <f t="shared" si="89"/>
        <v>0</v>
      </c>
      <c r="BP83" s="112">
        <f t="shared" si="89"/>
        <v>0</v>
      </c>
      <c r="BQ83" s="112">
        <f t="shared" si="119"/>
        <v>4607081.1366666676</v>
      </c>
      <c r="BR83" s="112">
        <f t="shared" si="120"/>
        <v>4607081.1366666676</v>
      </c>
      <c r="BS83" s="112">
        <f t="shared" si="90"/>
        <v>3376755.3029000005</v>
      </c>
      <c r="BT83" s="112">
        <f t="shared" si="90"/>
        <v>225015.72029999999</v>
      </c>
      <c r="BU83" s="112">
        <f t="shared" si="90"/>
        <v>0</v>
      </c>
      <c r="BV83" s="112">
        <f t="shared" si="93"/>
        <v>0</v>
      </c>
      <c r="BW83" s="112">
        <f t="shared" si="94"/>
        <v>0</v>
      </c>
      <c r="BX83" s="112">
        <f t="shared" si="121"/>
        <v>3601771.0232000006</v>
      </c>
      <c r="BY83" s="112">
        <f t="shared" si="122"/>
        <v>3601771.0232000006</v>
      </c>
      <c r="BZ83" s="113">
        <f t="shared" si="91"/>
        <v>526279.8003</v>
      </c>
      <c r="CA83" s="113">
        <f t="shared" si="91"/>
        <v>0</v>
      </c>
      <c r="CB83" s="113">
        <f t="shared" si="123"/>
        <v>526279.8003</v>
      </c>
      <c r="CC83" s="119">
        <f t="shared" si="92"/>
        <v>2940.9321056160943</v>
      </c>
      <c r="CD83" s="119" t="e">
        <f t="shared" si="92"/>
        <v>#DIV/0!</v>
      </c>
      <c r="CE83" s="119">
        <f t="shared" si="124"/>
        <v>2940.9321056160943</v>
      </c>
      <c r="CF83" s="119">
        <f t="shared" si="95"/>
        <v>2940.9321056160943</v>
      </c>
      <c r="CG83" s="619">
        <f t="shared" si="96"/>
        <v>526279.8003</v>
      </c>
      <c r="CH83" s="132">
        <f t="shared" si="125"/>
        <v>2940.9321056160943</v>
      </c>
      <c r="CI83" s="171"/>
      <c r="CJ83" s="112">
        <f t="shared" si="97"/>
        <v>4607.0811366666676</v>
      </c>
      <c r="CK83" s="112">
        <f t="shared" si="98"/>
        <v>3601.7710231999999</v>
      </c>
      <c r="CL83" s="112">
        <f t="shared" si="84"/>
        <v>8208.8521598666666</v>
      </c>
      <c r="CM83" s="112">
        <f t="shared" si="99"/>
        <v>8208852.1598666683</v>
      </c>
      <c r="CN83" s="112">
        <f t="shared" si="100"/>
        <v>8088741.4833333353</v>
      </c>
      <c r="CO83" s="112">
        <f t="shared" si="101"/>
        <v>8088741.4833333353</v>
      </c>
      <c r="CP83" s="112">
        <f t="shared" si="102"/>
        <v>4607081.1366666676</v>
      </c>
      <c r="CQ83" s="112">
        <f t="shared" si="103"/>
        <v>8367787.7185000014</v>
      </c>
      <c r="CR83" s="112">
        <f t="shared" si="104"/>
        <v>8367787.7185000014</v>
      </c>
      <c r="CS83" s="112">
        <f t="shared" si="105"/>
        <v>3601771.0232000006</v>
      </c>
      <c r="CT83" s="112">
        <f t="shared" si="126"/>
        <v>16456529.201833338</v>
      </c>
      <c r="CU83" s="124">
        <f t="shared" si="127"/>
        <v>5898010.0000000009</v>
      </c>
      <c r="CV83" s="112">
        <f t="shared" si="106"/>
        <v>518776.05000000005</v>
      </c>
      <c r="CW83" s="112">
        <f t="shared" si="107"/>
        <v>536672.8395</v>
      </c>
      <c r="CX83" s="112">
        <f t="shared" si="128"/>
        <v>1055448.8895</v>
      </c>
      <c r="CY83" s="112">
        <f t="shared" si="108"/>
        <v>8088741.4833333353</v>
      </c>
      <c r="CZ83" s="112">
        <f t="shared" si="109"/>
        <v>8367787.7185000014</v>
      </c>
      <c r="DA83" s="171"/>
      <c r="DB83" s="128">
        <f t="shared" si="129"/>
        <v>103.44981027940668</v>
      </c>
      <c r="DC83" s="171"/>
      <c r="DD83" s="171"/>
      <c r="DE83" s="171"/>
      <c r="DF83" s="171"/>
      <c r="DG83" s="618">
        <f t="shared" si="110"/>
        <v>0</v>
      </c>
      <c r="DH83" s="618">
        <f t="shared" si="111"/>
        <v>0</v>
      </c>
      <c r="DI83" s="618">
        <f t="shared" si="112"/>
        <v>0</v>
      </c>
      <c r="DJ83" s="125"/>
      <c r="DK83" s="21"/>
      <c r="DL83" s="21"/>
    </row>
    <row r="84" spans="1:116" s="32" customFormat="1" ht="63.75" customHeight="1">
      <c r="A84" s="20">
        <f t="shared" si="130"/>
        <v>71</v>
      </c>
      <c r="B84" s="1556"/>
      <c r="C84" s="802" t="s">
        <v>113</v>
      </c>
      <c r="D84" s="748" t="s">
        <v>142</v>
      </c>
      <c r="E84" s="617">
        <v>4632024035</v>
      </c>
      <c r="F84" s="803" t="s">
        <v>8</v>
      </c>
      <c r="G84" s="751" t="s">
        <v>890</v>
      </c>
      <c r="H84" s="816">
        <f>2653.36*1.2</f>
        <v>3184.0320000000002</v>
      </c>
      <c r="I84" s="816">
        <f>2653.36*1.2</f>
        <v>3184.0320000000002</v>
      </c>
      <c r="J84" s="38"/>
      <c r="K84" s="38"/>
      <c r="L84" s="816">
        <f>2653.36*1.2</f>
        <v>3184.0320000000002</v>
      </c>
      <c r="M84" s="10"/>
      <c r="N84" s="622">
        <f>2749.3*1.2</f>
        <v>3299.1600000000003</v>
      </c>
      <c r="O84" s="622">
        <f>2749.3*1.2</f>
        <v>3299.1600000000003</v>
      </c>
      <c r="P84" s="10"/>
      <c r="Q84" s="10"/>
      <c r="R84" s="622">
        <f>2749.3*1.2</f>
        <v>3299.1600000000003</v>
      </c>
      <c r="S84" s="10"/>
      <c r="T84" s="178">
        <v>228.929</v>
      </c>
      <c r="U84" s="16"/>
      <c r="V84" s="227"/>
      <c r="W84" s="16"/>
      <c r="X84" s="16"/>
      <c r="Y84" s="16"/>
      <c r="Z84" s="35">
        <f t="shared" si="131"/>
        <v>228.929</v>
      </c>
      <c r="AA84" s="178">
        <v>132.93600000000001</v>
      </c>
      <c r="AB84" s="16"/>
      <c r="AC84" s="227"/>
      <c r="AD84" s="16"/>
      <c r="AE84" s="16"/>
      <c r="AF84" s="16"/>
      <c r="AG84" s="35">
        <f t="shared" si="132"/>
        <v>132.93600000000001</v>
      </c>
      <c r="AH84" s="35">
        <f t="shared" si="113"/>
        <v>361.86500000000001</v>
      </c>
      <c r="AI84" s="15">
        <f t="shared" si="64"/>
        <v>361.86500000000001</v>
      </c>
      <c r="AJ84" s="15">
        <f t="shared" si="64"/>
        <v>0</v>
      </c>
      <c r="AK84" s="15">
        <f t="shared" si="64"/>
        <v>0</v>
      </c>
      <c r="AL84" s="15">
        <f t="shared" si="64"/>
        <v>0</v>
      </c>
      <c r="AM84" s="15">
        <f t="shared" ref="AM84:AM140" si="133">X84+AE84</f>
        <v>0</v>
      </c>
      <c r="AN84" s="15"/>
      <c r="AO84" s="15">
        <f t="shared" si="85"/>
        <v>361.86500000000001</v>
      </c>
      <c r="AP84" s="15">
        <f t="shared" si="86"/>
        <v>361.86500000000001</v>
      </c>
      <c r="AQ84" s="15">
        <f t="shared" si="81"/>
        <v>361.86500000000001</v>
      </c>
      <c r="AR84" s="127">
        <f t="shared" si="114"/>
        <v>0</v>
      </c>
      <c r="AS84" s="112">
        <f t="shared" si="87"/>
        <v>1152189.7396800001</v>
      </c>
      <c r="AT84" s="112">
        <f t="shared" si="87"/>
        <v>0</v>
      </c>
      <c r="AU84" s="112">
        <f t="shared" si="87"/>
        <v>0</v>
      </c>
      <c r="AV84" s="112">
        <f t="shared" si="87"/>
        <v>0</v>
      </c>
      <c r="AW84" s="112">
        <f t="shared" si="87"/>
        <v>0</v>
      </c>
      <c r="AX84" s="112">
        <f t="shared" si="115"/>
        <v>1152189.7396800001</v>
      </c>
      <c r="AY84" s="112">
        <f t="shared" si="116"/>
        <v>1152189.7396800001</v>
      </c>
      <c r="AZ84" s="112">
        <f t="shared" si="88"/>
        <v>1193850.5334000001</v>
      </c>
      <c r="BA84" s="112">
        <f t="shared" si="88"/>
        <v>0</v>
      </c>
      <c r="BB84" s="112">
        <f t="shared" si="88"/>
        <v>0</v>
      </c>
      <c r="BC84" s="112">
        <f t="shared" si="88"/>
        <v>0</v>
      </c>
      <c r="BD84" s="112">
        <f t="shared" si="88"/>
        <v>0</v>
      </c>
      <c r="BE84" s="112">
        <f t="shared" si="117"/>
        <v>1193850.5334000001</v>
      </c>
      <c r="BF84" s="112">
        <f t="shared" si="118"/>
        <v>1193850.5334000001</v>
      </c>
      <c r="BG84" s="169">
        <f>(I84-J84)/1.2*U84/1000</f>
        <v>0</v>
      </c>
      <c r="BH84" s="170">
        <f>(O84-P84)/1.2*AB84/1000</f>
        <v>0</v>
      </c>
      <c r="BI84" s="169">
        <f t="shared" si="80"/>
        <v>0</v>
      </c>
      <c r="BJ84" s="169"/>
      <c r="BK84" s="169"/>
      <c r="BL84" s="112">
        <f t="shared" si="89"/>
        <v>728917.26172800001</v>
      </c>
      <c r="BM84" s="112">
        <f t="shared" si="89"/>
        <v>0</v>
      </c>
      <c r="BN84" s="112">
        <f t="shared" si="89"/>
        <v>0</v>
      </c>
      <c r="BO84" s="112">
        <f t="shared" si="89"/>
        <v>0</v>
      </c>
      <c r="BP84" s="112">
        <f t="shared" si="89"/>
        <v>0</v>
      </c>
      <c r="BQ84" s="112">
        <f t="shared" si="119"/>
        <v>728917.26172800001</v>
      </c>
      <c r="BR84" s="112">
        <f t="shared" si="120"/>
        <v>728917.26172800001</v>
      </c>
      <c r="BS84" s="112">
        <f t="shared" si="90"/>
        <v>438577.13376000006</v>
      </c>
      <c r="BT84" s="112">
        <f t="shared" si="90"/>
        <v>0</v>
      </c>
      <c r="BU84" s="112">
        <f t="shared" si="90"/>
        <v>0</v>
      </c>
      <c r="BV84" s="112">
        <f t="shared" si="93"/>
        <v>0</v>
      </c>
      <c r="BW84" s="112">
        <f t="shared" si="94"/>
        <v>0</v>
      </c>
      <c r="BX84" s="112">
        <f t="shared" si="121"/>
        <v>438577.13376000006</v>
      </c>
      <c r="BY84" s="112">
        <f t="shared" si="122"/>
        <v>438577.13376000006</v>
      </c>
      <c r="BZ84" s="113">
        <f t="shared" si="91"/>
        <v>0</v>
      </c>
      <c r="CA84" s="113">
        <f t="shared" si="91"/>
        <v>0</v>
      </c>
      <c r="CB84" s="113">
        <f t="shared" si="123"/>
        <v>0</v>
      </c>
      <c r="CC84" s="119" t="e">
        <f t="shared" si="92"/>
        <v>#DIV/0!</v>
      </c>
      <c r="CD84" s="119" t="e">
        <f t="shared" si="92"/>
        <v>#DIV/0!</v>
      </c>
      <c r="CE84" s="119" t="e">
        <f t="shared" si="124"/>
        <v>#DIV/0!</v>
      </c>
      <c r="CF84" s="113" t="e">
        <f t="shared" si="95"/>
        <v>#DIV/0!</v>
      </c>
      <c r="CG84" s="619">
        <f t="shared" si="96"/>
        <v>0</v>
      </c>
      <c r="CH84" s="132" t="e">
        <f t="shared" si="125"/>
        <v>#DIV/0!</v>
      </c>
      <c r="CI84" s="625"/>
      <c r="CJ84" s="208">
        <f t="shared" si="97"/>
        <v>728.91726172799997</v>
      </c>
      <c r="CK84" s="208">
        <f t="shared" si="98"/>
        <v>438.57713376000004</v>
      </c>
      <c r="CL84" s="208">
        <f t="shared" si="84"/>
        <v>1167.494395488</v>
      </c>
      <c r="CM84" s="112">
        <f t="shared" si="99"/>
        <v>1167494.395488</v>
      </c>
      <c r="CN84" s="112">
        <f t="shared" si="100"/>
        <v>1152189.7396800001</v>
      </c>
      <c r="CO84" s="112">
        <f t="shared" si="101"/>
        <v>1152189.7396800001</v>
      </c>
      <c r="CP84" s="112">
        <f t="shared" si="102"/>
        <v>728917.26172800001</v>
      </c>
      <c r="CQ84" s="112">
        <f t="shared" si="103"/>
        <v>1193850.5334000001</v>
      </c>
      <c r="CR84" s="112">
        <f t="shared" si="104"/>
        <v>1193850.5334000001</v>
      </c>
      <c r="CS84" s="112">
        <f t="shared" si="105"/>
        <v>438577.13376000006</v>
      </c>
      <c r="CT84" s="112">
        <f t="shared" si="126"/>
        <v>2346040.2730800002</v>
      </c>
      <c r="CU84" s="124">
        <f t="shared" si="127"/>
        <v>6483192</v>
      </c>
      <c r="CV84" s="112">
        <f t="shared" si="106"/>
        <v>0</v>
      </c>
      <c r="CW84" s="112">
        <f t="shared" si="107"/>
        <v>0</v>
      </c>
      <c r="CX84" s="112">
        <f t="shared" si="128"/>
        <v>0</v>
      </c>
      <c r="CY84" s="112">
        <f t="shared" si="108"/>
        <v>1152189.7396800001</v>
      </c>
      <c r="CZ84" s="112">
        <f t="shared" si="109"/>
        <v>1193850.5334000001</v>
      </c>
      <c r="DA84" s="625"/>
      <c r="DB84" s="128" t="e">
        <f t="shared" si="129"/>
        <v>#DIV/0!</v>
      </c>
      <c r="DC84" s="625"/>
      <c r="DD84" s="625"/>
      <c r="DE84" s="625"/>
      <c r="DF84" s="625"/>
      <c r="DG84" s="618">
        <f t="shared" si="110"/>
        <v>0</v>
      </c>
      <c r="DH84" s="618">
        <f t="shared" si="111"/>
        <v>0</v>
      </c>
      <c r="DI84" s="618">
        <f t="shared" si="112"/>
        <v>0</v>
      </c>
      <c r="DJ84" s="123"/>
    </row>
    <row r="85" spans="1:116" s="32" customFormat="1" ht="63.75" customHeight="1">
      <c r="A85" s="20">
        <f t="shared" si="130"/>
        <v>72</v>
      </c>
      <c r="B85" s="1557"/>
      <c r="C85" s="803" t="s">
        <v>114</v>
      </c>
      <c r="D85" s="748" t="s">
        <v>141</v>
      </c>
      <c r="E85" s="617">
        <v>4632024035</v>
      </c>
      <c r="F85" s="803" t="s">
        <v>8</v>
      </c>
      <c r="G85" s="751" t="s">
        <v>890</v>
      </c>
      <c r="H85" s="816">
        <f>2653.36*1.2</f>
        <v>3184.0320000000002</v>
      </c>
      <c r="I85" s="816">
        <f>2653.36*1.2</f>
        <v>3184.0320000000002</v>
      </c>
      <c r="J85" s="38">
        <v>2732.57</v>
      </c>
      <c r="K85" s="38"/>
      <c r="L85" s="816">
        <f>2653.36*1.2</f>
        <v>3184.0320000000002</v>
      </c>
      <c r="M85" s="10"/>
      <c r="N85" s="622">
        <f>2749.3*1.2</f>
        <v>3299.1600000000003</v>
      </c>
      <c r="O85" s="622">
        <f>2749.3*1.2</f>
        <v>3299.1600000000003</v>
      </c>
      <c r="P85" s="38">
        <v>2896.52</v>
      </c>
      <c r="Q85" s="10"/>
      <c r="R85" s="622">
        <f>2749.3*1.2</f>
        <v>3299.1600000000003</v>
      </c>
      <c r="S85" s="10"/>
      <c r="T85" s="178"/>
      <c r="U85" s="16">
        <v>148.80000000000001</v>
      </c>
      <c r="V85" s="227"/>
      <c r="W85" s="16"/>
      <c r="X85" s="16"/>
      <c r="Y85" s="16"/>
      <c r="Z85" s="35">
        <f t="shared" si="131"/>
        <v>148.80000000000001</v>
      </c>
      <c r="AA85" s="178"/>
      <c r="AB85" s="16">
        <v>111.6</v>
      </c>
      <c r="AC85" s="227"/>
      <c r="AD85" s="16"/>
      <c r="AE85" s="16"/>
      <c r="AF85" s="16"/>
      <c r="AG85" s="35">
        <f t="shared" si="132"/>
        <v>111.6</v>
      </c>
      <c r="AH85" s="35">
        <f t="shared" si="113"/>
        <v>260.39999999999998</v>
      </c>
      <c r="AI85" s="15">
        <f t="shared" ref="AI85:AL140" si="134">T85+AA85</f>
        <v>0</v>
      </c>
      <c r="AJ85" s="15">
        <f t="shared" si="134"/>
        <v>260.39999999999998</v>
      </c>
      <c r="AK85" s="15">
        <f t="shared" si="134"/>
        <v>0</v>
      </c>
      <c r="AL85" s="15">
        <f t="shared" si="134"/>
        <v>0</v>
      </c>
      <c r="AM85" s="15">
        <f t="shared" si="133"/>
        <v>0</v>
      </c>
      <c r="AN85" s="15"/>
      <c r="AO85" s="15">
        <f t="shared" si="85"/>
        <v>260.39999999999998</v>
      </c>
      <c r="AP85" s="15">
        <f t="shared" si="86"/>
        <v>260.39999999999998</v>
      </c>
      <c r="AQ85" s="15">
        <f t="shared" si="81"/>
        <v>260.39999999999998</v>
      </c>
      <c r="AR85" s="127">
        <f t="shared" si="114"/>
        <v>0</v>
      </c>
      <c r="AS85" s="112">
        <f t="shared" si="87"/>
        <v>0</v>
      </c>
      <c r="AT85" s="112">
        <f t="shared" si="87"/>
        <v>711561.228</v>
      </c>
      <c r="AU85" s="112">
        <f t="shared" si="87"/>
        <v>0</v>
      </c>
      <c r="AV85" s="112">
        <f t="shared" si="87"/>
        <v>0</v>
      </c>
      <c r="AW85" s="112">
        <f t="shared" si="87"/>
        <v>0</v>
      </c>
      <c r="AX85" s="112">
        <f t="shared" si="115"/>
        <v>711561.228</v>
      </c>
      <c r="AY85" s="112">
        <f t="shared" si="116"/>
        <v>711561.228</v>
      </c>
      <c r="AZ85" s="112">
        <f t="shared" si="88"/>
        <v>0</v>
      </c>
      <c r="BA85" s="112">
        <f t="shared" si="88"/>
        <v>754253.80799999996</v>
      </c>
      <c r="BB85" s="112">
        <f t="shared" si="88"/>
        <v>0</v>
      </c>
      <c r="BC85" s="112">
        <f t="shared" si="88"/>
        <v>0</v>
      </c>
      <c r="BD85" s="112">
        <f t="shared" si="88"/>
        <v>0</v>
      </c>
      <c r="BE85" s="112">
        <f t="shared" si="117"/>
        <v>754253.80799999996</v>
      </c>
      <c r="BF85" s="112">
        <f t="shared" si="118"/>
        <v>754253.80799999996</v>
      </c>
      <c r="BG85" s="623">
        <f>(I85-J85)/1.2*U85/1000</f>
        <v>55.981288000000006</v>
      </c>
      <c r="BH85" s="624">
        <f>(O85-P85)/1.2*AB85/1000</f>
        <v>37.44552000000003</v>
      </c>
      <c r="BI85" s="623">
        <f>BG85+BH85</f>
        <v>93.426808000000037</v>
      </c>
      <c r="BJ85" s="623"/>
      <c r="BK85" s="623"/>
      <c r="BL85" s="112">
        <f t="shared" si="89"/>
        <v>0</v>
      </c>
      <c r="BM85" s="112">
        <f t="shared" si="89"/>
        <v>406606.41600000003</v>
      </c>
      <c r="BN85" s="112">
        <f t="shared" si="89"/>
        <v>0</v>
      </c>
      <c r="BO85" s="112">
        <f t="shared" si="89"/>
        <v>0</v>
      </c>
      <c r="BP85" s="112">
        <f t="shared" si="89"/>
        <v>0</v>
      </c>
      <c r="BQ85" s="112">
        <f t="shared" si="119"/>
        <v>406606.41600000003</v>
      </c>
      <c r="BR85" s="112">
        <f t="shared" si="120"/>
        <v>406606.41600000003</v>
      </c>
      <c r="BS85" s="112">
        <f t="shared" si="90"/>
        <v>0</v>
      </c>
      <c r="BT85" s="112">
        <f t="shared" si="90"/>
        <v>323251.63199999998</v>
      </c>
      <c r="BU85" s="112">
        <f t="shared" si="90"/>
        <v>0</v>
      </c>
      <c r="BV85" s="112">
        <f t="shared" si="93"/>
        <v>0</v>
      </c>
      <c r="BW85" s="112">
        <f t="shared" si="94"/>
        <v>0</v>
      </c>
      <c r="BX85" s="112">
        <f t="shared" si="121"/>
        <v>323251.63199999998</v>
      </c>
      <c r="BY85" s="112">
        <f t="shared" si="122"/>
        <v>323251.63199999998</v>
      </c>
      <c r="BZ85" s="113">
        <f t="shared" si="91"/>
        <v>729858.04799999995</v>
      </c>
      <c r="CA85" s="113">
        <f t="shared" si="91"/>
        <v>0</v>
      </c>
      <c r="CB85" s="113">
        <f t="shared" si="123"/>
        <v>729858.04799999995</v>
      </c>
      <c r="CC85" s="119">
        <f t="shared" si="92"/>
        <v>2802.8342857142857</v>
      </c>
      <c r="CD85" s="119" t="e">
        <f t="shared" si="92"/>
        <v>#DIV/0!</v>
      </c>
      <c r="CE85" s="119">
        <f t="shared" si="124"/>
        <v>2802.8342857142857</v>
      </c>
      <c r="CF85" s="119">
        <f t="shared" si="95"/>
        <v>2802.8342857142857</v>
      </c>
      <c r="CG85" s="619">
        <f t="shared" si="96"/>
        <v>841970.21760000009</v>
      </c>
      <c r="CH85" s="132">
        <f t="shared" si="125"/>
        <v>3233.372571428572</v>
      </c>
      <c r="CI85" s="625"/>
      <c r="CJ85" s="208">
        <f t="shared" si="97"/>
        <v>473.78396160000005</v>
      </c>
      <c r="CK85" s="208">
        <f t="shared" si="98"/>
        <v>368.18625600000001</v>
      </c>
      <c r="CL85" s="208">
        <f t="shared" si="84"/>
        <v>841.97021760000007</v>
      </c>
      <c r="CM85" s="112">
        <f t="shared" si="99"/>
        <v>841970.21760000009</v>
      </c>
      <c r="CN85" s="112">
        <f t="shared" si="100"/>
        <v>711561.228</v>
      </c>
      <c r="CO85" s="112">
        <f t="shared" si="101"/>
        <v>711561.228</v>
      </c>
      <c r="CP85" s="112">
        <f t="shared" si="102"/>
        <v>406606.41600000003</v>
      </c>
      <c r="CQ85" s="112">
        <f t="shared" si="103"/>
        <v>754253.80799999996</v>
      </c>
      <c r="CR85" s="112">
        <f t="shared" si="104"/>
        <v>754253.80799999996</v>
      </c>
      <c r="CS85" s="112">
        <f t="shared" si="105"/>
        <v>323251.63199999998</v>
      </c>
      <c r="CT85" s="112">
        <f t="shared" si="126"/>
        <v>1465815.0359999998</v>
      </c>
      <c r="CU85" s="124">
        <f t="shared" si="127"/>
        <v>5629090</v>
      </c>
      <c r="CV85" s="112">
        <f t="shared" si="106"/>
        <v>711561.228</v>
      </c>
      <c r="CW85" s="112">
        <f t="shared" si="107"/>
        <v>754253.80799999996</v>
      </c>
      <c r="CX85" s="112">
        <f t="shared" si="128"/>
        <v>1465815.0359999998</v>
      </c>
      <c r="CY85" s="112">
        <f t="shared" si="108"/>
        <v>829121.93279999995</v>
      </c>
      <c r="CZ85" s="112">
        <f t="shared" si="109"/>
        <v>859101.26399999997</v>
      </c>
      <c r="DA85" s="625"/>
      <c r="DB85" s="128">
        <f t="shared" si="129"/>
        <v>120.73469298133259</v>
      </c>
      <c r="DC85" s="625"/>
      <c r="DD85" s="625"/>
      <c r="DE85" s="625"/>
      <c r="DF85" s="625"/>
      <c r="DG85" s="618">
        <f t="shared" si="110"/>
        <v>0</v>
      </c>
      <c r="DH85" s="618">
        <f t="shared" si="111"/>
        <v>0</v>
      </c>
      <c r="DI85" s="618">
        <f t="shared" si="112"/>
        <v>0</v>
      </c>
      <c r="DJ85" s="123"/>
    </row>
    <row r="86" spans="1:116" s="13" customFormat="1" ht="69.75" hidden="1" customHeight="1">
      <c r="A86" s="695">
        <f t="shared" si="130"/>
        <v>73</v>
      </c>
      <c r="B86" s="1503" t="s">
        <v>30</v>
      </c>
      <c r="C86" s="806" t="s">
        <v>58</v>
      </c>
      <c r="D86" s="696" t="s">
        <v>187</v>
      </c>
      <c r="E86" s="706">
        <v>4620014875</v>
      </c>
      <c r="F86" s="696" t="s">
        <v>8</v>
      </c>
      <c r="G86" s="805" t="s">
        <v>886</v>
      </c>
      <c r="H86" s="697">
        <v>2495.8000000000002</v>
      </c>
      <c r="I86" s="697">
        <v>2495.8000000000002</v>
      </c>
      <c r="J86" s="697">
        <v>2063.2399999999998</v>
      </c>
      <c r="K86" s="697">
        <v>1815.58</v>
      </c>
      <c r="L86" s="697">
        <v>2495.8000000000002</v>
      </c>
      <c r="M86" s="698">
        <v>0</v>
      </c>
      <c r="N86" s="698">
        <v>2640.47</v>
      </c>
      <c r="O86" s="698">
        <v>2640.47</v>
      </c>
      <c r="P86" s="698">
        <v>2197.35</v>
      </c>
      <c r="Q86" s="698">
        <v>1933.59</v>
      </c>
      <c r="R86" s="698">
        <v>2640.47</v>
      </c>
      <c r="S86" s="698">
        <v>0</v>
      </c>
      <c r="T86" s="699">
        <v>7557.3</v>
      </c>
      <c r="U86" s="699">
        <v>10371.5</v>
      </c>
      <c r="V86" s="700">
        <v>452.3</v>
      </c>
      <c r="W86" s="700">
        <v>707.17</v>
      </c>
      <c r="X86" s="699">
        <v>0</v>
      </c>
      <c r="Y86" s="699">
        <v>0</v>
      </c>
      <c r="Z86" s="99">
        <f>SUM(T86:W86)</f>
        <v>19088.269999999997</v>
      </c>
      <c r="AA86" s="699">
        <v>5106.5600000000004</v>
      </c>
      <c r="AB86" s="699">
        <v>6456.01</v>
      </c>
      <c r="AC86" s="700">
        <v>253.53</v>
      </c>
      <c r="AD86" s="700">
        <v>301.64</v>
      </c>
      <c r="AE86" s="699">
        <v>0</v>
      </c>
      <c r="AF86" s="699">
        <v>0</v>
      </c>
      <c r="AG86" s="99">
        <f>SUM(AA86:AD86)</f>
        <v>12117.74</v>
      </c>
      <c r="AH86" s="99">
        <f>Z86+AG86</f>
        <v>31206.009999999995</v>
      </c>
      <c r="AI86" s="18">
        <f>T86+AA86</f>
        <v>12663.86</v>
      </c>
      <c r="AJ86" s="18">
        <f t="shared" si="134"/>
        <v>16827.510000000002</v>
      </c>
      <c r="AK86" s="18">
        <f t="shared" si="134"/>
        <v>705.83</v>
      </c>
      <c r="AL86" s="18">
        <f t="shared" si="134"/>
        <v>1008.81</v>
      </c>
      <c r="AM86" s="18">
        <f t="shared" si="133"/>
        <v>0</v>
      </c>
      <c r="AN86" s="18">
        <v>0</v>
      </c>
      <c r="AO86" s="18">
        <f>SUM(AI86:AN86)</f>
        <v>31206.010000000006</v>
      </c>
      <c r="AP86" s="18">
        <f>SUM(AI86:AM86)</f>
        <v>31206.010000000006</v>
      </c>
      <c r="AQ86" s="12">
        <f>SUM(AI86:AL86)</f>
        <v>31206.010000000006</v>
      </c>
      <c r="AR86" s="99">
        <f t="shared" si="114"/>
        <v>0</v>
      </c>
      <c r="AS86" s="18">
        <f t="shared" si="87"/>
        <v>31606461.788000003</v>
      </c>
      <c r="AT86" s="18">
        <f t="shared" si="87"/>
        <v>34719191.7324</v>
      </c>
      <c r="AU86" s="18">
        <f t="shared" si="87"/>
        <v>1281490.8314</v>
      </c>
      <c r="AV86" s="12">
        <f t="shared" si="87"/>
        <v>2517787.9980000001</v>
      </c>
      <c r="AW86" s="12">
        <f t="shared" si="87"/>
        <v>0</v>
      </c>
      <c r="AX86" s="18">
        <f t="shared" si="115"/>
        <v>70124932.349800006</v>
      </c>
      <c r="AY86" s="18">
        <f t="shared" si="116"/>
        <v>70124932.349800006</v>
      </c>
      <c r="AZ86" s="18">
        <f t="shared" si="88"/>
        <v>33438542.4142</v>
      </c>
      <c r="BA86" s="18">
        <f t="shared" si="88"/>
        <v>36975929.098500006</v>
      </c>
      <c r="BB86" s="18">
        <f t="shared" si="88"/>
        <v>1364785.8297000001</v>
      </c>
      <c r="BC86" s="18">
        <f t="shared" si="88"/>
        <v>2663732.5406999998</v>
      </c>
      <c r="BD86" s="18">
        <f t="shared" si="88"/>
        <v>0</v>
      </c>
      <c r="BE86" s="18">
        <f t="shared" si="117"/>
        <v>74442989.883100003</v>
      </c>
      <c r="BF86" s="18">
        <f t="shared" si="118"/>
        <v>74442989.883100003</v>
      </c>
      <c r="BG86" s="44">
        <v>4793.9949999999999</v>
      </c>
      <c r="BH86" s="165">
        <v>3039.9850000000001</v>
      </c>
      <c r="BI86" s="165">
        <f>BG86+BH86</f>
        <v>7833.98</v>
      </c>
      <c r="BJ86" s="771">
        <v>79637.071273420239</v>
      </c>
      <c r="BK86" s="771">
        <v>98873.883759999997</v>
      </c>
      <c r="BL86" s="18">
        <f>I86*T86</f>
        <v>18861509.340000004</v>
      </c>
      <c r="BM86" s="18">
        <f t="shared" si="89"/>
        <v>21398893.659999996</v>
      </c>
      <c r="BN86" s="18">
        <f t="shared" si="89"/>
        <v>821186.83400000003</v>
      </c>
      <c r="BO86" s="18">
        <f t="shared" si="89"/>
        <v>1764954.8859999999</v>
      </c>
      <c r="BP86" s="18">
        <f t="shared" si="89"/>
        <v>0</v>
      </c>
      <c r="BQ86" s="18">
        <f t="shared" si="119"/>
        <v>42846544.719999999</v>
      </c>
      <c r="BR86" s="18">
        <f t="shared" si="120"/>
        <v>42846544.719999999</v>
      </c>
      <c r="BS86" s="18">
        <f t="shared" si="90"/>
        <v>13483718.483200001</v>
      </c>
      <c r="BT86" s="18">
        <f t="shared" si="90"/>
        <v>14186113.5735</v>
      </c>
      <c r="BU86" s="18">
        <f t="shared" si="90"/>
        <v>490223.07269999996</v>
      </c>
      <c r="BV86" s="18">
        <f t="shared" si="93"/>
        <v>1867261.1698999999</v>
      </c>
      <c r="BW86" s="18">
        <f t="shared" si="94"/>
        <v>0</v>
      </c>
      <c r="BX86" s="18">
        <f t="shared" si="121"/>
        <v>30027316.2993</v>
      </c>
      <c r="BY86" s="18">
        <f t="shared" si="122"/>
        <v>30027316.2993</v>
      </c>
      <c r="BZ86" s="161">
        <f t="shared" si="91"/>
        <v>35585007.233499996</v>
      </c>
      <c r="CA86" s="161">
        <f t="shared" si="91"/>
        <v>1311409.9066999999</v>
      </c>
      <c r="CB86" s="161">
        <f t="shared" si="123"/>
        <v>36896417.140199997</v>
      </c>
      <c r="CC86" s="162">
        <f t="shared" si="92"/>
        <v>2114.6923836919423</v>
      </c>
      <c r="CD86" s="162">
        <f t="shared" si="92"/>
        <v>1857.968500488786</v>
      </c>
      <c r="CE86" s="162">
        <f t="shared" si="124"/>
        <v>2104.357591890649</v>
      </c>
      <c r="CF86" s="162">
        <f t="shared" si="95"/>
        <v>2104.3575918906495</v>
      </c>
      <c r="CG86" s="651">
        <f t="shared" si="96"/>
        <v>44730379.123799995</v>
      </c>
      <c r="CH86" s="652">
        <f t="shared" si="125"/>
        <v>2551.1613374177414</v>
      </c>
      <c r="CJ86" s="18">
        <f t="shared" si="97"/>
        <v>47640.504265999996</v>
      </c>
      <c r="CK86" s="18">
        <f t="shared" si="98"/>
        <v>31996.528937799998</v>
      </c>
      <c r="CL86" s="18">
        <f t="shared" si="84"/>
        <v>79637.033203799991</v>
      </c>
      <c r="CM86" s="18">
        <f t="shared" si="99"/>
        <v>79637033.203799993</v>
      </c>
      <c r="CN86" s="18">
        <f t="shared" si="100"/>
        <v>70124932.349800006</v>
      </c>
      <c r="CO86" s="18">
        <f t="shared" si="101"/>
        <v>70299738.207599998</v>
      </c>
      <c r="CP86" s="18">
        <f t="shared" si="102"/>
        <v>42846544.719999999</v>
      </c>
      <c r="CQ86" s="18">
        <f t="shared" si="103"/>
        <v>74442989.883100003</v>
      </c>
      <c r="CR86" s="18">
        <f t="shared" si="104"/>
        <v>74629159.6039</v>
      </c>
      <c r="CS86" s="18">
        <f t="shared" si="105"/>
        <v>28956526.5002</v>
      </c>
      <c r="CT86" s="18">
        <f t="shared" si="126"/>
        <v>144567922.23290002</v>
      </c>
      <c r="CU86" s="29">
        <f t="shared" si="127"/>
        <v>4632694.8633580534</v>
      </c>
      <c r="CV86" s="18">
        <f t="shared" si="106"/>
        <v>36000682.5638</v>
      </c>
      <c r="CW86" s="18">
        <f t="shared" si="107"/>
        <v>38340714.928200006</v>
      </c>
      <c r="CX86" s="18">
        <f t="shared" si="128"/>
        <v>74341397.492000014</v>
      </c>
      <c r="CY86" s="18">
        <f t="shared" si="108"/>
        <v>77883959.758000016</v>
      </c>
      <c r="CZ86" s="18">
        <f t="shared" si="109"/>
        <v>82398533.224700004</v>
      </c>
      <c r="DB86" s="653">
        <f t="shared" si="129"/>
        <v>127.97687132858999</v>
      </c>
      <c r="DG86" s="701">
        <f t="shared" si="110"/>
        <v>0</v>
      </c>
      <c r="DH86" s="701">
        <f t="shared" si="111"/>
        <v>0</v>
      </c>
      <c r="DI86" s="701">
        <f t="shared" si="112"/>
        <v>0</v>
      </c>
    </row>
    <row r="87" spans="1:116" s="13" customFormat="1" ht="63.75" hidden="1" customHeight="1">
      <c r="A87" s="695">
        <f t="shared" si="130"/>
        <v>74</v>
      </c>
      <c r="B87" s="1503"/>
      <c r="C87" s="1502" t="s">
        <v>260</v>
      </c>
      <c r="D87" s="805" t="s">
        <v>31</v>
      </c>
      <c r="E87" s="706">
        <v>4620001192</v>
      </c>
      <c r="F87" s="696" t="s">
        <v>8</v>
      </c>
      <c r="G87" s="805" t="s">
        <v>889</v>
      </c>
      <c r="H87" s="697">
        <v>1604.82</v>
      </c>
      <c r="I87" s="697">
        <v>1604.82</v>
      </c>
      <c r="J87" s="697">
        <v>1604.82</v>
      </c>
      <c r="K87" s="697">
        <v>1604.82</v>
      </c>
      <c r="L87" s="697">
        <v>1604.82</v>
      </c>
      <c r="M87" s="714">
        <v>0</v>
      </c>
      <c r="N87" s="716">
        <v>1708.49</v>
      </c>
      <c r="O87" s="716">
        <v>1708.49</v>
      </c>
      <c r="P87" s="716">
        <v>1708.49</v>
      </c>
      <c r="Q87" s="716">
        <v>1708.49</v>
      </c>
      <c r="R87" s="716">
        <v>1708.49</v>
      </c>
      <c r="S87" s="714">
        <v>0</v>
      </c>
      <c r="T87" s="18">
        <v>758.3</v>
      </c>
      <c r="U87" s="746">
        <v>4974.8999999999996</v>
      </c>
      <c r="V87" s="747">
        <v>1084.92</v>
      </c>
      <c r="W87" s="18">
        <v>324.35000000000002</v>
      </c>
      <c r="X87" s="18"/>
      <c r="Y87" s="746">
        <v>13137.45</v>
      </c>
      <c r="Z87" s="99">
        <f t="shared" si="131"/>
        <v>7142.47</v>
      </c>
      <c r="AA87" s="18">
        <v>574.48</v>
      </c>
      <c r="AB87" s="746">
        <v>3731.17</v>
      </c>
      <c r="AC87" s="746">
        <v>1084.92</v>
      </c>
      <c r="AD87" s="18">
        <v>244.42</v>
      </c>
      <c r="AE87" s="18"/>
      <c r="AF87" s="746">
        <v>11607.2</v>
      </c>
      <c r="AG87" s="99">
        <f t="shared" si="132"/>
        <v>5634.99</v>
      </c>
      <c r="AH87" s="99">
        <f t="shared" si="113"/>
        <v>12777.46</v>
      </c>
      <c r="AI87" s="18">
        <f t="shared" si="134"/>
        <v>1332.78</v>
      </c>
      <c r="AJ87" s="18">
        <f t="shared" si="134"/>
        <v>8706.07</v>
      </c>
      <c r="AK87" s="18">
        <f t="shared" si="134"/>
        <v>2169.84</v>
      </c>
      <c r="AL87" s="18">
        <f t="shared" si="134"/>
        <v>568.77</v>
      </c>
      <c r="AM87" s="18">
        <f t="shared" si="133"/>
        <v>0</v>
      </c>
      <c r="AN87" s="18"/>
      <c r="AO87" s="18">
        <f t="shared" si="85"/>
        <v>12777.460000000001</v>
      </c>
      <c r="AP87" s="18">
        <f t="shared" si="86"/>
        <v>12777.460000000001</v>
      </c>
      <c r="AQ87" s="18">
        <f t="shared" si="81"/>
        <v>12777.460000000001</v>
      </c>
      <c r="AR87" s="99">
        <f t="shared" si="114"/>
        <v>0</v>
      </c>
      <c r="AS87" s="18">
        <f t="shared" si="87"/>
        <v>2138871.9995999997</v>
      </c>
      <c r="AT87" s="18">
        <f t="shared" si="87"/>
        <v>13971675.257399999</v>
      </c>
      <c r="AU87" s="18">
        <f t="shared" si="87"/>
        <v>3482202.6288000001</v>
      </c>
      <c r="AV87" s="18">
        <f t="shared" si="87"/>
        <v>912773.47139999992</v>
      </c>
      <c r="AW87" s="18">
        <f t="shared" si="87"/>
        <v>0</v>
      </c>
      <c r="AX87" s="18">
        <f t="shared" si="115"/>
        <v>20505523.3572</v>
      </c>
      <c r="AY87" s="18">
        <f t="shared" si="116"/>
        <v>20505523.3572</v>
      </c>
      <c r="AZ87" s="18">
        <f t="shared" si="88"/>
        <v>2277041.3021999998</v>
      </c>
      <c r="BA87" s="18">
        <f t="shared" si="88"/>
        <v>14874233.534299999</v>
      </c>
      <c r="BB87" s="18">
        <f t="shared" si="88"/>
        <v>3707149.9416000005</v>
      </c>
      <c r="BC87" s="18">
        <f t="shared" si="88"/>
        <v>971737.85729999992</v>
      </c>
      <c r="BD87" s="18">
        <f t="shared" si="88"/>
        <v>0</v>
      </c>
      <c r="BE87" s="18">
        <f t="shared" si="117"/>
        <v>21830162.635399997</v>
      </c>
      <c r="BF87" s="18">
        <f t="shared" si="118"/>
        <v>21830162.635399997</v>
      </c>
      <c r="BG87" s="18"/>
      <c r="BH87" s="18"/>
      <c r="BI87" s="18">
        <f t="shared" si="80"/>
        <v>0</v>
      </c>
      <c r="BJ87" s="18">
        <v>51669.79</v>
      </c>
      <c r="BK87" s="18">
        <v>68064.02</v>
      </c>
      <c r="BL87" s="18">
        <f t="shared" si="89"/>
        <v>1216935.0059999998</v>
      </c>
      <c r="BM87" s="18">
        <f>J87*U87</f>
        <v>7983819.0179999992</v>
      </c>
      <c r="BN87" s="18">
        <f>K87*V87</f>
        <v>1741101.3144</v>
      </c>
      <c r="BO87" s="18">
        <f>L87*W87</f>
        <v>520523.36700000003</v>
      </c>
      <c r="BP87" s="18">
        <f t="shared" si="89"/>
        <v>0</v>
      </c>
      <c r="BQ87" s="18">
        <f>BL87+BM87+BN87+BO87+BP87</f>
        <v>11462378.705399999</v>
      </c>
      <c r="BR87" s="18">
        <f>BQ87-BP87</f>
        <v>11462378.705399999</v>
      </c>
      <c r="BS87" s="18">
        <f t="shared" si="90"/>
        <v>981493.33520000009</v>
      </c>
      <c r="BT87" s="18">
        <f t="shared" si="90"/>
        <v>6374666.6332999999</v>
      </c>
      <c r="BU87" s="18">
        <f t="shared" si="90"/>
        <v>1853574.9708000002</v>
      </c>
      <c r="BV87" s="18">
        <f t="shared" si="93"/>
        <v>554148.73149999999</v>
      </c>
      <c r="BW87" s="18">
        <f t="shared" si="94"/>
        <v>0</v>
      </c>
      <c r="BX87" s="18">
        <f t="shared" si="121"/>
        <v>9763883.6708000004</v>
      </c>
      <c r="BY87" s="18">
        <f t="shared" si="122"/>
        <v>9763883.6708000004</v>
      </c>
      <c r="BZ87" s="161">
        <f t="shared" si="91"/>
        <v>14358485.651299998</v>
      </c>
      <c r="CA87" s="161">
        <f t="shared" si="91"/>
        <v>3594676.2852000003</v>
      </c>
      <c r="CB87" s="161">
        <f t="shared" si="123"/>
        <v>17953161.936499998</v>
      </c>
      <c r="CC87" s="162">
        <f t="shared" si="92"/>
        <v>1649.2499659777602</v>
      </c>
      <c r="CD87" s="162">
        <f t="shared" si="92"/>
        <v>1656.655</v>
      </c>
      <c r="CE87" s="162">
        <f t="shared" si="124"/>
        <v>1650.7273355976647</v>
      </c>
      <c r="CF87" s="162">
        <f t="shared" si="95"/>
        <v>1650.7273355976647</v>
      </c>
      <c r="CG87" s="651">
        <f t="shared" si="96"/>
        <v>17953161.936499998</v>
      </c>
      <c r="CH87" s="652">
        <f t="shared" si="125"/>
        <v>1650.7273355976647</v>
      </c>
      <c r="CJ87" s="18">
        <f t="shared" si="97"/>
        <v>11462.378705399999</v>
      </c>
      <c r="CK87" s="18">
        <f t="shared" si="98"/>
        <v>9627.3240650999996</v>
      </c>
      <c r="CL87" s="18">
        <f t="shared" si="84"/>
        <v>21089.7027705</v>
      </c>
      <c r="CM87" s="18">
        <f t="shared" si="99"/>
        <v>21089702.770499997</v>
      </c>
      <c r="CN87" s="18">
        <f t="shared" si="100"/>
        <v>20505523.3572</v>
      </c>
      <c r="CO87" s="18">
        <f t="shared" si="101"/>
        <v>20505523.3572</v>
      </c>
      <c r="CP87" s="18">
        <f t="shared" si="102"/>
        <v>11462378.705399999</v>
      </c>
      <c r="CQ87" s="18">
        <f t="shared" si="103"/>
        <v>21830162.635399997</v>
      </c>
      <c r="CR87" s="18">
        <f t="shared" si="104"/>
        <v>21830162.635399997</v>
      </c>
      <c r="CS87" s="18">
        <f t="shared" si="105"/>
        <v>9627324.0651000012</v>
      </c>
      <c r="CT87" s="18">
        <f t="shared" si="126"/>
        <v>42335685.992599994</v>
      </c>
      <c r="CU87" s="29">
        <f t="shared" si="127"/>
        <v>3313310</v>
      </c>
      <c r="CV87" s="18">
        <f t="shared" si="106"/>
        <v>17453877.8862</v>
      </c>
      <c r="CW87" s="18">
        <f t="shared" si="107"/>
        <v>18581383.475900002</v>
      </c>
      <c r="CX87" s="18">
        <f t="shared" si="128"/>
        <v>36035261.362100005</v>
      </c>
      <c r="CY87" s="18">
        <f t="shared" si="108"/>
        <v>20505523.3572</v>
      </c>
      <c r="CZ87" s="18">
        <f t="shared" si="109"/>
        <v>21830162.635399997</v>
      </c>
      <c r="DB87" s="653">
        <f t="shared" si="129"/>
        <v>106.45991450754602</v>
      </c>
      <c r="DG87" s="701">
        <f t="shared" si="110"/>
        <v>0</v>
      </c>
      <c r="DH87" s="701">
        <f t="shared" si="111"/>
        <v>0</v>
      </c>
      <c r="DI87" s="701">
        <f t="shared" si="112"/>
        <v>0</v>
      </c>
    </row>
    <row r="88" spans="1:116" s="153" customFormat="1" ht="70.5" customHeight="1">
      <c r="A88" s="20">
        <f t="shared" si="130"/>
        <v>75</v>
      </c>
      <c r="B88" s="1571"/>
      <c r="C88" s="1572"/>
      <c r="D88" s="748" t="s">
        <v>141</v>
      </c>
      <c r="E88" s="617">
        <v>4632024035</v>
      </c>
      <c r="F88" s="672" t="s">
        <v>8</v>
      </c>
      <c r="G88" s="751" t="s">
        <v>890</v>
      </c>
      <c r="H88" s="816">
        <f>2653.36*1.2</f>
        <v>3184.0320000000002</v>
      </c>
      <c r="I88" s="816">
        <f>2653.36*1.2</f>
        <v>3184.0320000000002</v>
      </c>
      <c r="J88" s="38">
        <v>2732.57</v>
      </c>
      <c r="K88" s="38"/>
      <c r="L88" s="816">
        <f>2653.36*1.2</f>
        <v>3184.0320000000002</v>
      </c>
      <c r="M88" s="622"/>
      <c r="N88" s="622">
        <f>2749.3*1.2</f>
        <v>3299.1600000000003</v>
      </c>
      <c r="O88" s="622">
        <f>2749.3*1.2</f>
        <v>3299.1600000000003</v>
      </c>
      <c r="P88" s="38">
        <v>2896.52</v>
      </c>
      <c r="Q88" s="622"/>
      <c r="R88" s="622">
        <f>2749.3*1.2</f>
        <v>3299.1600000000003</v>
      </c>
      <c r="S88" s="622"/>
      <c r="T88" s="178">
        <v>896.84</v>
      </c>
      <c r="U88" s="16">
        <v>63.660000000000004</v>
      </c>
      <c r="V88" s="227"/>
      <c r="W88" s="16"/>
      <c r="X88" s="16"/>
      <c r="Y88" s="16"/>
      <c r="Z88" s="178">
        <f t="shared" si="131"/>
        <v>960.5</v>
      </c>
      <c r="AA88" s="178">
        <v>572.14499999999998</v>
      </c>
      <c r="AB88" s="16">
        <v>47.76</v>
      </c>
      <c r="AC88" s="227"/>
      <c r="AD88" s="16"/>
      <c r="AE88" s="16"/>
      <c r="AF88" s="16"/>
      <c r="AG88" s="178">
        <f t="shared" si="132"/>
        <v>619.90499999999997</v>
      </c>
      <c r="AH88" s="178">
        <f t="shared" si="113"/>
        <v>1580.405</v>
      </c>
      <c r="AI88" s="16">
        <f t="shared" si="134"/>
        <v>1468.9850000000001</v>
      </c>
      <c r="AJ88" s="16">
        <f t="shared" si="134"/>
        <v>111.42</v>
      </c>
      <c r="AK88" s="16">
        <f t="shared" si="134"/>
        <v>0</v>
      </c>
      <c r="AL88" s="16">
        <f t="shared" si="134"/>
        <v>0</v>
      </c>
      <c r="AM88" s="16">
        <f t="shared" si="133"/>
        <v>0</v>
      </c>
      <c r="AN88" s="16"/>
      <c r="AO88" s="16">
        <f t="shared" si="85"/>
        <v>1580.4050000000002</v>
      </c>
      <c r="AP88" s="16">
        <f t="shared" si="86"/>
        <v>1580.4050000000002</v>
      </c>
      <c r="AQ88" s="16">
        <f t="shared" si="81"/>
        <v>1580.4050000000002</v>
      </c>
      <c r="AR88" s="127">
        <f t="shared" si="114"/>
        <v>0</v>
      </c>
      <c r="AS88" s="112">
        <f t="shared" si="87"/>
        <v>4677295.2475200007</v>
      </c>
      <c r="AT88" s="112">
        <f t="shared" si="87"/>
        <v>304462.94940000004</v>
      </c>
      <c r="AU88" s="112">
        <f t="shared" si="87"/>
        <v>0</v>
      </c>
      <c r="AV88" s="112">
        <f t="shared" si="87"/>
        <v>0</v>
      </c>
      <c r="AW88" s="112">
        <f t="shared" si="87"/>
        <v>0</v>
      </c>
      <c r="AX88" s="112">
        <f t="shared" si="115"/>
        <v>4981758.1969200009</v>
      </c>
      <c r="AY88" s="112">
        <f t="shared" si="116"/>
        <v>4981758.1969200009</v>
      </c>
      <c r="AZ88" s="112">
        <f t="shared" si="88"/>
        <v>4846416.552600001</v>
      </c>
      <c r="BA88" s="112">
        <f t="shared" si="88"/>
        <v>322730.25839999999</v>
      </c>
      <c r="BB88" s="112">
        <f t="shared" si="88"/>
        <v>0</v>
      </c>
      <c r="BC88" s="112">
        <f t="shared" si="88"/>
        <v>0</v>
      </c>
      <c r="BD88" s="112">
        <f t="shared" si="88"/>
        <v>0</v>
      </c>
      <c r="BE88" s="112">
        <f t="shared" si="117"/>
        <v>5169146.8110000007</v>
      </c>
      <c r="BF88" s="112">
        <f t="shared" si="118"/>
        <v>5169146.8110000007</v>
      </c>
      <c r="BG88" s="632">
        <f>(I88-J88)/1.2*U88/1000</f>
        <v>23.950059100000001</v>
      </c>
      <c r="BH88" s="673">
        <f>(O88-P88)/1.2*AB88/1000</f>
        <v>16.025072000000016</v>
      </c>
      <c r="BI88" s="632">
        <f t="shared" si="80"/>
        <v>39.975131100000013</v>
      </c>
      <c r="BJ88" s="674"/>
      <c r="BK88" s="674"/>
      <c r="BL88" s="126">
        <f t="shared" si="89"/>
        <v>2855567.2588800001</v>
      </c>
      <c r="BM88" s="126">
        <f t="shared" si="89"/>
        <v>173955.40620000003</v>
      </c>
      <c r="BN88" s="126">
        <f t="shared" si="89"/>
        <v>0</v>
      </c>
      <c r="BO88" s="126">
        <f t="shared" si="89"/>
        <v>0</v>
      </c>
      <c r="BP88" s="126">
        <f t="shared" si="89"/>
        <v>0</v>
      </c>
      <c r="BQ88" s="126">
        <f t="shared" si="119"/>
        <v>3029522.6650800002</v>
      </c>
      <c r="BR88" s="126">
        <f t="shared" si="120"/>
        <v>3029522.6650800002</v>
      </c>
      <c r="BS88" s="126">
        <f t="shared" si="90"/>
        <v>1887597.8982000002</v>
      </c>
      <c r="BT88" s="126">
        <f t="shared" si="90"/>
        <v>138337.79519999999</v>
      </c>
      <c r="BU88" s="126">
        <f t="shared" si="90"/>
        <v>0</v>
      </c>
      <c r="BV88" s="126">
        <f t="shared" si="93"/>
        <v>0</v>
      </c>
      <c r="BW88" s="126">
        <f t="shared" si="94"/>
        <v>0</v>
      </c>
      <c r="BX88" s="126">
        <f t="shared" si="121"/>
        <v>2025935.6934000002</v>
      </c>
      <c r="BY88" s="126">
        <f t="shared" si="122"/>
        <v>2025935.6934000002</v>
      </c>
      <c r="BZ88" s="675">
        <f t="shared" si="91"/>
        <v>312293.20140000002</v>
      </c>
      <c r="CA88" s="675">
        <f t="shared" si="91"/>
        <v>0</v>
      </c>
      <c r="CB88" s="675">
        <f t="shared" si="123"/>
        <v>312293.20140000002</v>
      </c>
      <c r="CC88" s="676">
        <f t="shared" si="92"/>
        <v>2802.8468982229406</v>
      </c>
      <c r="CD88" s="676" t="e">
        <f t="shared" si="92"/>
        <v>#DIV/0!</v>
      </c>
      <c r="CE88" s="676">
        <f t="shared" si="124"/>
        <v>2802.8468982229406</v>
      </c>
      <c r="CF88" s="676">
        <f t="shared" si="95"/>
        <v>2802.8468982229406</v>
      </c>
      <c r="CG88" s="677">
        <f t="shared" si="96"/>
        <v>360263.35872000002</v>
      </c>
      <c r="CH88" s="678">
        <f t="shared" si="125"/>
        <v>3233.3814281098548</v>
      </c>
      <c r="CI88" s="625"/>
      <c r="CJ88" s="208">
        <f t="shared" si="97"/>
        <v>3058.2627360000001</v>
      </c>
      <c r="CK88" s="208">
        <f t="shared" si="98"/>
        <v>2045.1657798000001</v>
      </c>
      <c r="CL88" s="208">
        <f>CJ88+CK88</f>
        <v>5103.4285158000002</v>
      </c>
      <c r="CM88" s="126">
        <f t="shared" si="99"/>
        <v>5103428.5158000002</v>
      </c>
      <c r="CN88" s="126">
        <f t="shared" si="100"/>
        <v>4981758.1969200009</v>
      </c>
      <c r="CO88" s="126">
        <f t="shared" si="101"/>
        <v>4981758.1969200009</v>
      </c>
      <c r="CP88" s="126">
        <f t="shared" si="102"/>
        <v>3029522.6650800002</v>
      </c>
      <c r="CQ88" s="126">
        <f t="shared" si="103"/>
        <v>5169146.8110000007</v>
      </c>
      <c r="CR88" s="126">
        <f t="shared" si="104"/>
        <v>5169146.8110000007</v>
      </c>
      <c r="CS88" s="126">
        <f t="shared" si="105"/>
        <v>2025935.6934000002</v>
      </c>
      <c r="CT88" s="126">
        <f t="shared" si="126"/>
        <v>10150905.007920001</v>
      </c>
      <c r="CU88" s="679">
        <f t="shared" si="127"/>
        <v>6422977.0267241625</v>
      </c>
      <c r="CV88" s="126">
        <f t="shared" si="106"/>
        <v>304462.94940000004</v>
      </c>
      <c r="CW88" s="126">
        <f t="shared" si="107"/>
        <v>322730.25839999999</v>
      </c>
      <c r="CX88" s="126">
        <f t="shared" si="128"/>
        <v>627193.20779999997</v>
      </c>
      <c r="CY88" s="126">
        <f t="shared" si="108"/>
        <v>5032060.092960001</v>
      </c>
      <c r="CZ88" s="126">
        <f t="shared" si="109"/>
        <v>5214008.9598000012</v>
      </c>
      <c r="DA88" s="625"/>
      <c r="DB88" s="680">
        <f t="shared" si="129"/>
        <v>120.73469298133259</v>
      </c>
      <c r="DC88" s="625"/>
      <c r="DD88" s="625"/>
      <c r="DE88" s="625"/>
      <c r="DF88" s="625"/>
      <c r="DG88" s="618">
        <f t="shared" si="110"/>
        <v>0</v>
      </c>
      <c r="DH88" s="618">
        <f t="shared" si="111"/>
        <v>0</v>
      </c>
      <c r="DI88" s="618">
        <f t="shared" si="112"/>
        <v>0</v>
      </c>
      <c r="DJ88" s="152"/>
    </row>
    <row r="89" spans="1:116" s="168" customFormat="1" ht="63.75" hidden="1" customHeight="1">
      <c r="A89" s="695">
        <f t="shared" si="130"/>
        <v>76</v>
      </c>
      <c r="B89" s="1503"/>
      <c r="C89" s="713" t="s">
        <v>59</v>
      </c>
      <c r="D89" s="696" t="s">
        <v>187</v>
      </c>
      <c r="E89" s="706">
        <v>4620014875</v>
      </c>
      <c r="F89" s="696" t="s">
        <v>8</v>
      </c>
      <c r="G89" s="805" t="s">
        <v>886</v>
      </c>
      <c r="H89" s="697">
        <v>3959.58</v>
      </c>
      <c r="I89" s="697">
        <v>3959.58</v>
      </c>
      <c r="J89" s="697">
        <v>3222.73</v>
      </c>
      <c r="K89" s="697">
        <v>0</v>
      </c>
      <c r="L89" s="697">
        <v>3959.58</v>
      </c>
      <c r="M89" s="698">
        <v>0</v>
      </c>
      <c r="N89" s="698">
        <v>4033.01</v>
      </c>
      <c r="O89" s="698">
        <v>4033.01</v>
      </c>
      <c r="P89" s="698">
        <v>3367.75</v>
      </c>
      <c r="Q89" s="698">
        <v>0</v>
      </c>
      <c r="R89" s="698">
        <v>4033.01</v>
      </c>
      <c r="S89" s="698">
        <v>0</v>
      </c>
      <c r="T89" s="44">
        <v>280.97000000000003</v>
      </c>
      <c r="U89" s="703">
        <v>196</v>
      </c>
      <c r="V89" s="12">
        <v>0</v>
      </c>
      <c r="W89" s="744">
        <v>7.35</v>
      </c>
      <c r="X89" s="12">
        <v>0</v>
      </c>
      <c r="Y89" s="12">
        <v>0</v>
      </c>
      <c r="Z89" s="99">
        <f>SUM(T89:W89)</f>
        <v>484.32000000000005</v>
      </c>
      <c r="AA89" s="44">
        <v>212.75</v>
      </c>
      <c r="AB89" s="703">
        <v>147</v>
      </c>
      <c r="AC89" s="12">
        <v>0</v>
      </c>
      <c r="AD89" s="12">
        <v>5.88</v>
      </c>
      <c r="AE89" s="12">
        <v>0</v>
      </c>
      <c r="AF89" s="12">
        <v>0</v>
      </c>
      <c r="AG89" s="99">
        <f>SUM(AA89:AD89)</f>
        <v>365.63</v>
      </c>
      <c r="AH89" s="99">
        <f>Z89+AG89</f>
        <v>849.95</v>
      </c>
      <c r="AI89" s="99">
        <f>T89+AA89</f>
        <v>493.72</v>
      </c>
      <c r="AJ89" s="702">
        <f t="shared" si="134"/>
        <v>343</v>
      </c>
      <c r="AK89" s="18">
        <f t="shared" si="134"/>
        <v>0</v>
      </c>
      <c r="AL89" s="18">
        <f t="shared" si="134"/>
        <v>13.23</v>
      </c>
      <c r="AM89" s="18">
        <f t="shared" si="133"/>
        <v>0</v>
      </c>
      <c r="AN89" s="18">
        <v>0</v>
      </c>
      <c r="AO89" s="99">
        <f>SUM(AI89:AN89)</f>
        <v>849.95</v>
      </c>
      <c r="AP89" s="99">
        <f>SUM(AI89:AM89)</f>
        <v>849.95</v>
      </c>
      <c r="AQ89" s="18">
        <f t="shared" si="81"/>
        <v>849.95</v>
      </c>
      <c r="AR89" s="99">
        <f t="shared" si="114"/>
        <v>0</v>
      </c>
      <c r="AS89" s="18"/>
      <c r="AT89" s="18">
        <f t="shared" si="87"/>
        <v>1105396.3899999999</v>
      </c>
      <c r="AU89" s="18">
        <f t="shared" si="87"/>
        <v>0</v>
      </c>
      <c r="AV89" s="18"/>
      <c r="AW89" s="18"/>
      <c r="AX89" s="18"/>
      <c r="AY89" s="18"/>
      <c r="AZ89" s="18">
        <f t="shared" si="88"/>
        <v>1991177.6972000003</v>
      </c>
      <c r="BA89" s="18">
        <f t="shared" si="88"/>
        <v>1155138.25</v>
      </c>
      <c r="BB89" s="18">
        <f t="shared" si="88"/>
        <v>0</v>
      </c>
      <c r="BC89" s="18"/>
      <c r="BD89" s="18"/>
      <c r="BE89" s="18"/>
      <c r="BF89" s="18"/>
      <c r="BG89" s="166">
        <v>144.422</v>
      </c>
      <c r="BH89" s="167">
        <v>97.792000000000002</v>
      </c>
      <c r="BI89" s="12">
        <f t="shared" si="80"/>
        <v>242.214</v>
      </c>
      <c r="BJ89" s="744">
        <v>3392.2905801294901</v>
      </c>
      <c r="BK89" s="744">
        <v>4167.9199599999993</v>
      </c>
      <c r="BL89" s="18">
        <f>I89*T89</f>
        <v>1112523.1926000002</v>
      </c>
      <c r="BM89" s="18">
        <f>J89*U89</f>
        <v>631655.07999999996</v>
      </c>
      <c r="BN89" s="18">
        <f t="shared" si="89"/>
        <v>0</v>
      </c>
      <c r="BO89" s="18">
        <f>L89*W89</f>
        <v>29102.912999999997</v>
      </c>
      <c r="BP89" s="18">
        <f t="shared" si="89"/>
        <v>0</v>
      </c>
      <c r="BQ89" s="18">
        <f>BL89+BM89+BN89+BO89+BP89</f>
        <v>1773281.1856000002</v>
      </c>
      <c r="BR89" s="18">
        <f>BQ89-BP89</f>
        <v>1773281.1856000002</v>
      </c>
      <c r="BS89" s="18">
        <f>O89*AA89</f>
        <v>858022.87750000006</v>
      </c>
      <c r="BT89" s="18">
        <f>P89*AB89</f>
        <v>495059.25</v>
      </c>
      <c r="BU89" s="18">
        <f t="shared" si="90"/>
        <v>0</v>
      </c>
      <c r="BV89" s="18">
        <f>R89*W89</f>
        <v>29642.623500000002</v>
      </c>
      <c r="BW89" s="18">
        <f t="shared" si="94"/>
        <v>0</v>
      </c>
      <c r="BX89" s="18">
        <f>BS89+BT89+BU89+BV89+BW89</f>
        <v>1382724.7509999999</v>
      </c>
      <c r="BY89" s="18">
        <f>BX89-BW89</f>
        <v>1382724.7509999999</v>
      </c>
      <c r="BZ89" s="161">
        <f t="shared" si="91"/>
        <v>1126714.33</v>
      </c>
      <c r="CA89" s="161">
        <f t="shared" si="91"/>
        <v>0</v>
      </c>
      <c r="CB89" s="161">
        <f t="shared" si="123"/>
        <v>1126714.33</v>
      </c>
      <c r="CC89" s="162">
        <f t="shared" si="92"/>
        <v>3284.8814285714288</v>
      </c>
      <c r="CD89" s="162" t="e">
        <f t="shared" si="92"/>
        <v>#DIV/0!</v>
      </c>
      <c r="CE89" s="162">
        <f t="shared" si="124"/>
        <v>3284.8814285714288</v>
      </c>
      <c r="CF89" s="162">
        <f t="shared" si="95"/>
        <v>3284.8814285714288</v>
      </c>
      <c r="CG89" s="651">
        <f t="shared" si="96"/>
        <v>1368930.15</v>
      </c>
      <c r="CH89" s="652">
        <f t="shared" si="125"/>
        <v>3991.0499999999997</v>
      </c>
      <c r="CI89" s="681"/>
      <c r="CJ89" s="18">
        <f t="shared" si="97"/>
        <v>1917.7037856000002</v>
      </c>
      <c r="CK89" s="18">
        <f t="shared" si="98"/>
        <v>1474.5894463</v>
      </c>
      <c r="CL89" s="18">
        <f t="shared" si="84"/>
        <v>3392.2932319000001</v>
      </c>
      <c r="CM89" s="18">
        <f t="shared" si="99"/>
        <v>3392293.2319</v>
      </c>
      <c r="CN89" s="18">
        <f t="shared" si="100"/>
        <v>3112705.4709999999</v>
      </c>
      <c r="CO89" s="18">
        <f t="shared" si="101"/>
        <v>3112705.4709999999</v>
      </c>
      <c r="CP89" s="18">
        <f t="shared" si="102"/>
        <v>1773281.1856000002</v>
      </c>
      <c r="CQ89" s="18">
        <f t="shared" si="103"/>
        <v>3199672.6695000003</v>
      </c>
      <c r="CR89" s="18">
        <f t="shared" si="104"/>
        <v>3199672.6695000003</v>
      </c>
      <c r="CS89" s="18">
        <f t="shared" si="105"/>
        <v>1376796.2263</v>
      </c>
      <c r="CT89" s="18">
        <f t="shared" si="126"/>
        <v>6312378.1404999997</v>
      </c>
      <c r="CU89" s="29">
        <f t="shared" si="127"/>
        <v>7426764.0925936811</v>
      </c>
      <c r="CV89" s="18">
        <f t="shared" si="106"/>
        <v>1105396.3899999999</v>
      </c>
      <c r="CW89" s="18">
        <f t="shared" si="107"/>
        <v>1155138.25</v>
      </c>
      <c r="CX89" s="18">
        <f t="shared" si="128"/>
        <v>2260534.6399999997</v>
      </c>
      <c r="CY89" s="18">
        <f t="shared" si="108"/>
        <v>3365445.0209999997</v>
      </c>
      <c r="CZ89" s="18">
        <f t="shared" si="109"/>
        <v>3427856.8495000005</v>
      </c>
      <c r="DA89" s="681"/>
      <c r="DB89" s="653">
        <f t="shared" si="129"/>
        <v>125.14265855346245</v>
      </c>
      <c r="DC89" s="681"/>
      <c r="DD89" s="681"/>
      <c r="DE89" s="681"/>
      <c r="DF89" s="681"/>
      <c r="DG89" s="701">
        <f t="shared" si="110"/>
        <v>0</v>
      </c>
      <c r="DH89" s="701">
        <f t="shared" si="111"/>
        <v>0</v>
      </c>
      <c r="DI89" s="701">
        <f t="shared" si="112"/>
        <v>0</v>
      </c>
    </row>
    <row r="90" spans="1:116" s="32" customFormat="1" ht="69" customHeight="1">
      <c r="A90" s="20">
        <f t="shared" si="130"/>
        <v>77</v>
      </c>
      <c r="B90" s="1504"/>
      <c r="C90" s="803" t="s">
        <v>182</v>
      </c>
      <c r="D90" s="748" t="s">
        <v>141</v>
      </c>
      <c r="E90" s="617">
        <v>4632024035</v>
      </c>
      <c r="F90" s="803" t="s">
        <v>8</v>
      </c>
      <c r="G90" s="751" t="s">
        <v>890</v>
      </c>
      <c r="H90" s="816">
        <f>2653.36*1.2</f>
        <v>3184.0320000000002</v>
      </c>
      <c r="I90" s="816">
        <f>2653.36*1.2</f>
        <v>3184.0320000000002</v>
      </c>
      <c r="J90" s="38"/>
      <c r="K90" s="38"/>
      <c r="L90" s="816">
        <f>2653.36*1.2</f>
        <v>3184.0320000000002</v>
      </c>
      <c r="M90" s="10"/>
      <c r="N90" s="622">
        <f>2749.3*1.2</f>
        <v>3299.1600000000003</v>
      </c>
      <c r="O90" s="622">
        <f>2749.3*1.2</f>
        <v>3299.1600000000003</v>
      </c>
      <c r="P90" s="10"/>
      <c r="Q90" s="10"/>
      <c r="R90" s="622">
        <f>2749.3*1.2</f>
        <v>3299.1600000000003</v>
      </c>
      <c r="S90" s="10"/>
      <c r="T90" s="178">
        <v>191.774</v>
      </c>
      <c r="U90" s="16"/>
      <c r="V90" s="227"/>
      <c r="W90" s="16"/>
      <c r="X90" s="16"/>
      <c r="Y90" s="16"/>
      <c r="Z90" s="35">
        <f t="shared" si="131"/>
        <v>191.774</v>
      </c>
      <c r="AA90" s="178">
        <v>111.36</v>
      </c>
      <c r="AB90" s="16"/>
      <c r="AC90" s="227"/>
      <c r="AD90" s="16"/>
      <c r="AE90" s="16"/>
      <c r="AF90" s="16"/>
      <c r="AG90" s="35">
        <f t="shared" si="132"/>
        <v>111.36</v>
      </c>
      <c r="AH90" s="35">
        <f t="shared" si="113"/>
        <v>303.13400000000001</v>
      </c>
      <c r="AI90" s="15">
        <f t="shared" si="134"/>
        <v>303.13400000000001</v>
      </c>
      <c r="AJ90" s="15">
        <f t="shared" si="134"/>
        <v>0</v>
      </c>
      <c r="AK90" s="15">
        <f t="shared" si="134"/>
        <v>0</v>
      </c>
      <c r="AL90" s="15">
        <f t="shared" si="134"/>
        <v>0</v>
      </c>
      <c r="AM90" s="15">
        <f t="shared" si="133"/>
        <v>0</v>
      </c>
      <c r="AN90" s="15"/>
      <c r="AO90" s="15">
        <f t="shared" si="85"/>
        <v>303.13400000000001</v>
      </c>
      <c r="AP90" s="15">
        <f t="shared" si="86"/>
        <v>303.13400000000001</v>
      </c>
      <c r="AQ90" s="15">
        <f t="shared" si="81"/>
        <v>303.13400000000001</v>
      </c>
      <c r="AR90" s="127">
        <f t="shared" si="114"/>
        <v>0</v>
      </c>
      <c r="AS90" s="112">
        <f t="shared" ref="AS90:AW121" si="135">I90*AI90</f>
        <v>965188.35628800013</v>
      </c>
      <c r="AT90" s="112">
        <f t="shared" si="87"/>
        <v>0</v>
      </c>
      <c r="AU90" s="112">
        <f t="shared" si="87"/>
        <v>0</v>
      </c>
      <c r="AV90" s="112">
        <f t="shared" si="87"/>
        <v>0</v>
      </c>
      <c r="AW90" s="112">
        <f t="shared" si="87"/>
        <v>0</v>
      </c>
      <c r="AX90" s="112">
        <f t="shared" si="115"/>
        <v>965188.35628800013</v>
      </c>
      <c r="AY90" s="112">
        <f t="shared" si="116"/>
        <v>965188.35628800013</v>
      </c>
      <c r="AZ90" s="112">
        <f t="shared" si="88"/>
        <v>1000087.5674400001</v>
      </c>
      <c r="BA90" s="112">
        <f t="shared" si="88"/>
        <v>0</v>
      </c>
      <c r="BB90" s="112">
        <f t="shared" si="88"/>
        <v>0</v>
      </c>
      <c r="BC90" s="112">
        <f t="shared" si="88"/>
        <v>0</v>
      </c>
      <c r="BD90" s="112">
        <f t="shared" si="88"/>
        <v>0</v>
      </c>
      <c r="BE90" s="112">
        <f t="shared" si="117"/>
        <v>1000087.5674400001</v>
      </c>
      <c r="BF90" s="112">
        <f t="shared" si="118"/>
        <v>1000087.5674400001</v>
      </c>
      <c r="BG90" s="169">
        <f>(I90-J90)/1.2*U90/1000</f>
        <v>0</v>
      </c>
      <c r="BH90" s="170">
        <f>(O90-P90)/1.2*AB90/1000</f>
        <v>0</v>
      </c>
      <c r="BI90" s="169">
        <f t="shared" si="80"/>
        <v>0</v>
      </c>
      <c r="BJ90" s="169"/>
      <c r="BK90" s="169"/>
      <c r="BL90" s="112">
        <f t="shared" si="89"/>
        <v>610614.55276800005</v>
      </c>
      <c r="BM90" s="112">
        <f t="shared" si="89"/>
        <v>0</v>
      </c>
      <c r="BN90" s="112">
        <f t="shared" si="89"/>
        <v>0</v>
      </c>
      <c r="BO90" s="112">
        <f t="shared" si="89"/>
        <v>0</v>
      </c>
      <c r="BP90" s="112">
        <f t="shared" si="89"/>
        <v>0</v>
      </c>
      <c r="BQ90" s="112">
        <f t="shared" si="119"/>
        <v>610614.55276800005</v>
      </c>
      <c r="BR90" s="112">
        <f t="shared" si="120"/>
        <v>610614.55276800005</v>
      </c>
      <c r="BS90" s="112">
        <f t="shared" si="90"/>
        <v>367394.45760000002</v>
      </c>
      <c r="BT90" s="112">
        <f t="shared" si="90"/>
        <v>0</v>
      </c>
      <c r="BU90" s="112">
        <f t="shared" si="90"/>
        <v>0</v>
      </c>
      <c r="BV90" s="112">
        <f t="shared" si="93"/>
        <v>0</v>
      </c>
      <c r="BW90" s="112">
        <f t="shared" si="94"/>
        <v>0</v>
      </c>
      <c r="BX90" s="112">
        <f t="shared" si="121"/>
        <v>367394.45760000002</v>
      </c>
      <c r="BY90" s="112">
        <f t="shared" si="122"/>
        <v>367394.45760000002</v>
      </c>
      <c r="BZ90" s="113">
        <f t="shared" si="91"/>
        <v>0</v>
      </c>
      <c r="CA90" s="113">
        <f t="shared" si="91"/>
        <v>0</v>
      </c>
      <c r="CB90" s="113">
        <f t="shared" si="123"/>
        <v>0</v>
      </c>
      <c r="CC90" s="119" t="e">
        <f t="shared" si="92"/>
        <v>#DIV/0!</v>
      </c>
      <c r="CD90" s="119" t="e">
        <f t="shared" si="92"/>
        <v>#DIV/0!</v>
      </c>
      <c r="CE90" s="119" t="e">
        <f t="shared" si="124"/>
        <v>#DIV/0!</v>
      </c>
      <c r="CF90" s="113" t="e">
        <f t="shared" si="95"/>
        <v>#DIV/0!</v>
      </c>
      <c r="CG90" s="619">
        <f t="shared" si="96"/>
        <v>0</v>
      </c>
      <c r="CH90" s="132" t="e">
        <f t="shared" si="125"/>
        <v>#DIV/0!</v>
      </c>
      <c r="CI90" s="625"/>
      <c r="CJ90" s="208">
        <f t="shared" si="97"/>
        <v>610.61455276800007</v>
      </c>
      <c r="CK90" s="208">
        <f t="shared" si="98"/>
        <v>367.39445760000001</v>
      </c>
      <c r="CL90" s="208">
        <f>CJ90+CK90</f>
        <v>978.00901036800008</v>
      </c>
      <c r="CM90" s="112">
        <f t="shared" si="99"/>
        <v>978009.01036800002</v>
      </c>
      <c r="CN90" s="112">
        <f t="shared" si="100"/>
        <v>965188.35628800013</v>
      </c>
      <c r="CO90" s="112">
        <f t="shared" si="101"/>
        <v>965188.35628800013</v>
      </c>
      <c r="CP90" s="112">
        <f t="shared" si="102"/>
        <v>610614.55276800005</v>
      </c>
      <c r="CQ90" s="112">
        <f t="shared" si="103"/>
        <v>1000087.5674400001</v>
      </c>
      <c r="CR90" s="112">
        <f t="shared" si="104"/>
        <v>1000087.5674400001</v>
      </c>
      <c r="CS90" s="112">
        <f t="shared" si="105"/>
        <v>367394.45760000002</v>
      </c>
      <c r="CT90" s="112">
        <f t="shared" si="126"/>
        <v>1965275.9237280004</v>
      </c>
      <c r="CU90" s="124">
        <f t="shared" si="127"/>
        <v>6483192.0000000009</v>
      </c>
      <c r="CV90" s="112">
        <f t="shared" si="106"/>
        <v>0</v>
      </c>
      <c r="CW90" s="112">
        <f t="shared" si="107"/>
        <v>0</v>
      </c>
      <c r="CX90" s="112">
        <f t="shared" si="128"/>
        <v>0</v>
      </c>
      <c r="CY90" s="112">
        <f t="shared" si="108"/>
        <v>965188.35628800013</v>
      </c>
      <c r="CZ90" s="112">
        <f t="shared" si="109"/>
        <v>1000087.5674400001</v>
      </c>
      <c r="DA90" s="625"/>
      <c r="DB90" s="128" t="e">
        <f t="shared" si="129"/>
        <v>#DIV/0!</v>
      </c>
      <c r="DC90" s="625"/>
      <c r="DD90" s="625"/>
      <c r="DE90" s="625"/>
      <c r="DF90" s="625"/>
      <c r="DG90" s="618">
        <f t="shared" si="110"/>
        <v>0</v>
      </c>
      <c r="DH90" s="618">
        <f t="shared" si="111"/>
        <v>0</v>
      </c>
      <c r="DI90" s="618">
        <f t="shared" si="112"/>
        <v>0</v>
      </c>
      <c r="DJ90" s="123"/>
    </row>
    <row r="91" spans="1:116" s="13" customFormat="1" ht="63.75" hidden="1" customHeight="1">
      <c r="A91" s="695">
        <f t="shared" si="130"/>
        <v>78</v>
      </c>
      <c r="B91" s="1502" t="s">
        <v>32</v>
      </c>
      <c r="C91" s="1502" t="s">
        <v>65</v>
      </c>
      <c r="D91" s="696" t="s">
        <v>33</v>
      </c>
      <c r="E91" s="696">
        <v>4621009099</v>
      </c>
      <c r="F91" s="696" t="s">
        <v>8</v>
      </c>
      <c r="G91" s="805" t="s">
        <v>872</v>
      </c>
      <c r="H91" s="697">
        <v>2732.42</v>
      </c>
      <c r="I91" s="697">
        <v>0</v>
      </c>
      <c r="J91" s="697">
        <v>2732.42</v>
      </c>
      <c r="K91" s="697">
        <v>0</v>
      </c>
      <c r="L91" s="697">
        <v>0</v>
      </c>
      <c r="M91" s="698">
        <v>0</v>
      </c>
      <c r="N91" s="698">
        <v>2841.96</v>
      </c>
      <c r="O91" s="698">
        <v>0</v>
      </c>
      <c r="P91" s="698">
        <v>2841.96</v>
      </c>
      <c r="Q91" s="698">
        <v>0</v>
      </c>
      <c r="R91" s="698">
        <v>0</v>
      </c>
      <c r="S91" s="698">
        <v>0</v>
      </c>
      <c r="T91" s="18">
        <v>0</v>
      </c>
      <c r="U91" s="18">
        <v>32.64</v>
      </c>
      <c r="V91" s="18">
        <v>0</v>
      </c>
      <c r="W91" s="18">
        <v>0</v>
      </c>
      <c r="X91" s="18">
        <v>0</v>
      </c>
      <c r="Y91" s="18">
        <v>0</v>
      </c>
      <c r="Z91" s="99">
        <f t="shared" si="131"/>
        <v>32.64</v>
      </c>
      <c r="AA91" s="18">
        <v>0</v>
      </c>
      <c r="AB91" s="18">
        <v>24.48</v>
      </c>
      <c r="AC91" s="18">
        <v>0</v>
      </c>
      <c r="AD91" s="18">
        <v>0</v>
      </c>
      <c r="AE91" s="18">
        <v>0</v>
      </c>
      <c r="AF91" s="18">
        <v>0</v>
      </c>
      <c r="AG91" s="99">
        <f t="shared" si="132"/>
        <v>24.48</v>
      </c>
      <c r="AH91" s="99">
        <f t="shared" si="113"/>
        <v>57.120000000000005</v>
      </c>
      <c r="AI91" s="18">
        <f t="shared" si="134"/>
        <v>0</v>
      </c>
      <c r="AJ91" s="18">
        <f t="shared" si="134"/>
        <v>57.120000000000005</v>
      </c>
      <c r="AK91" s="18">
        <f t="shared" si="134"/>
        <v>0</v>
      </c>
      <c r="AL91" s="18">
        <f t="shared" si="134"/>
        <v>0</v>
      </c>
      <c r="AM91" s="18">
        <f t="shared" si="133"/>
        <v>0</v>
      </c>
      <c r="AN91" s="18"/>
      <c r="AO91" s="18">
        <f t="shared" si="85"/>
        <v>57.120000000000005</v>
      </c>
      <c r="AP91" s="18">
        <f t="shared" si="86"/>
        <v>57.120000000000005</v>
      </c>
      <c r="AQ91" s="18">
        <f t="shared" si="81"/>
        <v>57.120000000000005</v>
      </c>
      <c r="AR91" s="99">
        <f t="shared" si="114"/>
        <v>0</v>
      </c>
      <c r="AS91" s="18">
        <f t="shared" si="135"/>
        <v>0</v>
      </c>
      <c r="AT91" s="18">
        <f t="shared" si="87"/>
        <v>156075.83040000001</v>
      </c>
      <c r="AU91" s="18">
        <f t="shared" si="87"/>
        <v>0</v>
      </c>
      <c r="AV91" s="18">
        <f t="shared" si="87"/>
        <v>0</v>
      </c>
      <c r="AW91" s="18">
        <f t="shared" si="87"/>
        <v>0</v>
      </c>
      <c r="AX91" s="18">
        <f t="shared" si="115"/>
        <v>156075.83040000001</v>
      </c>
      <c r="AY91" s="18">
        <f t="shared" si="116"/>
        <v>156075.83040000001</v>
      </c>
      <c r="AZ91" s="18">
        <f t="shared" si="88"/>
        <v>0</v>
      </c>
      <c r="BA91" s="18">
        <f t="shared" si="88"/>
        <v>162332.75520000001</v>
      </c>
      <c r="BB91" s="18">
        <f t="shared" si="88"/>
        <v>0</v>
      </c>
      <c r="BC91" s="18">
        <f t="shared" si="88"/>
        <v>0</v>
      </c>
      <c r="BD91" s="18">
        <f t="shared" si="88"/>
        <v>0</v>
      </c>
      <c r="BE91" s="18">
        <f t="shared" si="117"/>
        <v>162332.75520000001</v>
      </c>
      <c r="BF91" s="18">
        <f t="shared" si="118"/>
        <v>162332.75520000001</v>
      </c>
      <c r="BG91" s="18"/>
      <c r="BH91" s="18">
        <v>0</v>
      </c>
      <c r="BI91" s="18">
        <f t="shared" si="80"/>
        <v>0</v>
      </c>
      <c r="BJ91" s="18">
        <v>158.75</v>
      </c>
      <c r="BK91" s="18">
        <v>298.18</v>
      </c>
      <c r="BL91" s="18">
        <f t="shared" si="89"/>
        <v>0</v>
      </c>
      <c r="BM91" s="18">
        <f t="shared" si="89"/>
        <v>89186.188800000004</v>
      </c>
      <c r="BN91" s="18">
        <f t="shared" si="89"/>
        <v>0</v>
      </c>
      <c r="BO91" s="18">
        <f t="shared" si="89"/>
        <v>0</v>
      </c>
      <c r="BP91" s="18">
        <f t="shared" si="89"/>
        <v>0</v>
      </c>
      <c r="BQ91" s="18">
        <f t="shared" si="119"/>
        <v>89186.188800000004</v>
      </c>
      <c r="BR91" s="18">
        <f t="shared" si="120"/>
        <v>89186.188800000004</v>
      </c>
      <c r="BS91" s="18">
        <f t="shared" si="90"/>
        <v>0</v>
      </c>
      <c r="BT91" s="18">
        <f t="shared" si="90"/>
        <v>69571.180800000002</v>
      </c>
      <c r="BU91" s="18">
        <f t="shared" si="90"/>
        <v>0</v>
      </c>
      <c r="BV91" s="18">
        <f t="shared" si="93"/>
        <v>0</v>
      </c>
      <c r="BW91" s="18">
        <f t="shared" si="94"/>
        <v>0</v>
      </c>
      <c r="BX91" s="18">
        <f t="shared" si="121"/>
        <v>69571.180800000002</v>
      </c>
      <c r="BY91" s="18">
        <f t="shared" si="122"/>
        <v>69571.180800000002</v>
      </c>
      <c r="BZ91" s="161">
        <f t="shared" si="91"/>
        <v>158757.36960000001</v>
      </c>
      <c r="CA91" s="161">
        <f t="shared" si="91"/>
        <v>0</v>
      </c>
      <c r="CB91" s="161">
        <f t="shared" si="123"/>
        <v>158757.36960000001</v>
      </c>
      <c r="CC91" s="162">
        <f t="shared" si="92"/>
        <v>2779.3657142857141</v>
      </c>
      <c r="CD91" s="162" t="e">
        <f t="shared" si="92"/>
        <v>#DIV/0!</v>
      </c>
      <c r="CE91" s="162">
        <f t="shared" si="124"/>
        <v>2779.3657142857141</v>
      </c>
      <c r="CF91" s="162">
        <f t="shared" si="95"/>
        <v>2779.3657142857141</v>
      </c>
      <c r="CG91" s="651">
        <f t="shared" si="96"/>
        <v>0</v>
      </c>
      <c r="CH91" s="652">
        <f t="shared" si="125"/>
        <v>0</v>
      </c>
      <c r="CJ91" s="18">
        <f t="shared" si="97"/>
        <v>89.186188799999996</v>
      </c>
      <c r="CK91" s="18">
        <f t="shared" si="98"/>
        <v>69.571180800000008</v>
      </c>
      <c r="CL91" s="18">
        <f t="shared" si="84"/>
        <v>158.7573696</v>
      </c>
      <c r="CM91" s="18">
        <f t="shared" si="99"/>
        <v>158757.36960000001</v>
      </c>
      <c r="CN91" s="18">
        <f t="shared" si="100"/>
        <v>156075.83040000001</v>
      </c>
      <c r="CO91" s="18">
        <f t="shared" si="101"/>
        <v>156075.83040000001</v>
      </c>
      <c r="CP91" s="18">
        <f t="shared" si="102"/>
        <v>89186.188800000004</v>
      </c>
      <c r="CQ91" s="18">
        <f t="shared" si="103"/>
        <v>162332.75520000001</v>
      </c>
      <c r="CR91" s="18">
        <f t="shared" si="104"/>
        <v>162332.75520000001</v>
      </c>
      <c r="CS91" s="18">
        <f t="shared" si="105"/>
        <v>69571.180800000002</v>
      </c>
      <c r="CT91" s="18">
        <f t="shared" si="126"/>
        <v>318408.58559999999</v>
      </c>
      <c r="CU91" s="29">
        <f t="shared" si="127"/>
        <v>5574379.9999999991</v>
      </c>
      <c r="CV91" s="18">
        <f t="shared" si="106"/>
        <v>156075.83040000001</v>
      </c>
      <c r="CW91" s="18">
        <f t="shared" si="107"/>
        <v>162332.75520000001</v>
      </c>
      <c r="CX91" s="18">
        <f t="shared" si="128"/>
        <v>318408.58559999999</v>
      </c>
      <c r="CY91" s="18">
        <f t="shared" si="108"/>
        <v>156075.83040000001</v>
      </c>
      <c r="CZ91" s="18">
        <f t="shared" si="109"/>
        <v>162332.75520000001</v>
      </c>
      <c r="DB91" s="653">
        <f t="shared" si="129"/>
        <v>104.00890053505682</v>
      </c>
      <c r="DG91" s="701">
        <f t="shared" si="110"/>
        <v>0</v>
      </c>
      <c r="DH91" s="701">
        <f t="shared" si="111"/>
        <v>0</v>
      </c>
      <c r="DI91" s="701">
        <f t="shared" si="112"/>
        <v>0</v>
      </c>
    </row>
    <row r="92" spans="1:116" s="32" customFormat="1" ht="63.75" customHeight="1">
      <c r="A92" s="20">
        <f t="shared" si="130"/>
        <v>79</v>
      </c>
      <c r="B92" s="1503"/>
      <c r="C92" s="1504"/>
      <c r="D92" s="748" t="s">
        <v>141</v>
      </c>
      <c r="E92" s="617">
        <v>4632024035</v>
      </c>
      <c r="F92" s="803" t="s">
        <v>8</v>
      </c>
      <c r="G92" s="751" t="s">
        <v>890</v>
      </c>
      <c r="H92" s="816">
        <f t="shared" ref="H92:I96" si="136">2653.36*1.2</f>
        <v>3184.0320000000002</v>
      </c>
      <c r="I92" s="816">
        <f t="shared" si="136"/>
        <v>3184.0320000000002</v>
      </c>
      <c r="J92" s="38">
        <v>2732.57</v>
      </c>
      <c r="K92" s="38"/>
      <c r="L92" s="816">
        <f>2653.36*1.2</f>
        <v>3184.0320000000002</v>
      </c>
      <c r="M92" s="10"/>
      <c r="N92" s="622">
        <f>2749.3*1.2</f>
        <v>3299.1600000000003</v>
      </c>
      <c r="O92" s="622">
        <f>2749.3*1.2</f>
        <v>3299.1600000000003</v>
      </c>
      <c r="P92" s="38">
        <v>2896.52</v>
      </c>
      <c r="Q92" s="10"/>
      <c r="R92" s="622">
        <f>2749.3*1.2</f>
        <v>3299.1600000000003</v>
      </c>
      <c r="S92" s="10"/>
      <c r="T92" s="178">
        <v>2002.1370000000002</v>
      </c>
      <c r="U92" s="16">
        <v>321.40000000000003</v>
      </c>
      <c r="V92" s="227"/>
      <c r="W92" s="16"/>
      <c r="X92" s="16"/>
      <c r="Y92" s="16"/>
      <c r="Z92" s="35">
        <f t="shared" si="131"/>
        <v>2323.5370000000003</v>
      </c>
      <c r="AA92" s="178">
        <v>1209.489</v>
      </c>
      <c r="AB92" s="16">
        <v>241</v>
      </c>
      <c r="AC92" s="227"/>
      <c r="AD92" s="16"/>
      <c r="AE92" s="16"/>
      <c r="AF92" s="16"/>
      <c r="AG92" s="35">
        <f t="shared" si="132"/>
        <v>1450.489</v>
      </c>
      <c r="AH92" s="35">
        <f t="shared" si="113"/>
        <v>3774.0260000000003</v>
      </c>
      <c r="AI92" s="15">
        <f t="shared" si="134"/>
        <v>3211.6260000000002</v>
      </c>
      <c r="AJ92" s="15">
        <f t="shared" si="134"/>
        <v>562.40000000000009</v>
      </c>
      <c r="AK92" s="15">
        <f t="shared" si="134"/>
        <v>0</v>
      </c>
      <c r="AL92" s="15">
        <f t="shared" si="134"/>
        <v>0</v>
      </c>
      <c r="AM92" s="15">
        <f t="shared" si="133"/>
        <v>0</v>
      </c>
      <c r="AN92" s="15"/>
      <c r="AO92" s="15">
        <f t="shared" si="85"/>
        <v>3774.0260000000003</v>
      </c>
      <c r="AP92" s="15">
        <f t="shared" si="86"/>
        <v>3774.0260000000003</v>
      </c>
      <c r="AQ92" s="15">
        <f t="shared" si="81"/>
        <v>3774.0260000000003</v>
      </c>
      <c r="AR92" s="127">
        <f t="shared" si="114"/>
        <v>0</v>
      </c>
      <c r="AS92" s="112">
        <f t="shared" si="135"/>
        <v>10225919.956032</v>
      </c>
      <c r="AT92" s="112">
        <f t="shared" si="135"/>
        <v>1536797.3680000002</v>
      </c>
      <c r="AU92" s="112">
        <f t="shared" si="135"/>
        <v>0</v>
      </c>
      <c r="AV92" s="112">
        <f t="shared" si="135"/>
        <v>0</v>
      </c>
      <c r="AW92" s="112">
        <f t="shared" si="135"/>
        <v>0</v>
      </c>
      <c r="AX92" s="112">
        <f t="shared" si="115"/>
        <v>11762717.324032001</v>
      </c>
      <c r="AY92" s="112">
        <f t="shared" si="116"/>
        <v>11762717.324032001</v>
      </c>
      <c r="AZ92" s="112">
        <f t="shared" ref="AZ92:BD123" si="137">O92*AI92</f>
        <v>10595668.034160001</v>
      </c>
      <c r="BA92" s="112">
        <f t="shared" si="137"/>
        <v>1629002.8480000002</v>
      </c>
      <c r="BB92" s="112">
        <f t="shared" si="137"/>
        <v>0</v>
      </c>
      <c r="BC92" s="112">
        <f t="shared" si="137"/>
        <v>0</v>
      </c>
      <c r="BD92" s="112">
        <f t="shared" si="137"/>
        <v>0</v>
      </c>
      <c r="BE92" s="112">
        <f t="shared" si="117"/>
        <v>12224670.882160001</v>
      </c>
      <c r="BF92" s="112">
        <f t="shared" si="118"/>
        <v>12224670.882160001</v>
      </c>
      <c r="BG92" s="623">
        <f>(I92-J92)/1.2*U92/1000</f>
        <v>120.91657233333336</v>
      </c>
      <c r="BH92" s="624">
        <f>(O92-P92)/1.2*AB92/1000</f>
        <v>80.863533333333407</v>
      </c>
      <c r="BI92" s="623">
        <f t="shared" si="80"/>
        <v>201.78010566666677</v>
      </c>
      <c r="BJ92" s="169"/>
      <c r="BK92" s="169"/>
      <c r="BL92" s="112">
        <f t="shared" si="89"/>
        <v>6374868.2763840007</v>
      </c>
      <c r="BM92" s="112">
        <f t="shared" si="89"/>
        <v>878247.99800000014</v>
      </c>
      <c r="BN92" s="112">
        <f t="shared" si="89"/>
        <v>0</v>
      </c>
      <c r="BO92" s="112">
        <f t="shared" si="89"/>
        <v>0</v>
      </c>
      <c r="BP92" s="112">
        <f t="shared" si="89"/>
        <v>0</v>
      </c>
      <c r="BQ92" s="112">
        <f t="shared" si="119"/>
        <v>7253116.2743840013</v>
      </c>
      <c r="BR92" s="112">
        <f t="shared" si="120"/>
        <v>7253116.2743840013</v>
      </c>
      <c r="BS92" s="112">
        <f t="shared" si="90"/>
        <v>3990297.7292400007</v>
      </c>
      <c r="BT92" s="112">
        <f t="shared" si="90"/>
        <v>698061.32</v>
      </c>
      <c r="BU92" s="112">
        <f t="shared" si="90"/>
        <v>0</v>
      </c>
      <c r="BV92" s="112">
        <f t="shared" si="93"/>
        <v>0</v>
      </c>
      <c r="BW92" s="112">
        <f t="shared" si="94"/>
        <v>0</v>
      </c>
      <c r="BX92" s="112">
        <f t="shared" si="121"/>
        <v>4688359.0492400005</v>
      </c>
      <c r="BY92" s="112">
        <f t="shared" si="122"/>
        <v>4688359.0492400005</v>
      </c>
      <c r="BZ92" s="113">
        <f t="shared" si="91"/>
        <v>1576309.318</v>
      </c>
      <c r="CA92" s="113">
        <f t="shared" si="91"/>
        <v>0</v>
      </c>
      <c r="CB92" s="113">
        <f t="shared" si="123"/>
        <v>1576309.318</v>
      </c>
      <c r="CC92" s="119">
        <f t="shared" si="92"/>
        <v>2802.8259566145089</v>
      </c>
      <c r="CD92" s="119" t="e">
        <f t="shared" si="92"/>
        <v>#DIV/0!</v>
      </c>
      <c r="CE92" s="119">
        <f t="shared" si="124"/>
        <v>2802.8259566145089</v>
      </c>
      <c r="CF92" s="119">
        <f t="shared" si="95"/>
        <v>2802.8259566145089</v>
      </c>
      <c r="CG92" s="619">
        <f t="shared" si="96"/>
        <v>1818445.4448000002</v>
      </c>
      <c r="CH92" s="132">
        <f t="shared" si="125"/>
        <v>3233.3667226173538</v>
      </c>
      <c r="CI92" s="625"/>
      <c r="CJ92" s="208">
        <f t="shared" si="97"/>
        <v>7398.2161611840011</v>
      </c>
      <c r="CK92" s="208">
        <f t="shared" si="98"/>
        <v>4785.3952892400011</v>
      </c>
      <c r="CL92" s="208">
        <f t="shared" si="84"/>
        <v>12183.611450424003</v>
      </c>
      <c r="CM92" s="112">
        <f t="shared" si="99"/>
        <v>12183611.450424001</v>
      </c>
      <c r="CN92" s="112">
        <f t="shared" si="100"/>
        <v>11762717.324032001</v>
      </c>
      <c r="CO92" s="112">
        <f t="shared" si="101"/>
        <v>11762717.324032001</v>
      </c>
      <c r="CP92" s="112">
        <f t="shared" si="102"/>
        <v>7253116.2743840013</v>
      </c>
      <c r="CQ92" s="112">
        <f t="shared" si="103"/>
        <v>12224670.882160001</v>
      </c>
      <c r="CR92" s="112">
        <f t="shared" si="104"/>
        <v>12224670.882160001</v>
      </c>
      <c r="CS92" s="112">
        <f t="shared" si="105"/>
        <v>4688359.0492400005</v>
      </c>
      <c r="CT92" s="112">
        <f t="shared" si="126"/>
        <v>23987388.206192002</v>
      </c>
      <c r="CU92" s="124">
        <f t="shared" si="127"/>
        <v>6355914.9317445084</v>
      </c>
      <c r="CV92" s="112">
        <f t="shared" si="106"/>
        <v>1536797.3680000002</v>
      </c>
      <c r="CW92" s="112">
        <f t="shared" si="107"/>
        <v>1629002.8480000002</v>
      </c>
      <c r="CX92" s="112">
        <f t="shared" si="128"/>
        <v>3165800.2160000005</v>
      </c>
      <c r="CY92" s="112">
        <f t="shared" si="108"/>
        <v>12016619.552832</v>
      </c>
      <c r="CZ92" s="112">
        <f t="shared" si="109"/>
        <v>12451115.618160002</v>
      </c>
      <c r="DA92" s="625"/>
      <c r="DB92" s="128">
        <f t="shared" si="129"/>
        <v>120.73469298133259</v>
      </c>
      <c r="DC92" s="625"/>
      <c r="DD92" s="625"/>
      <c r="DE92" s="625"/>
      <c r="DF92" s="625"/>
      <c r="DG92" s="618">
        <f t="shared" si="110"/>
        <v>0</v>
      </c>
      <c r="DH92" s="618">
        <f t="shared" si="111"/>
        <v>0</v>
      </c>
      <c r="DI92" s="618">
        <f t="shared" si="112"/>
        <v>0</v>
      </c>
      <c r="DJ92" s="123"/>
    </row>
    <row r="93" spans="1:116" s="32" customFormat="1" ht="64.5" customHeight="1">
      <c r="A93" s="20">
        <f t="shared" si="130"/>
        <v>80</v>
      </c>
      <c r="B93" s="1503"/>
      <c r="C93" s="803" t="s">
        <v>115</v>
      </c>
      <c r="D93" s="748" t="s">
        <v>142</v>
      </c>
      <c r="E93" s="617">
        <v>4632024035</v>
      </c>
      <c r="F93" s="803" t="s">
        <v>8</v>
      </c>
      <c r="G93" s="751" t="s">
        <v>890</v>
      </c>
      <c r="H93" s="816">
        <f t="shared" si="136"/>
        <v>3184.0320000000002</v>
      </c>
      <c r="I93" s="816">
        <f t="shared" si="136"/>
        <v>3184.0320000000002</v>
      </c>
      <c r="J93" s="38"/>
      <c r="K93" s="38"/>
      <c r="L93" s="816">
        <f>2653.36*1.2</f>
        <v>3184.0320000000002</v>
      </c>
      <c r="M93" s="10"/>
      <c r="N93" s="622">
        <f t="shared" ref="N93:O96" si="138">2749.3*1.2</f>
        <v>3299.1600000000003</v>
      </c>
      <c r="O93" s="622">
        <f t="shared" si="138"/>
        <v>3299.1600000000003</v>
      </c>
      <c r="P93" s="10"/>
      <c r="Q93" s="10"/>
      <c r="R93" s="622">
        <f>2749.3*1.2</f>
        <v>3299.1600000000003</v>
      </c>
      <c r="S93" s="10"/>
      <c r="T93" s="178">
        <v>251.702</v>
      </c>
      <c r="U93" s="16"/>
      <c r="V93" s="227"/>
      <c r="W93" s="16"/>
      <c r="X93" s="16"/>
      <c r="Y93" s="16"/>
      <c r="Z93" s="35">
        <f t="shared" si="131"/>
        <v>251.702</v>
      </c>
      <c r="AA93" s="178">
        <v>146.16</v>
      </c>
      <c r="AB93" s="16"/>
      <c r="AC93" s="227"/>
      <c r="AD93" s="16"/>
      <c r="AE93" s="16"/>
      <c r="AF93" s="16"/>
      <c r="AG93" s="35">
        <f t="shared" si="132"/>
        <v>146.16</v>
      </c>
      <c r="AH93" s="35">
        <f t="shared" si="113"/>
        <v>397.86199999999997</v>
      </c>
      <c r="AI93" s="15">
        <f t="shared" si="134"/>
        <v>397.86199999999997</v>
      </c>
      <c r="AJ93" s="15">
        <f t="shared" si="134"/>
        <v>0</v>
      </c>
      <c r="AK93" s="15">
        <f t="shared" si="134"/>
        <v>0</v>
      </c>
      <c r="AL93" s="15">
        <f t="shared" si="134"/>
        <v>0</v>
      </c>
      <c r="AM93" s="15">
        <f t="shared" si="133"/>
        <v>0</v>
      </c>
      <c r="AN93" s="15"/>
      <c r="AO93" s="15">
        <f t="shared" si="85"/>
        <v>397.86199999999997</v>
      </c>
      <c r="AP93" s="15">
        <f t="shared" si="86"/>
        <v>397.86199999999997</v>
      </c>
      <c r="AQ93" s="15">
        <f t="shared" si="81"/>
        <v>397.86199999999997</v>
      </c>
      <c r="AR93" s="127">
        <f t="shared" si="114"/>
        <v>0</v>
      </c>
      <c r="AS93" s="112">
        <f t="shared" si="135"/>
        <v>1266805.3395839999</v>
      </c>
      <c r="AT93" s="112">
        <f t="shared" si="135"/>
        <v>0</v>
      </c>
      <c r="AU93" s="112">
        <f t="shared" si="135"/>
        <v>0</v>
      </c>
      <c r="AV93" s="112">
        <f t="shared" si="135"/>
        <v>0</v>
      </c>
      <c r="AW93" s="112">
        <f t="shared" si="135"/>
        <v>0</v>
      </c>
      <c r="AX93" s="112">
        <f t="shared" si="115"/>
        <v>1266805.3395839999</v>
      </c>
      <c r="AY93" s="112">
        <f t="shared" si="116"/>
        <v>1266805.3395839999</v>
      </c>
      <c r="AZ93" s="112">
        <f t="shared" si="137"/>
        <v>1312610.39592</v>
      </c>
      <c r="BA93" s="112">
        <f t="shared" si="137"/>
        <v>0</v>
      </c>
      <c r="BB93" s="112">
        <f t="shared" si="137"/>
        <v>0</v>
      </c>
      <c r="BC93" s="112">
        <f t="shared" si="137"/>
        <v>0</v>
      </c>
      <c r="BD93" s="112">
        <f t="shared" si="137"/>
        <v>0</v>
      </c>
      <c r="BE93" s="112">
        <f t="shared" si="117"/>
        <v>1312610.39592</v>
      </c>
      <c r="BF93" s="112">
        <f t="shared" si="118"/>
        <v>1312610.39592</v>
      </c>
      <c r="BG93" s="126"/>
      <c r="BH93" s="126"/>
      <c r="BI93" s="112">
        <f t="shared" si="80"/>
        <v>0</v>
      </c>
      <c r="BJ93" s="112"/>
      <c r="BK93" s="112"/>
      <c r="BL93" s="112">
        <f t="shared" si="89"/>
        <v>801427.22246399999</v>
      </c>
      <c r="BM93" s="112">
        <f t="shared" si="89"/>
        <v>0</v>
      </c>
      <c r="BN93" s="112">
        <f t="shared" si="89"/>
        <v>0</v>
      </c>
      <c r="BO93" s="112">
        <f t="shared" si="89"/>
        <v>0</v>
      </c>
      <c r="BP93" s="112">
        <f t="shared" si="89"/>
        <v>0</v>
      </c>
      <c r="BQ93" s="112">
        <f t="shared" si="119"/>
        <v>801427.22246399999</v>
      </c>
      <c r="BR93" s="112">
        <f t="shared" si="120"/>
        <v>801427.22246399999</v>
      </c>
      <c r="BS93" s="112">
        <f t="shared" si="90"/>
        <v>482205.22560000001</v>
      </c>
      <c r="BT93" s="112">
        <f t="shared" si="90"/>
        <v>0</v>
      </c>
      <c r="BU93" s="112">
        <f t="shared" si="90"/>
        <v>0</v>
      </c>
      <c r="BV93" s="112">
        <f t="shared" si="93"/>
        <v>0</v>
      </c>
      <c r="BW93" s="112">
        <f t="shared" si="94"/>
        <v>0</v>
      </c>
      <c r="BX93" s="112">
        <f t="shared" si="121"/>
        <v>482205.22560000001</v>
      </c>
      <c r="BY93" s="112">
        <f t="shared" si="122"/>
        <v>482205.22560000001</v>
      </c>
      <c r="BZ93" s="113">
        <f t="shared" si="91"/>
        <v>0</v>
      </c>
      <c r="CA93" s="113">
        <f t="shared" si="91"/>
        <v>0</v>
      </c>
      <c r="CB93" s="113">
        <f t="shared" si="123"/>
        <v>0</v>
      </c>
      <c r="CC93" s="119" t="e">
        <f t="shared" si="92"/>
        <v>#DIV/0!</v>
      </c>
      <c r="CD93" s="119" t="e">
        <f t="shared" si="92"/>
        <v>#DIV/0!</v>
      </c>
      <c r="CE93" s="119" t="e">
        <f t="shared" si="124"/>
        <v>#DIV/0!</v>
      </c>
      <c r="CF93" s="113" t="e">
        <f t="shared" si="95"/>
        <v>#DIV/0!</v>
      </c>
      <c r="CG93" s="619">
        <f t="shared" si="96"/>
        <v>0</v>
      </c>
      <c r="CH93" s="132" t="e">
        <f t="shared" si="125"/>
        <v>#DIV/0!</v>
      </c>
      <c r="CI93" s="625"/>
      <c r="CJ93" s="208">
        <f t="shared" si="97"/>
        <v>801.42722246400001</v>
      </c>
      <c r="CK93" s="208">
        <f t="shared" si="98"/>
        <v>482.20522560000001</v>
      </c>
      <c r="CL93" s="208">
        <f t="shared" si="84"/>
        <v>1283.6324480640001</v>
      </c>
      <c r="CM93" s="112">
        <f t="shared" si="99"/>
        <v>1283632.4480639999</v>
      </c>
      <c r="CN93" s="112">
        <f t="shared" si="100"/>
        <v>1266805.3395839999</v>
      </c>
      <c r="CO93" s="112">
        <f t="shared" si="101"/>
        <v>1266805.3395839999</v>
      </c>
      <c r="CP93" s="112">
        <f t="shared" si="102"/>
        <v>801427.22246399999</v>
      </c>
      <c r="CQ93" s="112">
        <f t="shared" si="103"/>
        <v>1312610.39592</v>
      </c>
      <c r="CR93" s="112">
        <f t="shared" si="104"/>
        <v>1312610.39592</v>
      </c>
      <c r="CS93" s="112">
        <f t="shared" si="105"/>
        <v>482205.22560000001</v>
      </c>
      <c r="CT93" s="112">
        <f t="shared" si="126"/>
        <v>2579415.735504</v>
      </c>
      <c r="CU93" s="124">
        <f t="shared" si="127"/>
        <v>6483192.0000000009</v>
      </c>
      <c r="CV93" s="112">
        <f t="shared" si="106"/>
        <v>0</v>
      </c>
      <c r="CW93" s="112">
        <f t="shared" si="107"/>
        <v>0</v>
      </c>
      <c r="CX93" s="112">
        <f t="shared" si="128"/>
        <v>0</v>
      </c>
      <c r="CY93" s="112">
        <f t="shared" si="108"/>
        <v>1266805.3395839999</v>
      </c>
      <c r="CZ93" s="112">
        <f t="shared" si="109"/>
        <v>1312610.39592</v>
      </c>
      <c r="DA93" s="625"/>
      <c r="DB93" s="128" t="e">
        <f t="shared" si="129"/>
        <v>#DIV/0!</v>
      </c>
      <c r="DC93" s="625"/>
      <c r="DD93" s="625"/>
      <c r="DE93" s="625"/>
      <c r="DF93" s="625"/>
      <c r="DG93" s="618">
        <f t="shared" si="110"/>
        <v>0</v>
      </c>
      <c r="DH93" s="618">
        <f t="shared" si="111"/>
        <v>0</v>
      </c>
      <c r="DI93" s="618">
        <f t="shared" si="112"/>
        <v>0</v>
      </c>
      <c r="DJ93" s="123"/>
    </row>
    <row r="94" spans="1:116" s="32" customFormat="1" ht="62.25" customHeight="1">
      <c r="A94" s="20">
        <f t="shared" si="130"/>
        <v>81</v>
      </c>
      <c r="B94" s="1503"/>
      <c r="C94" s="803" t="s">
        <v>116</v>
      </c>
      <c r="D94" s="748" t="s">
        <v>141</v>
      </c>
      <c r="E94" s="617">
        <v>4632024035</v>
      </c>
      <c r="F94" s="803" t="s">
        <v>8</v>
      </c>
      <c r="G94" s="751" t="s">
        <v>890</v>
      </c>
      <c r="H94" s="816">
        <f t="shared" si="136"/>
        <v>3184.0320000000002</v>
      </c>
      <c r="I94" s="816">
        <f t="shared" si="136"/>
        <v>3184.0320000000002</v>
      </c>
      <c r="J94" s="38"/>
      <c r="K94" s="38"/>
      <c r="L94" s="816">
        <f>2653.36*1.2</f>
        <v>3184.0320000000002</v>
      </c>
      <c r="M94" s="10"/>
      <c r="N94" s="622">
        <f t="shared" si="138"/>
        <v>3299.1600000000003</v>
      </c>
      <c r="O94" s="622">
        <f t="shared" si="138"/>
        <v>3299.1600000000003</v>
      </c>
      <c r="P94" s="10"/>
      <c r="Q94" s="10"/>
      <c r="R94" s="622">
        <f>2749.3*1.2</f>
        <v>3299.1600000000003</v>
      </c>
      <c r="S94" s="10"/>
      <c r="T94" s="178">
        <v>1074.4080000000001</v>
      </c>
      <c r="U94" s="16"/>
      <c r="V94" s="227"/>
      <c r="W94" s="16"/>
      <c r="X94" s="16"/>
      <c r="Y94" s="16"/>
      <c r="Z94" s="35">
        <f t="shared" si="131"/>
        <v>1074.4080000000001</v>
      </c>
      <c r="AA94" s="178">
        <v>654.87199999999996</v>
      </c>
      <c r="AB94" s="16"/>
      <c r="AC94" s="227"/>
      <c r="AD94" s="16"/>
      <c r="AE94" s="16"/>
      <c r="AF94" s="16"/>
      <c r="AG94" s="35">
        <f t="shared" si="132"/>
        <v>654.87199999999996</v>
      </c>
      <c r="AH94" s="35">
        <f t="shared" si="113"/>
        <v>1729.2800000000002</v>
      </c>
      <c r="AI94" s="15">
        <f t="shared" si="134"/>
        <v>1729.2800000000002</v>
      </c>
      <c r="AJ94" s="15">
        <f t="shared" si="134"/>
        <v>0</v>
      </c>
      <c r="AK94" s="15">
        <f t="shared" si="134"/>
        <v>0</v>
      </c>
      <c r="AL94" s="15">
        <f t="shared" si="134"/>
        <v>0</v>
      </c>
      <c r="AM94" s="15">
        <f t="shared" si="133"/>
        <v>0</v>
      </c>
      <c r="AN94" s="15"/>
      <c r="AO94" s="15">
        <f t="shared" si="85"/>
        <v>1729.2800000000002</v>
      </c>
      <c r="AP94" s="15">
        <f t="shared" si="86"/>
        <v>1729.2800000000002</v>
      </c>
      <c r="AQ94" s="15">
        <f t="shared" si="81"/>
        <v>1729.2800000000002</v>
      </c>
      <c r="AR94" s="127">
        <f t="shared" si="114"/>
        <v>0</v>
      </c>
      <c r="AS94" s="112">
        <f t="shared" si="135"/>
        <v>5506082.8569600005</v>
      </c>
      <c r="AT94" s="112">
        <f t="shared" si="135"/>
        <v>0</v>
      </c>
      <c r="AU94" s="112">
        <f t="shared" si="135"/>
        <v>0</v>
      </c>
      <c r="AV94" s="112">
        <f t="shared" si="135"/>
        <v>0</v>
      </c>
      <c r="AW94" s="112">
        <f t="shared" si="135"/>
        <v>0</v>
      </c>
      <c r="AX94" s="112">
        <f t="shared" si="115"/>
        <v>5506082.8569600005</v>
      </c>
      <c r="AY94" s="112">
        <f t="shared" si="116"/>
        <v>5506082.8569600005</v>
      </c>
      <c r="AZ94" s="112">
        <f t="shared" si="137"/>
        <v>5705171.4048000015</v>
      </c>
      <c r="BA94" s="112">
        <f t="shared" si="137"/>
        <v>0</v>
      </c>
      <c r="BB94" s="112">
        <f t="shared" si="137"/>
        <v>0</v>
      </c>
      <c r="BC94" s="112">
        <f t="shared" si="137"/>
        <v>0</v>
      </c>
      <c r="BD94" s="112">
        <f t="shared" si="137"/>
        <v>0</v>
      </c>
      <c r="BE94" s="112">
        <f t="shared" si="117"/>
        <v>5705171.4048000015</v>
      </c>
      <c r="BF94" s="112">
        <f t="shared" si="118"/>
        <v>5705171.4048000015</v>
      </c>
      <c r="BG94" s="126"/>
      <c r="BH94" s="126"/>
      <c r="BI94" s="112">
        <f t="shared" si="80"/>
        <v>0</v>
      </c>
      <c r="BJ94" s="112"/>
      <c r="BK94" s="112"/>
      <c r="BL94" s="112">
        <f t="shared" si="89"/>
        <v>3420949.4530560006</v>
      </c>
      <c r="BM94" s="112">
        <f t="shared" si="89"/>
        <v>0</v>
      </c>
      <c r="BN94" s="112">
        <f t="shared" si="89"/>
        <v>0</v>
      </c>
      <c r="BO94" s="112">
        <f t="shared" si="89"/>
        <v>0</v>
      </c>
      <c r="BP94" s="112">
        <f t="shared" si="89"/>
        <v>0</v>
      </c>
      <c r="BQ94" s="112">
        <f t="shared" si="119"/>
        <v>3420949.4530560006</v>
      </c>
      <c r="BR94" s="112">
        <f t="shared" si="120"/>
        <v>3420949.4530560006</v>
      </c>
      <c r="BS94" s="112">
        <f t="shared" si="90"/>
        <v>2160527.50752</v>
      </c>
      <c r="BT94" s="112">
        <f t="shared" si="90"/>
        <v>0</v>
      </c>
      <c r="BU94" s="112">
        <f t="shared" si="90"/>
        <v>0</v>
      </c>
      <c r="BV94" s="112">
        <f t="shared" si="93"/>
        <v>0</v>
      </c>
      <c r="BW94" s="112">
        <f t="shared" si="94"/>
        <v>0</v>
      </c>
      <c r="BX94" s="112">
        <f t="shared" si="121"/>
        <v>2160527.50752</v>
      </c>
      <c r="BY94" s="112">
        <f t="shared" si="122"/>
        <v>2160527.50752</v>
      </c>
      <c r="BZ94" s="113">
        <f t="shared" si="91"/>
        <v>0</v>
      </c>
      <c r="CA94" s="113">
        <f t="shared" si="91"/>
        <v>0</v>
      </c>
      <c r="CB94" s="113">
        <f t="shared" si="123"/>
        <v>0</v>
      </c>
      <c r="CC94" s="119" t="e">
        <f t="shared" si="92"/>
        <v>#DIV/0!</v>
      </c>
      <c r="CD94" s="119" t="e">
        <f t="shared" si="92"/>
        <v>#DIV/0!</v>
      </c>
      <c r="CE94" s="119" t="e">
        <f t="shared" si="124"/>
        <v>#DIV/0!</v>
      </c>
      <c r="CF94" s="113" t="e">
        <f t="shared" si="95"/>
        <v>#DIV/0!</v>
      </c>
      <c r="CG94" s="619">
        <f t="shared" si="96"/>
        <v>0</v>
      </c>
      <c r="CH94" s="132" t="e">
        <f t="shared" si="125"/>
        <v>#DIV/0!</v>
      </c>
      <c r="CI94" s="625"/>
      <c r="CJ94" s="208">
        <f t="shared" si="97"/>
        <v>3420.9494530560005</v>
      </c>
      <c r="CK94" s="208">
        <f t="shared" si="98"/>
        <v>2160.5275075200002</v>
      </c>
      <c r="CL94" s="208">
        <f t="shared" si="84"/>
        <v>5581.4769605760011</v>
      </c>
      <c r="CM94" s="112">
        <f t="shared" si="99"/>
        <v>5581476.9605760006</v>
      </c>
      <c r="CN94" s="112">
        <f t="shared" si="100"/>
        <v>5506082.8569600005</v>
      </c>
      <c r="CO94" s="112">
        <f t="shared" si="101"/>
        <v>5506082.8569600005</v>
      </c>
      <c r="CP94" s="112">
        <f t="shared" si="102"/>
        <v>3420949.4530560006</v>
      </c>
      <c r="CQ94" s="112">
        <f t="shared" si="103"/>
        <v>5705171.4048000015</v>
      </c>
      <c r="CR94" s="112">
        <f t="shared" si="104"/>
        <v>5705171.4048000015</v>
      </c>
      <c r="CS94" s="112">
        <f t="shared" si="105"/>
        <v>2160527.50752</v>
      </c>
      <c r="CT94" s="112">
        <f t="shared" si="126"/>
        <v>11211254.261760002</v>
      </c>
      <c r="CU94" s="124">
        <f t="shared" si="127"/>
        <v>6483192</v>
      </c>
      <c r="CV94" s="112">
        <f t="shared" si="106"/>
        <v>0</v>
      </c>
      <c r="CW94" s="112">
        <f t="shared" si="107"/>
        <v>0</v>
      </c>
      <c r="CX94" s="112">
        <f t="shared" si="128"/>
        <v>0</v>
      </c>
      <c r="CY94" s="112">
        <f t="shared" si="108"/>
        <v>5506082.8569600005</v>
      </c>
      <c r="CZ94" s="112">
        <f t="shared" si="109"/>
        <v>5705171.4048000015</v>
      </c>
      <c r="DA94" s="625"/>
      <c r="DB94" s="128" t="e">
        <f t="shared" si="129"/>
        <v>#DIV/0!</v>
      </c>
      <c r="DC94" s="625"/>
      <c r="DD94" s="625"/>
      <c r="DE94" s="625"/>
      <c r="DF94" s="625"/>
      <c r="DG94" s="618">
        <f t="shared" si="110"/>
        <v>0</v>
      </c>
      <c r="DH94" s="618">
        <f t="shared" si="111"/>
        <v>0</v>
      </c>
      <c r="DI94" s="618">
        <f t="shared" si="112"/>
        <v>0</v>
      </c>
      <c r="DJ94" s="123"/>
    </row>
    <row r="95" spans="1:116" s="32" customFormat="1" ht="60.75" customHeight="1">
      <c r="A95" s="20">
        <f t="shared" si="130"/>
        <v>82</v>
      </c>
      <c r="B95" s="1504"/>
      <c r="C95" s="803" t="s">
        <v>117</v>
      </c>
      <c r="D95" s="748" t="s">
        <v>141</v>
      </c>
      <c r="E95" s="617">
        <v>4632024035</v>
      </c>
      <c r="F95" s="803" t="s">
        <v>8</v>
      </c>
      <c r="G95" s="751" t="s">
        <v>890</v>
      </c>
      <c r="H95" s="816">
        <f t="shared" si="136"/>
        <v>3184.0320000000002</v>
      </c>
      <c r="I95" s="816">
        <f t="shared" si="136"/>
        <v>3184.0320000000002</v>
      </c>
      <c r="J95" s="38"/>
      <c r="K95" s="38"/>
      <c r="L95" s="816">
        <f>2653.36*1.2</f>
        <v>3184.0320000000002</v>
      </c>
      <c r="M95" s="10"/>
      <c r="N95" s="622">
        <f t="shared" si="138"/>
        <v>3299.1600000000003</v>
      </c>
      <c r="O95" s="622">
        <f t="shared" si="138"/>
        <v>3299.1600000000003</v>
      </c>
      <c r="P95" s="10"/>
      <c r="Q95" s="10"/>
      <c r="R95" s="622">
        <f>2749.3*1.2</f>
        <v>3299.1600000000003</v>
      </c>
      <c r="S95" s="10"/>
      <c r="T95" s="178">
        <v>119.858</v>
      </c>
      <c r="U95" s="16"/>
      <c r="V95" s="227"/>
      <c r="W95" s="16"/>
      <c r="X95" s="16"/>
      <c r="Y95" s="16"/>
      <c r="Z95" s="35">
        <f t="shared" si="131"/>
        <v>119.858</v>
      </c>
      <c r="AA95" s="178">
        <v>69.600000000000009</v>
      </c>
      <c r="AB95" s="16"/>
      <c r="AC95" s="227"/>
      <c r="AD95" s="16"/>
      <c r="AE95" s="16"/>
      <c r="AF95" s="16"/>
      <c r="AG95" s="35">
        <f t="shared" si="132"/>
        <v>69.600000000000009</v>
      </c>
      <c r="AH95" s="35">
        <f t="shared" si="113"/>
        <v>189.45800000000003</v>
      </c>
      <c r="AI95" s="15">
        <f t="shared" si="134"/>
        <v>189.45800000000003</v>
      </c>
      <c r="AJ95" s="15">
        <f t="shared" si="134"/>
        <v>0</v>
      </c>
      <c r="AK95" s="15">
        <f t="shared" si="134"/>
        <v>0</v>
      </c>
      <c r="AL95" s="15">
        <f t="shared" si="134"/>
        <v>0</v>
      </c>
      <c r="AM95" s="15">
        <f t="shared" si="133"/>
        <v>0</v>
      </c>
      <c r="AN95" s="15"/>
      <c r="AO95" s="15">
        <f t="shared" si="85"/>
        <v>189.45800000000003</v>
      </c>
      <c r="AP95" s="15">
        <f t="shared" si="86"/>
        <v>189.45800000000003</v>
      </c>
      <c r="AQ95" s="15">
        <f t="shared" si="81"/>
        <v>189.45800000000003</v>
      </c>
      <c r="AR95" s="127">
        <f t="shared" si="114"/>
        <v>0</v>
      </c>
      <c r="AS95" s="112">
        <f t="shared" si="135"/>
        <v>603240.33465600014</v>
      </c>
      <c r="AT95" s="112">
        <f t="shared" si="135"/>
        <v>0</v>
      </c>
      <c r="AU95" s="112">
        <f t="shared" si="135"/>
        <v>0</v>
      </c>
      <c r="AV95" s="112">
        <f t="shared" si="135"/>
        <v>0</v>
      </c>
      <c r="AW95" s="112">
        <f t="shared" si="135"/>
        <v>0</v>
      </c>
      <c r="AX95" s="112">
        <f t="shared" si="115"/>
        <v>603240.33465600014</v>
      </c>
      <c r="AY95" s="112">
        <f t="shared" si="116"/>
        <v>603240.33465600014</v>
      </c>
      <c r="AZ95" s="112">
        <f t="shared" si="137"/>
        <v>625052.25528000016</v>
      </c>
      <c r="BA95" s="112">
        <f t="shared" si="137"/>
        <v>0</v>
      </c>
      <c r="BB95" s="112">
        <f t="shared" si="137"/>
        <v>0</v>
      </c>
      <c r="BC95" s="112">
        <f t="shared" si="137"/>
        <v>0</v>
      </c>
      <c r="BD95" s="112">
        <f t="shared" si="137"/>
        <v>0</v>
      </c>
      <c r="BE95" s="112">
        <f t="shared" si="117"/>
        <v>625052.25528000016</v>
      </c>
      <c r="BF95" s="112">
        <f t="shared" si="118"/>
        <v>625052.25528000016</v>
      </c>
      <c r="BG95" s="126"/>
      <c r="BH95" s="126"/>
      <c r="BI95" s="112">
        <f t="shared" si="80"/>
        <v>0</v>
      </c>
      <c r="BJ95" s="112"/>
      <c r="BK95" s="112"/>
      <c r="BL95" s="112">
        <f t="shared" si="89"/>
        <v>381631.70745600003</v>
      </c>
      <c r="BM95" s="112">
        <f t="shared" si="89"/>
        <v>0</v>
      </c>
      <c r="BN95" s="112">
        <f t="shared" si="89"/>
        <v>0</v>
      </c>
      <c r="BO95" s="112">
        <f t="shared" si="89"/>
        <v>0</v>
      </c>
      <c r="BP95" s="112">
        <f t="shared" si="89"/>
        <v>0</v>
      </c>
      <c r="BQ95" s="112">
        <f t="shared" si="119"/>
        <v>381631.70745600003</v>
      </c>
      <c r="BR95" s="112">
        <f t="shared" si="120"/>
        <v>381631.70745600003</v>
      </c>
      <c r="BS95" s="112">
        <f t="shared" si="90"/>
        <v>229621.53600000005</v>
      </c>
      <c r="BT95" s="112">
        <f t="shared" si="90"/>
        <v>0</v>
      </c>
      <c r="BU95" s="112">
        <f t="shared" si="90"/>
        <v>0</v>
      </c>
      <c r="BV95" s="112">
        <f t="shared" si="93"/>
        <v>0</v>
      </c>
      <c r="BW95" s="112">
        <f t="shared" si="94"/>
        <v>0</v>
      </c>
      <c r="BX95" s="112">
        <f t="shared" si="121"/>
        <v>229621.53600000005</v>
      </c>
      <c r="BY95" s="112">
        <f t="shared" si="122"/>
        <v>229621.53600000005</v>
      </c>
      <c r="BZ95" s="113">
        <f t="shared" si="91"/>
        <v>0</v>
      </c>
      <c r="CA95" s="113">
        <f t="shared" si="91"/>
        <v>0</v>
      </c>
      <c r="CB95" s="113">
        <f t="shared" si="123"/>
        <v>0</v>
      </c>
      <c r="CC95" s="119" t="e">
        <f t="shared" si="92"/>
        <v>#DIV/0!</v>
      </c>
      <c r="CD95" s="119" t="e">
        <f t="shared" si="92"/>
        <v>#DIV/0!</v>
      </c>
      <c r="CE95" s="119" t="e">
        <f t="shared" si="124"/>
        <v>#DIV/0!</v>
      </c>
      <c r="CF95" s="113" t="e">
        <f t="shared" si="95"/>
        <v>#DIV/0!</v>
      </c>
      <c r="CG95" s="619">
        <f t="shared" si="96"/>
        <v>0</v>
      </c>
      <c r="CH95" s="132" t="e">
        <f t="shared" si="125"/>
        <v>#DIV/0!</v>
      </c>
      <c r="CI95" s="625"/>
      <c r="CJ95" s="208">
        <f t="shared" si="97"/>
        <v>381.63170745600002</v>
      </c>
      <c r="CK95" s="208">
        <f t="shared" si="98"/>
        <v>229.62153600000005</v>
      </c>
      <c r="CL95" s="208">
        <f t="shared" si="84"/>
        <v>611.25324345600006</v>
      </c>
      <c r="CM95" s="112">
        <f t="shared" si="99"/>
        <v>611253.24345600011</v>
      </c>
      <c r="CN95" s="112">
        <f t="shared" si="100"/>
        <v>603240.33465600014</v>
      </c>
      <c r="CO95" s="112">
        <f t="shared" si="101"/>
        <v>603240.33465600014</v>
      </c>
      <c r="CP95" s="112">
        <f t="shared" si="102"/>
        <v>381631.70745600003</v>
      </c>
      <c r="CQ95" s="112">
        <f t="shared" si="103"/>
        <v>625052.25528000016</v>
      </c>
      <c r="CR95" s="112">
        <f t="shared" si="104"/>
        <v>625052.25528000016</v>
      </c>
      <c r="CS95" s="112">
        <f t="shared" si="105"/>
        <v>229621.53600000005</v>
      </c>
      <c r="CT95" s="112">
        <f t="shared" si="126"/>
        <v>1228292.5899360003</v>
      </c>
      <c r="CU95" s="124">
        <f t="shared" si="127"/>
        <v>6483192.0000000009</v>
      </c>
      <c r="CV95" s="112">
        <f t="shared" si="106"/>
        <v>0</v>
      </c>
      <c r="CW95" s="112">
        <f t="shared" si="107"/>
        <v>0</v>
      </c>
      <c r="CX95" s="112">
        <f t="shared" si="128"/>
        <v>0</v>
      </c>
      <c r="CY95" s="112">
        <f t="shared" si="108"/>
        <v>603240.33465600014</v>
      </c>
      <c r="CZ95" s="112">
        <f t="shared" si="109"/>
        <v>625052.25528000016</v>
      </c>
      <c r="DA95" s="625"/>
      <c r="DB95" s="128" t="e">
        <f t="shared" si="129"/>
        <v>#DIV/0!</v>
      </c>
      <c r="DC95" s="625"/>
      <c r="DD95" s="625"/>
      <c r="DE95" s="625"/>
      <c r="DF95" s="625"/>
      <c r="DG95" s="618">
        <f t="shared" si="110"/>
        <v>0</v>
      </c>
      <c r="DH95" s="618">
        <f t="shared" si="111"/>
        <v>0</v>
      </c>
      <c r="DI95" s="618">
        <f t="shared" si="112"/>
        <v>0</v>
      </c>
      <c r="DJ95" s="123"/>
    </row>
    <row r="96" spans="1:116" s="32" customFormat="1" ht="63.75" customHeight="1">
      <c r="A96" s="20">
        <f t="shared" si="130"/>
        <v>83</v>
      </c>
      <c r="B96" s="1556" t="s">
        <v>169</v>
      </c>
      <c r="C96" s="1502" t="s">
        <v>118</v>
      </c>
      <c r="D96" s="748" t="s">
        <v>141</v>
      </c>
      <c r="E96" s="617">
        <v>4632024035</v>
      </c>
      <c r="F96" s="803" t="s">
        <v>8</v>
      </c>
      <c r="G96" s="751" t="s">
        <v>890</v>
      </c>
      <c r="H96" s="816">
        <f t="shared" si="136"/>
        <v>3184.0320000000002</v>
      </c>
      <c r="I96" s="816">
        <f t="shared" si="136"/>
        <v>3184.0320000000002</v>
      </c>
      <c r="J96" s="38"/>
      <c r="K96" s="38"/>
      <c r="L96" s="816">
        <f>2653.36*1.2</f>
        <v>3184.0320000000002</v>
      </c>
      <c r="M96" s="10"/>
      <c r="N96" s="622">
        <f t="shared" si="138"/>
        <v>3299.1600000000003</v>
      </c>
      <c r="O96" s="622">
        <f t="shared" si="138"/>
        <v>3299.1600000000003</v>
      </c>
      <c r="P96" s="10"/>
      <c r="Q96" s="10"/>
      <c r="R96" s="622">
        <f>2749.3*1.2</f>
        <v>3299.1600000000003</v>
      </c>
      <c r="S96" s="10"/>
      <c r="T96" s="178">
        <v>659.21999999999991</v>
      </c>
      <c r="U96" s="16"/>
      <c r="V96" s="227"/>
      <c r="W96" s="16"/>
      <c r="X96" s="16"/>
      <c r="Y96" s="16"/>
      <c r="Z96" s="35">
        <f t="shared" si="131"/>
        <v>659.21999999999991</v>
      </c>
      <c r="AA96" s="178">
        <v>382.8</v>
      </c>
      <c r="AB96" s="16"/>
      <c r="AC96" s="227"/>
      <c r="AD96" s="16"/>
      <c r="AE96" s="16"/>
      <c r="AF96" s="16"/>
      <c r="AG96" s="35">
        <f t="shared" si="132"/>
        <v>382.8</v>
      </c>
      <c r="AH96" s="35">
        <f t="shared" si="113"/>
        <v>1042.02</v>
      </c>
      <c r="AI96" s="15">
        <f t="shared" si="134"/>
        <v>1042.02</v>
      </c>
      <c r="AJ96" s="15">
        <f t="shared" si="134"/>
        <v>0</v>
      </c>
      <c r="AK96" s="15">
        <f t="shared" si="134"/>
        <v>0</v>
      </c>
      <c r="AL96" s="15">
        <f t="shared" si="134"/>
        <v>0</v>
      </c>
      <c r="AM96" s="15">
        <f t="shared" si="133"/>
        <v>0</v>
      </c>
      <c r="AN96" s="15"/>
      <c r="AO96" s="15">
        <f t="shared" si="85"/>
        <v>1042.02</v>
      </c>
      <c r="AP96" s="15">
        <f t="shared" si="86"/>
        <v>1042.02</v>
      </c>
      <c r="AQ96" s="15">
        <f t="shared" si="81"/>
        <v>1042.02</v>
      </c>
      <c r="AR96" s="127">
        <f t="shared" si="114"/>
        <v>0</v>
      </c>
      <c r="AS96" s="112">
        <f t="shared" si="135"/>
        <v>3317825.02464</v>
      </c>
      <c r="AT96" s="112">
        <f t="shared" si="135"/>
        <v>0</v>
      </c>
      <c r="AU96" s="112">
        <f t="shared" si="135"/>
        <v>0</v>
      </c>
      <c r="AV96" s="112">
        <f t="shared" si="135"/>
        <v>0</v>
      </c>
      <c r="AW96" s="112">
        <f t="shared" si="135"/>
        <v>0</v>
      </c>
      <c r="AX96" s="112">
        <f t="shared" si="115"/>
        <v>3317825.02464</v>
      </c>
      <c r="AY96" s="112">
        <f t="shared" si="116"/>
        <v>3317825.02464</v>
      </c>
      <c r="AZ96" s="112">
        <f t="shared" si="137"/>
        <v>3437790.7032000003</v>
      </c>
      <c r="BA96" s="112">
        <f t="shared" si="137"/>
        <v>0</v>
      </c>
      <c r="BB96" s="112">
        <f t="shared" si="137"/>
        <v>0</v>
      </c>
      <c r="BC96" s="112">
        <f t="shared" si="137"/>
        <v>0</v>
      </c>
      <c r="BD96" s="112">
        <f t="shared" si="137"/>
        <v>0</v>
      </c>
      <c r="BE96" s="112">
        <f t="shared" si="117"/>
        <v>3437790.7032000003</v>
      </c>
      <c r="BF96" s="112">
        <f t="shared" si="118"/>
        <v>3437790.7032000003</v>
      </c>
      <c r="BG96" s="126"/>
      <c r="BH96" s="126"/>
      <c r="BI96" s="112">
        <f t="shared" si="80"/>
        <v>0</v>
      </c>
      <c r="BJ96" s="112"/>
      <c r="BK96" s="112"/>
      <c r="BL96" s="112">
        <f t="shared" si="89"/>
        <v>2098977.57504</v>
      </c>
      <c r="BM96" s="112">
        <f t="shared" si="89"/>
        <v>0</v>
      </c>
      <c r="BN96" s="112">
        <f t="shared" si="89"/>
        <v>0</v>
      </c>
      <c r="BO96" s="112">
        <f t="shared" si="89"/>
        <v>0</v>
      </c>
      <c r="BP96" s="112">
        <f t="shared" si="89"/>
        <v>0</v>
      </c>
      <c r="BQ96" s="112">
        <f t="shared" si="119"/>
        <v>2098977.57504</v>
      </c>
      <c r="BR96" s="112">
        <f t="shared" si="120"/>
        <v>2098977.57504</v>
      </c>
      <c r="BS96" s="112">
        <f t="shared" si="90"/>
        <v>1262918.4480000001</v>
      </c>
      <c r="BT96" s="112">
        <f t="shared" si="90"/>
        <v>0</v>
      </c>
      <c r="BU96" s="112">
        <f t="shared" si="90"/>
        <v>0</v>
      </c>
      <c r="BV96" s="112">
        <f t="shared" si="93"/>
        <v>0</v>
      </c>
      <c r="BW96" s="112">
        <f t="shared" si="94"/>
        <v>0</v>
      </c>
      <c r="BX96" s="112">
        <f t="shared" si="121"/>
        <v>1262918.4480000001</v>
      </c>
      <c r="BY96" s="112">
        <f t="shared" si="122"/>
        <v>1262918.4480000001</v>
      </c>
      <c r="BZ96" s="113">
        <f t="shared" si="91"/>
        <v>0</v>
      </c>
      <c r="CA96" s="113">
        <f t="shared" si="91"/>
        <v>0</v>
      </c>
      <c r="CB96" s="113">
        <f t="shared" si="123"/>
        <v>0</v>
      </c>
      <c r="CC96" s="119" t="e">
        <f t="shared" si="92"/>
        <v>#DIV/0!</v>
      </c>
      <c r="CD96" s="119" t="e">
        <f t="shared" si="92"/>
        <v>#DIV/0!</v>
      </c>
      <c r="CE96" s="119" t="e">
        <f t="shared" si="124"/>
        <v>#DIV/0!</v>
      </c>
      <c r="CF96" s="113" t="e">
        <f t="shared" si="95"/>
        <v>#DIV/0!</v>
      </c>
      <c r="CG96" s="619">
        <f t="shared" si="96"/>
        <v>0</v>
      </c>
      <c r="CH96" s="132" t="e">
        <f t="shared" si="125"/>
        <v>#DIV/0!</v>
      </c>
      <c r="CI96" s="625"/>
      <c r="CJ96" s="208">
        <f t="shared" si="97"/>
        <v>2098.9775750399999</v>
      </c>
      <c r="CK96" s="208">
        <f t="shared" si="98"/>
        <v>1262.9184480000001</v>
      </c>
      <c r="CL96" s="208">
        <f t="shared" si="84"/>
        <v>3361.8960230399998</v>
      </c>
      <c r="CM96" s="112">
        <f t="shared" si="99"/>
        <v>3361896.0230400003</v>
      </c>
      <c r="CN96" s="112">
        <f t="shared" si="100"/>
        <v>3317825.02464</v>
      </c>
      <c r="CO96" s="112">
        <f t="shared" si="101"/>
        <v>3317825.02464</v>
      </c>
      <c r="CP96" s="112">
        <f t="shared" si="102"/>
        <v>2098977.57504</v>
      </c>
      <c r="CQ96" s="112">
        <f t="shared" si="103"/>
        <v>3437790.7032000003</v>
      </c>
      <c r="CR96" s="112">
        <f t="shared" si="104"/>
        <v>3437790.7032000003</v>
      </c>
      <c r="CS96" s="112">
        <f t="shared" si="105"/>
        <v>1262918.4480000001</v>
      </c>
      <c r="CT96" s="112">
        <f t="shared" si="126"/>
        <v>6755615.7278400008</v>
      </c>
      <c r="CU96" s="124">
        <f t="shared" si="127"/>
        <v>6483192.0000000009</v>
      </c>
      <c r="CV96" s="112">
        <f t="shared" si="106"/>
        <v>0</v>
      </c>
      <c r="CW96" s="112">
        <f t="shared" si="107"/>
        <v>0</v>
      </c>
      <c r="CX96" s="112">
        <f t="shared" si="128"/>
        <v>0</v>
      </c>
      <c r="CY96" s="112">
        <f t="shared" si="108"/>
        <v>3317825.02464</v>
      </c>
      <c r="CZ96" s="112">
        <f t="shared" si="109"/>
        <v>3437790.7032000003</v>
      </c>
      <c r="DA96" s="625"/>
      <c r="DB96" s="128" t="e">
        <f t="shared" si="129"/>
        <v>#DIV/0!</v>
      </c>
      <c r="DC96" s="625"/>
      <c r="DD96" s="625"/>
      <c r="DE96" s="625"/>
      <c r="DF96" s="625"/>
      <c r="DG96" s="618">
        <f t="shared" si="110"/>
        <v>0</v>
      </c>
      <c r="DH96" s="618">
        <f t="shared" si="111"/>
        <v>0</v>
      </c>
      <c r="DI96" s="618">
        <f t="shared" si="112"/>
        <v>0</v>
      </c>
      <c r="DJ96" s="123"/>
    </row>
    <row r="97" spans="1:114" ht="72" hidden="1" customHeight="1">
      <c r="A97" s="20">
        <f t="shared" si="130"/>
        <v>84</v>
      </c>
      <c r="B97" s="1556"/>
      <c r="C97" s="1504"/>
      <c r="D97" s="696" t="s">
        <v>140</v>
      </c>
      <c r="E97" s="696">
        <v>4622005001</v>
      </c>
      <c r="F97" s="696" t="s">
        <v>8</v>
      </c>
      <c r="G97" s="757" t="s">
        <v>899</v>
      </c>
      <c r="H97" s="38">
        <v>3231.87</v>
      </c>
      <c r="I97" s="38">
        <v>3231.87</v>
      </c>
      <c r="J97" s="38">
        <v>3199.41</v>
      </c>
      <c r="K97" s="38">
        <v>0</v>
      </c>
      <c r="L97" s="38">
        <v>0</v>
      </c>
      <c r="M97" s="10">
        <v>0</v>
      </c>
      <c r="N97" s="10">
        <v>3596.04</v>
      </c>
      <c r="O97" s="10">
        <v>3596.04</v>
      </c>
      <c r="P97" s="10">
        <v>3407.05</v>
      </c>
      <c r="Q97" s="10">
        <v>0</v>
      </c>
      <c r="R97" s="10">
        <v>0</v>
      </c>
      <c r="S97" s="10">
        <v>0</v>
      </c>
      <c r="T97" s="15">
        <v>726</v>
      </c>
      <c r="U97" s="15">
        <v>82.8</v>
      </c>
      <c r="V97" s="208">
        <v>0</v>
      </c>
      <c r="W97" s="15">
        <v>0</v>
      </c>
      <c r="X97" s="15">
        <v>0</v>
      </c>
      <c r="Y97" s="15">
        <v>0</v>
      </c>
      <c r="Z97" s="35">
        <f>SUM(T97:W97)</f>
        <v>808.8</v>
      </c>
      <c r="AA97" s="15">
        <v>484</v>
      </c>
      <c r="AB97" s="15">
        <v>55.2</v>
      </c>
      <c r="AC97" s="208">
        <v>0</v>
      </c>
      <c r="AD97" s="15">
        <v>0</v>
      </c>
      <c r="AE97" s="15">
        <v>0</v>
      </c>
      <c r="AF97" s="15">
        <v>0</v>
      </c>
      <c r="AG97" s="35">
        <f t="shared" si="132"/>
        <v>539.20000000000005</v>
      </c>
      <c r="AH97" s="35">
        <f t="shared" si="113"/>
        <v>1348</v>
      </c>
      <c r="AI97" s="15">
        <f t="shared" si="134"/>
        <v>1210</v>
      </c>
      <c r="AJ97" s="15">
        <f t="shared" si="134"/>
        <v>138</v>
      </c>
      <c r="AK97" s="15">
        <f t="shared" si="134"/>
        <v>0</v>
      </c>
      <c r="AL97" s="15">
        <f t="shared" si="134"/>
        <v>0</v>
      </c>
      <c r="AM97" s="15">
        <f t="shared" si="133"/>
        <v>0</v>
      </c>
      <c r="AN97" s="15"/>
      <c r="AO97" s="15">
        <f t="shared" si="85"/>
        <v>1348</v>
      </c>
      <c r="AP97" s="15">
        <f t="shared" si="86"/>
        <v>1348</v>
      </c>
      <c r="AQ97" s="15">
        <f t="shared" si="81"/>
        <v>1348</v>
      </c>
      <c r="AR97" s="127">
        <f t="shared" si="114"/>
        <v>0</v>
      </c>
      <c r="AS97" s="112">
        <f t="shared" si="135"/>
        <v>3910562.6999999997</v>
      </c>
      <c r="AT97" s="112">
        <f t="shared" si="135"/>
        <v>441518.57999999996</v>
      </c>
      <c r="AU97" s="112">
        <f t="shared" si="135"/>
        <v>0</v>
      </c>
      <c r="AV97" s="112">
        <f t="shared" si="135"/>
        <v>0</v>
      </c>
      <c r="AW97" s="112">
        <f t="shared" si="135"/>
        <v>0</v>
      </c>
      <c r="AX97" s="112">
        <f t="shared" si="115"/>
        <v>4352081.2799999993</v>
      </c>
      <c r="AY97" s="112">
        <f t="shared" si="116"/>
        <v>4352081.2799999993</v>
      </c>
      <c r="AZ97" s="112">
        <f t="shared" si="137"/>
        <v>4351208.4000000004</v>
      </c>
      <c r="BA97" s="112">
        <f t="shared" si="137"/>
        <v>470172.9</v>
      </c>
      <c r="BB97" s="112">
        <f t="shared" si="137"/>
        <v>0</v>
      </c>
      <c r="BC97" s="112">
        <f t="shared" si="137"/>
        <v>0</v>
      </c>
      <c r="BD97" s="112">
        <f t="shared" si="137"/>
        <v>0</v>
      </c>
      <c r="BE97" s="112">
        <f t="shared" si="117"/>
        <v>4821381.3000000007</v>
      </c>
      <c r="BF97" s="112">
        <f t="shared" si="118"/>
        <v>4821381.3000000007</v>
      </c>
      <c r="BG97" s="112">
        <v>0</v>
      </c>
      <c r="BH97" s="112">
        <v>0</v>
      </c>
      <c r="BI97" s="112">
        <f t="shared" si="80"/>
        <v>0</v>
      </c>
      <c r="BJ97" s="112">
        <v>4539.8</v>
      </c>
      <c r="BK97" s="112">
        <v>6569.21</v>
      </c>
      <c r="BL97" s="112">
        <f t="shared" si="89"/>
        <v>2346337.62</v>
      </c>
      <c r="BM97" s="112">
        <f t="shared" si="89"/>
        <v>264911.14799999999</v>
      </c>
      <c r="BN97" s="112">
        <f t="shared" si="89"/>
        <v>0</v>
      </c>
      <c r="BO97" s="112">
        <f t="shared" si="89"/>
        <v>0</v>
      </c>
      <c r="BP97" s="112">
        <f t="shared" si="89"/>
        <v>0</v>
      </c>
      <c r="BQ97" s="112">
        <f t="shared" si="119"/>
        <v>2611248.7680000002</v>
      </c>
      <c r="BR97" s="112">
        <f t="shared" si="120"/>
        <v>2611248.7680000002</v>
      </c>
      <c r="BS97" s="112">
        <f t="shared" si="90"/>
        <v>1740483.3599999999</v>
      </c>
      <c r="BT97" s="112">
        <f t="shared" si="90"/>
        <v>188069.16000000003</v>
      </c>
      <c r="BU97" s="112">
        <f t="shared" si="90"/>
        <v>0</v>
      </c>
      <c r="BV97" s="112">
        <f t="shared" si="93"/>
        <v>0</v>
      </c>
      <c r="BW97" s="112">
        <f t="shared" si="94"/>
        <v>0</v>
      </c>
      <c r="BX97" s="112">
        <f t="shared" si="121"/>
        <v>1928552.52</v>
      </c>
      <c r="BY97" s="112">
        <f t="shared" si="122"/>
        <v>1928552.52</v>
      </c>
      <c r="BZ97" s="113">
        <f t="shared" si="91"/>
        <v>452980.30800000002</v>
      </c>
      <c r="CA97" s="113">
        <f t="shared" si="91"/>
        <v>0</v>
      </c>
      <c r="CB97" s="113">
        <f t="shared" si="123"/>
        <v>452980.30800000002</v>
      </c>
      <c r="CC97" s="119">
        <f t="shared" si="92"/>
        <v>3282.4660000000003</v>
      </c>
      <c r="CD97" s="119" t="e">
        <f t="shared" si="92"/>
        <v>#DIV/0!</v>
      </c>
      <c r="CE97" s="119">
        <f t="shared" si="124"/>
        <v>3282.4660000000003</v>
      </c>
      <c r="CF97" s="113">
        <f t="shared" si="95"/>
        <v>3282.4660000000003</v>
      </c>
      <c r="CG97" s="619">
        <f t="shared" si="96"/>
        <v>466100.24400000001</v>
      </c>
      <c r="CH97" s="132">
        <f t="shared" si="125"/>
        <v>3377.538</v>
      </c>
      <c r="CI97" s="106"/>
      <c r="CJ97" s="112">
        <f t="shared" si="97"/>
        <v>2613.9364559999999</v>
      </c>
      <c r="CK97" s="112">
        <f t="shared" si="98"/>
        <v>1938.9847680000003</v>
      </c>
      <c r="CL97" s="112">
        <f t="shared" si="84"/>
        <v>4552.9212239999997</v>
      </c>
      <c r="CM97" s="112">
        <f t="shared" si="99"/>
        <v>4552921.2239999995</v>
      </c>
      <c r="CN97" s="112">
        <f t="shared" si="100"/>
        <v>4352081.2799999993</v>
      </c>
      <c r="CO97" s="112">
        <f t="shared" si="101"/>
        <v>4352081.2799999993</v>
      </c>
      <c r="CP97" s="112">
        <f t="shared" si="102"/>
        <v>2611248.7680000002</v>
      </c>
      <c r="CQ97" s="112">
        <f t="shared" si="103"/>
        <v>4821381.3000000007</v>
      </c>
      <c r="CR97" s="112">
        <f t="shared" si="104"/>
        <v>4821381.3000000007</v>
      </c>
      <c r="CS97" s="112">
        <f t="shared" si="105"/>
        <v>1928552.52</v>
      </c>
      <c r="CT97" s="112">
        <f t="shared" si="126"/>
        <v>9173462.5800000001</v>
      </c>
      <c r="CU97" s="124">
        <f t="shared" si="127"/>
        <v>6805239.3026706232</v>
      </c>
      <c r="CV97" s="112">
        <f t="shared" si="106"/>
        <v>441518.57999999996</v>
      </c>
      <c r="CW97" s="112">
        <f t="shared" si="107"/>
        <v>470172.9</v>
      </c>
      <c r="CX97" s="112">
        <f t="shared" si="128"/>
        <v>911691.48</v>
      </c>
      <c r="CY97" s="112">
        <f t="shared" si="108"/>
        <v>4356560.76</v>
      </c>
      <c r="CZ97" s="112">
        <f t="shared" si="109"/>
        <v>4847461.92</v>
      </c>
      <c r="DA97" s="106"/>
      <c r="DB97" s="128">
        <f t="shared" si="129"/>
        <v>112.39697319193228</v>
      </c>
      <c r="DC97" s="106"/>
      <c r="DD97" s="106"/>
      <c r="DE97" s="106"/>
      <c r="DF97" s="106"/>
      <c r="DG97" s="618">
        <f t="shared" si="110"/>
        <v>0</v>
      </c>
      <c r="DH97" s="618">
        <f t="shared" si="111"/>
        <v>0</v>
      </c>
      <c r="DI97" s="618">
        <f t="shared" si="112"/>
        <v>0</v>
      </c>
      <c r="DJ97" s="106"/>
    </row>
    <row r="98" spans="1:114" s="789" customFormat="1" ht="75" hidden="1" customHeight="1">
      <c r="A98" s="778">
        <f t="shared" si="130"/>
        <v>85</v>
      </c>
      <c r="B98" s="779" t="s">
        <v>34</v>
      </c>
      <c r="C98" s="779" t="s">
        <v>66</v>
      </c>
      <c r="D98" s="780" t="s">
        <v>35</v>
      </c>
      <c r="E98" s="780">
        <v>4623002116</v>
      </c>
      <c r="F98" s="780" t="s">
        <v>8</v>
      </c>
      <c r="G98" s="781" t="s">
        <v>884</v>
      </c>
      <c r="H98" s="782">
        <v>3082.65</v>
      </c>
      <c r="I98" s="782">
        <v>3082.65</v>
      </c>
      <c r="J98" s="782">
        <v>3082.65</v>
      </c>
      <c r="K98" s="782"/>
      <c r="L98" s="782">
        <v>3082.65</v>
      </c>
      <c r="M98" s="782"/>
      <c r="N98" s="782">
        <v>3193.85</v>
      </c>
      <c r="O98" s="782">
        <v>3193.85</v>
      </c>
      <c r="P98" s="782">
        <v>3193.85</v>
      </c>
      <c r="Q98" s="782"/>
      <c r="R98" s="782">
        <v>3193.85</v>
      </c>
      <c r="S98" s="782"/>
      <c r="T98" s="794">
        <f>4855.8-T99-T100</f>
        <v>2547.7000000000003</v>
      </c>
      <c r="U98" s="794">
        <v>24.8</v>
      </c>
      <c r="V98" s="794">
        <v>0</v>
      </c>
      <c r="W98" s="794">
        <v>30.2</v>
      </c>
      <c r="X98" s="794"/>
      <c r="Y98" s="794"/>
      <c r="Z98" s="795">
        <f t="shared" si="131"/>
        <v>2602.7000000000003</v>
      </c>
      <c r="AA98" s="794">
        <f>3511-AA99-AA100</f>
        <v>1638.8000000000002</v>
      </c>
      <c r="AB98" s="794">
        <v>18.7</v>
      </c>
      <c r="AC98" s="794">
        <v>0</v>
      </c>
      <c r="AD98" s="794">
        <v>26.8</v>
      </c>
      <c r="AE98" s="794"/>
      <c r="AF98" s="794">
        <v>0</v>
      </c>
      <c r="AG98" s="795">
        <f t="shared" si="132"/>
        <v>1684.3000000000002</v>
      </c>
      <c r="AH98" s="795">
        <f t="shared" si="113"/>
        <v>4287</v>
      </c>
      <c r="AI98" s="794">
        <f t="shared" si="134"/>
        <v>4186.5</v>
      </c>
      <c r="AJ98" s="794">
        <f t="shared" si="134"/>
        <v>43.5</v>
      </c>
      <c r="AK98" s="794">
        <f t="shared" si="134"/>
        <v>0</v>
      </c>
      <c r="AL98" s="794">
        <f t="shared" si="134"/>
        <v>57</v>
      </c>
      <c r="AM98" s="794">
        <f t="shared" si="133"/>
        <v>0</v>
      </c>
      <c r="AN98" s="794"/>
      <c r="AO98" s="794">
        <f t="shared" si="85"/>
        <v>4287</v>
      </c>
      <c r="AP98" s="794">
        <f t="shared" si="86"/>
        <v>4287</v>
      </c>
      <c r="AQ98" s="796">
        <f t="shared" si="81"/>
        <v>4287</v>
      </c>
      <c r="AR98" s="784">
        <f t="shared" si="114"/>
        <v>0</v>
      </c>
      <c r="AS98" s="783">
        <f t="shared" si="135"/>
        <v>12905514.225</v>
      </c>
      <c r="AT98" s="783">
        <f t="shared" si="135"/>
        <v>134095.27499999999</v>
      </c>
      <c r="AU98" s="783">
        <f t="shared" si="135"/>
        <v>0</v>
      </c>
      <c r="AV98" s="783">
        <f t="shared" si="135"/>
        <v>175711.05000000002</v>
      </c>
      <c r="AW98" s="783">
        <f t="shared" si="135"/>
        <v>0</v>
      </c>
      <c r="AX98" s="783">
        <f t="shared" si="115"/>
        <v>13215320.550000001</v>
      </c>
      <c r="AY98" s="783">
        <f t="shared" si="116"/>
        <v>13215320.550000001</v>
      </c>
      <c r="AZ98" s="783">
        <f t="shared" si="137"/>
        <v>13371053.025</v>
      </c>
      <c r="BA98" s="783">
        <f t="shared" si="137"/>
        <v>138932.47500000001</v>
      </c>
      <c r="BB98" s="783">
        <f t="shared" si="137"/>
        <v>0</v>
      </c>
      <c r="BC98" s="783">
        <f t="shared" si="137"/>
        <v>182049.44999999998</v>
      </c>
      <c r="BD98" s="783">
        <f t="shared" si="137"/>
        <v>0</v>
      </c>
      <c r="BE98" s="783">
        <f t="shared" si="117"/>
        <v>13692034.949999999</v>
      </c>
      <c r="BF98" s="783">
        <f t="shared" si="118"/>
        <v>13692034.949999999</v>
      </c>
      <c r="BG98" s="783">
        <v>0</v>
      </c>
      <c r="BH98" s="783">
        <v>0</v>
      </c>
      <c r="BI98" s="783">
        <f t="shared" si="80"/>
        <v>0</v>
      </c>
      <c r="BJ98" s="783">
        <v>26497.19</v>
      </c>
      <c r="BK98" s="783">
        <v>27529.4</v>
      </c>
      <c r="BL98" s="783">
        <f t="shared" si="89"/>
        <v>7853667.4050000012</v>
      </c>
      <c r="BM98" s="783">
        <f t="shared" si="89"/>
        <v>76449.72</v>
      </c>
      <c r="BN98" s="783">
        <f t="shared" si="89"/>
        <v>0</v>
      </c>
      <c r="BO98" s="783">
        <f t="shared" si="89"/>
        <v>93096.03</v>
      </c>
      <c r="BP98" s="783">
        <f t="shared" si="89"/>
        <v>0</v>
      </c>
      <c r="BQ98" s="783">
        <f t="shared" si="119"/>
        <v>8023213.1550000012</v>
      </c>
      <c r="BR98" s="783">
        <f t="shared" si="120"/>
        <v>8023213.1550000012</v>
      </c>
      <c r="BS98" s="783">
        <f t="shared" si="90"/>
        <v>5234081.3800000008</v>
      </c>
      <c r="BT98" s="783">
        <f t="shared" si="90"/>
        <v>59724.994999999995</v>
      </c>
      <c r="BU98" s="783">
        <f t="shared" si="90"/>
        <v>0</v>
      </c>
      <c r="BV98" s="783">
        <f t="shared" si="93"/>
        <v>96454.26999999999</v>
      </c>
      <c r="BW98" s="783">
        <f t="shared" si="94"/>
        <v>0</v>
      </c>
      <c r="BX98" s="783">
        <f t="shared" si="121"/>
        <v>5390260.6450000005</v>
      </c>
      <c r="BY98" s="783">
        <f t="shared" si="122"/>
        <v>5390260.6450000005</v>
      </c>
      <c r="BZ98" s="785">
        <f t="shared" si="91"/>
        <v>136174.715</v>
      </c>
      <c r="CA98" s="785">
        <f t="shared" si="91"/>
        <v>0</v>
      </c>
      <c r="CB98" s="785">
        <f t="shared" si="123"/>
        <v>136174.715</v>
      </c>
      <c r="CC98" s="786">
        <f t="shared" si="92"/>
        <v>3130.4532183908045</v>
      </c>
      <c r="CD98" s="786" t="e">
        <f t="shared" si="92"/>
        <v>#DIV/0!</v>
      </c>
      <c r="CE98" s="786">
        <f t="shared" si="124"/>
        <v>3130.4532183908045</v>
      </c>
      <c r="CF98" s="786">
        <f t="shared" si="95"/>
        <v>3130.4532183908045</v>
      </c>
      <c r="CG98" s="787">
        <f t="shared" si="96"/>
        <v>136174.715</v>
      </c>
      <c r="CH98" s="788">
        <f t="shared" si="125"/>
        <v>3130.4532183908045</v>
      </c>
      <c r="CJ98" s="783">
        <f t="shared" si="97"/>
        <v>8023.2131550000013</v>
      </c>
      <c r="CK98" s="783">
        <f t="shared" si="98"/>
        <v>5379.4015550000004</v>
      </c>
      <c r="CL98" s="783">
        <f t="shared" si="84"/>
        <v>13402.614710000002</v>
      </c>
      <c r="CM98" s="783">
        <f t="shared" si="99"/>
        <v>13402614.710000001</v>
      </c>
      <c r="CN98" s="783">
        <f t="shared" si="100"/>
        <v>13215320.550000001</v>
      </c>
      <c r="CO98" s="783">
        <f t="shared" si="101"/>
        <v>13215320.550000001</v>
      </c>
      <c r="CP98" s="783">
        <f t="shared" si="102"/>
        <v>8023213.1550000012</v>
      </c>
      <c r="CQ98" s="783">
        <f t="shared" si="103"/>
        <v>13692034.949999999</v>
      </c>
      <c r="CR98" s="783">
        <f t="shared" si="104"/>
        <v>13692034.949999999</v>
      </c>
      <c r="CS98" s="783">
        <f t="shared" si="105"/>
        <v>5379401.5550000006</v>
      </c>
      <c r="CT98" s="783">
        <f t="shared" si="126"/>
        <v>26907355.5</v>
      </c>
      <c r="CU98" s="790">
        <f t="shared" si="127"/>
        <v>6276500</v>
      </c>
      <c r="CV98" s="783">
        <f t="shared" si="106"/>
        <v>134095.27499999999</v>
      </c>
      <c r="CW98" s="783">
        <f t="shared" si="107"/>
        <v>138932.47500000001</v>
      </c>
      <c r="CX98" s="783">
        <f t="shared" si="128"/>
        <v>273027.75</v>
      </c>
      <c r="CY98" s="783">
        <f t="shared" si="108"/>
        <v>13215320.550000001</v>
      </c>
      <c r="CZ98" s="783">
        <f t="shared" si="109"/>
        <v>13692034.949999999</v>
      </c>
      <c r="DB98" s="791">
        <f t="shared" si="129"/>
        <v>103.60728593904594</v>
      </c>
      <c r="DG98" s="792">
        <f t="shared" si="110"/>
        <v>0</v>
      </c>
      <c r="DH98" s="792">
        <f t="shared" si="111"/>
        <v>0</v>
      </c>
      <c r="DI98" s="792">
        <f t="shared" si="112"/>
        <v>0</v>
      </c>
    </row>
    <row r="99" spans="1:114" s="789" customFormat="1" ht="75" hidden="1" customHeight="1">
      <c r="A99" s="778"/>
      <c r="B99" s="779" t="s">
        <v>34</v>
      </c>
      <c r="C99" s="779" t="s">
        <v>913</v>
      </c>
      <c r="D99" s="780" t="s">
        <v>35</v>
      </c>
      <c r="E99" s="780">
        <v>4623002116</v>
      </c>
      <c r="F99" s="780" t="s">
        <v>8</v>
      </c>
      <c r="G99" s="781" t="s">
        <v>884</v>
      </c>
      <c r="H99" s="793">
        <v>3082.65</v>
      </c>
      <c r="I99" s="793">
        <v>3082.65</v>
      </c>
      <c r="J99" s="793">
        <v>3082.65</v>
      </c>
      <c r="K99" s="793"/>
      <c r="L99" s="793">
        <v>3082.65</v>
      </c>
      <c r="M99" s="793"/>
      <c r="N99" s="793">
        <v>3193.85</v>
      </c>
      <c r="O99" s="793">
        <v>3193.85</v>
      </c>
      <c r="P99" s="793">
        <v>3193.85</v>
      </c>
      <c r="Q99" s="793"/>
      <c r="R99" s="793">
        <v>3193.85</v>
      </c>
      <c r="S99" s="793"/>
      <c r="T99" s="794">
        <v>1669.1</v>
      </c>
      <c r="U99" s="794">
        <v>0</v>
      </c>
      <c r="V99" s="794">
        <v>0</v>
      </c>
      <c r="W99" s="794">
        <v>0</v>
      </c>
      <c r="X99" s="794"/>
      <c r="Y99" s="794"/>
      <c r="Z99" s="795">
        <f t="shared" si="131"/>
        <v>1669.1</v>
      </c>
      <c r="AA99" s="794">
        <v>1232.5999999999999</v>
      </c>
      <c r="AB99" s="794">
        <v>0</v>
      </c>
      <c r="AC99" s="794">
        <v>0</v>
      </c>
      <c r="AD99" s="794">
        <v>0</v>
      </c>
      <c r="AE99" s="794">
        <v>0</v>
      </c>
      <c r="AF99" s="794"/>
      <c r="AG99" s="795">
        <f t="shared" si="132"/>
        <v>1232.5999999999999</v>
      </c>
      <c r="AH99" s="795">
        <f t="shared" si="113"/>
        <v>2901.7</v>
      </c>
      <c r="AI99" s="794">
        <f t="shared" si="134"/>
        <v>2901.7</v>
      </c>
      <c r="AJ99" s="794">
        <f t="shared" si="134"/>
        <v>0</v>
      </c>
      <c r="AK99" s="794">
        <f t="shared" si="134"/>
        <v>0</v>
      </c>
      <c r="AL99" s="794">
        <f t="shared" si="134"/>
        <v>0</v>
      </c>
      <c r="AM99" s="794">
        <f t="shared" si="133"/>
        <v>0</v>
      </c>
      <c r="AN99" s="794"/>
      <c r="AO99" s="794">
        <f>SUM(AI99:AN99)</f>
        <v>2901.7</v>
      </c>
      <c r="AP99" s="794">
        <f>SUM(AI99:AM99)</f>
        <v>2901.7</v>
      </c>
      <c r="AQ99" s="796">
        <f>SUM(AI99:AL99)</f>
        <v>2901.7</v>
      </c>
      <c r="AR99" s="784"/>
      <c r="AS99" s="783">
        <f t="shared" si="135"/>
        <v>8944925.504999999</v>
      </c>
      <c r="AT99" s="783"/>
      <c r="AU99" s="783"/>
      <c r="AV99" s="783"/>
      <c r="AW99" s="783"/>
      <c r="AX99" s="783"/>
      <c r="AY99" s="783"/>
      <c r="AZ99" s="783">
        <f t="shared" si="137"/>
        <v>9267594.5449999999</v>
      </c>
      <c r="BA99" s="783"/>
      <c r="BB99" s="783"/>
      <c r="BC99" s="783"/>
      <c r="BD99" s="783"/>
      <c r="BE99" s="783"/>
      <c r="BF99" s="783"/>
      <c r="BG99" s="783"/>
      <c r="BH99" s="783"/>
      <c r="BI99" s="783"/>
      <c r="BJ99" s="783"/>
      <c r="BK99" s="783"/>
      <c r="BL99" s="783">
        <f t="shared" si="89"/>
        <v>5145251.1150000002</v>
      </c>
      <c r="BM99" s="783"/>
      <c r="BN99" s="783"/>
      <c r="BO99" s="783"/>
      <c r="BP99" s="783"/>
      <c r="BQ99" s="783"/>
      <c r="BR99" s="783"/>
      <c r="BS99" s="783">
        <f t="shared" si="90"/>
        <v>3936739.51</v>
      </c>
      <c r="BT99" s="783"/>
      <c r="BU99" s="783"/>
      <c r="BV99" s="783"/>
      <c r="BW99" s="783"/>
      <c r="BX99" s="783"/>
      <c r="BY99" s="783"/>
      <c r="BZ99" s="785"/>
      <c r="CA99" s="785"/>
      <c r="CB99" s="785"/>
      <c r="CC99" s="786"/>
      <c r="CD99" s="786"/>
      <c r="CE99" s="786"/>
      <c r="CF99" s="786"/>
      <c r="CG99" s="787"/>
      <c r="CH99" s="788"/>
      <c r="CJ99" s="783"/>
      <c r="CK99" s="783"/>
      <c r="CL99" s="783"/>
      <c r="CM99" s="783"/>
      <c r="CN99" s="783"/>
      <c r="CO99" s="783"/>
      <c r="CP99" s="783"/>
      <c r="CQ99" s="783"/>
      <c r="CR99" s="783"/>
      <c r="CS99" s="783"/>
      <c r="CT99" s="783"/>
      <c r="CU99" s="790"/>
      <c r="CV99" s="783"/>
      <c r="CW99" s="783"/>
      <c r="CX99" s="783"/>
      <c r="CY99" s="783"/>
      <c r="CZ99" s="783"/>
      <c r="DB99" s="791"/>
      <c r="DG99" s="792"/>
      <c r="DH99" s="792"/>
      <c r="DI99" s="792"/>
    </row>
    <row r="100" spans="1:114" s="789" customFormat="1" ht="75" hidden="1" customHeight="1">
      <c r="A100" s="778"/>
      <c r="B100" s="779" t="s">
        <v>34</v>
      </c>
      <c r="C100" s="779" t="s">
        <v>912</v>
      </c>
      <c r="D100" s="780" t="s">
        <v>35</v>
      </c>
      <c r="E100" s="780">
        <v>4623002116</v>
      </c>
      <c r="F100" s="780" t="s">
        <v>8</v>
      </c>
      <c r="G100" s="781" t="s">
        <v>884</v>
      </c>
      <c r="H100" s="793">
        <v>3082.65</v>
      </c>
      <c r="I100" s="793">
        <v>3082.65</v>
      </c>
      <c r="J100" s="793">
        <v>3082.65</v>
      </c>
      <c r="K100" s="793"/>
      <c r="L100" s="793">
        <v>3082.65</v>
      </c>
      <c r="M100" s="793"/>
      <c r="N100" s="793">
        <v>3193.85</v>
      </c>
      <c r="O100" s="793">
        <v>3193.85</v>
      </c>
      <c r="P100" s="793">
        <v>3193.85</v>
      </c>
      <c r="Q100" s="793"/>
      <c r="R100" s="793">
        <v>3193.85</v>
      </c>
      <c r="S100" s="793"/>
      <c r="T100" s="794">
        <v>639</v>
      </c>
      <c r="U100" s="794">
        <v>0</v>
      </c>
      <c r="V100" s="794">
        <v>0</v>
      </c>
      <c r="W100" s="794">
        <v>0</v>
      </c>
      <c r="X100" s="794"/>
      <c r="Y100" s="794"/>
      <c r="Z100" s="795">
        <f t="shared" si="131"/>
        <v>639</v>
      </c>
      <c r="AA100" s="794">
        <v>639.6</v>
      </c>
      <c r="AB100" s="794">
        <v>0</v>
      </c>
      <c r="AC100" s="794">
        <v>0</v>
      </c>
      <c r="AD100" s="794">
        <v>0</v>
      </c>
      <c r="AE100" s="794"/>
      <c r="AF100" s="794"/>
      <c r="AG100" s="795">
        <f t="shared" si="132"/>
        <v>639.6</v>
      </c>
      <c r="AH100" s="795">
        <f t="shared" si="113"/>
        <v>1278.5999999999999</v>
      </c>
      <c r="AI100" s="794">
        <f t="shared" si="134"/>
        <v>1278.5999999999999</v>
      </c>
      <c r="AJ100" s="794">
        <f t="shared" si="134"/>
        <v>0</v>
      </c>
      <c r="AK100" s="794">
        <f t="shared" si="134"/>
        <v>0</v>
      </c>
      <c r="AL100" s="794">
        <f t="shared" si="134"/>
        <v>0</v>
      </c>
      <c r="AM100" s="794">
        <f t="shared" si="133"/>
        <v>0</v>
      </c>
      <c r="AN100" s="794"/>
      <c r="AO100" s="794">
        <f>SUM(AI100:AN100)</f>
        <v>1278.5999999999999</v>
      </c>
      <c r="AP100" s="794">
        <f>SUM(AI100:AM100)</f>
        <v>1278.5999999999999</v>
      </c>
      <c r="AQ100" s="796">
        <f>SUM(AI100:AL100)</f>
        <v>1278.5999999999999</v>
      </c>
      <c r="AR100" s="784"/>
      <c r="AS100" s="783"/>
      <c r="AT100" s="783"/>
      <c r="AU100" s="783"/>
      <c r="AV100" s="783"/>
      <c r="AW100" s="783"/>
      <c r="AX100" s="783"/>
      <c r="AY100" s="783"/>
      <c r="AZ100" s="783"/>
      <c r="BA100" s="783"/>
      <c r="BB100" s="783"/>
      <c r="BC100" s="783"/>
      <c r="BD100" s="783"/>
      <c r="BE100" s="783"/>
      <c r="BF100" s="783"/>
      <c r="BG100" s="783"/>
      <c r="BH100" s="783"/>
      <c r="BI100" s="783"/>
      <c r="BJ100" s="783"/>
      <c r="BK100" s="783"/>
      <c r="BL100" s="783"/>
      <c r="BM100" s="783"/>
      <c r="BN100" s="783"/>
      <c r="BO100" s="783"/>
      <c r="BP100" s="783"/>
      <c r="BQ100" s="783"/>
      <c r="BR100" s="783"/>
      <c r="BS100" s="783"/>
      <c r="BT100" s="783"/>
      <c r="BU100" s="783"/>
      <c r="BV100" s="783"/>
      <c r="BW100" s="783"/>
      <c r="BX100" s="783"/>
      <c r="BY100" s="783"/>
      <c r="BZ100" s="785"/>
      <c r="CA100" s="785"/>
      <c r="CB100" s="785"/>
      <c r="CC100" s="786"/>
      <c r="CD100" s="786"/>
      <c r="CE100" s="786"/>
      <c r="CF100" s="786"/>
      <c r="CG100" s="787"/>
      <c r="CH100" s="788"/>
      <c r="CJ100" s="783"/>
      <c r="CK100" s="783"/>
      <c r="CL100" s="783"/>
      <c r="CM100" s="783"/>
      <c r="CN100" s="783"/>
      <c r="CO100" s="783"/>
      <c r="CP100" s="783"/>
      <c r="CQ100" s="783"/>
      <c r="CR100" s="783"/>
      <c r="CS100" s="783"/>
      <c r="CT100" s="783"/>
      <c r="CU100" s="790"/>
      <c r="CV100" s="783"/>
      <c r="CW100" s="783"/>
      <c r="CX100" s="783"/>
      <c r="CY100" s="783"/>
      <c r="CZ100" s="783"/>
      <c r="DB100" s="791"/>
      <c r="DG100" s="792"/>
      <c r="DH100" s="792"/>
      <c r="DI100" s="792"/>
    </row>
    <row r="101" spans="1:114" s="32" customFormat="1" ht="67.5" customHeight="1">
      <c r="A101" s="20">
        <f>A98+1</f>
        <v>86</v>
      </c>
      <c r="B101" s="22" t="s">
        <v>36</v>
      </c>
      <c r="C101" s="22" t="s">
        <v>119</v>
      </c>
      <c r="D101" s="748" t="s">
        <v>146</v>
      </c>
      <c r="E101" s="617">
        <v>4632024035</v>
      </c>
      <c r="F101" s="803" t="s">
        <v>8</v>
      </c>
      <c r="G101" s="751" t="s">
        <v>890</v>
      </c>
      <c r="H101" s="816">
        <f>2653.36*1.2</f>
        <v>3184.0320000000002</v>
      </c>
      <c r="I101" s="816">
        <f>2653.36*1.2</f>
        <v>3184.0320000000002</v>
      </c>
      <c r="J101" s="38">
        <v>2103.35</v>
      </c>
      <c r="K101" s="38"/>
      <c r="L101" s="816">
        <f>2653.36*1.2</f>
        <v>3184.0320000000002</v>
      </c>
      <c r="M101" s="38"/>
      <c r="N101" s="622">
        <f>2749.3*1.2</f>
        <v>3299.1600000000003</v>
      </c>
      <c r="O101" s="622">
        <f>2749.3*1.2</f>
        <v>3299.1600000000003</v>
      </c>
      <c r="P101" s="38">
        <v>2239.86</v>
      </c>
      <c r="Q101" s="38"/>
      <c r="R101" s="622">
        <f>2749.3*1.2</f>
        <v>3299.1600000000003</v>
      </c>
      <c r="S101" s="38"/>
      <c r="T101" s="648">
        <v>2289.1999999999998</v>
      </c>
      <c r="U101" s="650">
        <v>62.4</v>
      </c>
      <c r="V101" s="227"/>
      <c r="W101" s="16"/>
      <c r="X101" s="16"/>
      <c r="Y101" s="16"/>
      <c r="Z101" s="178">
        <f t="shared" si="131"/>
        <v>2351.6</v>
      </c>
      <c r="AA101" s="178">
        <v>1329.3000000000002</v>
      </c>
      <c r="AB101" s="16">
        <v>46.8</v>
      </c>
      <c r="AC101" s="227"/>
      <c r="AD101" s="16"/>
      <c r="AE101" s="16"/>
      <c r="AF101" s="16"/>
      <c r="AG101" s="178">
        <f t="shared" si="132"/>
        <v>1376.1000000000001</v>
      </c>
      <c r="AH101" s="178">
        <f t="shared" si="113"/>
        <v>3727.7</v>
      </c>
      <c r="AI101" s="16">
        <f t="shared" si="134"/>
        <v>3618.5</v>
      </c>
      <c r="AJ101" s="16">
        <f t="shared" si="134"/>
        <v>109.19999999999999</v>
      </c>
      <c r="AK101" s="16">
        <f t="shared" si="134"/>
        <v>0</v>
      </c>
      <c r="AL101" s="16">
        <f t="shared" si="134"/>
        <v>0</v>
      </c>
      <c r="AM101" s="16">
        <f t="shared" si="133"/>
        <v>0</v>
      </c>
      <c r="AN101" s="16"/>
      <c r="AO101" s="16">
        <f t="shared" si="85"/>
        <v>3727.7</v>
      </c>
      <c r="AP101" s="16">
        <f t="shared" si="86"/>
        <v>3727.7</v>
      </c>
      <c r="AQ101" s="16">
        <f t="shared" si="81"/>
        <v>3727.7</v>
      </c>
      <c r="AR101" s="127">
        <f t="shared" si="114"/>
        <v>0</v>
      </c>
      <c r="AS101" s="112">
        <f t="shared" si="135"/>
        <v>11521419.792000001</v>
      </c>
      <c r="AT101" s="112">
        <f t="shared" si="135"/>
        <v>229685.81999999998</v>
      </c>
      <c r="AU101" s="112">
        <f t="shared" si="135"/>
        <v>0</v>
      </c>
      <c r="AV101" s="112">
        <f t="shared" si="135"/>
        <v>0</v>
      </c>
      <c r="AW101" s="112">
        <f t="shared" si="135"/>
        <v>0</v>
      </c>
      <c r="AX101" s="112">
        <f t="shared" si="115"/>
        <v>11751105.612000002</v>
      </c>
      <c r="AY101" s="112">
        <f t="shared" si="116"/>
        <v>11751105.612000002</v>
      </c>
      <c r="AZ101" s="112">
        <f t="shared" si="137"/>
        <v>11938010.460000001</v>
      </c>
      <c r="BA101" s="112">
        <f t="shared" si="137"/>
        <v>244592.712</v>
      </c>
      <c r="BB101" s="112">
        <f t="shared" si="137"/>
        <v>0</v>
      </c>
      <c r="BC101" s="112">
        <f t="shared" si="137"/>
        <v>0</v>
      </c>
      <c r="BD101" s="112">
        <f t="shared" si="137"/>
        <v>0</v>
      </c>
      <c r="BE101" s="112">
        <f t="shared" si="117"/>
        <v>12182603.172</v>
      </c>
      <c r="BF101" s="112">
        <f t="shared" si="118"/>
        <v>12182603.172</v>
      </c>
      <c r="BG101" s="623">
        <f>(I101-J101)/1.2*U101/1000</f>
        <v>56.195464000000015</v>
      </c>
      <c r="BH101" s="624">
        <f>(O101-P101)/1.2*AB101/1000</f>
        <v>41.312700000000014</v>
      </c>
      <c r="BI101" s="623">
        <f t="shared" si="80"/>
        <v>97.508164000000022</v>
      </c>
      <c r="BJ101" s="169"/>
      <c r="BK101" s="169"/>
      <c r="BL101" s="112">
        <f t="shared" si="89"/>
        <v>7288886.0543999998</v>
      </c>
      <c r="BM101" s="112">
        <f t="shared" si="89"/>
        <v>131249.03999999998</v>
      </c>
      <c r="BN101" s="112">
        <f t="shared" si="89"/>
        <v>0</v>
      </c>
      <c r="BO101" s="112">
        <f t="shared" si="89"/>
        <v>0</v>
      </c>
      <c r="BP101" s="112">
        <f t="shared" si="89"/>
        <v>0</v>
      </c>
      <c r="BQ101" s="112">
        <f t="shared" si="119"/>
        <v>7420135.0943999998</v>
      </c>
      <c r="BR101" s="112">
        <f t="shared" si="120"/>
        <v>7420135.0943999998</v>
      </c>
      <c r="BS101" s="112">
        <f t="shared" si="90"/>
        <v>4385573.3880000012</v>
      </c>
      <c r="BT101" s="112">
        <f t="shared" si="90"/>
        <v>104825.448</v>
      </c>
      <c r="BU101" s="112">
        <f t="shared" si="90"/>
        <v>0</v>
      </c>
      <c r="BV101" s="112">
        <f t="shared" si="93"/>
        <v>0</v>
      </c>
      <c r="BW101" s="112">
        <f t="shared" si="94"/>
        <v>0</v>
      </c>
      <c r="BX101" s="112">
        <f t="shared" si="121"/>
        <v>4490398.8360000011</v>
      </c>
      <c r="BY101" s="112">
        <f t="shared" si="122"/>
        <v>4490398.8360000011</v>
      </c>
      <c r="BZ101" s="113">
        <f t="shared" si="91"/>
        <v>236074.48799999998</v>
      </c>
      <c r="CA101" s="113">
        <f t="shared" si="91"/>
        <v>0</v>
      </c>
      <c r="CB101" s="113">
        <f t="shared" si="123"/>
        <v>236074.48799999998</v>
      </c>
      <c r="CC101" s="119">
        <f t="shared" si="92"/>
        <v>2161.8542857142857</v>
      </c>
      <c r="CD101" s="119" t="e">
        <f t="shared" si="92"/>
        <v>#DIV/0!</v>
      </c>
      <c r="CE101" s="119">
        <f t="shared" si="124"/>
        <v>2161.8542857142857</v>
      </c>
      <c r="CF101" s="119">
        <f t="shared" si="95"/>
        <v>2161.8542857142857</v>
      </c>
      <c r="CG101" s="619">
        <f t="shared" si="96"/>
        <v>353084.28480000002</v>
      </c>
      <c r="CH101" s="132">
        <f t="shared" si="125"/>
        <v>3233.372571428572</v>
      </c>
      <c r="CI101" s="625"/>
      <c r="CJ101" s="208">
        <f t="shared" si="97"/>
        <v>7487.5696512000004</v>
      </c>
      <c r="CK101" s="208">
        <f t="shared" si="98"/>
        <v>4539.9740760000013</v>
      </c>
      <c r="CL101" s="208">
        <f t="shared" si="84"/>
        <v>12027.543727200002</v>
      </c>
      <c r="CM101" s="112">
        <f t="shared" si="99"/>
        <v>12027543.727200001</v>
      </c>
      <c r="CN101" s="112">
        <f t="shared" si="100"/>
        <v>11751105.612000002</v>
      </c>
      <c r="CO101" s="112">
        <f t="shared" si="101"/>
        <v>11751105.612000002</v>
      </c>
      <c r="CP101" s="112">
        <f t="shared" si="102"/>
        <v>7420135.0943999998</v>
      </c>
      <c r="CQ101" s="112">
        <f t="shared" si="103"/>
        <v>12182603.172</v>
      </c>
      <c r="CR101" s="112">
        <f t="shared" si="104"/>
        <v>12182603.172</v>
      </c>
      <c r="CS101" s="112">
        <f t="shared" si="105"/>
        <v>4490398.8360000011</v>
      </c>
      <c r="CT101" s="112">
        <f t="shared" si="126"/>
        <v>23933708.784000002</v>
      </c>
      <c r="CU101" s="124">
        <f t="shared" si="127"/>
        <v>6420502.933175954</v>
      </c>
      <c r="CV101" s="112">
        <f t="shared" si="106"/>
        <v>229685.81999999998</v>
      </c>
      <c r="CW101" s="112">
        <f t="shared" si="107"/>
        <v>244592.712</v>
      </c>
      <c r="CX101" s="112">
        <f t="shared" si="128"/>
        <v>474278.53200000001</v>
      </c>
      <c r="CY101" s="112">
        <f t="shared" si="108"/>
        <v>11869116.0864</v>
      </c>
      <c r="CZ101" s="112">
        <f t="shared" si="109"/>
        <v>12298278.732000001</v>
      </c>
      <c r="DA101" s="625"/>
      <c r="DB101" s="128">
        <f t="shared" si="129"/>
        <v>156.8526398364514</v>
      </c>
      <c r="DC101" s="625"/>
      <c r="DD101" s="625"/>
      <c r="DE101" s="625"/>
      <c r="DF101" s="625"/>
      <c r="DG101" s="618">
        <f t="shared" si="110"/>
        <v>0</v>
      </c>
      <c r="DH101" s="618">
        <f t="shared" si="111"/>
        <v>0</v>
      </c>
      <c r="DI101" s="618">
        <f t="shared" si="112"/>
        <v>0</v>
      </c>
      <c r="DJ101" s="123"/>
    </row>
    <row r="102" spans="1:114" s="32" customFormat="1" ht="67.5" customHeight="1">
      <c r="A102" s="20">
        <f t="shared" si="130"/>
        <v>87</v>
      </c>
      <c r="B102" s="1502" t="s">
        <v>37</v>
      </c>
      <c r="C102" s="1502" t="s">
        <v>61</v>
      </c>
      <c r="D102" s="748" t="s">
        <v>146</v>
      </c>
      <c r="E102" s="617">
        <v>4632024035</v>
      </c>
      <c r="F102" s="803" t="s">
        <v>8</v>
      </c>
      <c r="G102" s="751" t="s">
        <v>890</v>
      </c>
      <c r="H102" s="816">
        <f>2653.36*1.2</f>
        <v>3184.0320000000002</v>
      </c>
      <c r="I102" s="816">
        <f>2653.36*1.2</f>
        <v>3184.0320000000002</v>
      </c>
      <c r="J102" s="38"/>
      <c r="K102" s="38"/>
      <c r="L102" s="816">
        <f>2653.36*1.2</f>
        <v>3184.0320000000002</v>
      </c>
      <c r="M102" s="10"/>
      <c r="N102" s="622">
        <f>2749.3*1.2</f>
        <v>3299.1600000000003</v>
      </c>
      <c r="O102" s="622">
        <f>2749.3*1.2</f>
        <v>3299.1600000000003</v>
      </c>
      <c r="P102" s="10"/>
      <c r="Q102" s="10"/>
      <c r="R102" s="622">
        <f>2749.3*1.2</f>
        <v>3299.1600000000003</v>
      </c>
      <c r="S102" s="10"/>
      <c r="T102" s="648">
        <v>686.37800000000004</v>
      </c>
      <c r="U102" s="650"/>
      <c r="V102" s="227"/>
      <c r="W102" s="16"/>
      <c r="X102" s="16"/>
      <c r="Y102" s="16"/>
      <c r="Z102" s="35">
        <f t="shared" si="131"/>
        <v>686.37800000000004</v>
      </c>
      <c r="AA102" s="178">
        <v>449.803</v>
      </c>
      <c r="AB102" s="16"/>
      <c r="AC102" s="227"/>
      <c r="AD102" s="16"/>
      <c r="AE102" s="16"/>
      <c r="AF102" s="16"/>
      <c r="AG102" s="35">
        <f t="shared" si="132"/>
        <v>449.803</v>
      </c>
      <c r="AH102" s="35">
        <f t="shared" si="113"/>
        <v>1136.181</v>
      </c>
      <c r="AI102" s="15">
        <f t="shared" si="134"/>
        <v>1136.181</v>
      </c>
      <c r="AJ102" s="15">
        <f t="shared" si="134"/>
        <v>0</v>
      </c>
      <c r="AK102" s="15">
        <f t="shared" si="134"/>
        <v>0</v>
      </c>
      <c r="AL102" s="15">
        <f t="shared" si="134"/>
        <v>0</v>
      </c>
      <c r="AM102" s="15">
        <f t="shared" si="133"/>
        <v>0</v>
      </c>
      <c r="AN102" s="15"/>
      <c r="AO102" s="15">
        <f t="shared" si="85"/>
        <v>1136.181</v>
      </c>
      <c r="AP102" s="15">
        <f t="shared" si="86"/>
        <v>1136.181</v>
      </c>
      <c r="AQ102" s="15">
        <f t="shared" si="81"/>
        <v>1136.181</v>
      </c>
      <c r="AR102" s="127">
        <f t="shared" si="114"/>
        <v>0</v>
      </c>
      <c r="AS102" s="112">
        <f t="shared" si="135"/>
        <v>3617636.6617920003</v>
      </c>
      <c r="AT102" s="112">
        <f t="shared" si="135"/>
        <v>0</v>
      </c>
      <c r="AU102" s="112">
        <f t="shared" si="135"/>
        <v>0</v>
      </c>
      <c r="AV102" s="112">
        <f t="shared" si="135"/>
        <v>0</v>
      </c>
      <c r="AW102" s="112">
        <f t="shared" si="135"/>
        <v>0</v>
      </c>
      <c r="AX102" s="112">
        <f t="shared" si="115"/>
        <v>3617636.6617920003</v>
      </c>
      <c r="AY102" s="112">
        <f t="shared" si="116"/>
        <v>3617636.6617920003</v>
      </c>
      <c r="AZ102" s="112">
        <f t="shared" si="137"/>
        <v>3748442.9079600004</v>
      </c>
      <c r="BA102" s="112">
        <f t="shared" si="137"/>
        <v>0</v>
      </c>
      <c r="BB102" s="112">
        <f t="shared" si="137"/>
        <v>0</v>
      </c>
      <c r="BC102" s="112">
        <f t="shared" si="137"/>
        <v>0</v>
      </c>
      <c r="BD102" s="112">
        <f t="shared" si="137"/>
        <v>0</v>
      </c>
      <c r="BE102" s="112">
        <f t="shared" si="117"/>
        <v>3748442.9079600004</v>
      </c>
      <c r="BF102" s="112">
        <f t="shared" si="118"/>
        <v>3748442.9079600004</v>
      </c>
      <c r="BG102" s="169"/>
      <c r="BH102" s="170"/>
      <c r="BI102" s="169"/>
      <c r="BJ102" s="169"/>
      <c r="BK102" s="169"/>
      <c r="BL102" s="112">
        <f t="shared" si="89"/>
        <v>2185449.5160960001</v>
      </c>
      <c r="BM102" s="112">
        <f t="shared" si="89"/>
        <v>0</v>
      </c>
      <c r="BN102" s="112">
        <f t="shared" si="89"/>
        <v>0</v>
      </c>
      <c r="BO102" s="112">
        <f t="shared" si="89"/>
        <v>0</v>
      </c>
      <c r="BP102" s="112">
        <f t="shared" si="89"/>
        <v>0</v>
      </c>
      <c r="BQ102" s="112">
        <f t="shared" si="119"/>
        <v>2185449.5160960001</v>
      </c>
      <c r="BR102" s="112">
        <f t="shared" si="120"/>
        <v>2185449.5160960001</v>
      </c>
      <c r="BS102" s="112">
        <f t="shared" si="90"/>
        <v>1483972.0654800001</v>
      </c>
      <c r="BT102" s="112">
        <f t="shared" si="90"/>
        <v>0</v>
      </c>
      <c r="BU102" s="112">
        <f t="shared" si="90"/>
        <v>0</v>
      </c>
      <c r="BV102" s="112">
        <f t="shared" si="93"/>
        <v>0</v>
      </c>
      <c r="BW102" s="112">
        <f t="shared" si="94"/>
        <v>0</v>
      </c>
      <c r="BX102" s="112">
        <f t="shared" si="121"/>
        <v>1483972.0654800001</v>
      </c>
      <c r="BY102" s="112">
        <f t="shared" si="122"/>
        <v>1483972.0654800001</v>
      </c>
      <c r="BZ102" s="113">
        <f t="shared" si="91"/>
        <v>0</v>
      </c>
      <c r="CA102" s="113">
        <f t="shared" si="91"/>
        <v>0</v>
      </c>
      <c r="CB102" s="113">
        <f t="shared" si="123"/>
        <v>0</v>
      </c>
      <c r="CC102" s="119" t="e">
        <f t="shared" si="92"/>
        <v>#DIV/0!</v>
      </c>
      <c r="CD102" s="119" t="e">
        <f t="shared" si="92"/>
        <v>#DIV/0!</v>
      </c>
      <c r="CE102" s="119" t="e">
        <f t="shared" si="124"/>
        <v>#DIV/0!</v>
      </c>
      <c r="CF102" s="113" t="e">
        <f t="shared" si="95"/>
        <v>#DIV/0!</v>
      </c>
      <c r="CG102" s="619">
        <f t="shared" si="96"/>
        <v>0</v>
      </c>
      <c r="CH102" s="132" t="e">
        <f t="shared" si="125"/>
        <v>#DIV/0!</v>
      </c>
      <c r="CI102" s="625"/>
      <c r="CJ102" s="208">
        <f t="shared" si="97"/>
        <v>2185.449516096</v>
      </c>
      <c r="CK102" s="208">
        <f t="shared" si="98"/>
        <v>1483.9720654800001</v>
      </c>
      <c r="CL102" s="208">
        <f t="shared" si="84"/>
        <v>3669.4215815759999</v>
      </c>
      <c r="CM102" s="112">
        <f t="shared" si="99"/>
        <v>3669421.581576</v>
      </c>
      <c r="CN102" s="112">
        <f t="shared" si="100"/>
        <v>3617636.6617920003</v>
      </c>
      <c r="CO102" s="112">
        <f t="shared" si="101"/>
        <v>3617636.6617920003</v>
      </c>
      <c r="CP102" s="112">
        <f t="shared" si="102"/>
        <v>2185449.5160960001</v>
      </c>
      <c r="CQ102" s="112">
        <f t="shared" si="103"/>
        <v>3748442.9079600004</v>
      </c>
      <c r="CR102" s="112">
        <f t="shared" si="104"/>
        <v>3748442.9079600004</v>
      </c>
      <c r="CS102" s="112">
        <f t="shared" si="105"/>
        <v>1483972.0654800001</v>
      </c>
      <c r="CT102" s="112">
        <f t="shared" si="126"/>
        <v>7366079.5697520003</v>
      </c>
      <c r="CU102" s="124">
        <f t="shared" si="127"/>
        <v>6483192</v>
      </c>
      <c r="CV102" s="112">
        <f t="shared" si="106"/>
        <v>0</v>
      </c>
      <c r="CW102" s="112">
        <f t="shared" si="107"/>
        <v>0</v>
      </c>
      <c r="CX102" s="112">
        <f t="shared" si="128"/>
        <v>0</v>
      </c>
      <c r="CY102" s="112">
        <f t="shared" si="108"/>
        <v>3617636.6617920003</v>
      </c>
      <c r="CZ102" s="112">
        <f t="shared" si="109"/>
        <v>3748442.9079600004</v>
      </c>
      <c r="DA102" s="625"/>
      <c r="DB102" s="128" t="e">
        <f t="shared" si="129"/>
        <v>#DIV/0!</v>
      </c>
      <c r="DC102" s="625"/>
      <c r="DD102" s="625"/>
      <c r="DE102" s="625"/>
      <c r="DF102" s="625"/>
      <c r="DG102" s="618">
        <f t="shared" si="110"/>
        <v>0</v>
      </c>
      <c r="DH102" s="618">
        <f t="shared" si="111"/>
        <v>0</v>
      </c>
      <c r="DI102" s="618">
        <f t="shared" si="112"/>
        <v>0</v>
      </c>
      <c r="DJ102" s="123"/>
    </row>
    <row r="103" spans="1:114" s="13" customFormat="1" ht="72" hidden="1" customHeight="1">
      <c r="A103" s="695">
        <f t="shared" si="130"/>
        <v>88</v>
      </c>
      <c r="B103" s="1504"/>
      <c r="C103" s="1504"/>
      <c r="D103" s="696" t="s">
        <v>38</v>
      </c>
      <c r="E103" s="696">
        <v>4625004944</v>
      </c>
      <c r="F103" s="696" t="s">
        <v>8</v>
      </c>
      <c r="G103" s="805" t="s">
        <v>862</v>
      </c>
      <c r="H103" s="697">
        <v>2617.15</v>
      </c>
      <c r="I103" s="697">
        <v>2617.15</v>
      </c>
      <c r="J103" s="697">
        <v>2617.15</v>
      </c>
      <c r="K103" s="697">
        <v>0</v>
      </c>
      <c r="L103" s="697">
        <v>2617.15</v>
      </c>
      <c r="M103" s="698">
        <v>0</v>
      </c>
      <c r="N103" s="698">
        <v>2772.37</v>
      </c>
      <c r="O103" s="698">
        <v>2772.37</v>
      </c>
      <c r="P103" s="698">
        <v>2772.37</v>
      </c>
      <c r="Q103" s="698">
        <v>0</v>
      </c>
      <c r="R103" s="698">
        <v>2772.37</v>
      </c>
      <c r="S103" s="698">
        <v>0</v>
      </c>
      <c r="T103" s="699">
        <v>2497.0700000000002</v>
      </c>
      <c r="U103" s="699">
        <v>2299.1</v>
      </c>
      <c r="V103" s="699">
        <v>0</v>
      </c>
      <c r="W103" s="699">
        <v>1508.7</v>
      </c>
      <c r="X103" s="699">
        <v>0</v>
      </c>
      <c r="Y103" s="699">
        <v>0</v>
      </c>
      <c r="Z103" s="99">
        <f t="shared" si="131"/>
        <v>6304.87</v>
      </c>
      <c r="AA103" s="700">
        <v>1941.11</v>
      </c>
      <c r="AB103" s="699">
        <v>1668.15</v>
      </c>
      <c r="AC103" s="699">
        <v>0</v>
      </c>
      <c r="AD103" s="699">
        <v>936.5</v>
      </c>
      <c r="AE103" s="699">
        <v>0</v>
      </c>
      <c r="AF103" s="699">
        <v>0</v>
      </c>
      <c r="AG103" s="99">
        <f t="shared" si="132"/>
        <v>4545.76</v>
      </c>
      <c r="AH103" s="99">
        <f t="shared" si="113"/>
        <v>10850.630000000001</v>
      </c>
      <c r="AI103" s="18">
        <f t="shared" si="134"/>
        <v>4438.18</v>
      </c>
      <c r="AJ103" s="18">
        <f t="shared" si="134"/>
        <v>3967.25</v>
      </c>
      <c r="AK103" s="18">
        <f t="shared" si="134"/>
        <v>0</v>
      </c>
      <c r="AL103" s="29">
        <f t="shared" si="134"/>
        <v>2445.1999999999998</v>
      </c>
      <c r="AM103" s="18">
        <f t="shared" si="133"/>
        <v>0</v>
      </c>
      <c r="AN103" s="18"/>
      <c r="AO103" s="18">
        <f t="shared" si="85"/>
        <v>10850.630000000001</v>
      </c>
      <c r="AP103" s="18">
        <f t="shared" si="86"/>
        <v>10850.630000000001</v>
      </c>
      <c r="AQ103" s="12">
        <f t="shared" si="81"/>
        <v>10850.630000000001</v>
      </c>
      <c r="AR103" s="99">
        <f t="shared" si="114"/>
        <v>0</v>
      </c>
      <c r="AS103" s="18">
        <f t="shared" si="135"/>
        <v>11615382.787</v>
      </c>
      <c r="AT103" s="18">
        <f t="shared" si="135"/>
        <v>10382888.3375</v>
      </c>
      <c r="AU103" s="18">
        <f t="shared" si="135"/>
        <v>0</v>
      </c>
      <c r="AV103" s="12">
        <f t="shared" si="135"/>
        <v>6399455.1799999997</v>
      </c>
      <c r="AW103" s="12">
        <f t="shared" si="135"/>
        <v>0</v>
      </c>
      <c r="AX103" s="18">
        <f t="shared" si="115"/>
        <v>28397726.304499999</v>
      </c>
      <c r="AY103" s="18">
        <f t="shared" si="116"/>
        <v>28397726.304499999</v>
      </c>
      <c r="AZ103" s="18">
        <f t="shared" si="137"/>
        <v>12304277.0866</v>
      </c>
      <c r="BA103" s="18">
        <f t="shared" si="137"/>
        <v>10998684.8825</v>
      </c>
      <c r="BB103" s="18">
        <f t="shared" si="137"/>
        <v>0</v>
      </c>
      <c r="BC103" s="18">
        <f t="shared" si="137"/>
        <v>6778999.1239999989</v>
      </c>
      <c r="BD103" s="18">
        <f t="shared" si="137"/>
        <v>0</v>
      </c>
      <c r="BE103" s="18">
        <f t="shared" si="117"/>
        <v>30081961.093099996</v>
      </c>
      <c r="BF103" s="18">
        <f t="shared" si="118"/>
        <v>30081961.093099996</v>
      </c>
      <c r="BG103" s="18">
        <v>0</v>
      </c>
      <c r="BH103" s="18">
        <v>0</v>
      </c>
      <c r="BI103" s="18">
        <v>0</v>
      </c>
      <c r="BJ103" s="29">
        <v>29103.331470091631</v>
      </c>
      <c r="BK103" s="18">
        <v>28873.629999999997</v>
      </c>
      <c r="BL103" s="18">
        <f t="shared" si="89"/>
        <v>6535206.750500001</v>
      </c>
      <c r="BM103" s="18">
        <f t="shared" si="89"/>
        <v>6017089.5650000004</v>
      </c>
      <c r="BN103" s="18">
        <f t="shared" si="89"/>
        <v>0</v>
      </c>
      <c r="BO103" s="18">
        <f t="shared" si="89"/>
        <v>3948494.2050000001</v>
      </c>
      <c r="BP103" s="18">
        <f t="shared" si="89"/>
        <v>0</v>
      </c>
      <c r="BQ103" s="18">
        <f t="shared" si="119"/>
        <v>16500790.520500002</v>
      </c>
      <c r="BR103" s="18">
        <f t="shared" si="120"/>
        <v>16500790.520500002</v>
      </c>
      <c r="BS103" s="18">
        <f t="shared" si="90"/>
        <v>5381475.1306999996</v>
      </c>
      <c r="BT103" s="18">
        <f t="shared" si="90"/>
        <v>4624729.0154999997</v>
      </c>
      <c r="BU103" s="18">
        <f t="shared" si="90"/>
        <v>0</v>
      </c>
      <c r="BV103" s="18">
        <f t="shared" si="93"/>
        <v>4182674.6189999999</v>
      </c>
      <c r="BW103" s="18">
        <f t="shared" si="94"/>
        <v>0</v>
      </c>
      <c r="BX103" s="18">
        <f t="shared" si="121"/>
        <v>14188878.7652</v>
      </c>
      <c r="BY103" s="18">
        <f t="shared" si="122"/>
        <v>14188878.7652</v>
      </c>
      <c r="BZ103" s="161">
        <f t="shared" si="91"/>
        <v>10641818.580499999</v>
      </c>
      <c r="CA103" s="161">
        <f t="shared" si="91"/>
        <v>0</v>
      </c>
      <c r="CB103" s="161">
        <f t="shared" si="123"/>
        <v>10641818.580499999</v>
      </c>
      <c r="CC103" s="162">
        <f t="shared" si="92"/>
        <v>2682.4169337702438</v>
      </c>
      <c r="CD103" s="162" t="e">
        <f t="shared" si="92"/>
        <v>#DIV/0!</v>
      </c>
      <c r="CE103" s="162">
        <f t="shared" si="124"/>
        <v>2682.4169337702438</v>
      </c>
      <c r="CF103" s="162">
        <f t="shared" si="95"/>
        <v>2682.4169337702438</v>
      </c>
      <c r="CG103" s="651">
        <f t="shared" si="96"/>
        <v>10641818.580499999</v>
      </c>
      <c r="CH103" s="652">
        <f t="shared" si="125"/>
        <v>2682.4169337702438</v>
      </c>
      <c r="CJ103" s="18">
        <f t="shared" si="97"/>
        <v>16500.790520499999</v>
      </c>
      <c r="CK103" s="18">
        <f t="shared" si="98"/>
        <v>12602.5286512</v>
      </c>
      <c r="CL103" s="18">
        <f t="shared" si="84"/>
        <v>29103.319171700001</v>
      </c>
      <c r="CM103" s="18">
        <f t="shared" si="99"/>
        <v>29103319.171700001</v>
      </c>
      <c r="CN103" s="18">
        <f t="shared" si="100"/>
        <v>28397726.304499999</v>
      </c>
      <c r="CO103" s="18">
        <f t="shared" si="101"/>
        <v>28397726.304499999</v>
      </c>
      <c r="CP103" s="18">
        <f t="shared" si="102"/>
        <v>16500790.520500002</v>
      </c>
      <c r="CQ103" s="18">
        <f t="shared" si="103"/>
        <v>30081961.093099996</v>
      </c>
      <c r="CR103" s="18">
        <f t="shared" si="104"/>
        <v>30081961.093099996</v>
      </c>
      <c r="CS103" s="18">
        <f t="shared" si="105"/>
        <v>12602528.6512</v>
      </c>
      <c r="CT103" s="18">
        <f t="shared" si="126"/>
        <v>58479687.397599995</v>
      </c>
      <c r="CU103" s="29">
        <f t="shared" si="127"/>
        <v>5389519.9999999991</v>
      </c>
      <c r="CV103" s="18">
        <f t="shared" si="106"/>
        <v>10382888.3375</v>
      </c>
      <c r="CW103" s="18">
        <f t="shared" si="107"/>
        <v>10998684.8825</v>
      </c>
      <c r="CX103" s="18">
        <f t="shared" si="128"/>
        <v>21381573.219999999</v>
      </c>
      <c r="CY103" s="18">
        <f t="shared" si="108"/>
        <v>28397726.304499999</v>
      </c>
      <c r="CZ103" s="18">
        <f t="shared" si="109"/>
        <v>30081961.093099996</v>
      </c>
      <c r="DB103" s="653">
        <f t="shared" si="129"/>
        <v>105.9308790096097</v>
      </c>
      <c r="DG103" s="701">
        <f t="shared" si="110"/>
        <v>0</v>
      </c>
      <c r="DH103" s="701">
        <f t="shared" si="111"/>
        <v>0</v>
      </c>
      <c r="DI103" s="701">
        <f t="shared" si="112"/>
        <v>0</v>
      </c>
    </row>
    <row r="104" spans="1:114" s="13" customFormat="1" ht="69.75" hidden="1" customHeight="1">
      <c r="A104" s="695">
        <f t="shared" si="130"/>
        <v>89</v>
      </c>
      <c r="B104" s="1502" t="s">
        <v>39</v>
      </c>
      <c r="C104" s="696" t="s">
        <v>133</v>
      </c>
      <c r="D104" s="696" t="s">
        <v>40</v>
      </c>
      <c r="E104" s="696">
        <v>4626003929</v>
      </c>
      <c r="F104" s="696" t="s">
        <v>8</v>
      </c>
      <c r="G104" s="805" t="s">
        <v>882</v>
      </c>
      <c r="H104" s="697">
        <v>2374.46</v>
      </c>
      <c r="I104" s="697">
        <v>2374.46</v>
      </c>
      <c r="J104" s="697">
        <v>2157.89</v>
      </c>
      <c r="K104" s="697">
        <v>0</v>
      </c>
      <c r="L104" s="697">
        <v>2374.46</v>
      </c>
      <c r="M104" s="697">
        <v>0</v>
      </c>
      <c r="N104" s="697">
        <v>2374.46</v>
      </c>
      <c r="O104" s="697">
        <v>2374.46</v>
      </c>
      <c r="P104" s="697">
        <v>2297.94</v>
      </c>
      <c r="Q104" s="697">
        <v>0</v>
      </c>
      <c r="R104" s="697">
        <v>2374.46</v>
      </c>
      <c r="S104" s="698">
        <v>0</v>
      </c>
      <c r="T104" s="702">
        <v>1470.7</v>
      </c>
      <c r="U104" s="702">
        <v>641.79999999999995</v>
      </c>
      <c r="V104" s="702">
        <v>0</v>
      </c>
      <c r="W104" s="702">
        <v>5.5</v>
      </c>
      <c r="X104" s="702">
        <v>0</v>
      </c>
      <c r="Y104" s="702">
        <v>0</v>
      </c>
      <c r="Z104" s="99">
        <f t="shared" si="131"/>
        <v>2118</v>
      </c>
      <c r="AA104" s="702">
        <v>950.75</v>
      </c>
      <c r="AB104" s="702">
        <v>481.4</v>
      </c>
      <c r="AC104" s="702">
        <v>0</v>
      </c>
      <c r="AD104" s="702">
        <v>3.85</v>
      </c>
      <c r="AE104" s="702">
        <v>0</v>
      </c>
      <c r="AF104" s="702">
        <v>0</v>
      </c>
      <c r="AG104" s="29">
        <f t="shared" si="132"/>
        <v>1436</v>
      </c>
      <c r="AH104" s="99">
        <f t="shared" si="113"/>
        <v>3554</v>
      </c>
      <c r="AI104" s="29">
        <f>T104+AA104</f>
        <v>2421.4499999999998</v>
      </c>
      <c r="AJ104" s="18">
        <f t="shared" si="134"/>
        <v>1123.1999999999998</v>
      </c>
      <c r="AK104" s="18">
        <f t="shared" si="134"/>
        <v>0</v>
      </c>
      <c r="AL104" s="702">
        <f t="shared" si="134"/>
        <v>9.35</v>
      </c>
      <c r="AM104" s="18">
        <f t="shared" si="133"/>
        <v>0</v>
      </c>
      <c r="AN104" s="18">
        <v>0</v>
      </c>
      <c r="AO104" s="18">
        <f t="shared" si="85"/>
        <v>3553.9999999999995</v>
      </c>
      <c r="AP104" s="18">
        <f t="shared" si="86"/>
        <v>3553.9999999999995</v>
      </c>
      <c r="AQ104" s="702">
        <f t="shared" si="81"/>
        <v>3553.9999999999995</v>
      </c>
      <c r="AR104" s="99">
        <f t="shared" si="114"/>
        <v>0</v>
      </c>
      <c r="AS104" s="18">
        <f>I104*AI104</f>
        <v>5749636.1669999994</v>
      </c>
      <c r="AT104" s="18">
        <f t="shared" si="135"/>
        <v>2423742.0479999995</v>
      </c>
      <c r="AU104" s="18">
        <f t="shared" si="135"/>
        <v>0</v>
      </c>
      <c r="AV104" s="18">
        <f t="shared" si="135"/>
        <v>22201.201000000001</v>
      </c>
      <c r="AW104" s="18">
        <f t="shared" si="135"/>
        <v>0</v>
      </c>
      <c r="AX104" s="18">
        <f t="shared" si="115"/>
        <v>8195579.4159999993</v>
      </c>
      <c r="AY104" s="18">
        <f t="shared" si="116"/>
        <v>8195579.4159999993</v>
      </c>
      <c r="AZ104" s="18">
        <f t="shared" si="137"/>
        <v>5749636.1669999994</v>
      </c>
      <c r="BA104" s="18">
        <f t="shared" si="137"/>
        <v>2581046.2079999996</v>
      </c>
      <c r="BB104" s="18">
        <f t="shared" si="137"/>
        <v>0</v>
      </c>
      <c r="BC104" s="18">
        <f t="shared" si="137"/>
        <v>22201.201000000001</v>
      </c>
      <c r="BD104" s="18">
        <f t="shared" si="137"/>
        <v>0</v>
      </c>
      <c r="BE104" s="18">
        <f t="shared" si="117"/>
        <v>8352883.5759999994</v>
      </c>
      <c r="BF104" s="18">
        <f t="shared" si="118"/>
        <v>8352883.5759999994</v>
      </c>
      <c r="BG104" s="18">
        <v>138.99100000000001</v>
      </c>
      <c r="BH104" s="18">
        <v>36.832000000000001</v>
      </c>
      <c r="BI104" s="18">
        <f>BG104+BH104</f>
        <v>175.82300000000001</v>
      </c>
      <c r="BJ104" s="18">
        <v>8438.81</v>
      </c>
      <c r="BK104" s="18">
        <v>8603.1299999999992</v>
      </c>
      <c r="BL104" s="18">
        <f t="shared" si="89"/>
        <v>3492118.3220000002</v>
      </c>
      <c r="BM104" s="18">
        <f t="shared" si="89"/>
        <v>1384933.8019999999</v>
      </c>
      <c r="BN104" s="18">
        <f t="shared" si="89"/>
        <v>0</v>
      </c>
      <c r="BO104" s="18">
        <f t="shared" si="89"/>
        <v>13059.53</v>
      </c>
      <c r="BP104" s="18">
        <f t="shared" si="89"/>
        <v>0</v>
      </c>
      <c r="BQ104" s="18">
        <f t="shared" si="119"/>
        <v>4890111.6540000001</v>
      </c>
      <c r="BR104" s="18">
        <f t="shared" si="120"/>
        <v>4890111.6540000001</v>
      </c>
      <c r="BS104" s="18">
        <f t="shared" si="90"/>
        <v>2257517.8450000002</v>
      </c>
      <c r="BT104" s="18">
        <f t="shared" si="90"/>
        <v>1106228.3159999999</v>
      </c>
      <c r="BU104" s="18">
        <f t="shared" si="90"/>
        <v>0</v>
      </c>
      <c r="BV104" s="18">
        <f t="shared" si="93"/>
        <v>13059.53</v>
      </c>
      <c r="BW104" s="18">
        <f t="shared" si="94"/>
        <v>0</v>
      </c>
      <c r="BX104" s="18">
        <f t="shared" si="121"/>
        <v>3376805.6910000001</v>
      </c>
      <c r="BY104" s="18">
        <f t="shared" si="122"/>
        <v>3376805.6910000001</v>
      </c>
      <c r="BZ104" s="161">
        <f t="shared" si="91"/>
        <v>2491162.1179999998</v>
      </c>
      <c r="CA104" s="161">
        <f t="shared" si="91"/>
        <v>0</v>
      </c>
      <c r="CB104" s="161">
        <f t="shared" si="123"/>
        <v>2491162.1179999998</v>
      </c>
      <c r="CC104" s="162">
        <f t="shared" si="92"/>
        <v>2217.9149910968663</v>
      </c>
      <c r="CD104" s="162" t="e">
        <f t="shared" si="92"/>
        <v>#DIV/0!</v>
      </c>
      <c r="CE104" s="162">
        <f t="shared" si="124"/>
        <v>2217.9149910968663</v>
      </c>
      <c r="CF104" s="162">
        <f t="shared" si="95"/>
        <v>2217.9149910968663</v>
      </c>
      <c r="CG104" s="651">
        <f t="shared" si="96"/>
        <v>2666993.4720000001</v>
      </c>
      <c r="CH104" s="652">
        <f t="shared" si="125"/>
        <v>2374.4600000000005</v>
      </c>
      <c r="CJ104" s="18">
        <f t="shared" si="97"/>
        <v>5029.10628</v>
      </c>
      <c r="CK104" s="18">
        <f t="shared" si="98"/>
        <v>3409.7245600000001</v>
      </c>
      <c r="CL104" s="18">
        <f t="shared" si="84"/>
        <v>8438.8308400000005</v>
      </c>
      <c r="CM104" s="18">
        <f t="shared" si="99"/>
        <v>8438830.8399999999</v>
      </c>
      <c r="CN104" s="18">
        <f t="shared" si="100"/>
        <v>8195579.4159999993</v>
      </c>
      <c r="CO104" s="18">
        <f t="shared" si="101"/>
        <v>8195579.4159999993</v>
      </c>
      <c r="CP104" s="18">
        <f t="shared" si="102"/>
        <v>4890111.6540000001</v>
      </c>
      <c r="CQ104" s="18">
        <f t="shared" si="103"/>
        <v>8352883.5759999994</v>
      </c>
      <c r="CR104" s="18">
        <f t="shared" si="104"/>
        <v>8352883.5759999994</v>
      </c>
      <c r="CS104" s="18">
        <f t="shared" si="105"/>
        <v>3372887.8320000004</v>
      </c>
      <c r="CT104" s="18">
        <f t="shared" si="126"/>
        <v>16548462.991999999</v>
      </c>
      <c r="CU104" s="29">
        <f t="shared" si="127"/>
        <v>4656292.344400675</v>
      </c>
      <c r="CV104" s="18">
        <f t="shared" si="106"/>
        <v>2423742.0479999995</v>
      </c>
      <c r="CW104" s="18">
        <f t="shared" si="107"/>
        <v>2581046.2079999996</v>
      </c>
      <c r="CX104" s="18">
        <f t="shared" si="128"/>
        <v>5004788.2559999991</v>
      </c>
      <c r="CY104" s="18">
        <f t="shared" si="108"/>
        <v>8438830.839999998</v>
      </c>
      <c r="CZ104" s="18">
        <f t="shared" si="109"/>
        <v>8438830.839999998</v>
      </c>
      <c r="DB104" s="653">
        <f t="shared" si="129"/>
        <v>110.03619276237437</v>
      </c>
      <c r="DG104" s="701">
        <f t="shared" si="110"/>
        <v>0</v>
      </c>
      <c r="DH104" s="701">
        <f t="shared" si="111"/>
        <v>0</v>
      </c>
      <c r="DI104" s="701">
        <f t="shared" si="112"/>
        <v>0</v>
      </c>
    </row>
    <row r="105" spans="1:114" ht="63.75" hidden="1" customHeight="1">
      <c r="A105" s="20">
        <f t="shared" si="130"/>
        <v>90</v>
      </c>
      <c r="B105" s="1503"/>
      <c r="C105" s="705" t="s">
        <v>64</v>
      </c>
      <c r="D105" s="696" t="s">
        <v>866</v>
      </c>
      <c r="E105" s="706">
        <v>4626006380</v>
      </c>
      <c r="F105" s="696" t="s">
        <v>8</v>
      </c>
      <c r="G105" s="805" t="s">
        <v>867</v>
      </c>
      <c r="H105" s="38">
        <v>2778.04</v>
      </c>
      <c r="I105" s="38">
        <v>2778.04</v>
      </c>
      <c r="J105" s="38">
        <v>2548.5</v>
      </c>
      <c r="K105" s="38">
        <v>0</v>
      </c>
      <c r="L105" s="38">
        <v>2778.04</v>
      </c>
      <c r="M105" s="10"/>
      <c r="N105" s="10">
        <v>2784.75</v>
      </c>
      <c r="O105" s="10">
        <v>2784.75</v>
      </c>
      <c r="P105" s="10">
        <v>2701.41</v>
      </c>
      <c r="Q105" s="10"/>
      <c r="R105" s="10">
        <v>2784.75</v>
      </c>
      <c r="S105" s="10"/>
      <c r="T105" s="179">
        <v>1525.2349999999999</v>
      </c>
      <c r="U105" s="179">
        <v>2523.6149999999998</v>
      </c>
      <c r="V105" s="207">
        <v>0</v>
      </c>
      <c r="W105" s="179">
        <v>411.96</v>
      </c>
      <c r="X105" s="179">
        <v>0</v>
      </c>
      <c r="Y105" s="179"/>
      <c r="Z105" s="35">
        <f t="shared" si="131"/>
        <v>4460.8099999999995</v>
      </c>
      <c r="AA105" s="179">
        <v>1016.823</v>
      </c>
      <c r="AB105" s="179">
        <v>1682.414</v>
      </c>
      <c r="AC105" s="207">
        <v>0</v>
      </c>
      <c r="AD105" s="179">
        <v>274.64</v>
      </c>
      <c r="AE105" s="179">
        <v>0</v>
      </c>
      <c r="AF105" s="179">
        <v>0</v>
      </c>
      <c r="AG105" s="35">
        <f t="shared" si="132"/>
        <v>2973.877</v>
      </c>
      <c r="AH105" s="35">
        <f t="shared" si="113"/>
        <v>7434.6869999999999</v>
      </c>
      <c r="AI105" s="15">
        <f t="shared" si="134"/>
        <v>2542.058</v>
      </c>
      <c r="AJ105" s="15">
        <f t="shared" si="134"/>
        <v>4206.0289999999995</v>
      </c>
      <c r="AK105" s="15">
        <f t="shared" si="134"/>
        <v>0</v>
      </c>
      <c r="AL105" s="15">
        <f t="shared" si="134"/>
        <v>686.59999999999991</v>
      </c>
      <c r="AM105" s="15">
        <f t="shared" si="133"/>
        <v>0</v>
      </c>
      <c r="AN105" s="15"/>
      <c r="AO105" s="15">
        <f t="shared" si="85"/>
        <v>7434.6869999999999</v>
      </c>
      <c r="AP105" s="15">
        <f t="shared" si="86"/>
        <v>7434.6869999999999</v>
      </c>
      <c r="AQ105" s="179">
        <f t="shared" si="81"/>
        <v>7434.6869999999999</v>
      </c>
      <c r="AR105" s="127">
        <f t="shared" si="114"/>
        <v>0</v>
      </c>
      <c r="AS105" s="112">
        <f t="shared" si="135"/>
        <v>7061938.8063199995</v>
      </c>
      <c r="AT105" s="112">
        <f t="shared" si="135"/>
        <v>10719064.906499999</v>
      </c>
      <c r="AU105" s="112">
        <f t="shared" si="135"/>
        <v>0</v>
      </c>
      <c r="AV105" s="112">
        <f t="shared" si="135"/>
        <v>1907402.2639999997</v>
      </c>
      <c r="AW105" s="112">
        <f t="shared" si="135"/>
        <v>0</v>
      </c>
      <c r="AX105" s="112">
        <f t="shared" si="115"/>
        <v>19688405.976819996</v>
      </c>
      <c r="AY105" s="112">
        <f t="shared" si="116"/>
        <v>19688405.976819996</v>
      </c>
      <c r="AZ105" s="112">
        <f t="shared" si="137"/>
        <v>7078996.0154999997</v>
      </c>
      <c r="BA105" s="112">
        <f t="shared" si="137"/>
        <v>11362208.800889999</v>
      </c>
      <c r="BB105" s="112">
        <f t="shared" si="137"/>
        <v>0</v>
      </c>
      <c r="BC105" s="112">
        <f t="shared" si="137"/>
        <v>1912009.3499999999</v>
      </c>
      <c r="BD105" s="112">
        <f t="shared" si="137"/>
        <v>0</v>
      </c>
      <c r="BE105" s="112">
        <f t="shared" si="117"/>
        <v>20353214.166390002</v>
      </c>
      <c r="BF105" s="112">
        <f t="shared" si="118"/>
        <v>20353214.166390002</v>
      </c>
      <c r="BG105" s="112">
        <v>579.27</v>
      </c>
      <c r="BH105" s="112">
        <v>140.21</v>
      </c>
      <c r="BI105" s="127">
        <f>BG105+BH105</f>
        <v>719.48</v>
      </c>
      <c r="BJ105" s="112">
        <v>20673.830000000002</v>
      </c>
      <c r="BK105" s="112">
        <v>27048.2</v>
      </c>
      <c r="BL105" s="112">
        <f>I105*T105</f>
        <v>4237163.8393999999</v>
      </c>
      <c r="BM105" s="112">
        <f>J105*U105</f>
        <v>6431432.8274999997</v>
      </c>
      <c r="BN105" s="112">
        <f t="shared" si="89"/>
        <v>0</v>
      </c>
      <c r="BO105" s="112">
        <f>L105*W105</f>
        <v>1144441.3584</v>
      </c>
      <c r="BP105" s="112">
        <f t="shared" si="89"/>
        <v>0</v>
      </c>
      <c r="BQ105" s="112">
        <f>BL105+BM105+BN105+BO105+BP105</f>
        <v>11813038.0253</v>
      </c>
      <c r="BR105" s="112">
        <f>BQ105-BP105</f>
        <v>11813038.0253</v>
      </c>
      <c r="BS105" s="112">
        <f>O105*AA105</f>
        <v>2831597.84925</v>
      </c>
      <c r="BT105" s="112">
        <f>P105*AB105</f>
        <v>4544890.0037399996</v>
      </c>
      <c r="BU105" s="112">
        <f t="shared" si="90"/>
        <v>0</v>
      </c>
      <c r="BV105" s="112">
        <f>R105*W105</f>
        <v>1147205.6099999999</v>
      </c>
      <c r="BW105" s="112">
        <f t="shared" si="94"/>
        <v>0</v>
      </c>
      <c r="BX105" s="112">
        <f>BS105+BT105+BU105+BV105+BW105</f>
        <v>8523693.462989999</v>
      </c>
      <c r="BY105" s="112">
        <f>BX105-BW105</f>
        <v>8523693.462989999</v>
      </c>
      <c r="BZ105" s="113">
        <f>BM105+BT105</f>
        <v>10976322.831239998</v>
      </c>
      <c r="CA105" s="113">
        <f t="shared" si="91"/>
        <v>0</v>
      </c>
      <c r="CB105" s="113">
        <f t="shared" si="123"/>
        <v>10976322.831239998</v>
      </c>
      <c r="CC105" s="119">
        <f t="shared" si="92"/>
        <v>2609.6640872518947</v>
      </c>
      <c r="CD105" s="119" t="e">
        <f t="shared" si="92"/>
        <v>#DIV/0!</v>
      </c>
      <c r="CE105" s="119">
        <f t="shared" si="124"/>
        <v>2609.6640872518947</v>
      </c>
      <c r="CF105" s="119">
        <f t="shared" si="95"/>
        <v>2609.6640872518947</v>
      </c>
      <c r="CG105" s="619">
        <f t="shared" si="96"/>
        <v>11695805.801099999</v>
      </c>
      <c r="CH105" s="132">
        <f t="shared" si="125"/>
        <v>2780.7240038287896</v>
      </c>
      <c r="CI105" s="106"/>
      <c r="CJ105" s="112">
        <f t="shared" si="97"/>
        <v>12392.308612399998</v>
      </c>
      <c r="CK105" s="112">
        <f t="shared" si="98"/>
        <v>8281.5039757499999</v>
      </c>
      <c r="CL105" s="112">
        <f t="shared" si="84"/>
        <v>20673.812588149998</v>
      </c>
      <c r="CM105" s="112">
        <f t="shared" si="99"/>
        <v>20673812.588149998</v>
      </c>
      <c r="CN105" s="112">
        <f t="shared" si="100"/>
        <v>19688405.976819996</v>
      </c>
      <c r="CO105" s="112">
        <f t="shared" si="101"/>
        <v>19688405.976819996</v>
      </c>
      <c r="CP105" s="112">
        <f t="shared" si="102"/>
        <v>11813038.0253</v>
      </c>
      <c r="CQ105" s="112">
        <f t="shared" si="103"/>
        <v>20353214.166390002</v>
      </c>
      <c r="CR105" s="112">
        <f t="shared" si="104"/>
        <v>20353214.166390002</v>
      </c>
      <c r="CS105" s="112">
        <f t="shared" si="105"/>
        <v>8141291.5929899998</v>
      </c>
      <c r="CT105" s="112">
        <f t="shared" si="126"/>
        <v>40041620.143209994</v>
      </c>
      <c r="CU105" s="124">
        <f t="shared" si="127"/>
        <v>5385784.249318094</v>
      </c>
      <c r="CV105" s="112">
        <f t="shared" si="106"/>
        <v>10719064.906499999</v>
      </c>
      <c r="CW105" s="112">
        <f t="shared" si="107"/>
        <v>11362208.800889999</v>
      </c>
      <c r="CX105" s="112">
        <f t="shared" si="128"/>
        <v>22081273.707389995</v>
      </c>
      <c r="CY105" s="112">
        <f t="shared" si="108"/>
        <v>20653857.873479996</v>
      </c>
      <c r="CZ105" s="112">
        <f t="shared" si="109"/>
        <v>20703744.62325</v>
      </c>
      <c r="DA105" s="106"/>
      <c r="DB105" s="128">
        <f t="shared" si="129"/>
        <v>109.27015891700999</v>
      </c>
      <c r="DC105" s="106"/>
      <c r="DD105" s="106"/>
      <c r="DE105" s="106"/>
      <c r="DF105" s="106"/>
      <c r="DG105" s="618">
        <f t="shared" si="110"/>
        <v>0</v>
      </c>
      <c r="DH105" s="618">
        <f t="shared" si="111"/>
        <v>0</v>
      </c>
      <c r="DI105" s="618">
        <f t="shared" si="112"/>
        <v>0</v>
      </c>
      <c r="DJ105" s="106"/>
    </row>
    <row r="106" spans="1:114" s="32" customFormat="1" ht="63.75" customHeight="1">
      <c r="A106" s="20">
        <f t="shared" si="130"/>
        <v>91</v>
      </c>
      <c r="B106" s="1503"/>
      <c r="C106" s="803" t="s">
        <v>120</v>
      </c>
      <c r="D106" s="748" t="s">
        <v>141</v>
      </c>
      <c r="E106" s="617">
        <v>4632024035</v>
      </c>
      <c r="F106" s="803" t="s">
        <v>8</v>
      </c>
      <c r="G106" s="751" t="s">
        <v>890</v>
      </c>
      <c r="H106" s="816">
        <f t="shared" ref="H106:I108" si="139">2653.36*1.2</f>
        <v>3184.0320000000002</v>
      </c>
      <c r="I106" s="816">
        <f t="shared" si="139"/>
        <v>3184.0320000000002</v>
      </c>
      <c r="J106" s="38"/>
      <c r="K106" s="38"/>
      <c r="L106" s="816">
        <f>2653.36*1.2</f>
        <v>3184.0320000000002</v>
      </c>
      <c r="M106" s="10"/>
      <c r="N106" s="622">
        <f t="shared" ref="N106:O118" si="140">2749.3*1.2</f>
        <v>3299.1600000000003</v>
      </c>
      <c r="O106" s="622">
        <f t="shared" si="140"/>
        <v>3299.1600000000003</v>
      </c>
      <c r="P106" s="10"/>
      <c r="Q106" s="10"/>
      <c r="R106" s="622">
        <f>2749.3*1.2</f>
        <v>3299.1600000000003</v>
      </c>
      <c r="S106" s="10"/>
      <c r="T106" s="178">
        <v>86.298000000000002</v>
      </c>
      <c r="U106" s="16"/>
      <c r="V106" s="227"/>
      <c r="W106" s="16"/>
      <c r="X106" s="16"/>
      <c r="Y106" s="16"/>
      <c r="Z106" s="35">
        <f t="shared" si="131"/>
        <v>86.298000000000002</v>
      </c>
      <c r="AA106" s="178">
        <v>50.112000000000002</v>
      </c>
      <c r="AB106" s="16"/>
      <c r="AC106" s="227"/>
      <c r="AD106" s="16"/>
      <c r="AE106" s="16"/>
      <c r="AF106" s="16"/>
      <c r="AG106" s="35">
        <f t="shared" si="132"/>
        <v>50.112000000000002</v>
      </c>
      <c r="AH106" s="35">
        <f t="shared" si="113"/>
        <v>136.41</v>
      </c>
      <c r="AI106" s="15">
        <f t="shared" si="134"/>
        <v>136.41</v>
      </c>
      <c r="AJ106" s="15">
        <f t="shared" si="134"/>
        <v>0</v>
      </c>
      <c r="AK106" s="15">
        <f t="shared" si="134"/>
        <v>0</v>
      </c>
      <c r="AL106" s="15">
        <f t="shared" si="134"/>
        <v>0</v>
      </c>
      <c r="AM106" s="15">
        <f t="shared" si="133"/>
        <v>0</v>
      </c>
      <c r="AN106" s="15"/>
      <c r="AO106" s="15">
        <f t="shared" si="85"/>
        <v>136.41</v>
      </c>
      <c r="AP106" s="15">
        <f t="shared" si="86"/>
        <v>136.41</v>
      </c>
      <c r="AQ106" s="15">
        <f t="shared" si="81"/>
        <v>136.41</v>
      </c>
      <c r="AR106" s="127">
        <f t="shared" si="114"/>
        <v>0</v>
      </c>
      <c r="AS106" s="112">
        <f t="shared" si="135"/>
        <v>434333.80512000003</v>
      </c>
      <c r="AT106" s="112">
        <f t="shared" si="135"/>
        <v>0</v>
      </c>
      <c r="AU106" s="112">
        <f t="shared" si="135"/>
        <v>0</v>
      </c>
      <c r="AV106" s="112">
        <f t="shared" si="135"/>
        <v>0</v>
      </c>
      <c r="AW106" s="112">
        <f t="shared" si="135"/>
        <v>0</v>
      </c>
      <c r="AX106" s="112">
        <f t="shared" si="115"/>
        <v>434333.80512000003</v>
      </c>
      <c r="AY106" s="112">
        <f t="shared" si="116"/>
        <v>434333.80512000003</v>
      </c>
      <c r="AZ106" s="112">
        <f t="shared" si="137"/>
        <v>450038.41560000001</v>
      </c>
      <c r="BA106" s="112">
        <f t="shared" si="137"/>
        <v>0</v>
      </c>
      <c r="BB106" s="112">
        <f t="shared" si="137"/>
        <v>0</v>
      </c>
      <c r="BC106" s="112">
        <f t="shared" si="137"/>
        <v>0</v>
      </c>
      <c r="BD106" s="112">
        <f t="shared" si="137"/>
        <v>0</v>
      </c>
      <c r="BE106" s="112">
        <f t="shared" si="117"/>
        <v>450038.41560000001</v>
      </c>
      <c r="BF106" s="112">
        <f t="shared" si="118"/>
        <v>450038.41560000001</v>
      </c>
      <c r="BG106" s="126"/>
      <c r="BH106" s="126"/>
      <c r="BI106" s="112">
        <f t="shared" si="80"/>
        <v>0</v>
      </c>
      <c r="BJ106" s="112"/>
      <c r="BK106" s="112"/>
      <c r="BL106" s="112">
        <f t="shared" si="89"/>
        <v>274775.593536</v>
      </c>
      <c r="BM106" s="112">
        <f t="shared" si="89"/>
        <v>0</v>
      </c>
      <c r="BN106" s="112">
        <f t="shared" si="89"/>
        <v>0</v>
      </c>
      <c r="BO106" s="112">
        <f t="shared" si="89"/>
        <v>0</v>
      </c>
      <c r="BP106" s="112">
        <f t="shared" si="89"/>
        <v>0</v>
      </c>
      <c r="BQ106" s="112">
        <f t="shared" si="119"/>
        <v>274775.593536</v>
      </c>
      <c r="BR106" s="112">
        <f t="shared" si="120"/>
        <v>274775.593536</v>
      </c>
      <c r="BS106" s="112">
        <f t="shared" si="90"/>
        <v>165327.50592000003</v>
      </c>
      <c r="BT106" s="112">
        <f t="shared" si="90"/>
        <v>0</v>
      </c>
      <c r="BU106" s="112">
        <f t="shared" si="90"/>
        <v>0</v>
      </c>
      <c r="BV106" s="112">
        <f t="shared" si="93"/>
        <v>0</v>
      </c>
      <c r="BW106" s="112">
        <f t="shared" si="94"/>
        <v>0</v>
      </c>
      <c r="BX106" s="112">
        <f t="shared" si="121"/>
        <v>165327.50592000003</v>
      </c>
      <c r="BY106" s="112">
        <f t="shared" si="122"/>
        <v>165327.50592000003</v>
      </c>
      <c r="BZ106" s="113">
        <f t="shared" si="91"/>
        <v>0</v>
      </c>
      <c r="CA106" s="113">
        <f t="shared" si="91"/>
        <v>0</v>
      </c>
      <c r="CB106" s="113">
        <f t="shared" si="123"/>
        <v>0</v>
      </c>
      <c r="CC106" s="119" t="e">
        <f t="shared" si="92"/>
        <v>#DIV/0!</v>
      </c>
      <c r="CD106" s="119" t="e">
        <f t="shared" si="92"/>
        <v>#DIV/0!</v>
      </c>
      <c r="CE106" s="119" t="e">
        <f t="shared" si="124"/>
        <v>#DIV/0!</v>
      </c>
      <c r="CF106" s="113" t="e">
        <f t="shared" si="95"/>
        <v>#DIV/0!</v>
      </c>
      <c r="CG106" s="619">
        <f t="shared" si="96"/>
        <v>0</v>
      </c>
      <c r="CH106" s="132" t="e">
        <f t="shared" si="125"/>
        <v>#DIV/0!</v>
      </c>
      <c r="CI106" s="625"/>
      <c r="CJ106" s="208">
        <f t="shared" si="97"/>
        <v>274.77559353599997</v>
      </c>
      <c r="CK106" s="208">
        <f t="shared" si="98"/>
        <v>165.32750592000002</v>
      </c>
      <c r="CL106" s="208">
        <f t="shared" si="84"/>
        <v>440.103099456</v>
      </c>
      <c r="CM106" s="112">
        <f t="shared" si="99"/>
        <v>440103.09945600003</v>
      </c>
      <c r="CN106" s="112">
        <f t="shared" si="100"/>
        <v>434333.80512000003</v>
      </c>
      <c r="CO106" s="112">
        <f t="shared" si="101"/>
        <v>434333.80512000003</v>
      </c>
      <c r="CP106" s="112">
        <f t="shared" si="102"/>
        <v>274775.593536</v>
      </c>
      <c r="CQ106" s="112">
        <f t="shared" si="103"/>
        <v>450038.41560000001</v>
      </c>
      <c r="CR106" s="112">
        <f t="shared" si="104"/>
        <v>450038.41560000001</v>
      </c>
      <c r="CS106" s="112">
        <f t="shared" si="105"/>
        <v>165327.50592000003</v>
      </c>
      <c r="CT106" s="112">
        <f t="shared" si="126"/>
        <v>884372.2207200001</v>
      </c>
      <c r="CU106" s="124">
        <f t="shared" si="127"/>
        <v>6483192.0000000009</v>
      </c>
      <c r="CV106" s="112">
        <f t="shared" si="106"/>
        <v>0</v>
      </c>
      <c r="CW106" s="112">
        <f t="shared" si="107"/>
        <v>0</v>
      </c>
      <c r="CX106" s="112">
        <f t="shared" si="128"/>
        <v>0</v>
      </c>
      <c r="CY106" s="112">
        <f t="shared" si="108"/>
        <v>434333.80512000003</v>
      </c>
      <c r="CZ106" s="112">
        <f t="shared" si="109"/>
        <v>450038.41560000001</v>
      </c>
      <c r="DA106" s="625"/>
      <c r="DB106" s="128" t="e">
        <f t="shared" si="129"/>
        <v>#DIV/0!</v>
      </c>
      <c r="DC106" s="625"/>
      <c r="DD106" s="625"/>
      <c r="DE106" s="625"/>
      <c r="DF106" s="625"/>
      <c r="DG106" s="618">
        <f t="shared" si="110"/>
        <v>0</v>
      </c>
      <c r="DH106" s="618">
        <f t="shared" si="111"/>
        <v>0</v>
      </c>
      <c r="DI106" s="618">
        <f t="shared" si="112"/>
        <v>0</v>
      </c>
      <c r="DJ106" s="123"/>
    </row>
    <row r="107" spans="1:114" s="32" customFormat="1" ht="63.75" customHeight="1">
      <c r="A107" s="20">
        <f t="shared" si="130"/>
        <v>92</v>
      </c>
      <c r="B107" s="1504"/>
      <c r="C107" s="803" t="s">
        <v>121</v>
      </c>
      <c r="D107" s="748" t="s">
        <v>141</v>
      </c>
      <c r="E107" s="617">
        <v>4632024035</v>
      </c>
      <c r="F107" s="803" t="s">
        <v>8</v>
      </c>
      <c r="G107" s="751" t="s">
        <v>890</v>
      </c>
      <c r="H107" s="816">
        <f t="shared" si="139"/>
        <v>3184.0320000000002</v>
      </c>
      <c r="I107" s="816">
        <f t="shared" si="139"/>
        <v>3184.0320000000002</v>
      </c>
      <c r="J107" s="38"/>
      <c r="K107" s="38"/>
      <c r="L107" s="816">
        <f>2653.36*1.2</f>
        <v>3184.0320000000002</v>
      </c>
      <c r="M107" s="10"/>
      <c r="N107" s="622">
        <f t="shared" si="140"/>
        <v>3299.1600000000003</v>
      </c>
      <c r="O107" s="622">
        <f t="shared" si="140"/>
        <v>3299.1600000000003</v>
      </c>
      <c r="P107" s="10"/>
      <c r="Q107" s="10"/>
      <c r="R107" s="622">
        <f>2749.3*1.2</f>
        <v>3299.1600000000003</v>
      </c>
      <c r="S107" s="10"/>
      <c r="T107" s="178">
        <v>64.724000000000004</v>
      </c>
      <c r="U107" s="16"/>
      <c r="V107" s="227"/>
      <c r="W107" s="16"/>
      <c r="X107" s="16"/>
      <c r="Y107" s="16"/>
      <c r="Z107" s="35">
        <f t="shared" si="131"/>
        <v>64.724000000000004</v>
      </c>
      <c r="AA107" s="178">
        <v>37.584000000000003</v>
      </c>
      <c r="AB107" s="16"/>
      <c r="AC107" s="227"/>
      <c r="AD107" s="16"/>
      <c r="AE107" s="16"/>
      <c r="AF107" s="16"/>
      <c r="AG107" s="35">
        <f t="shared" si="132"/>
        <v>37.584000000000003</v>
      </c>
      <c r="AH107" s="35">
        <f t="shared" si="113"/>
        <v>102.30800000000001</v>
      </c>
      <c r="AI107" s="15">
        <f t="shared" si="134"/>
        <v>102.30800000000001</v>
      </c>
      <c r="AJ107" s="15">
        <f t="shared" si="134"/>
        <v>0</v>
      </c>
      <c r="AK107" s="15">
        <f t="shared" si="134"/>
        <v>0</v>
      </c>
      <c r="AL107" s="15">
        <f t="shared" si="134"/>
        <v>0</v>
      </c>
      <c r="AM107" s="15">
        <f t="shared" si="133"/>
        <v>0</v>
      </c>
      <c r="AN107" s="15"/>
      <c r="AO107" s="15">
        <f t="shared" si="85"/>
        <v>102.30800000000001</v>
      </c>
      <c r="AP107" s="15">
        <f t="shared" si="86"/>
        <v>102.30800000000001</v>
      </c>
      <c r="AQ107" s="15">
        <f t="shared" si="81"/>
        <v>102.30800000000001</v>
      </c>
      <c r="AR107" s="127">
        <f t="shared" si="114"/>
        <v>0</v>
      </c>
      <c r="AS107" s="112">
        <f t="shared" si="135"/>
        <v>325751.94585600006</v>
      </c>
      <c r="AT107" s="112">
        <f t="shared" si="135"/>
        <v>0</v>
      </c>
      <c r="AU107" s="112">
        <f t="shared" si="135"/>
        <v>0</v>
      </c>
      <c r="AV107" s="112">
        <f t="shared" si="135"/>
        <v>0</v>
      </c>
      <c r="AW107" s="112">
        <f t="shared" si="135"/>
        <v>0</v>
      </c>
      <c r="AX107" s="112">
        <f t="shared" si="115"/>
        <v>325751.94585600006</v>
      </c>
      <c r="AY107" s="112">
        <f t="shared" si="116"/>
        <v>325751.94585600006</v>
      </c>
      <c r="AZ107" s="112">
        <f t="shared" si="137"/>
        <v>337530.46128000005</v>
      </c>
      <c r="BA107" s="112">
        <f t="shared" si="137"/>
        <v>0</v>
      </c>
      <c r="BB107" s="112">
        <f t="shared" si="137"/>
        <v>0</v>
      </c>
      <c r="BC107" s="112">
        <f t="shared" si="137"/>
        <v>0</v>
      </c>
      <c r="BD107" s="112">
        <f t="shared" si="137"/>
        <v>0</v>
      </c>
      <c r="BE107" s="112">
        <f t="shared" si="117"/>
        <v>337530.46128000005</v>
      </c>
      <c r="BF107" s="112">
        <f t="shared" si="118"/>
        <v>337530.46128000005</v>
      </c>
      <c r="BG107" s="126"/>
      <c r="BH107" s="126"/>
      <c r="BI107" s="112">
        <f t="shared" si="80"/>
        <v>0</v>
      </c>
      <c r="BJ107" s="112"/>
      <c r="BK107" s="112"/>
      <c r="BL107" s="112">
        <f t="shared" si="89"/>
        <v>206083.28716800001</v>
      </c>
      <c r="BM107" s="112">
        <f t="shared" si="89"/>
        <v>0</v>
      </c>
      <c r="BN107" s="112">
        <f t="shared" si="89"/>
        <v>0</v>
      </c>
      <c r="BO107" s="112">
        <f t="shared" si="89"/>
        <v>0</v>
      </c>
      <c r="BP107" s="112">
        <f t="shared" si="89"/>
        <v>0</v>
      </c>
      <c r="BQ107" s="112">
        <f t="shared" si="119"/>
        <v>206083.28716800001</v>
      </c>
      <c r="BR107" s="112">
        <f t="shared" si="120"/>
        <v>206083.28716800001</v>
      </c>
      <c r="BS107" s="112">
        <f t="shared" si="90"/>
        <v>123995.62944000002</v>
      </c>
      <c r="BT107" s="112">
        <f t="shared" si="90"/>
        <v>0</v>
      </c>
      <c r="BU107" s="112">
        <f t="shared" si="90"/>
        <v>0</v>
      </c>
      <c r="BV107" s="112">
        <f t="shared" si="93"/>
        <v>0</v>
      </c>
      <c r="BW107" s="112">
        <f t="shared" si="94"/>
        <v>0</v>
      </c>
      <c r="BX107" s="112">
        <f t="shared" si="121"/>
        <v>123995.62944000002</v>
      </c>
      <c r="BY107" s="112">
        <f t="shared" si="122"/>
        <v>123995.62944000002</v>
      </c>
      <c r="BZ107" s="113">
        <f t="shared" si="91"/>
        <v>0</v>
      </c>
      <c r="CA107" s="113">
        <f t="shared" si="91"/>
        <v>0</v>
      </c>
      <c r="CB107" s="113">
        <f t="shared" si="123"/>
        <v>0</v>
      </c>
      <c r="CC107" s="119" t="e">
        <f t="shared" si="92"/>
        <v>#DIV/0!</v>
      </c>
      <c r="CD107" s="119" t="e">
        <f t="shared" si="92"/>
        <v>#DIV/0!</v>
      </c>
      <c r="CE107" s="119" t="e">
        <f t="shared" si="124"/>
        <v>#DIV/0!</v>
      </c>
      <c r="CF107" s="113" t="e">
        <f t="shared" si="95"/>
        <v>#DIV/0!</v>
      </c>
      <c r="CG107" s="619">
        <f t="shared" si="96"/>
        <v>0</v>
      </c>
      <c r="CH107" s="132" t="e">
        <f t="shared" si="125"/>
        <v>#DIV/0!</v>
      </c>
      <c r="CI107" s="625"/>
      <c r="CJ107" s="208">
        <f t="shared" si="97"/>
        <v>206.083287168</v>
      </c>
      <c r="CK107" s="208">
        <f t="shared" si="98"/>
        <v>123.99562944000002</v>
      </c>
      <c r="CL107" s="208">
        <f t="shared" si="84"/>
        <v>330.07891660799999</v>
      </c>
      <c r="CM107" s="112">
        <f t="shared" si="99"/>
        <v>330078.91660800006</v>
      </c>
      <c r="CN107" s="112">
        <f t="shared" si="100"/>
        <v>325751.94585600006</v>
      </c>
      <c r="CO107" s="112">
        <f t="shared" si="101"/>
        <v>325751.94585600006</v>
      </c>
      <c r="CP107" s="112">
        <f t="shared" si="102"/>
        <v>206083.28716800001</v>
      </c>
      <c r="CQ107" s="112">
        <f t="shared" si="103"/>
        <v>337530.46128000005</v>
      </c>
      <c r="CR107" s="112">
        <f t="shared" si="104"/>
        <v>337530.46128000005</v>
      </c>
      <c r="CS107" s="112">
        <f t="shared" si="105"/>
        <v>123995.62944000002</v>
      </c>
      <c r="CT107" s="112">
        <f t="shared" si="126"/>
        <v>663282.40713600011</v>
      </c>
      <c r="CU107" s="124">
        <f t="shared" si="127"/>
        <v>6483192.0000000009</v>
      </c>
      <c r="CV107" s="112">
        <f t="shared" si="106"/>
        <v>0</v>
      </c>
      <c r="CW107" s="112">
        <f t="shared" si="107"/>
        <v>0</v>
      </c>
      <c r="CX107" s="112">
        <f t="shared" si="128"/>
        <v>0</v>
      </c>
      <c r="CY107" s="112">
        <f t="shared" si="108"/>
        <v>325751.94585600006</v>
      </c>
      <c r="CZ107" s="112">
        <f t="shared" si="109"/>
        <v>337530.46128000005</v>
      </c>
      <c r="DA107" s="625"/>
      <c r="DB107" s="128" t="e">
        <f t="shared" si="129"/>
        <v>#DIV/0!</v>
      </c>
      <c r="DC107" s="625"/>
      <c r="DD107" s="625"/>
      <c r="DE107" s="625"/>
      <c r="DF107" s="625"/>
      <c r="DG107" s="618">
        <f t="shared" si="110"/>
        <v>0</v>
      </c>
      <c r="DH107" s="618">
        <f t="shared" si="111"/>
        <v>0</v>
      </c>
      <c r="DI107" s="618">
        <f t="shared" si="112"/>
        <v>0</v>
      </c>
      <c r="DJ107" s="123"/>
    </row>
    <row r="108" spans="1:114" s="32" customFormat="1" ht="63.75" customHeight="1">
      <c r="A108" s="20">
        <f t="shared" si="130"/>
        <v>93</v>
      </c>
      <c r="B108" s="1502" t="s">
        <v>41</v>
      </c>
      <c r="C108" s="22" t="s">
        <v>122</v>
      </c>
      <c r="D108" s="748" t="s">
        <v>147</v>
      </c>
      <c r="E108" s="617">
        <v>4632024035</v>
      </c>
      <c r="F108" s="803" t="s">
        <v>8</v>
      </c>
      <c r="G108" s="751" t="s">
        <v>890</v>
      </c>
      <c r="H108" s="816">
        <f t="shared" si="139"/>
        <v>3184.0320000000002</v>
      </c>
      <c r="I108" s="816">
        <f t="shared" si="139"/>
        <v>3184.0320000000002</v>
      </c>
      <c r="J108" s="38">
        <v>2103.35</v>
      </c>
      <c r="K108" s="38"/>
      <c r="L108" s="816">
        <f>2653.36*1.2</f>
        <v>3184.0320000000002</v>
      </c>
      <c r="M108" s="10"/>
      <c r="N108" s="622">
        <f t="shared" si="140"/>
        <v>3299.1600000000003</v>
      </c>
      <c r="O108" s="622">
        <f t="shared" si="140"/>
        <v>3299.1600000000003</v>
      </c>
      <c r="P108" s="38">
        <v>2239.86</v>
      </c>
      <c r="Q108" s="10"/>
      <c r="R108" s="622">
        <f>2749.3*1.2</f>
        <v>3299.1600000000003</v>
      </c>
      <c r="S108" s="10"/>
      <c r="T108" s="648">
        <v>1953.9000000000003</v>
      </c>
      <c r="U108" s="650">
        <v>1293.3000000000002</v>
      </c>
      <c r="V108" s="227"/>
      <c r="W108" s="16"/>
      <c r="X108" s="16"/>
      <c r="Y108" s="16"/>
      <c r="Z108" s="35">
        <f t="shared" si="131"/>
        <v>3247.2000000000007</v>
      </c>
      <c r="AA108" s="178">
        <v>1034.6000000000001</v>
      </c>
      <c r="AB108" s="16">
        <v>970</v>
      </c>
      <c r="AC108" s="227"/>
      <c r="AD108" s="16"/>
      <c r="AE108" s="16"/>
      <c r="AF108" s="16"/>
      <c r="AG108" s="35">
        <f t="shared" si="132"/>
        <v>2004.6000000000001</v>
      </c>
      <c r="AH108" s="35">
        <f t="shared" si="113"/>
        <v>5251.8000000000011</v>
      </c>
      <c r="AI108" s="15">
        <f t="shared" si="134"/>
        <v>2988.5000000000005</v>
      </c>
      <c r="AJ108" s="15">
        <f t="shared" si="134"/>
        <v>2263.3000000000002</v>
      </c>
      <c r="AK108" s="15">
        <f t="shared" si="134"/>
        <v>0</v>
      </c>
      <c r="AL108" s="15">
        <f t="shared" si="134"/>
        <v>0</v>
      </c>
      <c r="AM108" s="15">
        <f t="shared" si="133"/>
        <v>0</v>
      </c>
      <c r="AN108" s="15"/>
      <c r="AO108" s="15">
        <f t="shared" si="85"/>
        <v>5251.8000000000011</v>
      </c>
      <c r="AP108" s="15">
        <f t="shared" si="86"/>
        <v>5251.8000000000011</v>
      </c>
      <c r="AQ108" s="15">
        <f t="shared" si="81"/>
        <v>5251.8000000000011</v>
      </c>
      <c r="AR108" s="127">
        <f t="shared" si="114"/>
        <v>0</v>
      </c>
      <c r="AS108" s="112">
        <f t="shared" si="135"/>
        <v>9515479.6320000011</v>
      </c>
      <c r="AT108" s="112">
        <f t="shared" si="135"/>
        <v>4760512.0550000006</v>
      </c>
      <c r="AU108" s="112">
        <f t="shared" si="135"/>
        <v>0</v>
      </c>
      <c r="AV108" s="112">
        <f t="shared" si="135"/>
        <v>0</v>
      </c>
      <c r="AW108" s="112">
        <f t="shared" si="135"/>
        <v>0</v>
      </c>
      <c r="AX108" s="112">
        <f t="shared" si="115"/>
        <v>14275991.687000003</v>
      </c>
      <c r="AY108" s="112">
        <f t="shared" si="116"/>
        <v>14275991.687000003</v>
      </c>
      <c r="AZ108" s="112">
        <f t="shared" si="137"/>
        <v>9859539.660000002</v>
      </c>
      <c r="BA108" s="112">
        <f t="shared" si="137"/>
        <v>5069475.1380000003</v>
      </c>
      <c r="BB108" s="112">
        <f t="shared" si="137"/>
        <v>0</v>
      </c>
      <c r="BC108" s="112">
        <f t="shared" si="137"/>
        <v>0</v>
      </c>
      <c r="BD108" s="112">
        <f t="shared" si="137"/>
        <v>0</v>
      </c>
      <c r="BE108" s="112">
        <f t="shared" si="117"/>
        <v>14929014.798000002</v>
      </c>
      <c r="BF108" s="112">
        <f t="shared" si="118"/>
        <v>14929014.798000002</v>
      </c>
      <c r="BG108" s="623">
        <f>(I108-J108)/1.2*U108/1000</f>
        <v>1164.7050255000004</v>
      </c>
      <c r="BH108" s="624">
        <f>(O108-P108)/1.2*AB108/1000</f>
        <v>856.26750000000027</v>
      </c>
      <c r="BI108" s="623">
        <f t="shared" si="80"/>
        <v>2020.9725255000008</v>
      </c>
      <c r="BJ108" s="169"/>
      <c r="BK108" s="169"/>
      <c r="BL108" s="112">
        <f t="shared" ref="BL108:BP130" si="141">I108*T108</f>
        <v>6221280.1248000013</v>
      </c>
      <c r="BM108" s="112">
        <f t="shared" si="141"/>
        <v>2720262.5550000002</v>
      </c>
      <c r="BN108" s="112">
        <f t="shared" si="141"/>
        <v>0</v>
      </c>
      <c r="BO108" s="112">
        <f t="shared" si="141"/>
        <v>0</v>
      </c>
      <c r="BP108" s="112">
        <f t="shared" si="141"/>
        <v>0</v>
      </c>
      <c r="BQ108" s="112">
        <f t="shared" si="119"/>
        <v>8941542.6798000019</v>
      </c>
      <c r="BR108" s="112">
        <f t="shared" si="120"/>
        <v>8941542.6798000019</v>
      </c>
      <c r="BS108" s="112">
        <f t="shared" ref="BS108:BU140" si="142">O108*AA108</f>
        <v>3413310.9360000007</v>
      </c>
      <c r="BT108" s="112">
        <f t="shared" si="142"/>
        <v>2172664.2000000002</v>
      </c>
      <c r="BU108" s="112">
        <f t="shared" si="142"/>
        <v>0</v>
      </c>
      <c r="BV108" s="112">
        <f t="shared" si="93"/>
        <v>0</v>
      </c>
      <c r="BW108" s="112">
        <f t="shared" si="94"/>
        <v>0</v>
      </c>
      <c r="BX108" s="112">
        <f t="shared" si="121"/>
        <v>5585975.1360000009</v>
      </c>
      <c r="BY108" s="112">
        <f t="shared" si="122"/>
        <v>5585975.1360000009</v>
      </c>
      <c r="BZ108" s="113">
        <f t="shared" si="91"/>
        <v>4892926.7550000008</v>
      </c>
      <c r="CA108" s="113">
        <f t="shared" si="91"/>
        <v>0</v>
      </c>
      <c r="CB108" s="113">
        <f t="shared" si="123"/>
        <v>4892926.7550000008</v>
      </c>
      <c r="CC108" s="119">
        <f t="shared" si="92"/>
        <v>2161.855147351213</v>
      </c>
      <c r="CD108" s="119" t="e">
        <f t="shared" si="92"/>
        <v>#DIV/0!</v>
      </c>
      <c r="CE108" s="119">
        <f t="shared" si="124"/>
        <v>2161.855147351213</v>
      </c>
      <c r="CF108" s="119">
        <f t="shared" si="95"/>
        <v>2161.855147351213</v>
      </c>
      <c r="CG108" s="619">
        <f t="shared" si="96"/>
        <v>7318093.785600001</v>
      </c>
      <c r="CH108" s="132">
        <f t="shared" si="125"/>
        <v>3233.3732981045378</v>
      </c>
      <c r="CI108" s="625"/>
      <c r="CJ108" s="208">
        <f t="shared" si="97"/>
        <v>10339.188710400002</v>
      </c>
      <c r="CK108" s="208">
        <f t="shared" si="98"/>
        <v>6613.4961360000007</v>
      </c>
      <c r="CL108" s="208">
        <f t="shared" si="84"/>
        <v>16952.684846400003</v>
      </c>
      <c r="CM108" s="112">
        <f t="shared" si="99"/>
        <v>16952684.846400004</v>
      </c>
      <c r="CN108" s="112">
        <f t="shared" si="100"/>
        <v>14275991.687000003</v>
      </c>
      <c r="CO108" s="112">
        <f t="shared" si="101"/>
        <v>14275991.687000003</v>
      </c>
      <c r="CP108" s="112">
        <f t="shared" si="102"/>
        <v>8941542.6798000019</v>
      </c>
      <c r="CQ108" s="112">
        <f t="shared" si="103"/>
        <v>14929014.798000002</v>
      </c>
      <c r="CR108" s="112">
        <f t="shared" si="104"/>
        <v>14929014.798000002</v>
      </c>
      <c r="CS108" s="112">
        <f t="shared" si="105"/>
        <v>5585975.1360000009</v>
      </c>
      <c r="CT108" s="112">
        <f t="shared" si="126"/>
        <v>29205006.485000007</v>
      </c>
      <c r="CU108" s="124">
        <f t="shared" si="127"/>
        <v>5560951.7660611598</v>
      </c>
      <c r="CV108" s="112">
        <f t="shared" si="106"/>
        <v>4760512.0550000006</v>
      </c>
      <c r="CW108" s="112">
        <f t="shared" si="107"/>
        <v>5069475.1380000003</v>
      </c>
      <c r="CX108" s="112">
        <f t="shared" si="128"/>
        <v>9829987.193</v>
      </c>
      <c r="CY108" s="112">
        <f t="shared" si="108"/>
        <v>16721899.257600002</v>
      </c>
      <c r="CZ108" s="112">
        <f t="shared" si="109"/>
        <v>17326528.488000005</v>
      </c>
      <c r="DA108" s="625"/>
      <c r="DB108" s="128">
        <f t="shared" si="129"/>
        <v>156.8526398364514</v>
      </c>
      <c r="DC108" s="625"/>
      <c r="DD108" s="625"/>
      <c r="DE108" s="625"/>
      <c r="DF108" s="625"/>
      <c r="DG108" s="618">
        <f t="shared" si="110"/>
        <v>0</v>
      </c>
      <c r="DH108" s="618">
        <f t="shared" si="111"/>
        <v>0</v>
      </c>
      <c r="DI108" s="618">
        <f t="shared" si="112"/>
        <v>0</v>
      </c>
      <c r="DJ108" s="123"/>
    </row>
    <row r="109" spans="1:114" s="32" customFormat="1" ht="63.75" customHeight="1">
      <c r="A109" s="20">
        <f t="shared" si="130"/>
        <v>94</v>
      </c>
      <c r="B109" s="1504"/>
      <c r="C109" s="803" t="s">
        <v>123</v>
      </c>
      <c r="D109" s="748" t="s">
        <v>141</v>
      </c>
      <c r="E109" s="617">
        <v>4632024035</v>
      </c>
      <c r="F109" s="803" t="s">
        <v>8</v>
      </c>
      <c r="G109" s="751" t="s">
        <v>890</v>
      </c>
      <c r="H109" s="816">
        <f>2653.36*1.2</f>
        <v>3184.0320000000002</v>
      </c>
      <c r="I109" s="816">
        <f>2653.36*1.2</f>
        <v>3184.0320000000002</v>
      </c>
      <c r="J109" s="38"/>
      <c r="K109" s="38"/>
      <c r="L109" s="816">
        <f>2653.36*1.2</f>
        <v>3184.0320000000002</v>
      </c>
      <c r="M109" s="10"/>
      <c r="N109" s="622">
        <f t="shared" si="140"/>
        <v>3299.1600000000003</v>
      </c>
      <c r="O109" s="622">
        <f t="shared" si="140"/>
        <v>3299.1600000000003</v>
      </c>
      <c r="P109" s="10"/>
      <c r="Q109" s="10"/>
      <c r="R109" s="622">
        <f>2749.3*1.2</f>
        <v>3299.1600000000003</v>
      </c>
      <c r="S109" s="10"/>
      <c r="T109" s="178">
        <v>312.44400000000002</v>
      </c>
      <c r="U109" s="16"/>
      <c r="V109" s="227"/>
      <c r="W109" s="16"/>
      <c r="X109" s="16"/>
      <c r="Y109" s="16"/>
      <c r="Z109" s="35">
        <f t="shared" si="131"/>
        <v>312.44400000000002</v>
      </c>
      <c r="AA109" s="178">
        <v>182.11200000000002</v>
      </c>
      <c r="AB109" s="16"/>
      <c r="AC109" s="227"/>
      <c r="AD109" s="16"/>
      <c r="AE109" s="16"/>
      <c r="AF109" s="16"/>
      <c r="AG109" s="35">
        <f t="shared" si="132"/>
        <v>182.11200000000002</v>
      </c>
      <c r="AH109" s="35">
        <f t="shared" si="113"/>
        <v>494.55600000000004</v>
      </c>
      <c r="AI109" s="15">
        <f t="shared" si="134"/>
        <v>494.55600000000004</v>
      </c>
      <c r="AJ109" s="15">
        <f t="shared" si="134"/>
        <v>0</v>
      </c>
      <c r="AK109" s="15">
        <f t="shared" si="134"/>
        <v>0</v>
      </c>
      <c r="AL109" s="15">
        <f t="shared" si="134"/>
        <v>0</v>
      </c>
      <c r="AM109" s="15">
        <f t="shared" si="133"/>
        <v>0</v>
      </c>
      <c r="AN109" s="15"/>
      <c r="AO109" s="15">
        <f t="shared" si="85"/>
        <v>494.55600000000004</v>
      </c>
      <c r="AP109" s="15">
        <f t="shared" si="86"/>
        <v>494.55600000000004</v>
      </c>
      <c r="AQ109" s="15">
        <f t="shared" si="81"/>
        <v>494.55600000000004</v>
      </c>
      <c r="AR109" s="127">
        <f t="shared" si="114"/>
        <v>0</v>
      </c>
      <c r="AS109" s="112">
        <f t="shared" si="135"/>
        <v>1574682.1297920002</v>
      </c>
      <c r="AT109" s="112">
        <f t="shared" si="135"/>
        <v>0</v>
      </c>
      <c r="AU109" s="112">
        <f t="shared" si="135"/>
        <v>0</v>
      </c>
      <c r="AV109" s="112">
        <f t="shared" si="135"/>
        <v>0</v>
      </c>
      <c r="AW109" s="112">
        <f t="shared" si="135"/>
        <v>0</v>
      </c>
      <c r="AX109" s="112">
        <f t="shared" si="115"/>
        <v>1574682.1297920002</v>
      </c>
      <c r="AY109" s="112">
        <f t="shared" si="116"/>
        <v>1574682.1297920002</v>
      </c>
      <c r="AZ109" s="112">
        <f t="shared" si="137"/>
        <v>1631619.3729600003</v>
      </c>
      <c r="BA109" s="112">
        <f t="shared" si="137"/>
        <v>0</v>
      </c>
      <c r="BB109" s="112">
        <f t="shared" si="137"/>
        <v>0</v>
      </c>
      <c r="BC109" s="112">
        <f t="shared" si="137"/>
        <v>0</v>
      </c>
      <c r="BD109" s="112">
        <f t="shared" si="137"/>
        <v>0</v>
      </c>
      <c r="BE109" s="112">
        <f t="shared" si="117"/>
        <v>1631619.3729600003</v>
      </c>
      <c r="BF109" s="112">
        <f t="shared" si="118"/>
        <v>1631619.3729600003</v>
      </c>
      <c r="BG109" s="126"/>
      <c r="BH109" s="126"/>
      <c r="BI109" s="112">
        <f t="shared" si="80"/>
        <v>0</v>
      </c>
      <c r="BJ109" s="112"/>
      <c r="BK109" s="112"/>
      <c r="BL109" s="112">
        <f t="shared" si="141"/>
        <v>994831.69420800009</v>
      </c>
      <c r="BM109" s="112">
        <f t="shared" si="141"/>
        <v>0</v>
      </c>
      <c r="BN109" s="112">
        <f t="shared" si="141"/>
        <v>0</v>
      </c>
      <c r="BO109" s="112">
        <f t="shared" si="141"/>
        <v>0</v>
      </c>
      <c r="BP109" s="112">
        <f t="shared" si="141"/>
        <v>0</v>
      </c>
      <c r="BQ109" s="112">
        <f t="shared" si="119"/>
        <v>994831.69420800009</v>
      </c>
      <c r="BR109" s="112">
        <f t="shared" si="120"/>
        <v>994831.69420800009</v>
      </c>
      <c r="BS109" s="112">
        <f t="shared" si="142"/>
        <v>600816.62592000014</v>
      </c>
      <c r="BT109" s="112">
        <f t="shared" si="142"/>
        <v>0</v>
      </c>
      <c r="BU109" s="112">
        <f t="shared" si="142"/>
        <v>0</v>
      </c>
      <c r="BV109" s="112">
        <f t="shared" si="93"/>
        <v>0</v>
      </c>
      <c r="BW109" s="112">
        <f t="shared" si="94"/>
        <v>0</v>
      </c>
      <c r="BX109" s="112">
        <f t="shared" si="121"/>
        <v>600816.62592000014</v>
      </c>
      <c r="BY109" s="112">
        <f t="shared" si="122"/>
        <v>600816.62592000014</v>
      </c>
      <c r="BZ109" s="113">
        <f t="shared" si="91"/>
        <v>0</v>
      </c>
      <c r="CA109" s="113">
        <f t="shared" si="91"/>
        <v>0</v>
      </c>
      <c r="CB109" s="113">
        <f t="shared" si="123"/>
        <v>0</v>
      </c>
      <c r="CC109" s="119" t="e">
        <f t="shared" si="92"/>
        <v>#DIV/0!</v>
      </c>
      <c r="CD109" s="119" t="e">
        <f t="shared" si="92"/>
        <v>#DIV/0!</v>
      </c>
      <c r="CE109" s="119" t="e">
        <f t="shared" si="124"/>
        <v>#DIV/0!</v>
      </c>
      <c r="CF109" s="113" t="e">
        <f t="shared" si="95"/>
        <v>#DIV/0!</v>
      </c>
      <c r="CG109" s="619">
        <f t="shared" si="96"/>
        <v>0</v>
      </c>
      <c r="CH109" s="132" t="e">
        <f t="shared" si="125"/>
        <v>#DIV/0!</v>
      </c>
      <c r="CI109" s="625"/>
      <c r="CJ109" s="208">
        <f t="shared" si="97"/>
        <v>994.83169420800004</v>
      </c>
      <c r="CK109" s="208">
        <f t="shared" si="98"/>
        <v>600.81662592000009</v>
      </c>
      <c r="CL109" s="208">
        <f t="shared" si="84"/>
        <v>1595.6483201280003</v>
      </c>
      <c r="CM109" s="112">
        <f t="shared" si="99"/>
        <v>1595648.3201280003</v>
      </c>
      <c r="CN109" s="112">
        <f t="shared" si="100"/>
        <v>1574682.1297920002</v>
      </c>
      <c r="CO109" s="112">
        <f t="shared" si="101"/>
        <v>1574682.1297920002</v>
      </c>
      <c r="CP109" s="112">
        <f t="shared" si="102"/>
        <v>994831.69420800009</v>
      </c>
      <c r="CQ109" s="112">
        <f t="shared" si="103"/>
        <v>1631619.3729600003</v>
      </c>
      <c r="CR109" s="112">
        <f t="shared" si="104"/>
        <v>1631619.3729600003</v>
      </c>
      <c r="CS109" s="112">
        <f t="shared" si="105"/>
        <v>600816.62592000014</v>
      </c>
      <c r="CT109" s="112">
        <f t="shared" si="126"/>
        <v>3206301.5027520005</v>
      </c>
      <c r="CU109" s="124">
        <f t="shared" si="127"/>
        <v>6483192</v>
      </c>
      <c r="CV109" s="112">
        <f t="shared" si="106"/>
        <v>0</v>
      </c>
      <c r="CW109" s="112">
        <f t="shared" si="107"/>
        <v>0</v>
      </c>
      <c r="CX109" s="112">
        <f t="shared" si="128"/>
        <v>0</v>
      </c>
      <c r="CY109" s="112">
        <f t="shared" si="108"/>
        <v>1574682.1297920002</v>
      </c>
      <c r="CZ109" s="112">
        <f t="shared" si="109"/>
        <v>1631619.3729600003</v>
      </c>
      <c r="DA109" s="625"/>
      <c r="DB109" s="128" t="e">
        <f t="shared" si="129"/>
        <v>#DIV/0!</v>
      </c>
      <c r="DC109" s="625"/>
      <c r="DD109" s="625"/>
      <c r="DE109" s="625"/>
      <c r="DF109" s="625"/>
      <c r="DG109" s="618">
        <f t="shared" si="110"/>
        <v>0</v>
      </c>
      <c r="DH109" s="618">
        <f t="shared" si="111"/>
        <v>0</v>
      </c>
      <c r="DI109" s="618">
        <f t="shared" si="112"/>
        <v>0</v>
      </c>
      <c r="DJ109" s="123"/>
    </row>
    <row r="110" spans="1:114" s="155" customFormat="1" ht="63.75" customHeight="1">
      <c r="A110" s="20">
        <f t="shared" si="130"/>
        <v>95</v>
      </c>
      <c r="B110" s="1577" t="s">
        <v>42</v>
      </c>
      <c r="C110" s="807" t="s">
        <v>170</v>
      </c>
      <c r="D110" s="750" t="s">
        <v>145</v>
      </c>
      <c r="E110" s="617">
        <v>4632024035</v>
      </c>
      <c r="F110" s="803" t="s">
        <v>8</v>
      </c>
      <c r="G110" s="751" t="s">
        <v>890</v>
      </c>
      <c r="H110" s="816">
        <f t="shared" ref="H110:I118" si="143">2653.36*1.2</f>
        <v>3184.0320000000002</v>
      </c>
      <c r="I110" s="816">
        <f t="shared" si="143"/>
        <v>3184.0320000000002</v>
      </c>
      <c r="J110" s="38">
        <v>2103.35</v>
      </c>
      <c r="K110" s="38">
        <v>1543.07</v>
      </c>
      <c r="L110" s="816">
        <f t="shared" ref="L110:L118" si="144">2653.36*1.2</f>
        <v>3184.0320000000002</v>
      </c>
      <c r="M110" s="38"/>
      <c r="N110" s="622">
        <f t="shared" si="140"/>
        <v>3299.1600000000003</v>
      </c>
      <c r="O110" s="622">
        <f t="shared" si="140"/>
        <v>3299.1600000000003</v>
      </c>
      <c r="P110" s="38">
        <v>2239.86</v>
      </c>
      <c r="Q110" s="38">
        <v>1643.22</v>
      </c>
      <c r="R110" s="622">
        <f>2749.3*1.2</f>
        <v>3299.1600000000003</v>
      </c>
      <c r="S110" s="38"/>
      <c r="T110" s="648">
        <v>6902.9889999999996</v>
      </c>
      <c r="U110" s="650">
        <f>10867.076-0.006</f>
        <v>10867.07</v>
      </c>
      <c r="V110" s="669">
        <f>1092.883</f>
        <v>1092.883</v>
      </c>
      <c r="W110" s="606"/>
      <c r="X110" s="606"/>
      <c r="Y110" s="606"/>
      <c r="Z110" s="178">
        <f t="shared" si="131"/>
        <v>18862.942000000003</v>
      </c>
      <c r="AA110" s="620">
        <v>4107.1200000000008</v>
      </c>
      <c r="AB110" s="606">
        <v>8150.3070000000007</v>
      </c>
      <c r="AC110" s="605">
        <v>780.34699999999998</v>
      </c>
      <c r="AD110" s="606"/>
      <c r="AE110" s="606"/>
      <c r="AF110" s="606"/>
      <c r="AG110" s="178">
        <f t="shared" si="132"/>
        <v>13037.774000000001</v>
      </c>
      <c r="AH110" s="178">
        <f t="shared" si="113"/>
        <v>31900.716000000004</v>
      </c>
      <c r="AI110" s="16">
        <f t="shared" si="134"/>
        <v>11010.109</v>
      </c>
      <c r="AJ110" s="16">
        <f t="shared" si="134"/>
        <v>19017.377</v>
      </c>
      <c r="AK110" s="16">
        <f t="shared" si="134"/>
        <v>1873.23</v>
      </c>
      <c r="AL110" s="16">
        <f t="shared" si="134"/>
        <v>0</v>
      </c>
      <c r="AM110" s="16">
        <f t="shared" si="133"/>
        <v>0</v>
      </c>
      <c r="AN110" s="16"/>
      <c r="AO110" s="16">
        <f t="shared" si="85"/>
        <v>31900.716</v>
      </c>
      <c r="AP110" s="16">
        <f t="shared" si="86"/>
        <v>31900.716</v>
      </c>
      <c r="AQ110" s="16">
        <f t="shared" si="81"/>
        <v>31900.716</v>
      </c>
      <c r="AR110" s="127">
        <f t="shared" si="114"/>
        <v>0</v>
      </c>
      <c r="AS110" s="112">
        <f t="shared" si="135"/>
        <v>35056539.379488006</v>
      </c>
      <c r="AT110" s="112">
        <f t="shared" si="135"/>
        <v>40000199.912950002</v>
      </c>
      <c r="AU110" s="112">
        <f t="shared" si="135"/>
        <v>2890525.0161000001</v>
      </c>
      <c r="AV110" s="112">
        <f t="shared" si="135"/>
        <v>0</v>
      </c>
      <c r="AW110" s="112">
        <f t="shared" si="135"/>
        <v>0</v>
      </c>
      <c r="AX110" s="112">
        <f t="shared" si="115"/>
        <v>77947264.308538005</v>
      </c>
      <c r="AY110" s="112">
        <f t="shared" si="116"/>
        <v>77947264.308538005</v>
      </c>
      <c r="AZ110" s="112">
        <f t="shared" si="137"/>
        <v>36324111.208440006</v>
      </c>
      <c r="BA110" s="112">
        <f t="shared" si="137"/>
        <v>42596262.047220007</v>
      </c>
      <c r="BB110" s="112">
        <f t="shared" si="137"/>
        <v>3078129.0005999999</v>
      </c>
      <c r="BC110" s="112">
        <f t="shared" si="137"/>
        <v>0</v>
      </c>
      <c r="BD110" s="112">
        <f t="shared" si="137"/>
        <v>0</v>
      </c>
      <c r="BE110" s="112">
        <f t="shared" si="117"/>
        <v>81998502.256260008</v>
      </c>
      <c r="BF110" s="112">
        <f t="shared" si="118"/>
        <v>81998502.256260008</v>
      </c>
      <c r="BG110" s="623">
        <f>(I110-J110)/1.2*U110/1000+(I110-K110)/1.2*V110/1000</f>
        <v>11281.022012655003</v>
      </c>
      <c r="BH110" s="624">
        <f>(O110-P110)/1.2*AB110/1000+(O110-Q110)/1.2*AC110/1000</f>
        <v>8271.5233469000032</v>
      </c>
      <c r="BI110" s="623">
        <f t="shared" si="80"/>
        <v>19552.545359555006</v>
      </c>
      <c r="BJ110" s="169"/>
      <c r="BK110" s="169"/>
      <c r="BL110" s="126">
        <f t="shared" si="141"/>
        <v>21979337.871647999</v>
      </c>
      <c r="BM110" s="126">
        <f t="shared" si="141"/>
        <v>22857251.684499998</v>
      </c>
      <c r="BN110" s="126">
        <f t="shared" si="141"/>
        <v>1686394.9708100001</v>
      </c>
      <c r="BO110" s="126">
        <f t="shared" si="141"/>
        <v>0</v>
      </c>
      <c r="BP110" s="126">
        <f t="shared" si="141"/>
        <v>0</v>
      </c>
      <c r="BQ110" s="126">
        <f t="shared" si="119"/>
        <v>46522984.526957996</v>
      </c>
      <c r="BR110" s="126">
        <f t="shared" si="120"/>
        <v>46522984.526957996</v>
      </c>
      <c r="BS110" s="126">
        <f t="shared" si="142"/>
        <v>13550046.019200005</v>
      </c>
      <c r="BT110" s="126">
        <f t="shared" si="142"/>
        <v>18255546.637020003</v>
      </c>
      <c r="BU110" s="126">
        <f t="shared" si="142"/>
        <v>1282281.79734</v>
      </c>
      <c r="BV110" s="126">
        <f t="shared" si="93"/>
        <v>0</v>
      </c>
      <c r="BW110" s="126">
        <f t="shared" si="94"/>
        <v>0</v>
      </c>
      <c r="BX110" s="126">
        <f t="shared" si="121"/>
        <v>33087874.45356001</v>
      </c>
      <c r="BY110" s="126">
        <f t="shared" si="122"/>
        <v>33087874.45356001</v>
      </c>
      <c r="BZ110" s="675">
        <f t="shared" si="91"/>
        <v>41112798.321520001</v>
      </c>
      <c r="CA110" s="675">
        <f t="shared" si="91"/>
        <v>2968676.7681499999</v>
      </c>
      <c r="CB110" s="675">
        <f t="shared" si="123"/>
        <v>44081475.089670002</v>
      </c>
      <c r="CC110" s="676">
        <f t="shared" si="92"/>
        <v>2161.854304172442</v>
      </c>
      <c r="CD110" s="676">
        <f t="shared" si="92"/>
        <v>1584.7903184072431</v>
      </c>
      <c r="CE110" s="676">
        <f t="shared" si="124"/>
        <v>2110.1098254191465</v>
      </c>
      <c r="CF110" s="676">
        <f t="shared" si="95"/>
        <v>2110.1098254191461</v>
      </c>
      <c r="CG110" s="677">
        <f t="shared" si="96"/>
        <v>67544529.521136001</v>
      </c>
      <c r="CH110" s="678">
        <f t="shared" si="125"/>
        <v>3233.2487764063535</v>
      </c>
      <c r="CI110" s="621"/>
      <c r="CJ110" s="208">
        <f t="shared" si="97"/>
        <v>60060.210942144011</v>
      </c>
      <c r="CK110" s="208">
        <f t="shared" si="98"/>
        <v>43013.702469840006</v>
      </c>
      <c r="CL110" s="208">
        <f t="shared" si="84"/>
        <v>103073.91341198402</v>
      </c>
      <c r="CM110" s="126">
        <f t="shared" si="99"/>
        <v>103073913.41198403</v>
      </c>
      <c r="CN110" s="126">
        <f t="shared" si="100"/>
        <v>77947264.308538005</v>
      </c>
      <c r="CO110" s="126">
        <f t="shared" si="101"/>
        <v>78996797.612938002</v>
      </c>
      <c r="CP110" s="126">
        <f t="shared" si="102"/>
        <v>46522984.526957996</v>
      </c>
      <c r="CQ110" s="126">
        <f t="shared" si="103"/>
        <v>81998502.256260008</v>
      </c>
      <c r="CR110" s="126">
        <f t="shared" si="104"/>
        <v>83116146.203460008</v>
      </c>
      <c r="CS110" s="126">
        <f t="shared" si="105"/>
        <v>33087874.45356001</v>
      </c>
      <c r="CT110" s="126">
        <f t="shared" si="126"/>
        <v>159945766.564798</v>
      </c>
      <c r="CU110" s="679">
        <f t="shared" si="127"/>
        <v>5013861.3366796523</v>
      </c>
      <c r="CV110" s="126">
        <f t="shared" si="106"/>
        <v>42890724.929049999</v>
      </c>
      <c r="CW110" s="126">
        <f t="shared" si="107"/>
        <v>45674391.047820009</v>
      </c>
      <c r="CX110" s="126">
        <f t="shared" si="128"/>
        <v>88565115.97687</v>
      </c>
      <c r="CY110" s="126">
        <f t="shared" si="108"/>
        <v>101572900.566912</v>
      </c>
      <c r="CZ110" s="126">
        <f t="shared" si="109"/>
        <v>105245566.19856001</v>
      </c>
      <c r="DA110" s="621"/>
      <c r="DB110" s="680">
        <f t="shared" si="129"/>
        <v>156.8526398364514</v>
      </c>
      <c r="DC110" s="621"/>
      <c r="DD110" s="621"/>
      <c r="DE110" s="621"/>
      <c r="DF110" s="621"/>
      <c r="DG110" s="618">
        <f t="shared" si="110"/>
        <v>0</v>
      </c>
      <c r="DH110" s="618">
        <f t="shared" si="111"/>
        <v>0</v>
      </c>
      <c r="DI110" s="618">
        <f t="shared" si="112"/>
        <v>0</v>
      </c>
      <c r="DJ110" s="154"/>
    </row>
    <row r="111" spans="1:114" s="32" customFormat="1" ht="63.75" customHeight="1">
      <c r="A111" s="20">
        <f t="shared" si="130"/>
        <v>96</v>
      </c>
      <c r="B111" s="1503"/>
      <c r="C111" s="803" t="s">
        <v>124</v>
      </c>
      <c r="D111" s="748" t="s">
        <v>141</v>
      </c>
      <c r="E111" s="617">
        <v>4632024035</v>
      </c>
      <c r="F111" s="803" t="s">
        <v>8</v>
      </c>
      <c r="G111" s="751" t="s">
        <v>890</v>
      </c>
      <c r="H111" s="816">
        <f t="shared" si="143"/>
        <v>3184.0320000000002</v>
      </c>
      <c r="I111" s="816">
        <f t="shared" si="143"/>
        <v>3184.0320000000002</v>
      </c>
      <c r="J111" s="38"/>
      <c r="K111" s="38"/>
      <c r="L111" s="816">
        <f t="shared" si="144"/>
        <v>3184.0320000000002</v>
      </c>
      <c r="M111" s="10"/>
      <c r="N111" s="622">
        <f t="shared" si="140"/>
        <v>3299.1600000000003</v>
      </c>
      <c r="O111" s="622">
        <f t="shared" si="140"/>
        <v>3299.1600000000003</v>
      </c>
      <c r="P111" s="10"/>
      <c r="Q111" s="10"/>
      <c r="R111" s="622">
        <f t="shared" ref="R111:R118" si="145">2749.3*1.2</f>
        <v>3299.1600000000003</v>
      </c>
      <c r="S111" s="10"/>
      <c r="T111" s="178">
        <v>442.27800000000002</v>
      </c>
      <c r="U111" s="16"/>
      <c r="V111" s="227"/>
      <c r="W111" s="16"/>
      <c r="X111" s="16"/>
      <c r="Y111" s="16"/>
      <c r="Z111" s="35">
        <f t="shared" si="131"/>
        <v>442.27800000000002</v>
      </c>
      <c r="AA111" s="178">
        <v>256.82400000000001</v>
      </c>
      <c r="AB111" s="16"/>
      <c r="AC111" s="227"/>
      <c r="AD111" s="16"/>
      <c r="AE111" s="16"/>
      <c r="AF111" s="16"/>
      <c r="AG111" s="35">
        <f t="shared" si="132"/>
        <v>256.82400000000001</v>
      </c>
      <c r="AH111" s="35">
        <f t="shared" si="113"/>
        <v>699.10200000000009</v>
      </c>
      <c r="AI111" s="15">
        <f t="shared" si="134"/>
        <v>699.10200000000009</v>
      </c>
      <c r="AJ111" s="15">
        <f t="shared" si="134"/>
        <v>0</v>
      </c>
      <c r="AK111" s="15">
        <f t="shared" si="134"/>
        <v>0</v>
      </c>
      <c r="AL111" s="15">
        <f t="shared" si="134"/>
        <v>0</v>
      </c>
      <c r="AM111" s="15">
        <f t="shared" si="133"/>
        <v>0</v>
      </c>
      <c r="AN111" s="15"/>
      <c r="AO111" s="15">
        <f t="shared" si="85"/>
        <v>699.10200000000009</v>
      </c>
      <c r="AP111" s="15">
        <f t="shared" si="86"/>
        <v>699.10200000000009</v>
      </c>
      <c r="AQ111" s="15">
        <f t="shared" si="81"/>
        <v>699.10200000000009</v>
      </c>
      <c r="AR111" s="127">
        <f t="shared" si="114"/>
        <v>0</v>
      </c>
      <c r="AS111" s="112">
        <f t="shared" si="135"/>
        <v>2225963.1392640006</v>
      </c>
      <c r="AT111" s="112">
        <f t="shared" si="135"/>
        <v>0</v>
      </c>
      <c r="AU111" s="112">
        <f t="shared" si="135"/>
        <v>0</v>
      </c>
      <c r="AV111" s="112">
        <f t="shared" si="135"/>
        <v>0</v>
      </c>
      <c r="AW111" s="112">
        <f t="shared" si="135"/>
        <v>0</v>
      </c>
      <c r="AX111" s="112">
        <f t="shared" si="115"/>
        <v>2225963.1392640006</v>
      </c>
      <c r="AY111" s="112">
        <f t="shared" si="116"/>
        <v>2225963.1392640006</v>
      </c>
      <c r="AZ111" s="112">
        <f t="shared" si="137"/>
        <v>2306449.3543200004</v>
      </c>
      <c r="BA111" s="112">
        <f t="shared" si="137"/>
        <v>0</v>
      </c>
      <c r="BB111" s="112">
        <f t="shared" si="137"/>
        <v>0</v>
      </c>
      <c r="BC111" s="112">
        <f t="shared" si="137"/>
        <v>0</v>
      </c>
      <c r="BD111" s="112">
        <f t="shared" si="137"/>
        <v>0</v>
      </c>
      <c r="BE111" s="112">
        <f t="shared" si="117"/>
        <v>2306449.3543200004</v>
      </c>
      <c r="BF111" s="112">
        <f t="shared" si="118"/>
        <v>2306449.3543200004</v>
      </c>
      <c r="BG111" s="126"/>
      <c r="BH111" s="126"/>
      <c r="BI111" s="112">
        <f t="shared" si="80"/>
        <v>0</v>
      </c>
      <c r="BJ111" s="112"/>
      <c r="BK111" s="112"/>
      <c r="BL111" s="112">
        <f t="shared" si="141"/>
        <v>1408227.3048960001</v>
      </c>
      <c r="BM111" s="112">
        <f t="shared" si="141"/>
        <v>0</v>
      </c>
      <c r="BN111" s="112">
        <f t="shared" si="141"/>
        <v>0</v>
      </c>
      <c r="BO111" s="112">
        <f t="shared" si="141"/>
        <v>0</v>
      </c>
      <c r="BP111" s="112">
        <f t="shared" si="141"/>
        <v>0</v>
      </c>
      <c r="BQ111" s="112">
        <f t="shared" si="119"/>
        <v>1408227.3048960001</v>
      </c>
      <c r="BR111" s="112">
        <f t="shared" si="120"/>
        <v>1408227.3048960001</v>
      </c>
      <c r="BS111" s="112">
        <f t="shared" si="142"/>
        <v>847303.46784000017</v>
      </c>
      <c r="BT111" s="112">
        <f t="shared" si="142"/>
        <v>0</v>
      </c>
      <c r="BU111" s="112">
        <f t="shared" si="142"/>
        <v>0</v>
      </c>
      <c r="BV111" s="112">
        <f t="shared" si="93"/>
        <v>0</v>
      </c>
      <c r="BW111" s="112">
        <f t="shared" si="94"/>
        <v>0</v>
      </c>
      <c r="BX111" s="112">
        <f t="shared" si="121"/>
        <v>847303.46784000017</v>
      </c>
      <c r="BY111" s="112">
        <f t="shared" si="122"/>
        <v>847303.46784000017</v>
      </c>
      <c r="BZ111" s="113">
        <f t="shared" si="91"/>
        <v>0</v>
      </c>
      <c r="CA111" s="113">
        <f t="shared" si="91"/>
        <v>0</v>
      </c>
      <c r="CB111" s="113">
        <f t="shared" si="123"/>
        <v>0</v>
      </c>
      <c r="CC111" s="119" t="e">
        <f t="shared" si="92"/>
        <v>#DIV/0!</v>
      </c>
      <c r="CD111" s="119" t="e">
        <f t="shared" si="92"/>
        <v>#DIV/0!</v>
      </c>
      <c r="CE111" s="119" t="e">
        <f t="shared" si="124"/>
        <v>#DIV/0!</v>
      </c>
      <c r="CF111" s="113" t="e">
        <f t="shared" si="95"/>
        <v>#DIV/0!</v>
      </c>
      <c r="CG111" s="619">
        <f t="shared" si="96"/>
        <v>0</v>
      </c>
      <c r="CH111" s="132" t="e">
        <f t="shared" si="125"/>
        <v>#DIV/0!</v>
      </c>
      <c r="CI111" s="625"/>
      <c r="CJ111" s="208">
        <f t="shared" si="97"/>
        <v>1408.2273048960001</v>
      </c>
      <c r="CK111" s="208">
        <f t="shared" si="98"/>
        <v>847.30346784000017</v>
      </c>
      <c r="CL111" s="208">
        <f t="shared" si="84"/>
        <v>2255.5307727360005</v>
      </c>
      <c r="CM111" s="112">
        <f t="shared" si="99"/>
        <v>2255530.7727360004</v>
      </c>
      <c r="CN111" s="112">
        <f t="shared" si="100"/>
        <v>2225963.1392640006</v>
      </c>
      <c r="CO111" s="112">
        <f t="shared" si="101"/>
        <v>2225963.1392640006</v>
      </c>
      <c r="CP111" s="112">
        <f t="shared" si="102"/>
        <v>1408227.3048960001</v>
      </c>
      <c r="CQ111" s="112">
        <f t="shared" si="103"/>
        <v>2306449.3543200004</v>
      </c>
      <c r="CR111" s="112">
        <f t="shared" si="104"/>
        <v>2306449.3543200004</v>
      </c>
      <c r="CS111" s="112">
        <f t="shared" si="105"/>
        <v>847303.46784000017</v>
      </c>
      <c r="CT111" s="112">
        <f t="shared" si="126"/>
        <v>4532412.4935840014</v>
      </c>
      <c r="CU111" s="124">
        <f t="shared" si="127"/>
        <v>6483192.0000000009</v>
      </c>
      <c r="CV111" s="112">
        <f t="shared" si="106"/>
        <v>0</v>
      </c>
      <c r="CW111" s="112">
        <f t="shared" si="107"/>
        <v>0</v>
      </c>
      <c r="CX111" s="112">
        <f t="shared" si="128"/>
        <v>0</v>
      </c>
      <c r="CY111" s="112">
        <f t="shared" si="108"/>
        <v>2225963.1392640006</v>
      </c>
      <c r="CZ111" s="112">
        <f t="shared" si="109"/>
        <v>2306449.3543200004</v>
      </c>
      <c r="DA111" s="625"/>
      <c r="DB111" s="128" t="e">
        <f t="shared" si="129"/>
        <v>#DIV/0!</v>
      </c>
      <c r="DC111" s="625"/>
      <c r="DD111" s="625"/>
      <c r="DE111" s="625"/>
      <c r="DF111" s="625"/>
      <c r="DG111" s="618">
        <f t="shared" si="110"/>
        <v>0</v>
      </c>
      <c r="DH111" s="618">
        <f t="shared" si="111"/>
        <v>0</v>
      </c>
      <c r="DI111" s="618">
        <f t="shared" si="112"/>
        <v>0</v>
      </c>
      <c r="DJ111" s="123"/>
    </row>
    <row r="112" spans="1:114" s="32" customFormat="1" ht="63.75" customHeight="1">
      <c r="A112" s="20">
        <f t="shared" si="130"/>
        <v>97</v>
      </c>
      <c r="B112" s="1503"/>
      <c r="C112" s="803" t="s">
        <v>125</v>
      </c>
      <c r="D112" s="748" t="s">
        <v>141</v>
      </c>
      <c r="E112" s="617">
        <v>4632024035</v>
      </c>
      <c r="F112" s="803" t="s">
        <v>8</v>
      </c>
      <c r="G112" s="751" t="s">
        <v>890</v>
      </c>
      <c r="H112" s="816">
        <f t="shared" si="143"/>
        <v>3184.0320000000002</v>
      </c>
      <c r="I112" s="816">
        <f t="shared" si="143"/>
        <v>3184.0320000000002</v>
      </c>
      <c r="J112" s="38"/>
      <c r="K112" s="38"/>
      <c r="L112" s="816">
        <f t="shared" si="144"/>
        <v>3184.0320000000002</v>
      </c>
      <c r="M112" s="10"/>
      <c r="N112" s="622">
        <f t="shared" si="140"/>
        <v>3299.1600000000003</v>
      </c>
      <c r="O112" s="622">
        <f t="shared" si="140"/>
        <v>3299.1600000000003</v>
      </c>
      <c r="P112" s="10"/>
      <c r="Q112" s="10"/>
      <c r="R112" s="622">
        <f t="shared" si="145"/>
        <v>3299.1600000000003</v>
      </c>
      <c r="S112" s="10"/>
      <c r="T112" s="824">
        <v>134.24200000000002</v>
      </c>
      <c r="U112" s="16"/>
      <c r="V112" s="227"/>
      <c r="W112" s="16"/>
      <c r="X112" s="16"/>
      <c r="Y112" s="16"/>
      <c r="Z112" s="35">
        <f t="shared" si="131"/>
        <v>134.24200000000002</v>
      </c>
      <c r="AA112" s="178">
        <v>77.952000000000012</v>
      </c>
      <c r="AB112" s="16"/>
      <c r="AC112" s="227"/>
      <c r="AD112" s="16"/>
      <c r="AE112" s="16"/>
      <c r="AF112" s="16"/>
      <c r="AG112" s="35">
        <f t="shared" si="132"/>
        <v>77.952000000000012</v>
      </c>
      <c r="AH112" s="35">
        <f t="shared" si="113"/>
        <v>212.19400000000002</v>
      </c>
      <c r="AI112" s="15">
        <f t="shared" si="134"/>
        <v>212.19400000000002</v>
      </c>
      <c r="AJ112" s="15">
        <f t="shared" si="134"/>
        <v>0</v>
      </c>
      <c r="AK112" s="15">
        <f t="shared" si="134"/>
        <v>0</v>
      </c>
      <c r="AL112" s="15">
        <f t="shared" si="134"/>
        <v>0</v>
      </c>
      <c r="AM112" s="15">
        <f t="shared" si="133"/>
        <v>0</v>
      </c>
      <c r="AN112" s="15"/>
      <c r="AO112" s="15">
        <f t="shared" si="85"/>
        <v>212.19400000000002</v>
      </c>
      <c r="AP112" s="15">
        <f t="shared" si="86"/>
        <v>212.19400000000002</v>
      </c>
      <c r="AQ112" s="15">
        <f t="shared" si="81"/>
        <v>212.19400000000002</v>
      </c>
      <c r="AR112" s="127">
        <f t="shared" si="114"/>
        <v>0</v>
      </c>
      <c r="AS112" s="112">
        <f t="shared" si="135"/>
        <v>675632.4862080001</v>
      </c>
      <c r="AT112" s="112">
        <f t="shared" si="135"/>
        <v>0</v>
      </c>
      <c r="AU112" s="112">
        <f t="shared" si="135"/>
        <v>0</v>
      </c>
      <c r="AV112" s="112">
        <f t="shared" si="135"/>
        <v>0</v>
      </c>
      <c r="AW112" s="112">
        <f t="shared" si="135"/>
        <v>0</v>
      </c>
      <c r="AX112" s="112">
        <f t="shared" si="115"/>
        <v>675632.4862080001</v>
      </c>
      <c r="AY112" s="112">
        <f t="shared" si="116"/>
        <v>675632.4862080001</v>
      </c>
      <c r="AZ112" s="112">
        <f t="shared" si="137"/>
        <v>700061.95704000012</v>
      </c>
      <c r="BA112" s="112">
        <f t="shared" si="137"/>
        <v>0</v>
      </c>
      <c r="BB112" s="112">
        <f t="shared" si="137"/>
        <v>0</v>
      </c>
      <c r="BC112" s="112">
        <f t="shared" si="137"/>
        <v>0</v>
      </c>
      <c r="BD112" s="112">
        <f t="shared" si="137"/>
        <v>0</v>
      </c>
      <c r="BE112" s="112">
        <f t="shared" si="117"/>
        <v>700061.95704000012</v>
      </c>
      <c r="BF112" s="112">
        <f t="shared" si="118"/>
        <v>700061.95704000012</v>
      </c>
      <c r="BG112" s="126"/>
      <c r="BH112" s="126"/>
      <c r="BI112" s="112">
        <f t="shared" si="80"/>
        <v>0</v>
      </c>
      <c r="BJ112" s="112"/>
      <c r="BK112" s="112"/>
      <c r="BL112" s="112">
        <f t="shared" si="141"/>
        <v>427430.82374400005</v>
      </c>
      <c r="BM112" s="112">
        <f t="shared" si="141"/>
        <v>0</v>
      </c>
      <c r="BN112" s="112">
        <f t="shared" si="141"/>
        <v>0</v>
      </c>
      <c r="BO112" s="112">
        <f t="shared" si="141"/>
        <v>0</v>
      </c>
      <c r="BP112" s="112">
        <f t="shared" si="141"/>
        <v>0</v>
      </c>
      <c r="BQ112" s="112">
        <f t="shared" si="119"/>
        <v>427430.82374400005</v>
      </c>
      <c r="BR112" s="112">
        <f t="shared" si="120"/>
        <v>427430.82374400005</v>
      </c>
      <c r="BS112" s="112">
        <f t="shared" si="142"/>
        <v>257176.12032000007</v>
      </c>
      <c r="BT112" s="112">
        <f t="shared" si="142"/>
        <v>0</v>
      </c>
      <c r="BU112" s="112">
        <f t="shared" si="142"/>
        <v>0</v>
      </c>
      <c r="BV112" s="112">
        <f t="shared" si="93"/>
        <v>0</v>
      </c>
      <c r="BW112" s="112">
        <f t="shared" si="94"/>
        <v>0</v>
      </c>
      <c r="BX112" s="112">
        <f t="shared" si="121"/>
        <v>257176.12032000007</v>
      </c>
      <c r="BY112" s="112">
        <f t="shared" si="122"/>
        <v>257176.12032000007</v>
      </c>
      <c r="BZ112" s="113">
        <f t="shared" si="91"/>
        <v>0</v>
      </c>
      <c r="CA112" s="113">
        <f t="shared" si="91"/>
        <v>0</v>
      </c>
      <c r="CB112" s="113">
        <f t="shared" si="123"/>
        <v>0</v>
      </c>
      <c r="CC112" s="119" t="e">
        <f t="shared" si="92"/>
        <v>#DIV/0!</v>
      </c>
      <c r="CD112" s="119" t="e">
        <f t="shared" si="92"/>
        <v>#DIV/0!</v>
      </c>
      <c r="CE112" s="119" t="e">
        <f t="shared" si="124"/>
        <v>#DIV/0!</v>
      </c>
      <c r="CF112" s="113" t="e">
        <f t="shared" si="95"/>
        <v>#DIV/0!</v>
      </c>
      <c r="CG112" s="619">
        <f t="shared" si="96"/>
        <v>0</v>
      </c>
      <c r="CH112" s="132" t="e">
        <f t="shared" si="125"/>
        <v>#DIV/0!</v>
      </c>
      <c r="CI112" s="625"/>
      <c r="CJ112" s="208">
        <f t="shared" si="97"/>
        <v>427.43082374400007</v>
      </c>
      <c r="CK112" s="208">
        <f t="shared" si="98"/>
        <v>257.17612032000005</v>
      </c>
      <c r="CL112" s="208">
        <f t="shared" si="84"/>
        <v>684.60694406400012</v>
      </c>
      <c r="CM112" s="112">
        <f t="shared" si="99"/>
        <v>684606.94406400016</v>
      </c>
      <c r="CN112" s="112">
        <f t="shared" si="100"/>
        <v>675632.4862080001</v>
      </c>
      <c r="CO112" s="112">
        <f t="shared" si="101"/>
        <v>675632.4862080001</v>
      </c>
      <c r="CP112" s="112">
        <f t="shared" si="102"/>
        <v>427430.82374400005</v>
      </c>
      <c r="CQ112" s="112">
        <f t="shared" si="103"/>
        <v>700061.95704000012</v>
      </c>
      <c r="CR112" s="112">
        <f t="shared" si="104"/>
        <v>700061.95704000012</v>
      </c>
      <c r="CS112" s="112">
        <f t="shared" si="105"/>
        <v>257176.12032000007</v>
      </c>
      <c r="CT112" s="112">
        <f t="shared" si="126"/>
        <v>1375694.4432480002</v>
      </c>
      <c r="CU112" s="124">
        <f t="shared" si="127"/>
        <v>6483192.0000000009</v>
      </c>
      <c r="CV112" s="112">
        <f t="shared" si="106"/>
        <v>0</v>
      </c>
      <c r="CW112" s="112">
        <f t="shared" si="107"/>
        <v>0</v>
      </c>
      <c r="CX112" s="112">
        <f t="shared" si="128"/>
        <v>0</v>
      </c>
      <c r="CY112" s="112">
        <f t="shared" si="108"/>
        <v>675632.4862080001</v>
      </c>
      <c r="CZ112" s="112">
        <f t="shared" si="109"/>
        <v>700061.95704000012</v>
      </c>
      <c r="DA112" s="625"/>
      <c r="DB112" s="128" t="e">
        <f t="shared" si="129"/>
        <v>#DIV/0!</v>
      </c>
      <c r="DC112" s="625"/>
      <c r="DD112" s="625"/>
      <c r="DE112" s="625"/>
      <c r="DF112" s="625"/>
      <c r="DG112" s="618">
        <f t="shared" si="110"/>
        <v>0</v>
      </c>
      <c r="DH112" s="618">
        <f t="shared" si="111"/>
        <v>0</v>
      </c>
      <c r="DI112" s="618">
        <f t="shared" si="112"/>
        <v>0</v>
      </c>
      <c r="DJ112" s="123"/>
    </row>
    <row r="113" spans="1:114" s="32" customFormat="1" ht="63.75" customHeight="1">
      <c r="A113" s="20">
        <f t="shared" si="130"/>
        <v>98</v>
      </c>
      <c r="B113" s="1503"/>
      <c r="C113" s="803" t="s">
        <v>126</v>
      </c>
      <c r="D113" s="748" t="s">
        <v>141</v>
      </c>
      <c r="E113" s="617">
        <v>4632024035</v>
      </c>
      <c r="F113" s="803" t="s">
        <v>8</v>
      </c>
      <c r="G113" s="751" t="s">
        <v>890</v>
      </c>
      <c r="H113" s="816">
        <f t="shared" si="143"/>
        <v>3184.0320000000002</v>
      </c>
      <c r="I113" s="816">
        <f t="shared" si="143"/>
        <v>3184.0320000000002</v>
      </c>
      <c r="J113" s="38"/>
      <c r="K113" s="38"/>
      <c r="L113" s="816">
        <f t="shared" si="144"/>
        <v>3184.0320000000002</v>
      </c>
      <c r="M113" s="10"/>
      <c r="N113" s="622">
        <f t="shared" si="140"/>
        <v>3299.1600000000003</v>
      </c>
      <c r="O113" s="622">
        <f t="shared" si="140"/>
        <v>3299.1600000000003</v>
      </c>
      <c r="P113" s="10"/>
      <c r="Q113" s="10"/>
      <c r="R113" s="622">
        <f t="shared" si="145"/>
        <v>3299.1600000000003</v>
      </c>
      <c r="S113" s="10"/>
      <c r="T113" s="824">
        <v>170</v>
      </c>
      <c r="U113" s="16"/>
      <c r="V113" s="227"/>
      <c r="W113" s="16"/>
      <c r="X113" s="16"/>
      <c r="Y113" s="16"/>
      <c r="Z113" s="35">
        <f t="shared" si="131"/>
        <v>170</v>
      </c>
      <c r="AA113" s="178">
        <v>121</v>
      </c>
      <c r="AB113" s="16"/>
      <c r="AC113" s="227"/>
      <c r="AD113" s="16"/>
      <c r="AE113" s="16"/>
      <c r="AF113" s="16"/>
      <c r="AG113" s="35">
        <f t="shared" si="132"/>
        <v>121</v>
      </c>
      <c r="AH113" s="35">
        <f t="shared" si="113"/>
        <v>291</v>
      </c>
      <c r="AI113" s="15">
        <f t="shared" si="134"/>
        <v>291</v>
      </c>
      <c r="AJ113" s="15">
        <f t="shared" si="134"/>
        <v>0</v>
      </c>
      <c r="AK113" s="15">
        <f>V113+AC113</f>
        <v>0</v>
      </c>
      <c r="AL113" s="15">
        <f t="shared" si="134"/>
        <v>0</v>
      </c>
      <c r="AM113" s="15">
        <f t="shared" si="133"/>
        <v>0</v>
      </c>
      <c r="AN113" s="15"/>
      <c r="AO113" s="15">
        <f t="shared" si="85"/>
        <v>291</v>
      </c>
      <c r="AP113" s="15">
        <f t="shared" si="86"/>
        <v>291</v>
      </c>
      <c r="AQ113" s="15">
        <f t="shared" si="81"/>
        <v>291</v>
      </c>
      <c r="AR113" s="127">
        <f t="shared" si="114"/>
        <v>0</v>
      </c>
      <c r="AS113" s="112">
        <f t="shared" si="135"/>
        <v>926553.31200000003</v>
      </c>
      <c r="AT113" s="112">
        <f t="shared" si="135"/>
        <v>0</v>
      </c>
      <c r="AU113" s="112">
        <f t="shared" si="135"/>
        <v>0</v>
      </c>
      <c r="AV113" s="112">
        <f t="shared" si="135"/>
        <v>0</v>
      </c>
      <c r="AW113" s="112">
        <f t="shared" si="135"/>
        <v>0</v>
      </c>
      <c r="AX113" s="112">
        <f t="shared" si="115"/>
        <v>926553.31200000003</v>
      </c>
      <c r="AY113" s="112">
        <f t="shared" si="116"/>
        <v>926553.31200000003</v>
      </c>
      <c r="AZ113" s="112">
        <f t="shared" si="137"/>
        <v>960055.56</v>
      </c>
      <c r="BA113" s="112">
        <f t="shared" si="137"/>
        <v>0</v>
      </c>
      <c r="BB113" s="112">
        <f t="shared" si="137"/>
        <v>0</v>
      </c>
      <c r="BC113" s="112">
        <f t="shared" si="137"/>
        <v>0</v>
      </c>
      <c r="BD113" s="112">
        <f t="shared" si="137"/>
        <v>0</v>
      </c>
      <c r="BE113" s="112">
        <f t="shared" si="117"/>
        <v>960055.56</v>
      </c>
      <c r="BF113" s="112">
        <f t="shared" si="118"/>
        <v>960055.56</v>
      </c>
      <c r="BG113" s="126"/>
      <c r="BH113" s="126"/>
      <c r="BI113" s="112">
        <f t="shared" si="80"/>
        <v>0</v>
      </c>
      <c r="BJ113" s="112"/>
      <c r="BK113" s="112"/>
      <c r="BL113" s="112">
        <f t="shared" si="141"/>
        <v>541285.44000000006</v>
      </c>
      <c r="BM113" s="112">
        <f t="shared" si="141"/>
        <v>0</v>
      </c>
      <c r="BN113" s="112">
        <f t="shared" si="141"/>
        <v>0</v>
      </c>
      <c r="BO113" s="112">
        <f t="shared" si="141"/>
        <v>0</v>
      </c>
      <c r="BP113" s="112">
        <f t="shared" si="141"/>
        <v>0</v>
      </c>
      <c r="BQ113" s="112">
        <f t="shared" si="119"/>
        <v>541285.44000000006</v>
      </c>
      <c r="BR113" s="112">
        <f t="shared" si="120"/>
        <v>541285.44000000006</v>
      </c>
      <c r="BS113" s="112">
        <f t="shared" si="142"/>
        <v>399198.36000000004</v>
      </c>
      <c r="BT113" s="112">
        <f t="shared" si="142"/>
        <v>0</v>
      </c>
      <c r="BU113" s="112">
        <f t="shared" si="142"/>
        <v>0</v>
      </c>
      <c r="BV113" s="112">
        <f t="shared" si="93"/>
        <v>0</v>
      </c>
      <c r="BW113" s="112">
        <f t="shared" si="94"/>
        <v>0</v>
      </c>
      <c r="BX113" s="112">
        <f t="shared" si="121"/>
        <v>399198.36000000004</v>
      </c>
      <c r="BY113" s="112">
        <f t="shared" si="122"/>
        <v>399198.36000000004</v>
      </c>
      <c r="BZ113" s="113">
        <f t="shared" si="91"/>
        <v>0</v>
      </c>
      <c r="CA113" s="113">
        <f t="shared" si="91"/>
        <v>0</v>
      </c>
      <c r="CB113" s="113">
        <f t="shared" si="123"/>
        <v>0</v>
      </c>
      <c r="CC113" s="119" t="e">
        <f t="shared" si="92"/>
        <v>#DIV/0!</v>
      </c>
      <c r="CD113" s="119" t="e">
        <f t="shared" si="92"/>
        <v>#DIV/0!</v>
      </c>
      <c r="CE113" s="119" t="e">
        <f t="shared" si="124"/>
        <v>#DIV/0!</v>
      </c>
      <c r="CF113" s="113" t="e">
        <f t="shared" si="95"/>
        <v>#DIV/0!</v>
      </c>
      <c r="CG113" s="619">
        <f t="shared" si="96"/>
        <v>0</v>
      </c>
      <c r="CH113" s="132" t="e">
        <f t="shared" si="125"/>
        <v>#DIV/0!</v>
      </c>
      <c r="CI113" s="625"/>
      <c r="CJ113" s="208">
        <f t="shared" si="97"/>
        <v>541.28544000000011</v>
      </c>
      <c r="CK113" s="208">
        <f t="shared" si="98"/>
        <v>399.19836000000004</v>
      </c>
      <c r="CL113" s="208">
        <f t="shared" si="84"/>
        <v>940.4838000000002</v>
      </c>
      <c r="CM113" s="112">
        <f t="shared" si="99"/>
        <v>940483.8</v>
      </c>
      <c r="CN113" s="112">
        <f t="shared" si="100"/>
        <v>926553.31200000003</v>
      </c>
      <c r="CO113" s="112">
        <f t="shared" si="101"/>
        <v>926553.31200000003</v>
      </c>
      <c r="CP113" s="112">
        <f t="shared" si="102"/>
        <v>541285.44000000006</v>
      </c>
      <c r="CQ113" s="112">
        <f t="shared" si="103"/>
        <v>960055.56</v>
      </c>
      <c r="CR113" s="112">
        <f t="shared" si="104"/>
        <v>960055.56</v>
      </c>
      <c r="CS113" s="112">
        <f t="shared" si="105"/>
        <v>399198.36000000004</v>
      </c>
      <c r="CT113" s="112">
        <f t="shared" si="126"/>
        <v>1886608.872</v>
      </c>
      <c r="CU113" s="124">
        <f t="shared" si="127"/>
        <v>6483192</v>
      </c>
      <c r="CV113" s="112">
        <f t="shared" si="106"/>
        <v>0</v>
      </c>
      <c r="CW113" s="112">
        <f t="shared" si="107"/>
        <v>0</v>
      </c>
      <c r="CX113" s="112">
        <f t="shared" si="128"/>
        <v>0</v>
      </c>
      <c r="CY113" s="112">
        <f t="shared" si="108"/>
        <v>926553.31200000003</v>
      </c>
      <c r="CZ113" s="112">
        <f t="shared" si="109"/>
        <v>960055.56</v>
      </c>
      <c r="DA113" s="625"/>
      <c r="DB113" s="128" t="e">
        <f t="shared" si="129"/>
        <v>#DIV/0!</v>
      </c>
      <c r="DC113" s="625"/>
      <c r="DD113" s="625"/>
      <c r="DE113" s="625"/>
      <c r="DF113" s="625"/>
      <c r="DG113" s="618">
        <f t="shared" si="110"/>
        <v>0</v>
      </c>
      <c r="DH113" s="618">
        <f t="shared" si="111"/>
        <v>0</v>
      </c>
      <c r="DI113" s="618">
        <f t="shared" si="112"/>
        <v>0</v>
      </c>
      <c r="DJ113" s="123"/>
    </row>
    <row r="114" spans="1:114" s="20" customFormat="1" ht="63.75" customHeight="1">
      <c r="A114" s="20">
        <f t="shared" si="130"/>
        <v>99</v>
      </c>
      <c r="B114" s="1503"/>
      <c r="C114" s="803" t="s">
        <v>127</v>
      </c>
      <c r="D114" s="748" t="s">
        <v>142</v>
      </c>
      <c r="E114" s="617">
        <v>4632024035</v>
      </c>
      <c r="F114" s="803" t="s">
        <v>8</v>
      </c>
      <c r="G114" s="751" t="s">
        <v>890</v>
      </c>
      <c r="H114" s="816">
        <f t="shared" si="143"/>
        <v>3184.0320000000002</v>
      </c>
      <c r="I114" s="816">
        <f t="shared" si="143"/>
        <v>3184.0320000000002</v>
      </c>
      <c r="J114" s="38"/>
      <c r="K114" s="38"/>
      <c r="L114" s="816">
        <f t="shared" si="144"/>
        <v>3184.0320000000002</v>
      </c>
      <c r="M114" s="10"/>
      <c r="N114" s="622">
        <f t="shared" si="140"/>
        <v>3299.1600000000003</v>
      </c>
      <c r="O114" s="622">
        <f t="shared" si="140"/>
        <v>3299.1600000000003</v>
      </c>
      <c r="P114" s="10"/>
      <c r="Q114" s="10"/>
      <c r="R114" s="622">
        <f t="shared" si="145"/>
        <v>3299.1600000000003</v>
      </c>
      <c r="S114" s="10"/>
      <c r="T114" s="825">
        <v>226.53199999999998</v>
      </c>
      <c r="U114" s="15"/>
      <c r="V114" s="208"/>
      <c r="W114" s="15"/>
      <c r="X114" s="15"/>
      <c r="Y114" s="15"/>
      <c r="Z114" s="35">
        <f t="shared" si="131"/>
        <v>226.53199999999998</v>
      </c>
      <c r="AA114" s="35">
        <v>131.54399999999998</v>
      </c>
      <c r="AB114" s="15"/>
      <c r="AC114" s="208"/>
      <c r="AD114" s="15"/>
      <c r="AE114" s="15"/>
      <c r="AF114" s="15"/>
      <c r="AG114" s="35">
        <f t="shared" si="132"/>
        <v>131.54399999999998</v>
      </c>
      <c r="AH114" s="35">
        <f t="shared" si="113"/>
        <v>358.07599999999996</v>
      </c>
      <c r="AI114" s="15">
        <f t="shared" si="134"/>
        <v>358.07599999999996</v>
      </c>
      <c r="AJ114" s="15">
        <f t="shared" si="134"/>
        <v>0</v>
      </c>
      <c r="AK114" s="15">
        <f t="shared" si="134"/>
        <v>0</v>
      </c>
      <c r="AL114" s="15">
        <f t="shared" si="134"/>
        <v>0</v>
      </c>
      <c r="AM114" s="15">
        <f t="shared" si="133"/>
        <v>0</v>
      </c>
      <c r="AN114" s="15"/>
      <c r="AO114" s="15">
        <f t="shared" si="85"/>
        <v>358.07599999999996</v>
      </c>
      <c r="AP114" s="15">
        <f t="shared" si="86"/>
        <v>358.07599999999996</v>
      </c>
      <c r="AQ114" s="15">
        <f t="shared" si="81"/>
        <v>358.07599999999996</v>
      </c>
      <c r="AR114" s="127">
        <f t="shared" si="114"/>
        <v>0</v>
      </c>
      <c r="AS114" s="112">
        <f t="shared" si="135"/>
        <v>1140125.4424319998</v>
      </c>
      <c r="AT114" s="112">
        <f t="shared" si="135"/>
        <v>0</v>
      </c>
      <c r="AU114" s="112">
        <f t="shared" si="135"/>
        <v>0</v>
      </c>
      <c r="AV114" s="112">
        <f t="shared" si="135"/>
        <v>0</v>
      </c>
      <c r="AW114" s="112">
        <f t="shared" si="135"/>
        <v>0</v>
      </c>
      <c r="AX114" s="112">
        <f t="shared" si="115"/>
        <v>1140125.4424319998</v>
      </c>
      <c r="AY114" s="112">
        <f t="shared" si="116"/>
        <v>1140125.4424319998</v>
      </c>
      <c r="AZ114" s="112">
        <f t="shared" si="137"/>
        <v>1181350.0161599999</v>
      </c>
      <c r="BA114" s="112">
        <f t="shared" si="137"/>
        <v>0</v>
      </c>
      <c r="BB114" s="112">
        <f t="shared" si="137"/>
        <v>0</v>
      </c>
      <c r="BC114" s="112">
        <f t="shared" si="137"/>
        <v>0</v>
      </c>
      <c r="BD114" s="112">
        <f t="shared" si="137"/>
        <v>0</v>
      </c>
      <c r="BE114" s="112">
        <f t="shared" si="117"/>
        <v>1181350.0161599999</v>
      </c>
      <c r="BF114" s="112">
        <f t="shared" si="118"/>
        <v>1181350.0161599999</v>
      </c>
      <c r="BG114" s="112"/>
      <c r="BH114" s="112"/>
      <c r="BI114" s="112">
        <f t="shared" si="80"/>
        <v>0</v>
      </c>
      <c r="BJ114" s="112"/>
      <c r="BK114" s="112"/>
      <c r="BL114" s="112">
        <f t="shared" si="141"/>
        <v>721285.13702399994</v>
      </c>
      <c r="BM114" s="112">
        <f t="shared" si="141"/>
        <v>0</v>
      </c>
      <c r="BN114" s="112">
        <f t="shared" si="141"/>
        <v>0</v>
      </c>
      <c r="BO114" s="112">
        <f t="shared" si="141"/>
        <v>0</v>
      </c>
      <c r="BP114" s="112">
        <f t="shared" si="141"/>
        <v>0</v>
      </c>
      <c r="BQ114" s="112">
        <f t="shared" si="119"/>
        <v>721285.13702399994</v>
      </c>
      <c r="BR114" s="112">
        <f t="shared" si="120"/>
        <v>721285.13702399994</v>
      </c>
      <c r="BS114" s="112">
        <f t="shared" si="142"/>
        <v>433984.70303999999</v>
      </c>
      <c r="BT114" s="112">
        <f t="shared" si="142"/>
        <v>0</v>
      </c>
      <c r="BU114" s="112">
        <f t="shared" si="142"/>
        <v>0</v>
      </c>
      <c r="BV114" s="112">
        <f t="shared" si="93"/>
        <v>0</v>
      </c>
      <c r="BW114" s="112">
        <f t="shared" si="94"/>
        <v>0</v>
      </c>
      <c r="BX114" s="112">
        <f t="shared" si="121"/>
        <v>433984.70303999999</v>
      </c>
      <c r="BY114" s="112">
        <f t="shared" si="122"/>
        <v>433984.70303999999</v>
      </c>
      <c r="BZ114" s="113">
        <f t="shared" si="91"/>
        <v>0</v>
      </c>
      <c r="CA114" s="113">
        <f t="shared" si="91"/>
        <v>0</v>
      </c>
      <c r="CB114" s="113">
        <f t="shared" si="123"/>
        <v>0</v>
      </c>
      <c r="CC114" s="119" t="e">
        <f t="shared" si="92"/>
        <v>#DIV/0!</v>
      </c>
      <c r="CD114" s="119" t="e">
        <f t="shared" si="92"/>
        <v>#DIV/0!</v>
      </c>
      <c r="CE114" s="119" t="e">
        <f t="shared" si="124"/>
        <v>#DIV/0!</v>
      </c>
      <c r="CF114" s="113" t="e">
        <f t="shared" si="95"/>
        <v>#DIV/0!</v>
      </c>
      <c r="CG114" s="619">
        <f t="shared" si="96"/>
        <v>0</v>
      </c>
      <c r="CH114" s="132" t="e">
        <f t="shared" si="125"/>
        <v>#DIV/0!</v>
      </c>
      <c r="CI114" s="106"/>
      <c r="CJ114" s="208">
        <f t="shared" si="97"/>
        <v>721.28513702399994</v>
      </c>
      <c r="CK114" s="208">
        <f t="shared" si="98"/>
        <v>433.98470304</v>
      </c>
      <c r="CL114" s="208">
        <f t="shared" si="84"/>
        <v>1155.2698400639999</v>
      </c>
      <c r="CM114" s="112">
        <f t="shared" si="99"/>
        <v>1155269.8400639999</v>
      </c>
      <c r="CN114" s="112">
        <f t="shared" si="100"/>
        <v>1140125.4424319998</v>
      </c>
      <c r="CO114" s="112">
        <f t="shared" si="101"/>
        <v>1140125.4424319998</v>
      </c>
      <c r="CP114" s="112">
        <f t="shared" si="102"/>
        <v>721285.13702399994</v>
      </c>
      <c r="CQ114" s="112">
        <f t="shared" si="103"/>
        <v>1181350.0161599999</v>
      </c>
      <c r="CR114" s="112">
        <f t="shared" si="104"/>
        <v>1181350.0161599999</v>
      </c>
      <c r="CS114" s="112">
        <f t="shared" si="105"/>
        <v>433984.70303999999</v>
      </c>
      <c r="CT114" s="112">
        <f t="shared" si="126"/>
        <v>2321475.4585919995</v>
      </c>
      <c r="CU114" s="124">
        <f t="shared" si="127"/>
        <v>6483191.9999999991</v>
      </c>
      <c r="CV114" s="112">
        <f t="shared" si="106"/>
        <v>0</v>
      </c>
      <c r="CW114" s="112">
        <f t="shared" si="107"/>
        <v>0</v>
      </c>
      <c r="CX114" s="112">
        <f t="shared" si="128"/>
        <v>0</v>
      </c>
      <c r="CY114" s="112">
        <f t="shared" si="108"/>
        <v>1140125.4424319998</v>
      </c>
      <c r="CZ114" s="112">
        <f t="shared" si="109"/>
        <v>1181350.0161599999</v>
      </c>
      <c r="DA114" s="106"/>
      <c r="DB114" s="128" t="e">
        <f t="shared" si="129"/>
        <v>#DIV/0!</v>
      </c>
      <c r="DC114" s="106"/>
      <c r="DD114" s="106"/>
      <c r="DE114" s="106"/>
      <c r="DF114" s="106"/>
      <c r="DG114" s="618">
        <f t="shared" si="110"/>
        <v>0</v>
      </c>
      <c r="DH114" s="618">
        <f t="shared" si="111"/>
        <v>0</v>
      </c>
      <c r="DI114" s="618">
        <f t="shared" si="112"/>
        <v>0</v>
      </c>
      <c r="DJ114" s="115"/>
    </row>
    <row r="115" spans="1:114" s="32" customFormat="1" ht="63.75" customHeight="1">
      <c r="A115" s="20">
        <f t="shared" si="130"/>
        <v>100</v>
      </c>
      <c r="B115" s="1503"/>
      <c r="C115" s="803" t="s">
        <v>128</v>
      </c>
      <c r="D115" s="748" t="s">
        <v>141</v>
      </c>
      <c r="E115" s="617">
        <v>4632024035</v>
      </c>
      <c r="F115" s="803" t="s">
        <v>8</v>
      </c>
      <c r="G115" s="751" t="s">
        <v>890</v>
      </c>
      <c r="H115" s="816">
        <f t="shared" si="143"/>
        <v>3184.0320000000002</v>
      </c>
      <c r="I115" s="816">
        <f t="shared" si="143"/>
        <v>3184.0320000000002</v>
      </c>
      <c r="J115" s="38"/>
      <c r="K115" s="38"/>
      <c r="L115" s="816">
        <f t="shared" si="144"/>
        <v>3184.0320000000002</v>
      </c>
      <c r="M115" s="10"/>
      <c r="N115" s="622">
        <f t="shared" si="140"/>
        <v>3299.1600000000003</v>
      </c>
      <c r="O115" s="622">
        <f t="shared" si="140"/>
        <v>3299.1600000000003</v>
      </c>
      <c r="P115" s="10"/>
      <c r="Q115" s="10"/>
      <c r="R115" s="622">
        <f t="shared" si="145"/>
        <v>3299.1600000000003</v>
      </c>
      <c r="S115" s="10"/>
      <c r="T115" s="824">
        <v>67.12</v>
      </c>
      <c r="U115" s="178"/>
      <c r="V115" s="682"/>
      <c r="W115" s="178"/>
      <c r="X115" s="178"/>
      <c r="Y115" s="178"/>
      <c r="Z115" s="35">
        <f t="shared" si="131"/>
        <v>67.12</v>
      </c>
      <c r="AA115" s="178">
        <v>38.975999999999999</v>
      </c>
      <c r="AB115" s="16"/>
      <c r="AC115" s="227"/>
      <c r="AD115" s="16"/>
      <c r="AE115" s="16"/>
      <c r="AF115" s="16"/>
      <c r="AG115" s="35">
        <f t="shared" si="132"/>
        <v>38.975999999999999</v>
      </c>
      <c r="AH115" s="35">
        <f t="shared" si="113"/>
        <v>106.096</v>
      </c>
      <c r="AI115" s="15">
        <f t="shared" si="134"/>
        <v>106.096</v>
      </c>
      <c r="AJ115" s="15">
        <f t="shared" si="134"/>
        <v>0</v>
      </c>
      <c r="AK115" s="15">
        <f t="shared" si="134"/>
        <v>0</v>
      </c>
      <c r="AL115" s="15">
        <f t="shared" si="134"/>
        <v>0</v>
      </c>
      <c r="AM115" s="15">
        <f t="shared" si="133"/>
        <v>0</v>
      </c>
      <c r="AN115" s="15"/>
      <c r="AO115" s="15">
        <f t="shared" si="85"/>
        <v>106.096</v>
      </c>
      <c r="AP115" s="15">
        <f t="shared" si="86"/>
        <v>106.096</v>
      </c>
      <c r="AQ115" s="15">
        <f t="shared" si="81"/>
        <v>106.096</v>
      </c>
      <c r="AR115" s="127">
        <f t="shared" si="114"/>
        <v>0</v>
      </c>
      <c r="AS115" s="112">
        <f t="shared" si="135"/>
        <v>337813.05907200003</v>
      </c>
      <c r="AT115" s="112">
        <f t="shared" si="135"/>
        <v>0</v>
      </c>
      <c r="AU115" s="112">
        <f t="shared" si="135"/>
        <v>0</v>
      </c>
      <c r="AV115" s="112">
        <f t="shared" si="135"/>
        <v>0</v>
      </c>
      <c r="AW115" s="112">
        <f t="shared" si="135"/>
        <v>0</v>
      </c>
      <c r="AX115" s="112">
        <f t="shared" si="115"/>
        <v>337813.05907200003</v>
      </c>
      <c r="AY115" s="112">
        <f t="shared" si="116"/>
        <v>337813.05907200003</v>
      </c>
      <c r="AZ115" s="112">
        <f t="shared" si="137"/>
        <v>350027.67936000007</v>
      </c>
      <c r="BA115" s="112">
        <f t="shared" si="137"/>
        <v>0</v>
      </c>
      <c r="BB115" s="112">
        <f t="shared" si="137"/>
        <v>0</v>
      </c>
      <c r="BC115" s="112">
        <f t="shared" si="137"/>
        <v>0</v>
      </c>
      <c r="BD115" s="112">
        <f t="shared" si="137"/>
        <v>0</v>
      </c>
      <c r="BE115" s="112">
        <f t="shared" si="117"/>
        <v>350027.67936000007</v>
      </c>
      <c r="BF115" s="112">
        <f t="shared" si="118"/>
        <v>350027.67936000007</v>
      </c>
      <c r="BG115" s="126"/>
      <c r="BH115" s="126"/>
      <c r="BI115" s="112">
        <f t="shared" si="80"/>
        <v>0</v>
      </c>
      <c r="BJ115" s="112"/>
      <c r="BK115" s="112"/>
      <c r="BL115" s="112">
        <f t="shared" si="141"/>
        <v>213712.22784000004</v>
      </c>
      <c r="BM115" s="112">
        <f t="shared" si="141"/>
        <v>0</v>
      </c>
      <c r="BN115" s="112">
        <f t="shared" si="141"/>
        <v>0</v>
      </c>
      <c r="BO115" s="112">
        <f t="shared" si="141"/>
        <v>0</v>
      </c>
      <c r="BP115" s="112">
        <f t="shared" si="141"/>
        <v>0</v>
      </c>
      <c r="BQ115" s="112">
        <f t="shared" si="119"/>
        <v>213712.22784000004</v>
      </c>
      <c r="BR115" s="112">
        <f t="shared" si="120"/>
        <v>213712.22784000004</v>
      </c>
      <c r="BS115" s="112">
        <f t="shared" si="142"/>
        <v>128588.06016000001</v>
      </c>
      <c r="BT115" s="112">
        <f t="shared" si="142"/>
        <v>0</v>
      </c>
      <c r="BU115" s="112">
        <f t="shared" si="142"/>
        <v>0</v>
      </c>
      <c r="BV115" s="112">
        <f t="shared" si="93"/>
        <v>0</v>
      </c>
      <c r="BW115" s="112">
        <f t="shared" si="94"/>
        <v>0</v>
      </c>
      <c r="BX115" s="112">
        <f t="shared" si="121"/>
        <v>128588.06016000001</v>
      </c>
      <c r="BY115" s="112">
        <f t="shared" si="122"/>
        <v>128588.06016000001</v>
      </c>
      <c r="BZ115" s="113">
        <f t="shared" si="91"/>
        <v>0</v>
      </c>
      <c r="CA115" s="113">
        <f t="shared" si="91"/>
        <v>0</v>
      </c>
      <c r="CB115" s="113">
        <f t="shared" si="123"/>
        <v>0</v>
      </c>
      <c r="CC115" s="119" t="e">
        <f t="shared" si="92"/>
        <v>#DIV/0!</v>
      </c>
      <c r="CD115" s="119" t="e">
        <f t="shared" si="92"/>
        <v>#DIV/0!</v>
      </c>
      <c r="CE115" s="119" t="e">
        <f t="shared" si="124"/>
        <v>#DIV/0!</v>
      </c>
      <c r="CF115" s="113" t="e">
        <f t="shared" si="95"/>
        <v>#DIV/0!</v>
      </c>
      <c r="CG115" s="619">
        <f t="shared" si="96"/>
        <v>0</v>
      </c>
      <c r="CH115" s="132" t="e">
        <f t="shared" si="125"/>
        <v>#DIV/0!</v>
      </c>
      <c r="CI115" s="625"/>
      <c r="CJ115" s="208">
        <f t="shared" si="97"/>
        <v>213.71222784000003</v>
      </c>
      <c r="CK115" s="208">
        <f t="shared" si="98"/>
        <v>128.58806016</v>
      </c>
      <c r="CL115" s="208">
        <f t="shared" si="84"/>
        <v>342.30028800000002</v>
      </c>
      <c r="CM115" s="112">
        <f t="shared" si="99"/>
        <v>342300.28800000006</v>
      </c>
      <c r="CN115" s="112">
        <f t="shared" si="100"/>
        <v>337813.05907200003</v>
      </c>
      <c r="CO115" s="112">
        <f t="shared" si="101"/>
        <v>337813.05907200003</v>
      </c>
      <c r="CP115" s="112">
        <f t="shared" si="102"/>
        <v>213712.22784000004</v>
      </c>
      <c r="CQ115" s="112">
        <f t="shared" si="103"/>
        <v>350027.67936000007</v>
      </c>
      <c r="CR115" s="112">
        <f t="shared" si="104"/>
        <v>350027.67936000007</v>
      </c>
      <c r="CS115" s="112">
        <f t="shared" si="105"/>
        <v>128588.06016000001</v>
      </c>
      <c r="CT115" s="112">
        <f t="shared" si="126"/>
        <v>687840.73843200016</v>
      </c>
      <c r="CU115" s="124">
        <f t="shared" si="127"/>
        <v>6483192.0000000009</v>
      </c>
      <c r="CV115" s="112">
        <f t="shared" si="106"/>
        <v>0</v>
      </c>
      <c r="CW115" s="112">
        <f t="shared" si="107"/>
        <v>0</v>
      </c>
      <c r="CX115" s="112">
        <f t="shared" si="128"/>
        <v>0</v>
      </c>
      <c r="CY115" s="112">
        <f t="shared" si="108"/>
        <v>337813.05907200003</v>
      </c>
      <c r="CZ115" s="112">
        <f t="shared" si="109"/>
        <v>350027.67936000007</v>
      </c>
      <c r="DA115" s="625"/>
      <c r="DB115" s="128" t="e">
        <f t="shared" si="129"/>
        <v>#DIV/0!</v>
      </c>
      <c r="DC115" s="625"/>
      <c r="DD115" s="625"/>
      <c r="DE115" s="625"/>
      <c r="DF115" s="625"/>
      <c r="DG115" s="618">
        <f t="shared" si="110"/>
        <v>0</v>
      </c>
      <c r="DH115" s="618">
        <f t="shared" si="111"/>
        <v>0</v>
      </c>
      <c r="DI115" s="618">
        <f t="shared" si="112"/>
        <v>0</v>
      </c>
      <c r="DJ115" s="123"/>
    </row>
    <row r="116" spans="1:114" s="32" customFormat="1" ht="63.75" customHeight="1">
      <c r="A116" s="20">
        <f t="shared" si="130"/>
        <v>101</v>
      </c>
      <c r="B116" s="1503"/>
      <c r="C116" s="803" t="s">
        <v>129</v>
      </c>
      <c r="D116" s="748" t="s">
        <v>141</v>
      </c>
      <c r="E116" s="617">
        <v>4632024035</v>
      </c>
      <c r="F116" s="803" t="s">
        <v>8</v>
      </c>
      <c r="G116" s="751" t="s">
        <v>890</v>
      </c>
      <c r="H116" s="816">
        <f t="shared" si="143"/>
        <v>3184.0320000000002</v>
      </c>
      <c r="I116" s="816">
        <f t="shared" si="143"/>
        <v>3184.0320000000002</v>
      </c>
      <c r="J116" s="38"/>
      <c r="K116" s="38"/>
      <c r="L116" s="816">
        <f t="shared" si="144"/>
        <v>3184.0320000000002</v>
      </c>
      <c r="M116" s="10"/>
      <c r="N116" s="622">
        <f t="shared" si="140"/>
        <v>3299.1600000000003</v>
      </c>
      <c r="O116" s="622">
        <f t="shared" si="140"/>
        <v>3299.1600000000003</v>
      </c>
      <c r="P116" s="10"/>
      <c r="Q116" s="10"/>
      <c r="R116" s="622">
        <f t="shared" si="145"/>
        <v>3299.1600000000003</v>
      </c>
      <c r="S116" s="10"/>
      <c r="T116" s="824">
        <v>122.25500000000001</v>
      </c>
      <c r="U116" s="178"/>
      <c r="V116" s="682"/>
      <c r="W116" s="178"/>
      <c r="X116" s="178"/>
      <c r="Y116" s="178"/>
      <c r="Z116" s="35">
        <f t="shared" si="131"/>
        <v>122.25500000000001</v>
      </c>
      <c r="AA116" s="178">
        <v>70.992000000000004</v>
      </c>
      <c r="AB116" s="16"/>
      <c r="AC116" s="227"/>
      <c r="AD116" s="16"/>
      <c r="AE116" s="16"/>
      <c r="AF116" s="16"/>
      <c r="AG116" s="35">
        <f t="shared" si="132"/>
        <v>70.992000000000004</v>
      </c>
      <c r="AH116" s="35">
        <f t="shared" si="113"/>
        <v>193.24700000000001</v>
      </c>
      <c r="AI116" s="15">
        <f t="shared" si="134"/>
        <v>193.24700000000001</v>
      </c>
      <c r="AJ116" s="15">
        <f t="shared" si="134"/>
        <v>0</v>
      </c>
      <c r="AK116" s="15">
        <f t="shared" si="134"/>
        <v>0</v>
      </c>
      <c r="AL116" s="15">
        <f t="shared" si="134"/>
        <v>0</v>
      </c>
      <c r="AM116" s="15">
        <f t="shared" si="133"/>
        <v>0</v>
      </c>
      <c r="AN116" s="15"/>
      <c r="AO116" s="15">
        <f t="shared" si="85"/>
        <v>193.24700000000001</v>
      </c>
      <c r="AP116" s="15">
        <f t="shared" si="86"/>
        <v>193.24700000000001</v>
      </c>
      <c r="AQ116" s="15">
        <f t="shared" si="81"/>
        <v>193.24700000000001</v>
      </c>
      <c r="AR116" s="127">
        <f t="shared" si="114"/>
        <v>0</v>
      </c>
      <c r="AS116" s="112">
        <f t="shared" si="135"/>
        <v>615304.63190400007</v>
      </c>
      <c r="AT116" s="112">
        <f t="shared" si="135"/>
        <v>0</v>
      </c>
      <c r="AU116" s="112">
        <f t="shared" si="135"/>
        <v>0</v>
      </c>
      <c r="AV116" s="112">
        <f t="shared" si="135"/>
        <v>0</v>
      </c>
      <c r="AW116" s="112">
        <f t="shared" si="135"/>
        <v>0</v>
      </c>
      <c r="AX116" s="112">
        <f t="shared" si="115"/>
        <v>615304.63190400007</v>
      </c>
      <c r="AY116" s="112">
        <f t="shared" si="116"/>
        <v>615304.63190400007</v>
      </c>
      <c r="AZ116" s="112">
        <f t="shared" si="137"/>
        <v>637552.77252000012</v>
      </c>
      <c r="BA116" s="112">
        <f t="shared" si="137"/>
        <v>0</v>
      </c>
      <c r="BB116" s="112">
        <f t="shared" si="137"/>
        <v>0</v>
      </c>
      <c r="BC116" s="112">
        <f t="shared" si="137"/>
        <v>0</v>
      </c>
      <c r="BD116" s="112">
        <f t="shared" si="137"/>
        <v>0</v>
      </c>
      <c r="BE116" s="112">
        <f t="shared" si="117"/>
        <v>637552.77252000012</v>
      </c>
      <c r="BF116" s="112">
        <f t="shared" si="118"/>
        <v>637552.77252000012</v>
      </c>
      <c r="BG116" s="126"/>
      <c r="BH116" s="126"/>
      <c r="BI116" s="112">
        <f t="shared" si="80"/>
        <v>0</v>
      </c>
      <c r="BJ116" s="112"/>
      <c r="BK116" s="112"/>
      <c r="BL116" s="112">
        <f t="shared" si="141"/>
        <v>389263.83216000005</v>
      </c>
      <c r="BM116" s="112">
        <f t="shared" si="141"/>
        <v>0</v>
      </c>
      <c r="BN116" s="112">
        <f t="shared" si="141"/>
        <v>0</v>
      </c>
      <c r="BO116" s="112">
        <f t="shared" si="141"/>
        <v>0</v>
      </c>
      <c r="BP116" s="112">
        <f t="shared" si="141"/>
        <v>0</v>
      </c>
      <c r="BQ116" s="112">
        <f t="shared" si="119"/>
        <v>389263.83216000005</v>
      </c>
      <c r="BR116" s="112">
        <f t="shared" si="120"/>
        <v>389263.83216000005</v>
      </c>
      <c r="BS116" s="112">
        <f t="shared" si="142"/>
        <v>234213.96672000003</v>
      </c>
      <c r="BT116" s="112">
        <f t="shared" si="142"/>
        <v>0</v>
      </c>
      <c r="BU116" s="112">
        <f t="shared" si="142"/>
        <v>0</v>
      </c>
      <c r="BV116" s="112">
        <f t="shared" si="93"/>
        <v>0</v>
      </c>
      <c r="BW116" s="112">
        <f t="shared" si="94"/>
        <v>0</v>
      </c>
      <c r="BX116" s="112">
        <f t="shared" si="121"/>
        <v>234213.96672000003</v>
      </c>
      <c r="BY116" s="112">
        <f t="shared" si="122"/>
        <v>234213.96672000003</v>
      </c>
      <c r="BZ116" s="113">
        <f t="shared" si="91"/>
        <v>0</v>
      </c>
      <c r="CA116" s="113">
        <f t="shared" si="91"/>
        <v>0</v>
      </c>
      <c r="CB116" s="113">
        <f t="shared" si="123"/>
        <v>0</v>
      </c>
      <c r="CC116" s="119" t="e">
        <f t="shared" si="92"/>
        <v>#DIV/0!</v>
      </c>
      <c r="CD116" s="119" t="e">
        <f t="shared" si="92"/>
        <v>#DIV/0!</v>
      </c>
      <c r="CE116" s="119" t="e">
        <f t="shared" si="124"/>
        <v>#DIV/0!</v>
      </c>
      <c r="CF116" s="113" t="e">
        <f t="shared" si="95"/>
        <v>#DIV/0!</v>
      </c>
      <c r="CG116" s="619">
        <f t="shared" si="96"/>
        <v>0</v>
      </c>
      <c r="CH116" s="132" t="e">
        <f t="shared" si="125"/>
        <v>#DIV/0!</v>
      </c>
      <c r="CI116" s="625"/>
      <c r="CJ116" s="208">
        <f t="shared" si="97"/>
        <v>389.26383216000005</v>
      </c>
      <c r="CK116" s="208">
        <f t="shared" si="98"/>
        <v>234.21396672000003</v>
      </c>
      <c r="CL116" s="208">
        <f t="shared" si="84"/>
        <v>623.47779888000014</v>
      </c>
      <c r="CM116" s="112">
        <f t="shared" si="99"/>
        <v>623477.79888000013</v>
      </c>
      <c r="CN116" s="112">
        <f t="shared" si="100"/>
        <v>615304.63190400007</v>
      </c>
      <c r="CO116" s="112">
        <f t="shared" si="101"/>
        <v>615304.63190400007</v>
      </c>
      <c r="CP116" s="112">
        <f t="shared" si="102"/>
        <v>389263.83216000005</v>
      </c>
      <c r="CQ116" s="112">
        <f t="shared" si="103"/>
        <v>637552.77252000012</v>
      </c>
      <c r="CR116" s="112">
        <f t="shared" si="104"/>
        <v>637552.77252000012</v>
      </c>
      <c r="CS116" s="112">
        <f t="shared" si="105"/>
        <v>234213.96672000003</v>
      </c>
      <c r="CT116" s="112">
        <f t="shared" si="126"/>
        <v>1252857.4044240001</v>
      </c>
      <c r="CU116" s="124">
        <f t="shared" si="127"/>
        <v>6483192</v>
      </c>
      <c r="CV116" s="112">
        <f t="shared" si="106"/>
        <v>0</v>
      </c>
      <c r="CW116" s="112">
        <f t="shared" si="107"/>
        <v>0</v>
      </c>
      <c r="CX116" s="112">
        <f t="shared" si="128"/>
        <v>0</v>
      </c>
      <c r="CY116" s="112">
        <f t="shared" si="108"/>
        <v>615304.63190400007</v>
      </c>
      <c r="CZ116" s="112">
        <f t="shared" si="109"/>
        <v>637552.77252000012</v>
      </c>
      <c r="DA116" s="625"/>
      <c r="DB116" s="128" t="e">
        <f t="shared" si="129"/>
        <v>#DIV/0!</v>
      </c>
      <c r="DC116" s="625"/>
      <c r="DD116" s="625"/>
      <c r="DE116" s="625"/>
      <c r="DF116" s="625"/>
      <c r="DG116" s="618">
        <f t="shared" si="110"/>
        <v>0</v>
      </c>
      <c r="DH116" s="618">
        <f t="shared" si="111"/>
        <v>0</v>
      </c>
      <c r="DI116" s="618">
        <f t="shared" si="112"/>
        <v>0</v>
      </c>
      <c r="DJ116" s="123"/>
    </row>
    <row r="117" spans="1:114" s="32" customFormat="1" ht="63.75" customHeight="1">
      <c r="A117" s="20">
        <f t="shared" si="130"/>
        <v>102</v>
      </c>
      <c r="B117" s="1503"/>
      <c r="C117" s="803" t="s">
        <v>130</v>
      </c>
      <c r="D117" s="748" t="s">
        <v>141</v>
      </c>
      <c r="E117" s="617">
        <v>4632024035</v>
      </c>
      <c r="F117" s="803" t="s">
        <v>8</v>
      </c>
      <c r="G117" s="751" t="s">
        <v>890</v>
      </c>
      <c r="H117" s="816">
        <f t="shared" si="143"/>
        <v>3184.0320000000002</v>
      </c>
      <c r="I117" s="816">
        <f t="shared" si="143"/>
        <v>3184.0320000000002</v>
      </c>
      <c r="J117" s="38"/>
      <c r="K117" s="38"/>
      <c r="L117" s="816">
        <f t="shared" si="144"/>
        <v>3184.0320000000002</v>
      </c>
      <c r="M117" s="10"/>
      <c r="N117" s="622">
        <f t="shared" si="140"/>
        <v>3299.1600000000003</v>
      </c>
      <c r="O117" s="622">
        <f t="shared" si="140"/>
        <v>3299.1600000000003</v>
      </c>
      <c r="P117" s="10"/>
      <c r="Q117" s="10"/>
      <c r="R117" s="622">
        <f t="shared" si="145"/>
        <v>3299.1600000000003</v>
      </c>
      <c r="S117" s="10"/>
      <c r="T117" s="824">
        <v>152.22</v>
      </c>
      <c r="U117" s="178"/>
      <c r="V117" s="682"/>
      <c r="W117" s="178"/>
      <c r="X117" s="178"/>
      <c r="Y117" s="178"/>
      <c r="Z117" s="35">
        <f t="shared" si="131"/>
        <v>152.22</v>
      </c>
      <c r="AA117" s="178">
        <v>88.391999999999996</v>
      </c>
      <c r="AB117" s="16"/>
      <c r="AC117" s="227"/>
      <c r="AD117" s="16"/>
      <c r="AE117" s="16"/>
      <c r="AF117" s="16"/>
      <c r="AG117" s="35">
        <f t="shared" si="132"/>
        <v>88.391999999999996</v>
      </c>
      <c r="AH117" s="35">
        <f t="shared" si="113"/>
        <v>240.61199999999999</v>
      </c>
      <c r="AI117" s="15">
        <f t="shared" si="134"/>
        <v>240.61199999999999</v>
      </c>
      <c r="AJ117" s="15">
        <f t="shared" si="134"/>
        <v>0</v>
      </c>
      <c r="AK117" s="15">
        <f t="shared" si="134"/>
        <v>0</v>
      </c>
      <c r="AL117" s="15">
        <f t="shared" si="134"/>
        <v>0</v>
      </c>
      <c r="AM117" s="15">
        <f t="shared" si="133"/>
        <v>0</v>
      </c>
      <c r="AN117" s="15"/>
      <c r="AO117" s="15">
        <f t="shared" si="85"/>
        <v>240.61199999999999</v>
      </c>
      <c r="AP117" s="15">
        <f t="shared" si="86"/>
        <v>240.61199999999999</v>
      </c>
      <c r="AQ117" s="15">
        <f t="shared" si="81"/>
        <v>240.61199999999999</v>
      </c>
      <c r="AR117" s="127">
        <f t="shared" si="114"/>
        <v>0</v>
      </c>
      <c r="AS117" s="112">
        <f t="shared" si="135"/>
        <v>766116.30758400005</v>
      </c>
      <c r="AT117" s="112">
        <f t="shared" si="135"/>
        <v>0</v>
      </c>
      <c r="AU117" s="112">
        <f t="shared" si="135"/>
        <v>0</v>
      </c>
      <c r="AV117" s="112">
        <f t="shared" si="135"/>
        <v>0</v>
      </c>
      <c r="AW117" s="112">
        <f t="shared" si="135"/>
        <v>0</v>
      </c>
      <c r="AX117" s="112">
        <f t="shared" si="115"/>
        <v>766116.30758400005</v>
      </c>
      <c r="AY117" s="112">
        <f t="shared" si="116"/>
        <v>766116.30758400005</v>
      </c>
      <c r="AZ117" s="112">
        <f t="shared" si="137"/>
        <v>793817.48592000001</v>
      </c>
      <c r="BA117" s="112">
        <f t="shared" si="137"/>
        <v>0</v>
      </c>
      <c r="BB117" s="112">
        <f t="shared" si="137"/>
        <v>0</v>
      </c>
      <c r="BC117" s="112">
        <f t="shared" si="137"/>
        <v>0</v>
      </c>
      <c r="BD117" s="112">
        <f t="shared" si="137"/>
        <v>0</v>
      </c>
      <c r="BE117" s="112">
        <f t="shared" si="117"/>
        <v>793817.48592000001</v>
      </c>
      <c r="BF117" s="112">
        <f t="shared" si="118"/>
        <v>793817.48592000001</v>
      </c>
      <c r="BG117" s="126"/>
      <c r="BH117" s="126"/>
      <c r="BI117" s="112">
        <f t="shared" si="80"/>
        <v>0</v>
      </c>
      <c r="BJ117" s="112"/>
      <c r="BK117" s="112"/>
      <c r="BL117" s="112">
        <f t="shared" si="141"/>
        <v>484673.35104000004</v>
      </c>
      <c r="BM117" s="112">
        <f t="shared" si="141"/>
        <v>0</v>
      </c>
      <c r="BN117" s="112">
        <f t="shared" si="141"/>
        <v>0</v>
      </c>
      <c r="BO117" s="112">
        <f t="shared" si="141"/>
        <v>0</v>
      </c>
      <c r="BP117" s="112">
        <f t="shared" si="141"/>
        <v>0</v>
      </c>
      <c r="BQ117" s="112">
        <f t="shared" si="119"/>
        <v>484673.35104000004</v>
      </c>
      <c r="BR117" s="112">
        <f t="shared" si="120"/>
        <v>484673.35104000004</v>
      </c>
      <c r="BS117" s="112">
        <f t="shared" si="142"/>
        <v>291619.35071999999</v>
      </c>
      <c r="BT117" s="112">
        <f t="shared" si="142"/>
        <v>0</v>
      </c>
      <c r="BU117" s="112">
        <f t="shared" si="142"/>
        <v>0</v>
      </c>
      <c r="BV117" s="112">
        <f t="shared" si="93"/>
        <v>0</v>
      </c>
      <c r="BW117" s="112">
        <f t="shared" si="94"/>
        <v>0</v>
      </c>
      <c r="BX117" s="112">
        <f t="shared" si="121"/>
        <v>291619.35071999999</v>
      </c>
      <c r="BY117" s="112">
        <f t="shared" si="122"/>
        <v>291619.35071999999</v>
      </c>
      <c r="BZ117" s="113">
        <f t="shared" si="91"/>
        <v>0</v>
      </c>
      <c r="CA117" s="113">
        <f t="shared" si="91"/>
        <v>0</v>
      </c>
      <c r="CB117" s="113">
        <f t="shared" si="123"/>
        <v>0</v>
      </c>
      <c r="CC117" s="119" t="e">
        <f t="shared" si="92"/>
        <v>#DIV/0!</v>
      </c>
      <c r="CD117" s="119" t="e">
        <f t="shared" si="92"/>
        <v>#DIV/0!</v>
      </c>
      <c r="CE117" s="119" t="e">
        <f t="shared" si="124"/>
        <v>#DIV/0!</v>
      </c>
      <c r="CF117" s="113" t="e">
        <f t="shared" si="95"/>
        <v>#DIV/0!</v>
      </c>
      <c r="CG117" s="619">
        <f t="shared" si="96"/>
        <v>0</v>
      </c>
      <c r="CH117" s="132" t="e">
        <f t="shared" si="125"/>
        <v>#DIV/0!</v>
      </c>
      <c r="CI117" s="625"/>
      <c r="CJ117" s="208">
        <f t="shared" si="97"/>
        <v>484.67335104000006</v>
      </c>
      <c r="CK117" s="208">
        <f t="shared" si="98"/>
        <v>291.61935072</v>
      </c>
      <c r="CL117" s="208">
        <f t="shared" si="84"/>
        <v>776.29270176</v>
      </c>
      <c r="CM117" s="112">
        <f t="shared" si="99"/>
        <v>776292.70176000008</v>
      </c>
      <c r="CN117" s="112">
        <f t="shared" si="100"/>
        <v>766116.30758400005</v>
      </c>
      <c r="CO117" s="112">
        <f t="shared" si="101"/>
        <v>766116.30758400005</v>
      </c>
      <c r="CP117" s="112">
        <f t="shared" si="102"/>
        <v>484673.35104000004</v>
      </c>
      <c r="CQ117" s="112">
        <f t="shared" si="103"/>
        <v>793817.48592000001</v>
      </c>
      <c r="CR117" s="112">
        <f t="shared" si="104"/>
        <v>793817.48592000001</v>
      </c>
      <c r="CS117" s="112">
        <f t="shared" si="105"/>
        <v>291619.35071999999</v>
      </c>
      <c r="CT117" s="112">
        <f t="shared" si="126"/>
        <v>1559933.7935040002</v>
      </c>
      <c r="CU117" s="124">
        <f t="shared" si="127"/>
        <v>6483192.0000000009</v>
      </c>
      <c r="CV117" s="112">
        <f t="shared" si="106"/>
        <v>0</v>
      </c>
      <c r="CW117" s="112">
        <f t="shared" si="107"/>
        <v>0</v>
      </c>
      <c r="CX117" s="112">
        <f t="shared" si="128"/>
        <v>0</v>
      </c>
      <c r="CY117" s="112">
        <f t="shared" si="108"/>
        <v>766116.30758400005</v>
      </c>
      <c r="CZ117" s="112">
        <f t="shared" si="109"/>
        <v>793817.48592000001</v>
      </c>
      <c r="DA117" s="625"/>
      <c r="DB117" s="128" t="e">
        <f t="shared" si="129"/>
        <v>#DIV/0!</v>
      </c>
      <c r="DC117" s="625"/>
      <c r="DD117" s="625"/>
      <c r="DE117" s="625"/>
      <c r="DF117" s="625"/>
      <c r="DG117" s="618">
        <f t="shared" si="110"/>
        <v>0</v>
      </c>
      <c r="DH117" s="618">
        <f t="shared" si="111"/>
        <v>0</v>
      </c>
      <c r="DI117" s="618">
        <f t="shared" si="112"/>
        <v>0</v>
      </c>
      <c r="DJ117" s="123"/>
    </row>
    <row r="118" spans="1:114" s="32" customFormat="1" ht="63.75" customHeight="1">
      <c r="A118" s="20">
        <f t="shared" si="130"/>
        <v>103</v>
      </c>
      <c r="B118" s="1504"/>
      <c r="C118" s="803" t="s">
        <v>131</v>
      </c>
      <c r="D118" s="748" t="s">
        <v>141</v>
      </c>
      <c r="E118" s="617">
        <v>4632024035</v>
      </c>
      <c r="F118" s="803" t="s">
        <v>8</v>
      </c>
      <c r="G118" s="751" t="s">
        <v>890</v>
      </c>
      <c r="H118" s="816">
        <f t="shared" si="143"/>
        <v>3184.0320000000002</v>
      </c>
      <c r="I118" s="816">
        <f t="shared" si="143"/>
        <v>3184.0320000000002</v>
      </c>
      <c r="J118" s="38"/>
      <c r="K118" s="38"/>
      <c r="L118" s="816">
        <f t="shared" si="144"/>
        <v>3184.0320000000002</v>
      </c>
      <c r="M118" s="10"/>
      <c r="N118" s="622">
        <f t="shared" si="140"/>
        <v>3299.1600000000003</v>
      </c>
      <c r="O118" s="622">
        <f t="shared" si="140"/>
        <v>3299.1600000000003</v>
      </c>
      <c r="P118" s="10"/>
      <c r="Q118" s="10"/>
      <c r="R118" s="622">
        <f t="shared" si="145"/>
        <v>3299.1600000000003</v>
      </c>
      <c r="S118" s="10"/>
      <c r="T118" s="824">
        <v>149.82300000000001</v>
      </c>
      <c r="U118" s="178"/>
      <c r="V118" s="682"/>
      <c r="W118" s="178"/>
      <c r="X118" s="178"/>
      <c r="Y118" s="178"/>
      <c r="Z118" s="35">
        <f t="shared" si="131"/>
        <v>149.82300000000001</v>
      </c>
      <c r="AA118" s="178">
        <v>87</v>
      </c>
      <c r="AB118" s="16"/>
      <c r="AC118" s="227"/>
      <c r="AD118" s="16"/>
      <c r="AE118" s="16"/>
      <c r="AF118" s="16"/>
      <c r="AG118" s="35">
        <f t="shared" si="132"/>
        <v>87</v>
      </c>
      <c r="AH118" s="35">
        <f t="shared" si="113"/>
        <v>236.82300000000001</v>
      </c>
      <c r="AI118" s="15">
        <f t="shared" si="134"/>
        <v>236.82300000000001</v>
      </c>
      <c r="AJ118" s="15">
        <f t="shared" si="134"/>
        <v>0</v>
      </c>
      <c r="AK118" s="15">
        <f t="shared" si="134"/>
        <v>0</v>
      </c>
      <c r="AL118" s="15">
        <f t="shared" si="134"/>
        <v>0</v>
      </c>
      <c r="AM118" s="15">
        <f t="shared" si="133"/>
        <v>0</v>
      </c>
      <c r="AN118" s="15"/>
      <c r="AO118" s="15">
        <f t="shared" si="85"/>
        <v>236.82300000000001</v>
      </c>
      <c r="AP118" s="15">
        <f t="shared" si="86"/>
        <v>236.82300000000001</v>
      </c>
      <c r="AQ118" s="15">
        <f t="shared" si="81"/>
        <v>236.82300000000001</v>
      </c>
      <c r="AR118" s="127">
        <f t="shared" si="114"/>
        <v>0</v>
      </c>
      <c r="AS118" s="112">
        <f t="shared" si="135"/>
        <v>754052.01033600001</v>
      </c>
      <c r="AT118" s="112">
        <f t="shared" si="135"/>
        <v>0</v>
      </c>
      <c r="AU118" s="112">
        <f t="shared" si="135"/>
        <v>0</v>
      </c>
      <c r="AV118" s="112">
        <f t="shared" si="135"/>
        <v>0</v>
      </c>
      <c r="AW118" s="112">
        <f t="shared" si="135"/>
        <v>0</v>
      </c>
      <c r="AX118" s="112">
        <f t="shared" si="115"/>
        <v>754052.01033600001</v>
      </c>
      <c r="AY118" s="112">
        <f t="shared" si="116"/>
        <v>754052.01033600001</v>
      </c>
      <c r="AZ118" s="112">
        <f t="shared" si="137"/>
        <v>781316.96868000005</v>
      </c>
      <c r="BA118" s="112">
        <f t="shared" si="137"/>
        <v>0</v>
      </c>
      <c r="BB118" s="112">
        <f t="shared" si="137"/>
        <v>0</v>
      </c>
      <c r="BC118" s="112">
        <f t="shared" si="137"/>
        <v>0</v>
      </c>
      <c r="BD118" s="112">
        <f t="shared" si="137"/>
        <v>0</v>
      </c>
      <c r="BE118" s="112">
        <f t="shared" si="117"/>
        <v>781316.96868000005</v>
      </c>
      <c r="BF118" s="112">
        <f t="shared" si="118"/>
        <v>781316.96868000005</v>
      </c>
      <c r="BG118" s="126"/>
      <c r="BH118" s="126"/>
      <c r="BI118" s="112">
        <f t="shared" si="80"/>
        <v>0</v>
      </c>
      <c r="BJ118" s="112"/>
      <c r="BK118" s="112"/>
      <c r="BL118" s="112">
        <f t="shared" si="141"/>
        <v>477041.22633600002</v>
      </c>
      <c r="BM118" s="112">
        <f t="shared" si="141"/>
        <v>0</v>
      </c>
      <c r="BN118" s="112">
        <f t="shared" si="141"/>
        <v>0</v>
      </c>
      <c r="BO118" s="112">
        <f t="shared" si="141"/>
        <v>0</v>
      </c>
      <c r="BP118" s="112">
        <f t="shared" si="141"/>
        <v>0</v>
      </c>
      <c r="BQ118" s="112">
        <f t="shared" si="119"/>
        <v>477041.22633600002</v>
      </c>
      <c r="BR118" s="112">
        <f t="shared" si="120"/>
        <v>477041.22633600002</v>
      </c>
      <c r="BS118" s="112">
        <f t="shared" si="142"/>
        <v>287026.92000000004</v>
      </c>
      <c r="BT118" s="112">
        <f t="shared" si="142"/>
        <v>0</v>
      </c>
      <c r="BU118" s="112">
        <f t="shared" si="142"/>
        <v>0</v>
      </c>
      <c r="BV118" s="112">
        <f t="shared" si="93"/>
        <v>0</v>
      </c>
      <c r="BW118" s="112">
        <f t="shared" si="94"/>
        <v>0</v>
      </c>
      <c r="BX118" s="112">
        <f t="shared" si="121"/>
        <v>287026.92000000004</v>
      </c>
      <c r="BY118" s="112">
        <f t="shared" si="122"/>
        <v>287026.92000000004</v>
      </c>
      <c r="BZ118" s="113">
        <f t="shared" si="91"/>
        <v>0</v>
      </c>
      <c r="CA118" s="113">
        <f t="shared" si="91"/>
        <v>0</v>
      </c>
      <c r="CB118" s="113">
        <f t="shared" si="123"/>
        <v>0</v>
      </c>
      <c r="CC118" s="119" t="e">
        <f t="shared" si="92"/>
        <v>#DIV/0!</v>
      </c>
      <c r="CD118" s="119" t="e">
        <f t="shared" si="92"/>
        <v>#DIV/0!</v>
      </c>
      <c r="CE118" s="119" t="e">
        <f t="shared" si="124"/>
        <v>#DIV/0!</v>
      </c>
      <c r="CF118" s="113" t="e">
        <f t="shared" si="95"/>
        <v>#DIV/0!</v>
      </c>
      <c r="CG118" s="619">
        <f t="shared" si="96"/>
        <v>0</v>
      </c>
      <c r="CH118" s="132" t="e">
        <f t="shared" si="125"/>
        <v>#DIV/0!</v>
      </c>
      <c r="CI118" s="625"/>
      <c r="CJ118" s="208">
        <f t="shared" si="97"/>
        <v>477.04122633600002</v>
      </c>
      <c r="CK118" s="208">
        <f t="shared" si="98"/>
        <v>287.02692000000002</v>
      </c>
      <c r="CL118" s="208">
        <f t="shared" si="84"/>
        <v>764.06814633600004</v>
      </c>
      <c r="CM118" s="112">
        <f t="shared" si="99"/>
        <v>764068.14633600006</v>
      </c>
      <c r="CN118" s="112">
        <f t="shared" si="100"/>
        <v>754052.01033600001</v>
      </c>
      <c r="CO118" s="112">
        <f t="shared" si="101"/>
        <v>754052.01033600001</v>
      </c>
      <c r="CP118" s="112">
        <f t="shared" si="102"/>
        <v>477041.22633600002</v>
      </c>
      <c r="CQ118" s="112">
        <f t="shared" si="103"/>
        <v>781316.96868000005</v>
      </c>
      <c r="CR118" s="112">
        <f t="shared" si="104"/>
        <v>781316.96868000005</v>
      </c>
      <c r="CS118" s="112">
        <f t="shared" si="105"/>
        <v>287026.92000000004</v>
      </c>
      <c r="CT118" s="112">
        <f t="shared" si="126"/>
        <v>1535368.9790159999</v>
      </c>
      <c r="CU118" s="124">
        <f t="shared" si="127"/>
        <v>6483191.9999999991</v>
      </c>
      <c r="CV118" s="112">
        <f t="shared" si="106"/>
        <v>0</v>
      </c>
      <c r="CW118" s="112">
        <f t="shared" si="107"/>
        <v>0</v>
      </c>
      <c r="CX118" s="112">
        <f t="shared" si="128"/>
        <v>0</v>
      </c>
      <c r="CY118" s="112">
        <f t="shared" si="108"/>
        <v>754052.01033600001</v>
      </c>
      <c r="CZ118" s="112">
        <f t="shared" si="109"/>
        <v>781316.96868000005</v>
      </c>
      <c r="DA118" s="625"/>
      <c r="DB118" s="128" t="e">
        <f t="shared" si="129"/>
        <v>#DIV/0!</v>
      </c>
      <c r="DC118" s="625"/>
      <c r="DD118" s="625"/>
      <c r="DE118" s="625"/>
      <c r="DF118" s="625"/>
      <c r="DG118" s="618">
        <f t="shared" si="110"/>
        <v>0</v>
      </c>
      <c r="DH118" s="618">
        <f t="shared" si="111"/>
        <v>0</v>
      </c>
      <c r="DI118" s="618">
        <f t="shared" si="112"/>
        <v>0</v>
      </c>
      <c r="DJ118" s="123"/>
    </row>
    <row r="119" spans="1:114" s="20" customFormat="1" ht="59.25" hidden="1" customHeight="1">
      <c r="A119" s="20">
        <f t="shared" si="130"/>
        <v>104</v>
      </c>
      <c r="B119" s="1502" t="s">
        <v>43</v>
      </c>
      <c r="C119" s="1502" t="s">
        <v>53</v>
      </c>
      <c r="D119" s="803" t="s">
        <v>256</v>
      </c>
      <c r="E119" s="803">
        <v>4633002394</v>
      </c>
      <c r="F119" s="803" t="s">
        <v>8</v>
      </c>
      <c r="G119" s="804" t="s">
        <v>892</v>
      </c>
      <c r="H119" s="38">
        <f>1603.82*1.2</f>
        <v>1924.5839999999998</v>
      </c>
      <c r="I119" s="38">
        <f>1603.82*1.2</f>
        <v>1924.5839999999998</v>
      </c>
      <c r="J119" s="38">
        <v>1909.18</v>
      </c>
      <c r="K119" s="38">
        <v>1755.44</v>
      </c>
      <c r="L119" s="38">
        <f>1603.82*1.2</f>
        <v>1924.5839999999998</v>
      </c>
      <c r="M119" s="10"/>
      <c r="N119" s="10">
        <f>1647.9*1.2</f>
        <v>1977.48</v>
      </c>
      <c r="O119" s="10">
        <f>1647.9*1.2</f>
        <v>1977.48</v>
      </c>
      <c r="P119" s="10">
        <v>1977.48</v>
      </c>
      <c r="Q119" s="10">
        <v>1834.44</v>
      </c>
      <c r="R119" s="10">
        <f>1647.9*1.2</f>
        <v>1977.48</v>
      </c>
      <c r="S119" s="10"/>
      <c r="T119" s="15">
        <v>33479.61</v>
      </c>
      <c r="U119" s="15">
        <v>198441.00799999997</v>
      </c>
      <c r="V119" s="208">
        <f>38474.811+7677.962</f>
        <v>46152.773000000001</v>
      </c>
      <c r="W119" s="15">
        <v>24213.333000000002</v>
      </c>
      <c r="X119" s="15"/>
      <c r="Y119" s="15"/>
      <c r="Z119" s="35">
        <f t="shared" si="131"/>
        <v>302286.72399999993</v>
      </c>
      <c r="AA119" s="15">
        <v>25651.242000000002</v>
      </c>
      <c r="AB119" s="15">
        <v>143205.31099999999</v>
      </c>
      <c r="AC119" s="208">
        <f>37775.993+6878.256</f>
        <v>44654.249000000003</v>
      </c>
      <c r="AD119" s="15">
        <v>16170.231</v>
      </c>
      <c r="AE119" s="15"/>
      <c r="AF119" s="15"/>
      <c r="AG119" s="35">
        <f t="shared" si="132"/>
        <v>229681.033</v>
      </c>
      <c r="AH119" s="35">
        <f t="shared" si="113"/>
        <v>531967.75699999998</v>
      </c>
      <c r="AI119" s="15">
        <f t="shared" si="134"/>
        <v>59130.851999999999</v>
      </c>
      <c r="AJ119" s="15">
        <f t="shared" si="134"/>
        <v>341646.31899999996</v>
      </c>
      <c r="AK119" s="15">
        <f t="shared" si="134"/>
        <v>90807.021999999997</v>
      </c>
      <c r="AL119" s="15">
        <f t="shared" si="134"/>
        <v>40383.563999999998</v>
      </c>
      <c r="AM119" s="15">
        <f t="shared" si="133"/>
        <v>0</v>
      </c>
      <c r="AN119" s="15"/>
      <c r="AO119" s="15">
        <f t="shared" si="85"/>
        <v>531967.75699999998</v>
      </c>
      <c r="AP119" s="15">
        <f t="shared" si="86"/>
        <v>531967.75699999998</v>
      </c>
      <c r="AQ119" s="15">
        <f t="shared" si="81"/>
        <v>531967.75699999998</v>
      </c>
      <c r="AR119" s="127">
        <f t="shared" si="114"/>
        <v>0</v>
      </c>
      <c r="AS119" s="112">
        <f t="shared" si="135"/>
        <v>113802291.66556799</v>
      </c>
      <c r="AT119" s="112">
        <f t="shared" si="135"/>
        <v>652264319.30841994</v>
      </c>
      <c r="AU119" s="112">
        <f t="shared" si="135"/>
        <v>159406278.69968</v>
      </c>
      <c r="AV119" s="112">
        <f t="shared" si="135"/>
        <v>77721561.137375996</v>
      </c>
      <c r="AW119" s="112">
        <f t="shared" si="135"/>
        <v>0</v>
      </c>
      <c r="AX119" s="112">
        <f t="shared" si="115"/>
        <v>1003194450.8110439</v>
      </c>
      <c r="AY119" s="112">
        <f t="shared" si="116"/>
        <v>1003194450.8110439</v>
      </c>
      <c r="AZ119" s="112">
        <f t="shared" si="137"/>
        <v>116930077.21296</v>
      </c>
      <c r="BA119" s="112">
        <f t="shared" si="137"/>
        <v>675598762.89611995</v>
      </c>
      <c r="BB119" s="112">
        <f t="shared" si="137"/>
        <v>166580033.43768001</v>
      </c>
      <c r="BC119" s="112">
        <f t="shared" si="137"/>
        <v>79857690.138719991</v>
      </c>
      <c r="BD119" s="112">
        <f t="shared" si="137"/>
        <v>0</v>
      </c>
      <c r="BE119" s="112">
        <f t="shared" si="117"/>
        <v>1038966563.68548</v>
      </c>
      <c r="BF119" s="112">
        <f t="shared" si="118"/>
        <v>1038966563.68548</v>
      </c>
      <c r="BG119" s="169">
        <f>(I119-J119)*U119/1000/1.2+(I119-K119)*V119/1000/1.2-0.173677725037123</f>
        <v>9052.534591894917</v>
      </c>
      <c r="BH119" s="170">
        <f>(O119-P119)*AB119/1000/1.2+(O119-Q119)*AC119/1000/1.2+0.305452204311223</f>
        <v>5323.0919330043107</v>
      </c>
      <c r="BI119" s="169">
        <f t="shared" si="80"/>
        <v>14375.626524899228</v>
      </c>
      <c r="BJ119" s="683"/>
      <c r="BK119" s="683"/>
      <c r="BL119" s="112">
        <f t="shared" si="141"/>
        <v>64434321.732239999</v>
      </c>
      <c r="BM119" s="112">
        <f t="shared" si="141"/>
        <v>378859603.65343994</v>
      </c>
      <c r="BN119" s="112">
        <f t="shared" si="141"/>
        <v>81018423.835120007</v>
      </c>
      <c r="BO119" s="112">
        <f t="shared" si="141"/>
        <v>46600593.278471999</v>
      </c>
      <c r="BP119" s="112">
        <f t="shared" si="141"/>
        <v>0</v>
      </c>
      <c r="BQ119" s="112">
        <f t="shared" si="119"/>
        <v>570912942.49927199</v>
      </c>
      <c r="BR119" s="112">
        <f t="shared" si="120"/>
        <v>570912942.49927199</v>
      </c>
      <c r="BS119" s="112">
        <f t="shared" si="142"/>
        <v>50724818.030160002</v>
      </c>
      <c r="BT119" s="112">
        <f t="shared" si="142"/>
        <v>283185638.39627999</v>
      </c>
      <c r="BU119" s="112">
        <f t="shared" si="142"/>
        <v>81915540.535560012</v>
      </c>
      <c r="BV119" s="112">
        <f t="shared" si="93"/>
        <v>47881381.740840003</v>
      </c>
      <c r="BW119" s="112">
        <f t="shared" si="94"/>
        <v>0</v>
      </c>
      <c r="BX119" s="112">
        <f t="shared" si="121"/>
        <v>463707378.70284003</v>
      </c>
      <c r="BY119" s="112">
        <f t="shared" si="122"/>
        <v>463707378.70284003</v>
      </c>
      <c r="BZ119" s="113">
        <f t="shared" si="91"/>
        <v>662045242.04971993</v>
      </c>
      <c r="CA119" s="113">
        <f t="shared" si="91"/>
        <v>162933964.37068003</v>
      </c>
      <c r="CB119" s="113">
        <f t="shared" si="123"/>
        <v>824979206.4203999</v>
      </c>
      <c r="CC119" s="119">
        <f t="shared" si="92"/>
        <v>1937.8087959136478</v>
      </c>
      <c r="CD119" s="119">
        <f t="shared" si="92"/>
        <v>1794.2881594628225</v>
      </c>
      <c r="CE119" s="119">
        <f t="shared" si="124"/>
        <v>1907.6721768705215</v>
      </c>
      <c r="CF119" s="119">
        <f t="shared" si="95"/>
        <v>1907.6721768705215</v>
      </c>
      <c r="CG119" s="619">
        <f t="shared" si="96"/>
        <v>842229800.12090397</v>
      </c>
      <c r="CH119" s="132">
        <f t="shared" si="125"/>
        <v>1947.5622460757079</v>
      </c>
      <c r="CI119" s="106"/>
      <c r="CJ119" s="684">
        <f t="shared" si="97"/>
        <v>581776.19242281583</v>
      </c>
      <c r="CK119" s="684">
        <f t="shared" si="98"/>
        <v>454189.64913683996</v>
      </c>
      <c r="CL119" s="684">
        <f t="shared" si="84"/>
        <v>1035965.8415596557</v>
      </c>
      <c r="CM119" s="126">
        <f t="shared" si="99"/>
        <v>1035965841.5596558</v>
      </c>
      <c r="CN119" s="126">
        <f t="shared" si="100"/>
        <v>1003194450.8110439</v>
      </c>
      <c r="CO119" s="126">
        <f t="shared" si="101"/>
        <v>1017155122.3733239</v>
      </c>
      <c r="CP119" s="126">
        <f t="shared" si="102"/>
        <v>570912942.49927199</v>
      </c>
      <c r="CQ119" s="126">
        <f t="shared" si="103"/>
        <v>1038966563.68548</v>
      </c>
      <c r="CR119" s="126">
        <f t="shared" si="104"/>
        <v>1051955600.11236</v>
      </c>
      <c r="CS119" s="126">
        <f t="shared" si="105"/>
        <v>447802305.35988003</v>
      </c>
      <c r="CT119" s="126">
        <f t="shared" si="126"/>
        <v>2042161014.4965239</v>
      </c>
      <c r="CU119" s="679">
        <f t="shared" si="127"/>
        <v>3838881.1871102252</v>
      </c>
      <c r="CV119" s="126">
        <f t="shared" si="106"/>
        <v>811670598.00809991</v>
      </c>
      <c r="CW119" s="126">
        <f t="shared" si="107"/>
        <v>842178796.33379996</v>
      </c>
      <c r="CX119" s="126">
        <f t="shared" si="128"/>
        <v>1653849394.3418999</v>
      </c>
      <c r="CY119" s="126">
        <f t="shared" si="108"/>
        <v>1023816633.6380877</v>
      </c>
      <c r="CZ119" s="126">
        <f t="shared" si="109"/>
        <v>1051955600.11236</v>
      </c>
      <c r="DA119" s="106"/>
      <c r="DB119" s="128">
        <f t="shared" si="129"/>
        <v>103.57745209985438</v>
      </c>
      <c r="DC119" s="106"/>
      <c r="DD119" s="106"/>
      <c r="DE119" s="106"/>
      <c r="DF119" s="106"/>
      <c r="DG119" s="618">
        <f t="shared" si="110"/>
        <v>0</v>
      </c>
      <c r="DH119" s="618">
        <f t="shared" si="111"/>
        <v>0</v>
      </c>
      <c r="DI119" s="618">
        <f t="shared" si="112"/>
        <v>0</v>
      </c>
      <c r="DJ119" s="115"/>
    </row>
    <row r="120" spans="1:114" s="13" customFormat="1" ht="72.75" hidden="1" customHeight="1">
      <c r="A120" s="695">
        <f t="shared" si="130"/>
        <v>105</v>
      </c>
      <c r="B120" s="1503"/>
      <c r="C120" s="1503"/>
      <c r="D120" s="805" t="s">
        <v>276</v>
      </c>
      <c r="E120" s="805">
        <v>4633001577</v>
      </c>
      <c r="F120" s="696" t="s">
        <v>8</v>
      </c>
      <c r="G120" s="805" t="s">
        <v>873</v>
      </c>
      <c r="H120" s="697">
        <v>2122.4899999999998</v>
      </c>
      <c r="I120" s="697">
        <v>0</v>
      </c>
      <c r="J120" s="697">
        <v>0</v>
      </c>
      <c r="K120" s="697">
        <v>0</v>
      </c>
      <c r="L120" s="728">
        <v>2122.4899999999998</v>
      </c>
      <c r="M120" s="697">
        <v>0</v>
      </c>
      <c r="N120" s="697">
        <v>2286.8200000000002</v>
      </c>
      <c r="O120" s="697">
        <v>0</v>
      </c>
      <c r="P120" s="697">
        <v>0</v>
      </c>
      <c r="Q120" s="697">
        <v>0</v>
      </c>
      <c r="R120" s="728">
        <v>2286.8200000000002</v>
      </c>
      <c r="S120" s="697">
        <v>0</v>
      </c>
      <c r="T120" s="18">
        <v>0</v>
      </c>
      <c r="U120" s="18">
        <v>0</v>
      </c>
      <c r="V120" s="18">
        <v>0</v>
      </c>
      <c r="W120" s="18">
        <v>12463</v>
      </c>
      <c r="X120" s="18">
        <v>0</v>
      </c>
      <c r="Y120" s="18">
        <v>0</v>
      </c>
      <c r="Z120" s="99">
        <f t="shared" si="131"/>
        <v>12463</v>
      </c>
      <c r="AA120" s="18">
        <v>0</v>
      </c>
      <c r="AB120" s="18">
        <v>0</v>
      </c>
      <c r="AC120" s="18">
        <v>0</v>
      </c>
      <c r="AD120" s="18">
        <v>7732</v>
      </c>
      <c r="AE120" s="18">
        <v>0</v>
      </c>
      <c r="AF120" s="18">
        <v>0</v>
      </c>
      <c r="AG120" s="99">
        <f>SUM(AA120:AF120)</f>
        <v>7732</v>
      </c>
      <c r="AH120" s="99">
        <f t="shared" si="113"/>
        <v>20195</v>
      </c>
      <c r="AI120" s="18">
        <f t="shared" si="134"/>
        <v>0</v>
      </c>
      <c r="AJ120" s="18">
        <f t="shared" si="134"/>
        <v>0</v>
      </c>
      <c r="AK120" s="18">
        <f t="shared" si="134"/>
        <v>0</v>
      </c>
      <c r="AL120" s="18">
        <f t="shared" si="134"/>
        <v>20195</v>
      </c>
      <c r="AM120" s="18">
        <f t="shared" si="133"/>
        <v>0</v>
      </c>
      <c r="AN120" s="18"/>
      <c r="AO120" s="18">
        <f t="shared" si="85"/>
        <v>20195</v>
      </c>
      <c r="AP120" s="18">
        <f t="shared" si="86"/>
        <v>20195</v>
      </c>
      <c r="AQ120" s="18">
        <f t="shared" si="81"/>
        <v>20195</v>
      </c>
      <c r="AR120" s="99">
        <f t="shared" si="114"/>
        <v>0</v>
      </c>
      <c r="AS120" s="18">
        <f t="shared" si="135"/>
        <v>0</v>
      </c>
      <c r="AT120" s="18">
        <f t="shared" si="135"/>
        <v>0</v>
      </c>
      <c r="AU120" s="18">
        <f t="shared" si="135"/>
        <v>0</v>
      </c>
      <c r="AV120" s="18">
        <f t="shared" si="135"/>
        <v>42863685.549999997</v>
      </c>
      <c r="AW120" s="18">
        <f t="shared" si="135"/>
        <v>0</v>
      </c>
      <c r="AX120" s="18">
        <f t="shared" si="115"/>
        <v>42863685.549999997</v>
      </c>
      <c r="AY120" s="18">
        <f t="shared" si="116"/>
        <v>42863685.549999997</v>
      </c>
      <c r="AZ120" s="18">
        <f t="shared" si="137"/>
        <v>0</v>
      </c>
      <c r="BA120" s="18">
        <f t="shared" si="137"/>
        <v>0</v>
      </c>
      <c r="BB120" s="18">
        <f t="shared" si="137"/>
        <v>0</v>
      </c>
      <c r="BC120" s="18">
        <f t="shared" si="137"/>
        <v>46182329.900000006</v>
      </c>
      <c r="BD120" s="18">
        <f t="shared" si="137"/>
        <v>0</v>
      </c>
      <c r="BE120" s="18">
        <f t="shared" si="117"/>
        <v>46182329.900000006</v>
      </c>
      <c r="BF120" s="18">
        <f t="shared" si="118"/>
        <v>46182329.900000006</v>
      </c>
      <c r="BG120" s="18"/>
      <c r="BH120" s="18"/>
      <c r="BI120" s="18">
        <f t="shared" si="80"/>
        <v>0</v>
      </c>
      <c r="BJ120" s="18">
        <v>36778.559999999998</v>
      </c>
      <c r="BK120" s="18">
        <v>36182.080000000002</v>
      </c>
      <c r="BL120" s="18">
        <f>I120*T120</f>
        <v>0</v>
      </c>
      <c r="BM120" s="18">
        <f>J120*U120</f>
        <v>0</v>
      </c>
      <c r="BN120" s="18">
        <f>K120*V120</f>
        <v>0</v>
      </c>
      <c r="BO120" s="18">
        <f>L120*W120</f>
        <v>26452592.869999997</v>
      </c>
      <c r="BP120" s="18">
        <f t="shared" si="141"/>
        <v>0</v>
      </c>
      <c r="BQ120" s="18">
        <f>BL120+BM120+BN120+BO120+BP120</f>
        <v>26452592.869999997</v>
      </c>
      <c r="BR120" s="18">
        <f>BQ120-BP120</f>
        <v>26452592.869999997</v>
      </c>
      <c r="BS120" s="18">
        <f>O120*AA120</f>
        <v>0</v>
      </c>
      <c r="BT120" s="18">
        <f>P120*AB120</f>
        <v>0</v>
      </c>
      <c r="BU120" s="18">
        <f>Q120*AC120</f>
        <v>0</v>
      </c>
      <c r="BV120" s="18">
        <f>R120*W120</f>
        <v>28500637.660000004</v>
      </c>
      <c r="BW120" s="18">
        <f>S120*AE120</f>
        <v>0</v>
      </c>
      <c r="BX120" s="18">
        <f>BS120+BT120+BU120+BV120+BW120</f>
        <v>28500637.660000004</v>
      </c>
      <c r="BY120" s="18">
        <f>BX120-BW120</f>
        <v>28500637.660000004</v>
      </c>
      <c r="BZ120" s="161">
        <f>BM120+BT120</f>
        <v>0</v>
      </c>
      <c r="CA120" s="161">
        <f>BN120+BU120</f>
        <v>0</v>
      </c>
      <c r="CB120" s="161">
        <f>BZ120+CA120</f>
        <v>0</v>
      </c>
      <c r="CC120" s="162" t="e">
        <f>BZ120/AJ120</f>
        <v>#DIV/0!</v>
      </c>
      <c r="CD120" s="162" t="e">
        <f t="shared" si="92"/>
        <v>#DIV/0!</v>
      </c>
      <c r="CE120" s="162" t="e">
        <f t="shared" si="124"/>
        <v>#DIV/0!</v>
      </c>
      <c r="CF120" s="161" t="e">
        <f t="shared" si="95"/>
        <v>#DIV/0!</v>
      </c>
      <c r="CG120" s="651">
        <f t="shared" si="96"/>
        <v>0</v>
      </c>
      <c r="CH120" s="652" t="e">
        <f t="shared" si="125"/>
        <v>#DIV/0!</v>
      </c>
      <c r="CJ120" s="18">
        <f>H120*Z120/1000</f>
        <v>26452.592869999997</v>
      </c>
      <c r="CK120" s="18">
        <f>N120*AG120/1000</f>
        <v>17681.69224</v>
      </c>
      <c r="CL120" s="18">
        <f t="shared" si="84"/>
        <v>44134.285109999997</v>
      </c>
      <c r="CM120" s="18">
        <f t="shared" si="99"/>
        <v>44134285.109999999</v>
      </c>
      <c r="CN120" s="18">
        <f t="shared" si="100"/>
        <v>42863685.549999997</v>
      </c>
      <c r="CO120" s="18">
        <f t="shared" si="101"/>
        <v>42863685.549999997</v>
      </c>
      <c r="CP120" s="18">
        <f t="shared" si="102"/>
        <v>26452592.869999997</v>
      </c>
      <c r="CQ120" s="18">
        <f t="shared" si="103"/>
        <v>46182329.900000006</v>
      </c>
      <c r="CR120" s="18">
        <f t="shared" si="104"/>
        <v>46182329.900000006</v>
      </c>
      <c r="CS120" s="18">
        <f t="shared" si="105"/>
        <v>17681692.240000002</v>
      </c>
      <c r="CT120" s="18">
        <f t="shared" si="126"/>
        <v>89046015.450000003</v>
      </c>
      <c r="CU120" s="29">
        <f t="shared" si="127"/>
        <v>4409310</v>
      </c>
      <c r="CV120" s="18">
        <f t="shared" si="106"/>
        <v>0</v>
      </c>
      <c r="CW120" s="18">
        <f t="shared" si="107"/>
        <v>0</v>
      </c>
      <c r="CX120" s="18">
        <f t="shared" si="128"/>
        <v>0</v>
      </c>
      <c r="CY120" s="18">
        <f t="shared" si="108"/>
        <v>42863685.549999997</v>
      </c>
      <c r="CZ120" s="18">
        <f t="shared" si="109"/>
        <v>46182329.900000006</v>
      </c>
      <c r="DB120" s="653" t="e">
        <f t="shared" si="129"/>
        <v>#DIV/0!</v>
      </c>
      <c r="DG120" s="701">
        <f t="shared" si="110"/>
        <v>0</v>
      </c>
      <c r="DH120" s="701">
        <f t="shared" si="111"/>
        <v>0</v>
      </c>
      <c r="DI120" s="701">
        <f t="shared" si="112"/>
        <v>0</v>
      </c>
    </row>
    <row r="121" spans="1:114" s="13" customFormat="1" ht="33.75" hidden="1" customHeight="1">
      <c r="A121" s="695">
        <f t="shared" si="130"/>
        <v>106</v>
      </c>
      <c r="B121" s="1503"/>
      <c r="C121" s="1503"/>
      <c r="D121" s="729" t="s">
        <v>44</v>
      </c>
      <c r="E121" s="730">
        <v>4633016372</v>
      </c>
      <c r="F121" s="731" t="s">
        <v>45</v>
      </c>
      <c r="G121" s="1578" t="s">
        <v>874</v>
      </c>
      <c r="H121" s="697">
        <v>1739.5319999999999</v>
      </c>
      <c r="I121" s="697"/>
      <c r="J121" s="697"/>
      <c r="K121" s="697"/>
      <c r="L121" s="697">
        <v>1739.5319999999999</v>
      </c>
      <c r="M121" s="698">
        <v>0</v>
      </c>
      <c r="N121" s="698">
        <v>2084.9</v>
      </c>
      <c r="O121" s="698"/>
      <c r="P121" s="698"/>
      <c r="Q121" s="698"/>
      <c r="R121" s="698">
        <v>2084.9</v>
      </c>
      <c r="S121" s="698">
        <v>0</v>
      </c>
      <c r="T121" s="18">
        <v>0</v>
      </c>
      <c r="U121" s="18">
        <v>0</v>
      </c>
      <c r="V121" s="18">
        <v>0</v>
      </c>
      <c r="W121" s="18">
        <v>320</v>
      </c>
      <c r="X121" s="18">
        <v>0</v>
      </c>
      <c r="Y121" s="18">
        <v>0</v>
      </c>
      <c r="Z121" s="99">
        <f t="shared" si="131"/>
        <v>320</v>
      </c>
      <c r="AA121" s="18">
        <v>0</v>
      </c>
      <c r="AB121" s="18">
        <v>0</v>
      </c>
      <c r="AC121" s="18">
        <v>0</v>
      </c>
      <c r="AD121" s="18">
        <v>228.33</v>
      </c>
      <c r="AE121" s="18">
        <v>0</v>
      </c>
      <c r="AF121" s="18">
        <v>0</v>
      </c>
      <c r="AG121" s="99">
        <f>SUM(AA121:AF121)</f>
        <v>228.33</v>
      </c>
      <c r="AH121" s="99">
        <f t="shared" si="113"/>
        <v>548.33000000000004</v>
      </c>
      <c r="AI121" s="18">
        <f t="shared" si="134"/>
        <v>0</v>
      </c>
      <c r="AJ121" s="18">
        <f t="shared" si="134"/>
        <v>0</v>
      </c>
      <c r="AK121" s="18">
        <f t="shared" si="134"/>
        <v>0</v>
      </c>
      <c r="AL121" s="18">
        <f t="shared" si="134"/>
        <v>548.33000000000004</v>
      </c>
      <c r="AM121" s="18">
        <f t="shared" si="133"/>
        <v>0</v>
      </c>
      <c r="AN121" s="18"/>
      <c r="AO121" s="18">
        <f t="shared" si="85"/>
        <v>548.33000000000004</v>
      </c>
      <c r="AP121" s="18">
        <f t="shared" si="86"/>
        <v>548.33000000000004</v>
      </c>
      <c r="AQ121" s="18">
        <f t="shared" si="81"/>
        <v>548.33000000000004</v>
      </c>
      <c r="AR121" s="99">
        <f t="shared" si="114"/>
        <v>0</v>
      </c>
      <c r="AS121" s="18">
        <f t="shared" si="135"/>
        <v>0</v>
      </c>
      <c r="AT121" s="18">
        <f t="shared" si="135"/>
        <v>0</v>
      </c>
      <c r="AU121" s="18">
        <f t="shared" si="135"/>
        <v>0</v>
      </c>
      <c r="AV121" s="18">
        <f t="shared" si="135"/>
        <v>953837.58156000008</v>
      </c>
      <c r="AW121" s="18">
        <f t="shared" si="135"/>
        <v>0</v>
      </c>
      <c r="AX121" s="18">
        <f t="shared" si="115"/>
        <v>953837.58156000008</v>
      </c>
      <c r="AY121" s="18">
        <f t="shared" si="116"/>
        <v>953837.58156000008</v>
      </c>
      <c r="AZ121" s="18">
        <f t="shared" si="137"/>
        <v>0</v>
      </c>
      <c r="BA121" s="18">
        <f t="shared" si="137"/>
        <v>0</v>
      </c>
      <c r="BB121" s="18">
        <f t="shared" si="137"/>
        <v>0</v>
      </c>
      <c r="BC121" s="18">
        <f t="shared" si="137"/>
        <v>1143213.2170000002</v>
      </c>
      <c r="BD121" s="18">
        <f t="shared" si="137"/>
        <v>0</v>
      </c>
      <c r="BE121" s="18">
        <f t="shared" si="117"/>
        <v>1143213.2170000002</v>
      </c>
      <c r="BF121" s="18">
        <f t="shared" si="118"/>
        <v>1143213.2170000002</v>
      </c>
      <c r="BG121" s="18"/>
      <c r="BH121" s="18"/>
      <c r="BI121" s="18">
        <f t="shared" si="80"/>
        <v>0</v>
      </c>
      <c r="BJ121" s="18">
        <v>860.58</v>
      </c>
      <c r="BK121" s="18">
        <v>1056.29</v>
      </c>
      <c r="BL121" s="18">
        <f t="shared" si="141"/>
        <v>0</v>
      </c>
      <c r="BM121" s="18">
        <f t="shared" si="141"/>
        <v>0</v>
      </c>
      <c r="BN121" s="18">
        <f t="shared" si="141"/>
        <v>0</v>
      </c>
      <c r="BO121" s="18">
        <f t="shared" si="141"/>
        <v>556650.23999999999</v>
      </c>
      <c r="BP121" s="18">
        <f t="shared" si="141"/>
        <v>0</v>
      </c>
      <c r="BQ121" s="18">
        <f t="shared" si="119"/>
        <v>556650.23999999999</v>
      </c>
      <c r="BR121" s="18">
        <f t="shared" si="120"/>
        <v>556650.23999999999</v>
      </c>
      <c r="BS121" s="18">
        <f t="shared" si="142"/>
        <v>0</v>
      </c>
      <c r="BT121" s="18">
        <f t="shared" si="142"/>
        <v>0</v>
      </c>
      <c r="BU121" s="18">
        <f t="shared" si="142"/>
        <v>0</v>
      </c>
      <c r="BV121" s="18">
        <f t="shared" si="93"/>
        <v>667168</v>
      </c>
      <c r="BW121" s="18">
        <f t="shared" si="94"/>
        <v>0</v>
      </c>
      <c r="BX121" s="18">
        <f t="shared" si="121"/>
        <v>667168</v>
      </c>
      <c r="BY121" s="18">
        <f t="shared" si="122"/>
        <v>667168</v>
      </c>
      <c r="BZ121" s="161">
        <f t="shared" si="91"/>
        <v>0</v>
      </c>
      <c r="CA121" s="161">
        <f t="shared" si="91"/>
        <v>0</v>
      </c>
      <c r="CB121" s="161">
        <f t="shared" si="123"/>
        <v>0</v>
      </c>
      <c r="CC121" s="162" t="e">
        <f t="shared" si="92"/>
        <v>#DIV/0!</v>
      </c>
      <c r="CD121" s="162" t="e">
        <f t="shared" si="92"/>
        <v>#DIV/0!</v>
      </c>
      <c r="CE121" s="162" t="e">
        <f t="shared" si="124"/>
        <v>#DIV/0!</v>
      </c>
      <c r="CF121" s="161" t="e">
        <f t="shared" si="95"/>
        <v>#DIV/0!</v>
      </c>
      <c r="CG121" s="651">
        <f t="shared" si="96"/>
        <v>0</v>
      </c>
      <c r="CH121" s="652" t="e">
        <f t="shared" si="125"/>
        <v>#DIV/0!</v>
      </c>
      <c r="CJ121" s="18">
        <f t="shared" si="97"/>
        <v>556.65023999999994</v>
      </c>
      <c r="CK121" s="18">
        <f t="shared" si="98"/>
        <v>476.04521700000004</v>
      </c>
      <c r="CL121" s="18">
        <f t="shared" si="84"/>
        <v>1032.695457</v>
      </c>
      <c r="CM121" s="18">
        <f t="shared" si="99"/>
        <v>1032695.4570000001</v>
      </c>
      <c r="CN121" s="18">
        <f t="shared" si="100"/>
        <v>953837.58156000008</v>
      </c>
      <c r="CO121" s="18">
        <f t="shared" si="101"/>
        <v>953837.58156000008</v>
      </c>
      <c r="CP121" s="18">
        <f t="shared" si="102"/>
        <v>556650.23999999999</v>
      </c>
      <c r="CQ121" s="18">
        <f t="shared" si="103"/>
        <v>1143213.2170000002</v>
      </c>
      <c r="CR121" s="18">
        <f t="shared" si="104"/>
        <v>1143213.2170000002</v>
      </c>
      <c r="CS121" s="18">
        <f t="shared" si="105"/>
        <v>476045.21700000006</v>
      </c>
      <c r="CT121" s="18">
        <f t="shared" si="126"/>
        <v>2097050.7985600003</v>
      </c>
      <c r="CU121" s="29">
        <f t="shared" si="127"/>
        <v>3824432.0000000005</v>
      </c>
      <c r="CV121" s="18">
        <f t="shared" si="106"/>
        <v>0</v>
      </c>
      <c r="CW121" s="18">
        <f t="shared" si="107"/>
        <v>0</v>
      </c>
      <c r="CX121" s="18">
        <f t="shared" si="128"/>
        <v>0</v>
      </c>
      <c r="CY121" s="18">
        <f t="shared" si="108"/>
        <v>953837.58156000008</v>
      </c>
      <c r="CZ121" s="18">
        <f t="shared" si="109"/>
        <v>1143213.2170000002</v>
      </c>
      <c r="DB121" s="653" t="e">
        <f t="shared" si="129"/>
        <v>#DIV/0!</v>
      </c>
      <c r="DG121" s="701">
        <f t="shared" si="110"/>
        <v>0</v>
      </c>
      <c r="DH121" s="701">
        <f t="shared" si="111"/>
        <v>0</v>
      </c>
      <c r="DI121" s="701">
        <f t="shared" si="112"/>
        <v>0</v>
      </c>
    </row>
    <row r="122" spans="1:114" s="13" customFormat="1" ht="52.5" hidden="1" customHeight="1">
      <c r="A122" s="695">
        <f t="shared" si="130"/>
        <v>107</v>
      </c>
      <c r="B122" s="1503"/>
      <c r="C122" s="1503"/>
      <c r="D122" s="729" t="s">
        <v>44</v>
      </c>
      <c r="E122" s="730">
        <v>4633016372</v>
      </c>
      <c r="F122" s="696" t="s">
        <v>8</v>
      </c>
      <c r="G122" s="1579"/>
      <c r="H122" s="697">
        <v>1930.5239999999999</v>
      </c>
      <c r="I122" s="697"/>
      <c r="J122" s="697"/>
      <c r="K122" s="697"/>
      <c r="L122" s="728">
        <v>1930.5239999999999</v>
      </c>
      <c r="M122" s="732">
        <v>0</v>
      </c>
      <c r="N122" s="698">
        <v>2313.92</v>
      </c>
      <c r="O122" s="698"/>
      <c r="P122" s="698"/>
      <c r="Q122" s="698"/>
      <c r="R122" s="653">
        <v>2313.92</v>
      </c>
      <c r="S122" s="698">
        <v>0</v>
      </c>
      <c r="T122" s="18">
        <v>0</v>
      </c>
      <c r="U122" s="18">
        <v>0</v>
      </c>
      <c r="V122" s="18">
        <v>0</v>
      </c>
      <c r="W122" s="18">
        <v>7060</v>
      </c>
      <c r="X122" s="18">
        <v>0</v>
      </c>
      <c r="Y122" s="18">
        <v>0</v>
      </c>
      <c r="Z122" s="99">
        <f t="shared" si="131"/>
        <v>7060</v>
      </c>
      <c r="AA122" s="18">
        <v>0</v>
      </c>
      <c r="AB122" s="18">
        <v>0</v>
      </c>
      <c r="AC122" s="18">
        <v>0</v>
      </c>
      <c r="AD122" s="29">
        <v>4652.75</v>
      </c>
      <c r="AE122" s="18">
        <v>0</v>
      </c>
      <c r="AF122" s="18">
        <v>0</v>
      </c>
      <c r="AG122" s="99">
        <f>SUM(AA122:AF122)</f>
        <v>4652.75</v>
      </c>
      <c r="AH122" s="99">
        <f t="shared" si="113"/>
        <v>11712.75</v>
      </c>
      <c r="AI122" s="18">
        <f t="shared" si="134"/>
        <v>0</v>
      </c>
      <c r="AJ122" s="18">
        <f t="shared" si="134"/>
        <v>0</v>
      </c>
      <c r="AK122" s="18">
        <f t="shared" si="134"/>
        <v>0</v>
      </c>
      <c r="AL122" s="18">
        <f t="shared" si="134"/>
        <v>11712.75</v>
      </c>
      <c r="AM122" s="18">
        <f t="shared" si="133"/>
        <v>0</v>
      </c>
      <c r="AN122" s="18"/>
      <c r="AO122" s="18">
        <f t="shared" si="85"/>
        <v>11712.75</v>
      </c>
      <c r="AP122" s="18">
        <f t="shared" si="86"/>
        <v>11712.75</v>
      </c>
      <c r="AQ122" s="18">
        <f t="shared" si="81"/>
        <v>11712.75</v>
      </c>
      <c r="AR122" s="99">
        <f t="shared" si="114"/>
        <v>0</v>
      </c>
      <c r="AS122" s="18">
        <f t="shared" ref="AS122:AW140" si="146">I122*AI122</f>
        <v>0</v>
      </c>
      <c r="AT122" s="18">
        <f t="shared" si="146"/>
        <v>0</v>
      </c>
      <c r="AU122" s="18">
        <f t="shared" si="146"/>
        <v>0</v>
      </c>
      <c r="AV122" s="18">
        <f t="shared" si="146"/>
        <v>22611744.980999999</v>
      </c>
      <c r="AW122" s="18">
        <f t="shared" si="146"/>
        <v>0</v>
      </c>
      <c r="AX122" s="18">
        <f t="shared" si="115"/>
        <v>22611744.980999999</v>
      </c>
      <c r="AY122" s="18">
        <f t="shared" si="116"/>
        <v>22611744.980999999</v>
      </c>
      <c r="AZ122" s="18">
        <f t="shared" si="137"/>
        <v>0</v>
      </c>
      <c r="BA122" s="18">
        <f t="shared" si="137"/>
        <v>0</v>
      </c>
      <c r="BB122" s="18">
        <f t="shared" si="137"/>
        <v>0</v>
      </c>
      <c r="BC122" s="18">
        <f t="shared" si="137"/>
        <v>27102366.48</v>
      </c>
      <c r="BD122" s="18">
        <f t="shared" si="137"/>
        <v>0</v>
      </c>
      <c r="BE122" s="18">
        <f t="shared" si="117"/>
        <v>27102366.48</v>
      </c>
      <c r="BF122" s="18">
        <f t="shared" si="118"/>
        <v>27102366.48</v>
      </c>
      <c r="BG122" s="18"/>
      <c r="BH122" s="18"/>
      <c r="BI122" s="18">
        <f t="shared" si="80"/>
        <v>0</v>
      </c>
      <c r="BJ122" s="18">
        <v>20369.669999999998</v>
      </c>
      <c r="BK122" s="18">
        <v>25916.69</v>
      </c>
      <c r="BL122" s="18">
        <f t="shared" si="141"/>
        <v>0</v>
      </c>
      <c r="BM122" s="18">
        <f t="shared" si="141"/>
        <v>0</v>
      </c>
      <c r="BN122" s="18">
        <f t="shared" si="141"/>
        <v>0</v>
      </c>
      <c r="BO122" s="18">
        <f t="shared" si="141"/>
        <v>13629499.439999999</v>
      </c>
      <c r="BP122" s="18">
        <f t="shared" si="141"/>
        <v>0</v>
      </c>
      <c r="BQ122" s="18">
        <f t="shared" si="119"/>
        <v>13629499.439999999</v>
      </c>
      <c r="BR122" s="18">
        <f t="shared" si="120"/>
        <v>13629499.439999999</v>
      </c>
      <c r="BS122" s="18">
        <f t="shared" si="142"/>
        <v>0</v>
      </c>
      <c r="BT122" s="18">
        <f t="shared" si="142"/>
        <v>0</v>
      </c>
      <c r="BU122" s="18">
        <f t="shared" si="142"/>
        <v>0</v>
      </c>
      <c r="BV122" s="18">
        <f t="shared" si="93"/>
        <v>16336275.200000001</v>
      </c>
      <c r="BW122" s="18">
        <f t="shared" si="94"/>
        <v>0</v>
      </c>
      <c r="BX122" s="18">
        <f t="shared" si="121"/>
        <v>16336275.200000001</v>
      </c>
      <c r="BY122" s="18">
        <f t="shared" si="122"/>
        <v>16336275.200000001</v>
      </c>
      <c r="BZ122" s="161">
        <f t="shared" si="91"/>
        <v>0</v>
      </c>
      <c r="CA122" s="161">
        <f t="shared" si="91"/>
        <v>0</v>
      </c>
      <c r="CB122" s="161">
        <f t="shared" si="123"/>
        <v>0</v>
      </c>
      <c r="CC122" s="162" t="e">
        <f t="shared" si="92"/>
        <v>#DIV/0!</v>
      </c>
      <c r="CD122" s="162" t="e">
        <f t="shared" si="92"/>
        <v>#DIV/0!</v>
      </c>
      <c r="CE122" s="162" t="e">
        <f t="shared" si="124"/>
        <v>#DIV/0!</v>
      </c>
      <c r="CF122" s="161" t="e">
        <f t="shared" si="95"/>
        <v>#DIV/0!</v>
      </c>
      <c r="CG122" s="651">
        <f t="shared" si="96"/>
        <v>0</v>
      </c>
      <c r="CH122" s="652" t="e">
        <f t="shared" si="125"/>
        <v>#DIV/0!</v>
      </c>
      <c r="CJ122" s="18">
        <f>H122*Z122/1000</f>
        <v>13629.49944</v>
      </c>
      <c r="CK122" s="18">
        <f>N122*AG122/1000</f>
        <v>10766.091280000001</v>
      </c>
      <c r="CL122" s="18">
        <f t="shared" si="84"/>
        <v>24395.59072</v>
      </c>
      <c r="CM122" s="18">
        <f t="shared" si="99"/>
        <v>24395590.719999999</v>
      </c>
      <c r="CN122" s="18">
        <f t="shared" si="100"/>
        <v>22611744.980999999</v>
      </c>
      <c r="CO122" s="18">
        <f t="shared" si="101"/>
        <v>22611744.980999999</v>
      </c>
      <c r="CP122" s="18">
        <f t="shared" si="102"/>
        <v>13629499.439999999</v>
      </c>
      <c r="CQ122" s="18">
        <f t="shared" si="103"/>
        <v>27102366.48</v>
      </c>
      <c r="CR122" s="18">
        <f t="shared" si="104"/>
        <v>27102366.48</v>
      </c>
      <c r="CS122" s="18">
        <f t="shared" si="105"/>
        <v>10766091.280000001</v>
      </c>
      <c r="CT122" s="18">
        <f t="shared" si="126"/>
        <v>49714111.460999995</v>
      </c>
      <c r="CU122" s="29">
        <f t="shared" si="127"/>
        <v>4244443.9999999991</v>
      </c>
      <c r="CV122" s="18">
        <f t="shared" si="106"/>
        <v>0</v>
      </c>
      <c r="CW122" s="18">
        <f t="shared" si="107"/>
        <v>0</v>
      </c>
      <c r="CX122" s="18">
        <f t="shared" si="128"/>
        <v>0</v>
      </c>
      <c r="CY122" s="18">
        <f t="shared" si="108"/>
        <v>22611744.980999999</v>
      </c>
      <c r="CZ122" s="18">
        <f t="shared" si="109"/>
        <v>27102366.48</v>
      </c>
      <c r="DB122" s="653" t="e">
        <f t="shared" si="129"/>
        <v>#DIV/0!</v>
      </c>
      <c r="DG122" s="701">
        <f t="shared" si="110"/>
        <v>0</v>
      </c>
      <c r="DH122" s="701">
        <f t="shared" si="111"/>
        <v>0</v>
      </c>
      <c r="DI122" s="701">
        <f t="shared" si="112"/>
        <v>0</v>
      </c>
    </row>
    <row r="123" spans="1:114" s="13" customFormat="1" ht="63.75" hidden="1" customHeight="1">
      <c r="A123" s="695">
        <f t="shared" si="130"/>
        <v>108</v>
      </c>
      <c r="B123" s="1503"/>
      <c r="C123" s="1503"/>
      <c r="D123" s="696" t="s">
        <v>46</v>
      </c>
      <c r="E123" s="696">
        <v>4633022993</v>
      </c>
      <c r="F123" s="696" t="s">
        <v>8</v>
      </c>
      <c r="G123" s="696" t="s">
        <v>897</v>
      </c>
      <c r="H123" s="697">
        <v>1597.03</v>
      </c>
      <c r="I123" s="697"/>
      <c r="J123" s="697">
        <v>1597.03</v>
      </c>
      <c r="K123" s="697">
        <v>1597.03</v>
      </c>
      <c r="L123" s="697"/>
      <c r="M123" s="698"/>
      <c r="N123" s="714">
        <v>1650.08</v>
      </c>
      <c r="O123" s="714"/>
      <c r="P123" s="714">
        <v>1650.08</v>
      </c>
      <c r="Q123" s="714">
        <v>1650.08</v>
      </c>
      <c r="R123" s="698"/>
      <c r="S123" s="698"/>
      <c r="T123" s="702"/>
      <c r="U123" s="29">
        <v>23407.71</v>
      </c>
      <c r="V123" s="29">
        <v>4867.03</v>
      </c>
      <c r="W123" s="702"/>
      <c r="X123" s="702"/>
      <c r="Y123" s="702"/>
      <c r="Z123" s="99">
        <f t="shared" si="131"/>
        <v>28274.739999999998</v>
      </c>
      <c r="AA123" s="702"/>
      <c r="AB123" s="29">
        <v>16884.23</v>
      </c>
      <c r="AC123" s="29">
        <v>4867.03</v>
      </c>
      <c r="AD123" s="702"/>
      <c r="AE123" s="702"/>
      <c r="AF123" s="702">
        <v>0</v>
      </c>
      <c r="AG123" s="99">
        <f t="shared" si="132"/>
        <v>21751.26</v>
      </c>
      <c r="AH123" s="99">
        <f t="shared" si="113"/>
        <v>50026</v>
      </c>
      <c r="AI123" s="18">
        <f t="shared" si="134"/>
        <v>0</v>
      </c>
      <c r="AJ123" s="756">
        <f t="shared" si="134"/>
        <v>40291.94</v>
      </c>
      <c r="AK123" s="18">
        <f t="shared" si="134"/>
        <v>9734.06</v>
      </c>
      <c r="AL123" s="18">
        <f t="shared" si="134"/>
        <v>0</v>
      </c>
      <c r="AM123" s="18">
        <f t="shared" si="133"/>
        <v>0</v>
      </c>
      <c r="AN123" s="18"/>
      <c r="AO123" s="18">
        <f t="shared" si="85"/>
        <v>50026</v>
      </c>
      <c r="AP123" s="18">
        <f t="shared" si="86"/>
        <v>50026</v>
      </c>
      <c r="AQ123" s="702">
        <f t="shared" si="81"/>
        <v>50026</v>
      </c>
      <c r="AR123" s="99">
        <f t="shared" si="114"/>
        <v>0</v>
      </c>
      <c r="AS123" s="18">
        <f t="shared" si="146"/>
        <v>0</v>
      </c>
      <c r="AT123" s="18">
        <f t="shared" si="146"/>
        <v>64347436.938200004</v>
      </c>
      <c r="AU123" s="18">
        <f t="shared" si="146"/>
        <v>15545585.841799999</v>
      </c>
      <c r="AV123" s="18">
        <f t="shared" si="146"/>
        <v>0</v>
      </c>
      <c r="AW123" s="18">
        <f t="shared" si="146"/>
        <v>0</v>
      </c>
      <c r="AX123" s="18">
        <f t="shared" si="115"/>
        <v>79893022.780000001</v>
      </c>
      <c r="AY123" s="18">
        <f t="shared" si="116"/>
        <v>79893022.780000001</v>
      </c>
      <c r="AZ123" s="18">
        <f t="shared" si="137"/>
        <v>0</v>
      </c>
      <c r="BA123" s="18">
        <f t="shared" si="137"/>
        <v>66484924.3552</v>
      </c>
      <c r="BB123" s="18">
        <f t="shared" si="137"/>
        <v>16061977.724799998</v>
      </c>
      <c r="BC123" s="18">
        <f t="shared" si="137"/>
        <v>0</v>
      </c>
      <c r="BD123" s="18">
        <f t="shared" si="137"/>
        <v>0</v>
      </c>
      <c r="BE123" s="18">
        <f t="shared" si="117"/>
        <v>82546902.079999998</v>
      </c>
      <c r="BF123" s="18">
        <f t="shared" si="118"/>
        <v>82546902.079999998</v>
      </c>
      <c r="BG123" s="18"/>
      <c r="BH123" s="18"/>
      <c r="BI123" s="18">
        <f t="shared" si="80"/>
        <v>0</v>
      </c>
      <c r="BJ123" s="18">
        <v>81046.95</v>
      </c>
      <c r="BK123" s="18">
        <v>81767.48</v>
      </c>
      <c r="BL123" s="18">
        <f t="shared" si="141"/>
        <v>0</v>
      </c>
      <c r="BM123" s="18">
        <f t="shared" si="141"/>
        <v>37382815.101300001</v>
      </c>
      <c r="BN123" s="18">
        <f t="shared" si="141"/>
        <v>7772792.9208999993</v>
      </c>
      <c r="BO123" s="18">
        <f t="shared" si="141"/>
        <v>0</v>
      </c>
      <c r="BP123" s="18">
        <f t="shared" si="141"/>
        <v>0</v>
      </c>
      <c r="BQ123" s="18">
        <f t="shared" si="119"/>
        <v>45155608.022200003</v>
      </c>
      <c r="BR123" s="18">
        <f t="shared" si="120"/>
        <v>45155608.022200003</v>
      </c>
      <c r="BS123" s="18">
        <f t="shared" si="142"/>
        <v>0</v>
      </c>
      <c r="BT123" s="18">
        <f t="shared" si="142"/>
        <v>27860330.238399997</v>
      </c>
      <c r="BU123" s="18">
        <f t="shared" si="142"/>
        <v>8030988.8623999991</v>
      </c>
      <c r="BV123" s="18">
        <f t="shared" si="93"/>
        <v>0</v>
      </c>
      <c r="BW123" s="18">
        <f t="shared" si="94"/>
        <v>0</v>
      </c>
      <c r="BX123" s="18">
        <f t="shared" si="121"/>
        <v>35891319.100799993</v>
      </c>
      <c r="BY123" s="18">
        <f t="shared" si="122"/>
        <v>35891319.100799993</v>
      </c>
      <c r="BZ123" s="161">
        <f t="shared" si="91"/>
        <v>65243145.339699998</v>
      </c>
      <c r="CA123" s="161">
        <f t="shared" si="91"/>
        <v>15803781.783299997</v>
      </c>
      <c r="CB123" s="161">
        <f t="shared" si="123"/>
        <v>81046927.122999996</v>
      </c>
      <c r="CC123" s="162">
        <f t="shared" si="92"/>
        <v>1619.2604610177618</v>
      </c>
      <c r="CD123" s="162">
        <f t="shared" si="92"/>
        <v>1623.5549999999998</v>
      </c>
      <c r="CE123" s="162">
        <f t="shared" si="124"/>
        <v>1620.0960924919041</v>
      </c>
      <c r="CF123" s="162">
        <f t="shared" si="95"/>
        <v>1620.0960924919041</v>
      </c>
      <c r="CG123" s="651">
        <f t="shared" si="96"/>
        <v>0</v>
      </c>
      <c r="CH123" s="652">
        <f t="shared" si="125"/>
        <v>0</v>
      </c>
      <c r="CJ123" s="18">
        <f t="shared" si="97"/>
        <v>45155.608022199995</v>
      </c>
      <c r="CK123" s="18">
        <f t="shared" si="98"/>
        <v>35891.319100799992</v>
      </c>
      <c r="CL123" s="18">
        <f t="shared" si="84"/>
        <v>81046.927122999987</v>
      </c>
      <c r="CM123" s="18">
        <f t="shared" si="99"/>
        <v>81046927.122999996</v>
      </c>
      <c r="CN123" s="18">
        <f t="shared" si="100"/>
        <v>79893022.780000001</v>
      </c>
      <c r="CO123" s="18">
        <f t="shared" si="101"/>
        <v>79893022.780000001</v>
      </c>
      <c r="CP123" s="18">
        <f t="shared" si="102"/>
        <v>45155608.022200003</v>
      </c>
      <c r="CQ123" s="18">
        <f t="shared" si="103"/>
        <v>82546902.079999998</v>
      </c>
      <c r="CR123" s="18">
        <f t="shared" si="104"/>
        <v>82546902.079999998</v>
      </c>
      <c r="CS123" s="18">
        <f t="shared" si="105"/>
        <v>35891319.100799993</v>
      </c>
      <c r="CT123" s="18">
        <f t="shared" si="126"/>
        <v>162439924.86000001</v>
      </c>
      <c r="CU123" s="29">
        <f t="shared" si="127"/>
        <v>3247110</v>
      </c>
      <c r="CV123" s="18">
        <f t="shared" si="106"/>
        <v>79893022.780000001</v>
      </c>
      <c r="CW123" s="18">
        <f t="shared" si="107"/>
        <v>82546902.079999998</v>
      </c>
      <c r="CX123" s="18">
        <f t="shared" si="128"/>
        <v>162439924.86000001</v>
      </c>
      <c r="CY123" s="18">
        <f t="shared" si="108"/>
        <v>79893022.780000001</v>
      </c>
      <c r="CZ123" s="18">
        <f t="shared" si="109"/>
        <v>82546902.079999998</v>
      </c>
      <c r="DB123" s="653">
        <f t="shared" si="129"/>
        <v>103.32179107468238</v>
      </c>
      <c r="DG123" s="701">
        <f t="shared" si="110"/>
        <v>0</v>
      </c>
      <c r="DH123" s="701">
        <f t="shared" si="111"/>
        <v>0</v>
      </c>
      <c r="DI123" s="701">
        <f t="shared" si="112"/>
        <v>0</v>
      </c>
    </row>
    <row r="124" spans="1:114" ht="51" hidden="1" customHeight="1">
      <c r="A124" s="20">
        <f t="shared" si="130"/>
        <v>109</v>
      </c>
      <c r="B124" s="1504"/>
      <c r="C124" s="1504"/>
      <c r="D124" s="696" t="s">
        <v>166</v>
      </c>
      <c r="E124" s="696">
        <v>4633039010</v>
      </c>
      <c r="F124" s="696" t="s">
        <v>8</v>
      </c>
      <c r="G124" s="696" t="s">
        <v>898</v>
      </c>
      <c r="H124" s="38">
        <v>1510.86</v>
      </c>
      <c r="I124" s="38">
        <v>0</v>
      </c>
      <c r="J124" s="38">
        <v>1510.86</v>
      </c>
      <c r="K124" s="38">
        <v>1510.86</v>
      </c>
      <c r="L124" s="38">
        <v>1510.86</v>
      </c>
      <c r="M124" s="10">
        <v>0</v>
      </c>
      <c r="N124" s="10">
        <v>1510.86</v>
      </c>
      <c r="O124" s="10"/>
      <c r="P124" s="10">
        <v>1510.86</v>
      </c>
      <c r="Q124" s="10">
        <v>1510.86</v>
      </c>
      <c r="R124" s="10">
        <v>1510.86</v>
      </c>
      <c r="S124" s="10">
        <v>0</v>
      </c>
      <c r="T124" s="15">
        <v>0</v>
      </c>
      <c r="U124" s="15">
        <v>3828.9</v>
      </c>
      <c r="V124" s="208">
        <v>447.99</v>
      </c>
      <c r="W124" s="15">
        <v>157.97999999999999</v>
      </c>
      <c r="X124" s="15">
        <v>0</v>
      </c>
      <c r="Y124" s="15">
        <v>0</v>
      </c>
      <c r="Z124" s="35">
        <f>SUM(T124:W124)</f>
        <v>4434.87</v>
      </c>
      <c r="AA124" s="15">
        <v>0</v>
      </c>
      <c r="AB124" s="15">
        <v>2897.4</v>
      </c>
      <c r="AC124" s="208">
        <v>740.75</v>
      </c>
      <c r="AD124" s="15">
        <v>131.72999999999999</v>
      </c>
      <c r="AE124" s="15">
        <v>0</v>
      </c>
      <c r="AF124" s="15">
        <v>0</v>
      </c>
      <c r="AG124" s="35">
        <f t="shared" si="132"/>
        <v>3769.88</v>
      </c>
      <c r="AH124" s="35">
        <f>Z124+AG124</f>
        <v>8204.75</v>
      </c>
      <c r="AI124" s="15">
        <f t="shared" si="134"/>
        <v>0</v>
      </c>
      <c r="AJ124" s="15">
        <f t="shared" si="134"/>
        <v>6726.3</v>
      </c>
      <c r="AK124" s="15">
        <f t="shared" si="134"/>
        <v>1188.74</v>
      </c>
      <c r="AL124" s="15">
        <f t="shared" si="134"/>
        <v>289.70999999999998</v>
      </c>
      <c r="AM124" s="15">
        <f t="shared" si="133"/>
        <v>0</v>
      </c>
      <c r="AN124" s="15">
        <v>0</v>
      </c>
      <c r="AO124" s="15">
        <f t="shared" si="85"/>
        <v>8204.75</v>
      </c>
      <c r="AP124" s="15">
        <f t="shared" si="86"/>
        <v>8204.75</v>
      </c>
      <c r="AQ124" s="15">
        <f t="shared" si="81"/>
        <v>8204.75</v>
      </c>
      <c r="AR124" s="127">
        <f t="shared" si="114"/>
        <v>0</v>
      </c>
      <c r="AS124" s="112">
        <f t="shared" si="146"/>
        <v>0</v>
      </c>
      <c r="AT124" s="112">
        <f t="shared" si="146"/>
        <v>10162497.617999999</v>
      </c>
      <c r="AU124" s="112">
        <f t="shared" si="146"/>
        <v>1796019.7163999998</v>
      </c>
      <c r="AV124" s="112">
        <f t="shared" si="146"/>
        <v>437711.25059999991</v>
      </c>
      <c r="AW124" s="112">
        <f t="shared" si="146"/>
        <v>0</v>
      </c>
      <c r="AX124" s="112">
        <f t="shared" si="115"/>
        <v>12396228.584999997</v>
      </c>
      <c r="AY124" s="112">
        <f t="shared" si="116"/>
        <v>12396228.584999997</v>
      </c>
      <c r="AZ124" s="112">
        <f t="shared" ref="AZ124:BD140" si="147">O124*AI124</f>
        <v>0</v>
      </c>
      <c r="BA124" s="112">
        <f t="shared" si="147"/>
        <v>10162497.617999999</v>
      </c>
      <c r="BB124" s="112">
        <f t="shared" si="147"/>
        <v>1796019.7163999998</v>
      </c>
      <c r="BC124" s="112">
        <f t="shared" si="147"/>
        <v>437711.25059999991</v>
      </c>
      <c r="BD124" s="112">
        <f t="shared" si="147"/>
        <v>0</v>
      </c>
      <c r="BE124" s="112">
        <f t="shared" si="117"/>
        <v>12396228.584999997</v>
      </c>
      <c r="BF124" s="112">
        <f t="shared" si="118"/>
        <v>12396228.584999997</v>
      </c>
      <c r="BG124" s="112">
        <v>0</v>
      </c>
      <c r="BH124" s="112">
        <v>0</v>
      </c>
      <c r="BI124" s="112">
        <f t="shared" si="80"/>
        <v>0</v>
      </c>
      <c r="BJ124" s="112">
        <v>12396.27</v>
      </c>
      <c r="BK124" s="112">
        <v>13330.79</v>
      </c>
      <c r="BL124" s="112">
        <f t="shared" si="141"/>
        <v>0</v>
      </c>
      <c r="BM124" s="112">
        <f t="shared" si="141"/>
        <v>5784931.8539999994</v>
      </c>
      <c r="BN124" s="112">
        <f t="shared" si="141"/>
        <v>676850.17139999999</v>
      </c>
      <c r="BO124" s="112">
        <f t="shared" si="141"/>
        <v>238685.66279999996</v>
      </c>
      <c r="BP124" s="112">
        <f t="shared" si="141"/>
        <v>0</v>
      </c>
      <c r="BQ124" s="112">
        <f t="shared" si="119"/>
        <v>6700467.6881999997</v>
      </c>
      <c r="BR124" s="112">
        <f t="shared" si="120"/>
        <v>6700467.6881999997</v>
      </c>
      <c r="BS124" s="112">
        <f t="shared" si="142"/>
        <v>0</v>
      </c>
      <c r="BT124" s="112">
        <f t="shared" si="142"/>
        <v>4377565.7639999995</v>
      </c>
      <c r="BU124" s="112">
        <f t="shared" si="142"/>
        <v>1119169.5449999999</v>
      </c>
      <c r="BV124" s="112">
        <f t="shared" si="93"/>
        <v>238685.66279999996</v>
      </c>
      <c r="BW124" s="112">
        <f t="shared" si="94"/>
        <v>0</v>
      </c>
      <c r="BX124" s="112">
        <f t="shared" si="121"/>
        <v>5735420.9717999995</v>
      </c>
      <c r="BY124" s="112">
        <f t="shared" si="122"/>
        <v>5735420.9717999995</v>
      </c>
      <c r="BZ124" s="113">
        <f t="shared" si="91"/>
        <v>10162497.617999999</v>
      </c>
      <c r="CA124" s="113">
        <f t="shared" si="91"/>
        <v>1796019.7163999998</v>
      </c>
      <c r="CB124" s="113">
        <f t="shared" si="123"/>
        <v>11958517.334399998</v>
      </c>
      <c r="CC124" s="119">
        <f t="shared" si="92"/>
        <v>1510.86</v>
      </c>
      <c r="CD124" s="119">
        <f t="shared" si="92"/>
        <v>1510.86</v>
      </c>
      <c r="CE124" s="119">
        <f t="shared" si="124"/>
        <v>1510.8599999999997</v>
      </c>
      <c r="CF124" s="119">
        <f t="shared" si="95"/>
        <v>1510.8599999999997</v>
      </c>
      <c r="CG124" s="619">
        <f t="shared" si="96"/>
        <v>0</v>
      </c>
      <c r="CH124" s="132">
        <f t="shared" si="125"/>
        <v>0</v>
      </c>
      <c r="CI124" s="106"/>
      <c r="CJ124" s="112">
        <f t="shared" si="97"/>
        <v>6700.4676881999994</v>
      </c>
      <c r="CK124" s="112">
        <f t="shared" si="98"/>
        <v>5695.7608968000004</v>
      </c>
      <c r="CL124" s="112">
        <f t="shared" si="84"/>
        <v>12396.228585000001</v>
      </c>
      <c r="CM124" s="112">
        <f t="shared" si="99"/>
        <v>12396228.585000001</v>
      </c>
      <c r="CN124" s="112">
        <f t="shared" si="100"/>
        <v>12396228.584999997</v>
      </c>
      <c r="CO124" s="112">
        <f t="shared" si="101"/>
        <v>12396228.585000001</v>
      </c>
      <c r="CP124" s="112">
        <f t="shared" si="102"/>
        <v>6700467.6881999997</v>
      </c>
      <c r="CQ124" s="112">
        <f t="shared" si="103"/>
        <v>12396228.584999997</v>
      </c>
      <c r="CR124" s="112">
        <f t="shared" si="104"/>
        <v>12396228.585000001</v>
      </c>
      <c r="CS124" s="112">
        <f t="shared" si="105"/>
        <v>5695760.8967999993</v>
      </c>
      <c r="CT124" s="112">
        <f t="shared" si="126"/>
        <v>24792457.169999994</v>
      </c>
      <c r="CU124" s="124">
        <f t="shared" si="127"/>
        <v>3021719.9999999995</v>
      </c>
      <c r="CV124" s="112">
        <f t="shared" si="106"/>
        <v>11958517.334399998</v>
      </c>
      <c r="CW124" s="112">
        <f t="shared" si="107"/>
        <v>11958517.334399998</v>
      </c>
      <c r="CX124" s="112">
        <f t="shared" si="128"/>
        <v>23917034.668799996</v>
      </c>
      <c r="CY124" s="112">
        <f t="shared" si="108"/>
        <v>12396228.584999997</v>
      </c>
      <c r="CZ124" s="112">
        <f t="shared" si="109"/>
        <v>12396228.584999997</v>
      </c>
      <c r="DA124" s="106"/>
      <c r="DB124" s="128">
        <f t="shared" si="129"/>
        <v>100</v>
      </c>
      <c r="DC124" s="106"/>
      <c r="DD124" s="106"/>
      <c r="DE124" s="106"/>
      <c r="DF124" s="106"/>
      <c r="DG124" s="618">
        <f t="shared" si="110"/>
        <v>0</v>
      </c>
      <c r="DH124" s="618">
        <f t="shared" si="111"/>
        <v>0</v>
      </c>
      <c r="DI124" s="618">
        <f t="shared" si="112"/>
        <v>0</v>
      </c>
      <c r="DJ124" s="106"/>
    </row>
    <row r="125" spans="1:114" s="13" customFormat="1" ht="63.75" hidden="1" customHeight="1">
      <c r="A125" s="695">
        <f t="shared" si="130"/>
        <v>110</v>
      </c>
      <c r="B125" s="1502" t="s">
        <v>47</v>
      </c>
      <c r="C125" s="1502" t="s">
        <v>56</v>
      </c>
      <c r="D125" s="696" t="s">
        <v>48</v>
      </c>
      <c r="E125" s="696">
        <v>4632121159</v>
      </c>
      <c r="F125" s="696" t="s">
        <v>8</v>
      </c>
      <c r="G125" s="805" t="s">
        <v>878</v>
      </c>
      <c r="H125" s="697">
        <v>1845.4</v>
      </c>
      <c r="I125" s="697">
        <v>1845.4</v>
      </c>
      <c r="J125" s="697">
        <v>1845.4</v>
      </c>
      <c r="K125" s="697">
        <v>0</v>
      </c>
      <c r="L125" s="697">
        <v>1845.4</v>
      </c>
      <c r="M125" s="698">
        <v>0</v>
      </c>
      <c r="N125" s="698">
        <v>1910.56</v>
      </c>
      <c r="O125" s="698">
        <v>1910.56</v>
      </c>
      <c r="P125" s="698">
        <v>1910.56</v>
      </c>
      <c r="Q125" s="698">
        <v>0</v>
      </c>
      <c r="R125" s="698">
        <v>1910.56</v>
      </c>
      <c r="S125" s="698">
        <v>0</v>
      </c>
      <c r="T125" s="29">
        <v>1858.19</v>
      </c>
      <c r="U125" s="29">
        <v>74380.7</v>
      </c>
      <c r="V125" s="18">
        <v>0</v>
      </c>
      <c r="W125" s="29">
        <v>5315.51</v>
      </c>
      <c r="X125" s="18">
        <v>0</v>
      </c>
      <c r="Y125" s="18"/>
      <c r="Z125" s="99">
        <f>SUM(T125:W125)</f>
        <v>81554.399999999994</v>
      </c>
      <c r="AA125" s="29">
        <v>1651.81</v>
      </c>
      <c r="AB125" s="29">
        <v>66119.3</v>
      </c>
      <c r="AC125" s="18">
        <v>0</v>
      </c>
      <c r="AD125" s="29">
        <v>4720.04</v>
      </c>
      <c r="AE125" s="18">
        <v>0</v>
      </c>
      <c r="AF125" s="18">
        <v>0</v>
      </c>
      <c r="AG125" s="99">
        <f>SUM(AA125:AD125)</f>
        <v>72491.149999999994</v>
      </c>
      <c r="AH125" s="99">
        <f>Z125+AG125</f>
        <v>154045.54999999999</v>
      </c>
      <c r="AI125" s="29">
        <f>T125+AA125</f>
        <v>3510</v>
      </c>
      <c r="AJ125" s="29">
        <f>U125+AB125</f>
        <v>140500</v>
      </c>
      <c r="AK125" s="18">
        <f>V125+AC125</f>
        <v>0</v>
      </c>
      <c r="AL125" s="29">
        <f>W125+AD125</f>
        <v>10035.549999999999</v>
      </c>
      <c r="AM125" s="18">
        <f t="shared" si="133"/>
        <v>0</v>
      </c>
      <c r="AN125" s="18"/>
      <c r="AO125" s="29">
        <f>SUM(AI125:AN125)</f>
        <v>154045.54999999999</v>
      </c>
      <c r="AP125" s="29">
        <f>SUM(AI125:AM125)</f>
        <v>154045.54999999999</v>
      </c>
      <c r="AQ125" s="29">
        <f>SUM(AI125:AL125)</f>
        <v>154045.54999999999</v>
      </c>
      <c r="AR125" s="99">
        <f t="shared" si="114"/>
        <v>0</v>
      </c>
      <c r="AS125" s="18">
        <f t="shared" si="146"/>
        <v>6477354</v>
      </c>
      <c r="AT125" s="18">
        <f t="shared" si="146"/>
        <v>259278700</v>
      </c>
      <c r="AU125" s="18">
        <f t="shared" si="146"/>
        <v>0</v>
      </c>
      <c r="AV125" s="18">
        <f t="shared" si="146"/>
        <v>18519603.969999999</v>
      </c>
      <c r="AW125" s="18">
        <f t="shared" si="146"/>
        <v>0</v>
      </c>
      <c r="AX125" s="18">
        <f t="shared" si="115"/>
        <v>284275657.97000003</v>
      </c>
      <c r="AY125" s="18">
        <f t="shared" si="116"/>
        <v>284275657.97000003</v>
      </c>
      <c r="AZ125" s="18">
        <f t="shared" si="147"/>
        <v>6706065.5999999996</v>
      </c>
      <c r="BA125" s="18">
        <f t="shared" si="147"/>
        <v>268433680</v>
      </c>
      <c r="BB125" s="18">
        <f t="shared" si="147"/>
        <v>0</v>
      </c>
      <c r="BC125" s="18">
        <f t="shared" si="147"/>
        <v>19173520.408</v>
      </c>
      <c r="BD125" s="18">
        <f t="shared" si="147"/>
        <v>0</v>
      </c>
      <c r="BE125" s="18">
        <f t="shared" si="117"/>
        <v>294313266.00800002</v>
      </c>
      <c r="BF125" s="18">
        <f t="shared" si="118"/>
        <v>294313266.00800002</v>
      </c>
      <c r="BG125" s="18"/>
      <c r="BH125" s="18"/>
      <c r="BI125" s="18">
        <f t="shared" si="80"/>
        <v>0</v>
      </c>
      <c r="BJ125" s="18">
        <v>240832.33</v>
      </c>
      <c r="BK125" s="18">
        <v>280174.7</v>
      </c>
      <c r="BL125" s="18">
        <f>I125*T125</f>
        <v>3429103.8260000004</v>
      </c>
      <c r="BM125" s="18">
        <f>J125*U125</f>
        <v>137262143.78</v>
      </c>
      <c r="BN125" s="18">
        <f t="shared" si="141"/>
        <v>0</v>
      </c>
      <c r="BO125" s="18">
        <f>L125*W125</f>
        <v>9809242.154000001</v>
      </c>
      <c r="BP125" s="18">
        <f t="shared" si="141"/>
        <v>0</v>
      </c>
      <c r="BQ125" s="18">
        <f>BL125+BM125+BN125+BO125+BP125</f>
        <v>150500489.76000002</v>
      </c>
      <c r="BR125" s="18">
        <f>BQ125-BP125</f>
        <v>150500489.76000002</v>
      </c>
      <c r="BS125" s="18">
        <f>O125*AA125</f>
        <v>3155882.1135999998</v>
      </c>
      <c r="BT125" s="18">
        <f>P125*AB125</f>
        <v>126324889.808</v>
      </c>
      <c r="BU125" s="18">
        <f t="shared" si="142"/>
        <v>0</v>
      </c>
      <c r="BV125" s="18">
        <f>R125*W125</f>
        <v>10155600.785600001</v>
      </c>
      <c r="BW125" s="18">
        <f t="shared" si="94"/>
        <v>0</v>
      </c>
      <c r="BX125" s="18">
        <f>BS125+BT125+BU125+BV125+BW125</f>
        <v>139636372.70719999</v>
      </c>
      <c r="BY125" s="18">
        <f>BX125-BW125</f>
        <v>139636372.70719999</v>
      </c>
      <c r="BZ125" s="161">
        <f t="shared" si="91"/>
        <v>263587033.588</v>
      </c>
      <c r="CA125" s="161">
        <f t="shared" si="91"/>
        <v>0</v>
      </c>
      <c r="CB125" s="161">
        <f t="shared" si="123"/>
        <v>263587033.588</v>
      </c>
      <c r="CC125" s="162">
        <f t="shared" si="92"/>
        <v>1876.064296</v>
      </c>
      <c r="CD125" s="162" t="e">
        <f t="shared" si="92"/>
        <v>#DIV/0!</v>
      </c>
      <c r="CE125" s="162">
        <f t="shared" si="124"/>
        <v>1876.064296</v>
      </c>
      <c r="CF125" s="162">
        <f t="shared" si="95"/>
        <v>1876.064296</v>
      </c>
      <c r="CG125" s="651">
        <f t="shared" si="96"/>
        <v>263587033.588</v>
      </c>
      <c r="CH125" s="652">
        <f t="shared" si="125"/>
        <v>1876.064296</v>
      </c>
      <c r="CJ125" s="18">
        <f t="shared" si="97"/>
        <v>150500.48976</v>
      </c>
      <c r="CK125" s="18">
        <f t="shared" si="98"/>
        <v>138498.691544</v>
      </c>
      <c r="CL125" s="18">
        <f t="shared" si="84"/>
        <v>288999.18130399997</v>
      </c>
      <c r="CM125" s="18">
        <f t="shared" si="99"/>
        <v>288999181.30400002</v>
      </c>
      <c r="CN125" s="18">
        <f t="shared" si="100"/>
        <v>284275657.97000003</v>
      </c>
      <c r="CO125" s="18">
        <f t="shared" si="101"/>
        <v>284275657.97000003</v>
      </c>
      <c r="CP125" s="18">
        <f t="shared" si="102"/>
        <v>150500489.76000002</v>
      </c>
      <c r="CQ125" s="18">
        <f t="shared" si="103"/>
        <v>294313266.00800002</v>
      </c>
      <c r="CR125" s="18">
        <f t="shared" si="104"/>
        <v>294313266.00800002</v>
      </c>
      <c r="CS125" s="18">
        <f t="shared" si="105"/>
        <v>138498691.544</v>
      </c>
      <c r="CT125" s="18">
        <f t="shared" si="126"/>
        <v>578588923.97800004</v>
      </c>
      <c r="CU125" s="29">
        <f t="shared" si="127"/>
        <v>3755960.0000000005</v>
      </c>
      <c r="CV125" s="18">
        <f t="shared" si="106"/>
        <v>259278700</v>
      </c>
      <c r="CW125" s="18">
        <f t="shared" si="107"/>
        <v>268433680</v>
      </c>
      <c r="CX125" s="18">
        <f t="shared" si="128"/>
        <v>527712380</v>
      </c>
      <c r="CY125" s="18">
        <f t="shared" si="108"/>
        <v>284275657.97000003</v>
      </c>
      <c r="CZ125" s="18">
        <f t="shared" si="109"/>
        <v>294313266.00800002</v>
      </c>
      <c r="DB125" s="653">
        <f t="shared" si="129"/>
        <v>103.5309418012355</v>
      </c>
      <c r="DG125" s="701">
        <f t="shared" si="110"/>
        <v>0</v>
      </c>
      <c r="DH125" s="701">
        <f t="shared" si="111"/>
        <v>0</v>
      </c>
      <c r="DI125" s="701">
        <f t="shared" si="112"/>
        <v>0</v>
      </c>
    </row>
    <row r="126" spans="1:114" s="128" customFormat="1" ht="56.25" hidden="1" customHeight="1">
      <c r="A126" s="115">
        <f t="shared" si="130"/>
        <v>111</v>
      </c>
      <c r="B126" s="1503"/>
      <c r="C126" s="1503"/>
      <c r="D126" s="710" t="s">
        <v>224</v>
      </c>
      <c r="E126" s="711">
        <v>4632113278</v>
      </c>
      <c r="F126" s="710" t="s">
        <v>8</v>
      </c>
      <c r="G126" s="712" t="s">
        <v>868</v>
      </c>
      <c r="H126" s="707">
        <v>1463.36</v>
      </c>
      <c r="I126" s="707"/>
      <c r="J126" s="707">
        <v>1463.36</v>
      </c>
      <c r="K126" s="707"/>
      <c r="L126" s="707"/>
      <c r="M126" s="708"/>
      <c r="N126" s="708">
        <v>1463.36</v>
      </c>
      <c r="O126" s="708"/>
      <c r="P126" s="708">
        <v>1463.36</v>
      </c>
      <c r="Q126" s="708"/>
      <c r="R126" s="708"/>
      <c r="S126" s="708"/>
      <c r="T126" s="124">
        <v>0</v>
      </c>
      <c r="U126" s="124">
        <v>2651.2730000000001</v>
      </c>
      <c r="V126" s="124">
        <v>0</v>
      </c>
      <c r="W126" s="124">
        <v>0</v>
      </c>
      <c r="X126" s="124"/>
      <c r="Y126" s="124"/>
      <c r="Z126" s="127">
        <f t="shared" si="131"/>
        <v>2651.2730000000001</v>
      </c>
      <c r="AA126" s="124">
        <v>0</v>
      </c>
      <c r="AB126" s="124">
        <v>1946.67</v>
      </c>
      <c r="AC126" s="124">
        <v>0</v>
      </c>
      <c r="AD126" s="124">
        <v>0</v>
      </c>
      <c r="AE126" s="124"/>
      <c r="AF126" s="124">
        <v>0</v>
      </c>
      <c r="AG126" s="127">
        <f t="shared" si="132"/>
        <v>1946.67</v>
      </c>
      <c r="AH126" s="127">
        <f t="shared" si="113"/>
        <v>4597.9430000000002</v>
      </c>
      <c r="AI126" s="112">
        <f t="shared" si="134"/>
        <v>0</v>
      </c>
      <c r="AJ126" s="112">
        <f t="shared" si="134"/>
        <v>4597.9430000000002</v>
      </c>
      <c r="AK126" s="112">
        <f t="shared" si="134"/>
        <v>0</v>
      </c>
      <c r="AL126" s="112">
        <f t="shared" si="134"/>
        <v>0</v>
      </c>
      <c r="AM126" s="112">
        <f t="shared" si="133"/>
        <v>0</v>
      </c>
      <c r="AN126" s="112"/>
      <c r="AO126" s="112">
        <f t="shared" si="85"/>
        <v>4597.9430000000002</v>
      </c>
      <c r="AP126" s="112">
        <f t="shared" si="86"/>
        <v>4597.9430000000002</v>
      </c>
      <c r="AQ126" s="709">
        <f t="shared" si="81"/>
        <v>4597.9430000000002</v>
      </c>
      <c r="AR126" s="127">
        <f t="shared" si="114"/>
        <v>0</v>
      </c>
      <c r="AS126" s="112">
        <f t="shared" si="146"/>
        <v>0</v>
      </c>
      <c r="AT126" s="112">
        <f t="shared" si="146"/>
        <v>6728445.8684799997</v>
      </c>
      <c r="AU126" s="112">
        <f t="shared" si="146"/>
        <v>0</v>
      </c>
      <c r="AV126" s="112">
        <f t="shared" si="146"/>
        <v>0</v>
      </c>
      <c r="AW126" s="112">
        <f t="shared" si="146"/>
        <v>0</v>
      </c>
      <c r="AX126" s="112">
        <f t="shared" si="115"/>
        <v>6728445.8684799997</v>
      </c>
      <c r="AY126" s="112">
        <f t="shared" si="116"/>
        <v>6728445.8684799997</v>
      </c>
      <c r="AZ126" s="112">
        <f t="shared" si="147"/>
        <v>0</v>
      </c>
      <c r="BA126" s="112">
        <f t="shared" si="147"/>
        <v>6728445.8684799997</v>
      </c>
      <c r="BB126" s="112">
        <f t="shared" si="147"/>
        <v>0</v>
      </c>
      <c r="BC126" s="112">
        <f t="shared" si="147"/>
        <v>0</v>
      </c>
      <c r="BD126" s="112">
        <f t="shared" si="147"/>
        <v>0</v>
      </c>
      <c r="BE126" s="112">
        <f t="shared" si="117"/>
        <v>6728445.8684799997</v>
      </c>
      <c r="BF126" s="112">
        <f t="shared" si="118"/>
        <v>6728445.8684799997</v>
      </c>
      <c r="BG126" s="124">
        <v>0</v>
      </c>
      <c r="BH126" s="124">
        <v>0</v>
      </c>
      <c r="BI126" s="112">
        <f t="shared" si="80"/>
        <v>0</v>
      </c>
      <c r="BJ126" s="112">
        <v>6728.46</v>
      </c>
      <c r="BK126" s="112">
        <v>12413.07</v>
      </c>
      <c r="BL126" s="112">
        <f t="shared" si="141"/>
        <v>0</v>
      </c>
      <c r="BM126" s="112">
        <f t="shared" si="141"/>
        <v>3879766.8572800001</v>
      </c>
      <c r="BN126" s="112">
        <f t="shared" si="141"/>
        <v>0</v>
      </c>
      <c r="BO126" s="112">
        <f t="shared" si="141"/>
        <v>0</v>
      </c>
      <c r="BP126" s="112">
        <f t="shared" si="141"/>
        <v>0</v>
      </c>
      <c r="BQ126" s="112">
        <f t="shared" si="119"/>
        <v>3879766.8572800001</v>
      </c>
      <c r="BR126" s="112">
        <f t="shared" si="120"/>
        <v>3879766.8572800001</v>
      </c>
      <c r="BS126" s="112">
        <f t="shared" si="142"/>
        <v>0</v>
      </c>
      <c r="BT126" s="112">
        <f t="shared" si="142"/>
        <v>2848679.0112000001</v>
      </c>
      <c r="BU126" s="112">
        <f t="shared" si="142"/>
        <v>0</v>
      </c>
      <c r="BV126" s="112">
        <f t="shared" si="93"/>
        <v>0</v>
      </c>
      <c r="BW126" s="112">
        <f t="shared" si="94"/>
        <v>0</v>
      </c>
      <c r="BX126" s="112">
        <f t="shared" si="121"/>
        <v>2848679.0112000001</v>
      </c>
      <c r="BY126" s="112">
        <f t="shared" si="122"/>
        <v>2848679.0112000001</v>
      </c>
      <c r="BZ126" s="113">
        <f t="shared" si="91"/>
        <v>6728445.8684800006</v>
      </c>
      <c r="CA126" s="113">
        <f t="shared" si="91"/>
        <v>0</v>
      </c>
      <c r="CB126" s="113">
        <f t="shared" si="123"/>
        <v>6728445.8684800006</v>
      </c>
      <c r="CC126" s="119">
        <f t="shared" si="92"/>
        <v>1463.3600000000001</v>
      </c>
      <c r="CD126" s="119" t="e">
        <f t="shared" si="92"/>
        <v>#DIV/0!</v>
      </c>
      <c r="CE126" s="119">
        <f t="shared" si="124"/>
        <v>1463.3600000000001</v>
      </c>
      <c r="CF126" s="119">
        <f t="shared" si="95"/>
        <v>1463.3600000000001</v>
      </c>
      <c r="CG126" s="619">
        <f t="shared" si="96"/>
        <v>0</v>
      </c>
      <c r="CH126" s="132">
        <f t="shared" si="125"/>
        <v>0</v>
      </c>
      <c r="CJ126" s="112">
        <f t="shared" si="97"/>
        <v>3879.7668572800003</v>
      </c>
      <c r="CK126" s="112">
        <f t="shared" si="98"/>
        <v>2848.6790111999999</v>
      </c>
      <c r="CL126" s="112">
        <f t="shared" si="84"/>
        <v>6728.4458684800002</v>
      </c>
      <c r="CM126" s="112">
        <f t="shared" si="99"/>
        <v>6728445.8684800006</v>
      </c>
      <c r="CN126" s="112">
        <f t="shared" si="100"/>
        <v>6728445.8684799997</v>
      </c>
      <c r="CO126" s="112">
        <f t="shared" si="101"/>
        <v>6728445.8684799997</v>
      </c>
      <c r="CP126" s="112">
        <f t="shared" si="102"/>
        <v>3879766.8572800001</v>
      </c>
      <c r="CQ126" s="112">
        <f t="shared" si="103"/>
        <v>6728445.8684799997</v>
      </c>
      <c r="CR126" s="112">
        <f t="shared" si="104"/>
        <v>6728445.8684799997</v>
      </c>
      <c r="CS126" s="112">
        <f t="shared" si="105"/>
        <v>2848679.0112000001</v>
      </c>
      <c r="CT126" s="112">
        <f t="shared" si="126"/>
        <v>13456891.736959999</v>
      </c>
      <c r="CU126" s="124">
        <f t="shared" si="127"/>
        <v>2926720</v>
      </c>
      <c r="CV126" s="112">
        <f t="shared" si="106"/>
        <v>6728445.8684799997</v>
      </c>
      <c r="CW126" s="112">
        <f t="shared" si="107"/>
        <v>6728445.8684799997</v>
      </c>
      <c r="CX126" s="112">
        <f t="shared" si="128"/>
        <v>13456891.736959999</v>
      </c>
      <c r="CY126" s="112">
        <f t="shared" si="108"/>
        <v>6728445.8684799997</v>
      </c>
      <c r="CZ126" s="112">
        <f t="shared" si="109"/>
        <v>6728445.8684799997</v>
      </c>
      <c r="DB126" s="128">
        <f t="shared" si="129"/>
        <v>100</v>
      </c>
      <c r="DG126" s="118">
        <f t="shared" si="110"/>
        <v>0</v>
      </c>
      <c r="DH126" s="118">
        <f t="shared" si="111"/>
        <v>0</v>
      </c>
      <c r="DI126" s="118">
        <f t="shared" si="112"/>
        <v>0</v>
      </c>
    </row>
    <row r="127" spans="1:114" s="13" customFormat="1" ht="83.25" hidden="1" customHeight="1">
      <c r="A127" s="20">
        <f t="shared" si="130"/>
        <v>112</v>
      </c>
      <c r="B127" s="1503"/>
      <c r="C127" s="1503"/>
      <c r="D127" s="755" t="s">
        <v>162</v>
      </c>
      <c r="E127" s="803">
        <v>5261077695</v>
      </c>
      <c r="F127" s="803" t="s">
        <v>8</v>
      </c>
      <c r="G127" s="809" t="s">
        <v>896</v>
      </c>
      <c r="H127" s="608">
        <f>1898.46*1.2</f>
        <v>2278.152</v>
      </c>
      <c r="I127" s="608">
        <f>1898.46*1.2</f>
        <v>2278.152</v>
      </c>
      <c r="J127" s="608">
        <v>2278.15</v>
      </c>
      <c r="K127" s="608">
        <v>2278.15</v>
      </c>
      <c r="L127" s="608">
        <v>0</v>
      </c>
      <c r="M127" s="608">
        <v>0</v>
      </c>
      <c r="N127" s="817">
        <f>1966.13*1.2</f>
        <v>2359.3560000000002</v>
      </c>
      <c r="O127" s="817">
        <f>1966.13*1.2</f>
        <v>2359.3560000000002</v>
      </c>
      <c r="P127" s="608">
        <v>2359.36</v>
      </c>
      <c r="Q127" s="608">
        <v>2359.36</v>
      </c>
      <c r="R127" s="37"/>
      <c r="S127" s="37"/>
      <c r="T127" s="818">
        <v>1095</v>
      </c>
      <c r="U127" s="175">
        <v>52.94</v>
      </c>
      <c r="V127" s="205">
        <v>25.62</v>
      </c>
      <c r="W127" s="175">
        <v>0</v>
      </c>
      <c r="X127" s="175">
        <v>0</v>
      </c>
      <c r="Y127" s="175">
        <v>1087.72</v>
      </c>
      <c r="Z127" s="35">
        <f>SUM(T127:W127)</f>
        <v>1173.56</v>
      </c>
      <c r="AA127" s="175">
        <v>718.34</v>
      </c>
      <c r="AB127" s="175">
        <v>39.71</v>
      </c>
      <c r="AC127" s="205">
        <v>25.62</v>
      </c>
      <c r="AD127" s="175">
        <v>0</v>
      </c>
      <c r="AE127" s="175">
        <v>0</v>
      </c>
      <c r="AF127" s="175">
        <v>839.65</v>
      </c>
      <c r="AG127" s="35">
        <f>SUM(AA127:AD127)</f>
        <v>783.67000000000007</v>
      </c>
      <c r="AH127" s="35">
        <f t="shared" si="113"/>
        <v>1957.23</v>
      </c>
      <c r="AI127" s="15">
        <f t="shared" si="134"/>
        <v>1813.3400000000001</v>
      </c>
      <c r="AJ127" s="15">
        <f t="shared" si="134"/>
        <v>92.65</v>
      </c>
      <c r="AK127" s="15">
        <f t="shared" si="134"/>
        <v>51.24</v>
      </c>
      <c r="AL127" s="15">
        <f t="shared" si="134"/>
        <v>0</v>
      </c>
      <c r="AM127" s="15">
        <f t="shared" si="133"/>
        <v>0</v>
      </c>
      <c r="AN127" s="15"/>
      <c r="AO127" s="15">
        <f t="shared" si="85"/>
        <v>1957.2300000000002</v>
      </c>
      <c r="AP127" s="15">
        <f t="shared" si="86"/>
        <v>1957.2300000000002</v>
      </c>
      <c r="AQ127" s="15">
        <f t="shared" si="81"/>
        <v>1957.2300000000002</v>
      </c>
      <c r="AR127" s="99">
        <f t="shared" si="114"/>
        <v>0</v>
      </c>
      <c r="AS127" s="18">
        <f t="shared" si="146"/>
        <v>4131064.1476800004</v>
      </c>
      <c r="AT127" s="18">
        <f t="shared" si="146"/>
        <v>211070.59750000003</v>
      </c>
      <c r="AU127" s="18">
        <f t="shared" si="146"/>
        <v>116732.406</v>
      </c>
      <c r="AV127" s="18">
        <f t="shared" si="146"/>
        <v>0</v>
      </c>
      <c r="AW127" s="18">
        <f t="shared" si="146"/>
        <v>0</v>
      </c>
      <c r="AX127" s="18">
        <f t="shared" si="115"/>
        <v>4458867.151180001</v>
      </c>
      <c r="AY127" s="18">
        <f t="shared" si="116"/>
        <v>4458867.151180001</v>
      </c>
      <c r="AZ127" s="18">
        <f t="shared" si="147"/>
        <v>4278314.6090400005</v>
      </c>
      <c r="BA127" s="18">
        <f t="shared" si="147"/>
        <v>218594.70400000003</v>
      </c>
      <c r="BB127" s="18">
        <f t="shared" si="147"/>
        <v>120893.6064</v>
      </c>
      <c r="BC127" s="18">
        <f t="shared" si="147"/>
        <v>0</v>
      </c>
      <c r="BD127" s="18">
        <f t="shared" si="147"/>
        <v>0</v>
      </c>
      <c r="BE127" s="18">
        <f t="shared" si="117"/>
        <v>4617802.9194400003</v>
      </c>
      <c r="BF127" s="18">
        <f t="shared" si="118"/>
        <v>4617802.9194400003</v>
      </c>
      <c r="BG127" s="163">
        <v>0</v>
      </c>
      <c r="BH127" s="163">
        <v>0</v>
      </c>
      <c r="BI127" s="163">
        <f t="shared" si="80"/>
        <v>0</v>
      </c>
      <c r="BJ127" s="163">
        <v>7133.01</v>
      </c>
      <c r="BK127" s="163">
        <v>12931.01</v>
      </c>
      <c r="BL127" s="18">
        <f t="shared" si="141"/>
        <v>2494576.44</v>
      </c>
      <c r="BM127" s="18">
        <f t="shared" si="141"/>
        <v>120605.261</v>
      </c>
      <c r="BN127" s="18">
        <f t="shared" si="141"/>
        <v>58366.203000000001</v>
      </c>
      <c r="BO127" s="18">
        <f t="shared" si="141"/>
        <v>0</v>
      </c>
      <c r="BP127" s="18">
        <f t="shared" si="141"/>
        <v>0</v>
      </c>
      <c r="BQ127" s="18">
        <f t="shared" si="119"/>
        <v>2673547.9040000001</v>
      </c>
      <c r="BR127" s="18">
        <f t="shared" si="120"/>
        <v>2673547.9040000001</v>
      </c>
      <c r="BS127" s="18">
        <f t="shared" si="142"/>
        <v>1694819.7890400002</v>
      </c>
      <c r="BT127" s="18">
        <f t="shared" si="142"/>
        <v>93690.185600000012</v>
      </c>
      <c r="BU127" s="18">
        <f t="shared" si="142"/>
        <v>60446.803200000002</v>
      </c>
      <c r="BV127" s="18">
        <f t="shared" si="93"/>
        <v>0</v>
      </c>
      <c r="BW127" s="18">
        <f t="shared" si="94"/>
        <v>0</v>
      </c>
      <c r="BX127" s="18">
        <f t="shared" si="121"/>
        <v>1848956.7778400001</v>
      </c>
      <c r="BY127" s="18">
        <f t="shared" si="122"/>
        <v>1848956.7778400001</v>
      </c>
      <c r="BZ127" s="161">
        <f t="shared" si="91"/>
        <v>214295.44660000002</v>
      </c>
      <c r="CA127" s="161">
        <f t="shared" si="91"/>
        <v>118813.0062</v>
      </c>
      <c r="CB127" s="161">
        <f t="shared" si="123"/>
        <v>333108.45280000003</v>
      </c>
      <c r="CC127" s="162">
        <f t="shared" si="92"/>
        <v>2312.9567900701568</v>
      </c>
      <c r="CD127" s="162">
        <f t="shared" si="92"/>
        <v>2318.7550000000001</v>
      </c>
      <c r="CE127" s="162">
        <f t="shared" si="124"/>
        <v>2315.0215636944886</v>
      </c>
      <c r="CF127" s="162">
        <f t="shared" si="95"/>
        <v>2315.0215636944886</v>
      </c>
      <c r="CG127" s="651">
        <f t="shared" si="96"/>
        <v>333108.34860000003</v>
      </c>
      <c r="CH127" s="652">
        <f t="shared" si="125"/>
        <v>2315.0208395301966</v>
      </c>
      <c r="CJ127" s="18">
        <f t="shared" si="97"/>
        <v>2673.5480611199996</v>
      </c>
      <c r="CK127" s="18">
        <f t="shared" si="98"/>
        <v>1848.9565165200004</v>
      </c>
      <c r="CL127" s="18">
        <f t="shared" si="84"/>
        <v>4522.5045776400002</v>
      </c>
      <c r="CM127" s="18">
        <f t="shared" si="99"/>
        <v>4522504.5776399998</v>
      </c>
      <c r="CN127" s="18">
        <f t="shared" si="100"/>
        <v>4458867.151180001</v>
      </c>
      <c r="CO127" s="18">
        <f t="shared" si="101"/>
        <v>4458867.15118</v>
      </c>
      <c r="CP127" s="18">
        <f t="shared" si="102"/>
        <v>2673547.9040000001</v>
      </c>
      <c r="CQ127" s="18">
        <f t="shared" si="103"/>
        <v>4617802.9194400003</v>
      </c>
      <c r="CR127" s="18">
        <f t="shared" si="104"/>
        <v>4617802.9194400003</v>
      </c>
      <c r="CS127" s="18">
        <f t="shared" si="105"/>
        <v>1848956.7778400001</v>
      </c>
      <c r="CT127" s="18">
        <f t="shared" si="126"/>
        <v>9076670.0706200004</v>
      </c>
      <c r="CU127" s="29">
        <f t="shared" si="127"/>
        <v>4637508.1470343294</v>
      </c>
      <c r="CV127" s="18">
        <f t="shared" si="106"/>
        <v>327803.00350000005</v>
      </c>
      <c r="CW127" s="18">
        <f t="shared" si="107"/>
        <v>339488.31040000002</v>
      </c>
      <c r="CX127" s="18">
        <f t="shared" si="128"/>
        <v>667291.31390000007</v>
      </c>
      <c r="CY127" s="18">
        <f t="shared" si="108"/>
        <v>4458867.4389600009</v>
      </c>
      <c r="CZ127" s="18">
        <f t="shared" si="109"/>
        <v>4617802.3438800005</v>
      </c>
      <c r="DB127" s="653">
        <f t="shared" si="129"/>
        <v>103.56455896231591</v>
      </c>
      <c r="DG127" s="618">
        <f t="shared" si="110"/>
        <v>0</v>
      </c>
      <c r="DH127" s="618">
        <f t="shared" si="111"/>
        <v>0</v>
      </c>
      <c r="DI127" s="618">
        <f t="shared" si="112"/>
        <v>0</v>
      </c>
    </row>
    <row r="128" spans="1:114" ht="51.75" hidden="1" customHeight="1">
      <c r="A128" s="20">
        <f t="shared" si="130"/>
        <v>113</v>
      </c>
      <c r="B128" s="1503"/>
      <c r="C128" s="1503"/>
      <c r="D128" s="805" t="s">
        <v>254</v>
      </c>
      <c r="E128" s="805">
        <v>4632000330</v>
      </c>
      <c r="F128" s="696" t="s">
        <v>8</v>
      </c>
      <c r="G128" s="805" t="s">
        <v>910</v>
      </c>
      <c r="H128" s="697">
        <f>I128</f>
        <v>2985.3240000000001</v>
      </c>
      <c r="I128" s="697">
        <f>2487.77*1.2</f>
        <v>2985.3240000000001</v>
      </c>
      <c r="J128" s="697">
        <v>1995.31</v>
      </c>
      <c r="K128" s="697">
        <v>0</v>
      </c>
      <c r="L128" s="697">
        <f>I128</f>
        <v>2985.3240000000001</v>
      </c>
      <c r="M128" s="697">
        <f>1946.44*1.2</f>
        <v>2335.7280000000001</v>
      </c>
      <c r="N128" s="697">
        <f>2487.77*1.2</f>
        <v>2985.3240000000001</v>
      </c>
      <c r="O128" s="697">
        <f>N128</f>
        <v>2985.3240000000001</v>
      </c>
      <c r="P128" s="697">
        <v>2125.0100000000002</v>
      </c>
      <c r="Q128" s="697">
        <v>0</v>
      </c>
      <c r="R128" s="697">
        <f>O128</f>
        <v>2985.3240000000001</v>
      </c>
      <c r="S128" s="697">
        <f>2133.33*1.2</f>
        <v>2559.9959999999996</v>
      </c>
      <c r="T128" s="18">
        <v>349</v>
      </c>
      <c r="U128" s="18">
        <v>362</v>
      </c>
      <c r="V128" s="18">
        <v>0</v>
      </c>
      <c r="W128" s="18">
        <v>247</v>
      </c>
      <c r="X128" s="18">
        <v>55718</v>
      </c>
      <c r="Y128" s="18">
        <v>0</v>
      </c>
      <c r="Z128" s="99">
        <f>SUM(T128:W128)</f>
        <v>958</v>
      </c>
      <c r="AA128" s="18">
        <v>304</v>
      </c>
      <c r="AB128" s="18">
        <v>272</v>
      </c>
      <c r="AC128" s="18">
        <v>0</v>
      </c>
      <c r="AD128" s="18">
        <v>199</v>
      </c>
      <c r="AE128" s="18">
        <v>41755</v>
      </c>
      <c r="AF128" s="18">
        <v>0</v>
      </c>
      <c r="AG128" s="99">
        <f>SUM(AA128:AD128)</f>
        <v>775</v>
      </c>
      <c r="AH128" s="99">
        <f>Z128+AG128</f>
        <v>1733</v>
      </c>
      <c r="AI128" s="18">
        <f>T128+AA128</f>
        <v>653</v>
      </c>
      <c r="AJ128" s="18">
        <f>U128+AB128</f>
        <v>634</v>
      </c>
      <c r="AK128" s="18">
        <f t="shared" si="134"/>
        <v>0</v>
      </c>
      <c r="AL128" s="18">
        <f>W128+AD128</f>
        <v>446</v>
      </c>
      <c r="AM128" s="18">
        <f>X128+AE128</f>
        <v>97473</v>
      </c>
      <c r="AN128" s="18"/>
      <c r="AO128" s="18">
        <f>SUM(AI128:AN128)</f>
        <v>99206</v>
      </c>
      <c r="AP128" s="15">
        <f>SUM(AI128:AM128)</f>
        <v>99206</v>
      </c>
      <c r="AQ128" s="15">
        <f>SUM(AI128:AL128)</f>
        <v>1733</v>
      </c>
      <c r="AR128" s="127">
        <f t="shared" si="114"/>
        <v>0</v>
      </c>
      <c r="AS128" s="112">
        <f t="shared" si="146"/>
        <v>1949416.5720000002</v>
      </c>
      <c r="AT128" s="112">
        <f t="shared" si="146"/>
        <v>1265026.54</v>
      </c>
      <c r="AU128" s="112">
        <f t="shared" si="146"/>
        <v>0</v>
      </c>
      <c r="AV128" s="112">
        <f t="shared" si="146"/>
        <v>1331454.504</v>
      </c>
      <c r="AW128" s="112">
        <f t="shared" si="146"/>
        <v>227670415.34400001</v>
      </c>
      <c r="AX128" s="112">
        <f t="shared" si="115"/>
        <v>232216312.96000001</v>
      </c>
      <c r="AY128" s="112">
        <f t="shared" si="116"/>
        <v>4545897.6160000004</v>
      </c>
      <c r="AZ128" s="112">
        <f t="shared" si="147"/>
        <v>1949416.5720000002</v>
      </c>
      <c r="BA128" s="112">
        <f t="shared" si="147"/>
        <v>1347256.34</v>
      </c>
      <c r="BB128" s="112">
        <f t="shared" si="147"/>
        <v>0</v>
      </c>
      <c r="BC128" s="112">
        <f t="shared" si="147"/>
        <v>1331454.504</v>
      </c>
      <c r="BD128" s="112">
        <f t="shared" si="147"/>
        <v>249530490.10799995</v>
      </c>
      <c r="BE128" s="112">
        <f t="shared" si="117"/>
        <v>254158617.52399996</v>
      </c>
      <c r="BF128" s="112">
        <f t="shared" si="118"/>
        <v>4628127.4160000002</v>
      </c>
      <c r="BG128" s="18">
        <v>298.65257705441087</v>
      </c>
      <c r="BH128" s="18">
        <v>195.00433955027563</v>
      </c>
      <c r="BI128" s="18">
        <f>BG128+BH128</f>
        <v>493.6569166046865</v>
      </c>
      <c r="BJ128" s="18">
        <v>201840.45986422937</v>
      </c>
      <c r="BK128" s="18">
        <v>235081.2</v>
      </c>
      <c r="BL128" s="112">
        <f>I128*T128</f>
        <v>1041878.076</v>
      </c>
      <c r="BM128" s="112">
        <f>J128*U128</f>
        <v>722302.22</v>
      </c>
      <c r="BN128" s="112">
        <f>K128*V128</f>
        <v>0</v>
      </c>
      <c r="BO128" s="112">
        <f>L128*W128</f>
        <v>737375.02800000005</v>
      </c>
      <c r="BP128" s="112">
        <f>M128*X128</f>
        <v>130142092.70400001</v>
      </c>
      <c r="BQ128" s="112">
        <f>BL128+BM128+BN128+BO128+BP128</f>
        <v>132643648.02800001</v>
      </c>
      <c r="BR128" s="112">
        <f>BQ128-BP128</f>
        <v>2501555.324000001</v>
      </c>
      <c r="BS128" s="112">
        <f>O128*AA128</f>
        <v>907538.49600000004</v>
      </c>
      <c r="BT128" s="112">
        <f>P128*AB128</f>
        <v>578002.72000000009</v>
      </c>
      <c r="BU128" s="112">
        <f t="shared" si="142"/>
        <v>0</v>
      </c>
      <c r="BV128" s="112">
        <f>R128*W128</f>
        <v>737375.02800000005</v>
      </c>
      <c r="BW128" s="112">
        <f>S128*AE128</f>
        <v>106892632.97999999</v>
      </c>
      <c r="BX128" s="112">
        <f>BS128+BT128+BU128+BV128+BW128</f>
        <v>109115549.22399999</v>
      </c>
      <c r="BY128" s="112">
        <f>BX128-BW128</f>
        <v>2222916.2440000027</v>
      </c>
      <c r="BZ128" s="113">
        <f t="shared" si="91"/>
        <v>1300304.94</v>
      </c>
      <c r="CA128" s="113">
        <f t="shared" si="91"/>
        <v>0</v>
      </c>
      <c r="CB128" s="113">
        <f t="shared" si="123"/>
        <v>1300304.94</v>
      </c>
      <c r="CC128" s="119">
        <f t="shared" si="92"/>
        <v>2050.9541640378548</v>
      </c>
      <c r="CD128" s="119" t="e">
        <f t="shared" si="92"/>
        <v>#DIV/0!</v>
      </c>
      <c r="CE128" s="119">
        <f t="shared" si="124"/>
        <v>2050.9541640378548</v>
      </c>
      <c r="CF128" s="113">
        <f t="shared" si="95"/>
        <v>2050.9541640378548</v>
      </c>
      <c r="CG128" s="619">
        <f t="shared" si="96"/>
        <v>1892695.416</v>
      </c>
      <c r="CH128" s="132">
        <f t="shared" si="125"/>
        <v>2985.3240000000001</v>
      </c>
      <c r="CI128" s="106"/>
      <c r="CJ128" s="112">
        <f t="shared" si="97"/>
        <v>2859.940392</v>
      </c>
      <c r="CK128" s="112">
        <f t="shared" si="98"/>
        <v>2313.6261</v>
      </c>
      <c r="CL128" s="112">
        <f t="shared" si="84"/>
        <v>5173.5664919999999</v>
      </c>
      <c r="CM128" s="112">
        <f t="shared" si="99"/>
        <v>5173566.4920000006</v>
      </c>
      <c r="CN128" s="112">
        <f t="shared" si="100"/>
        <v>4545897.6160000004</v>
      </c>
      <c r="CO128" s="112">
        <f t="shared" si="101"/>
        <v>4545897.6160000004</v>
      </c>
      <c r="CP128" s="112">
        <f t="shared" si="102"/>
        <v>2501555.324</v>
      </c>
      <c r="CQ128" s="112">
        <f t="shared" si="103"/>
        <v>4628127.4160000002</v>
      </c>
      <c r="CR128" s="112">
        <f t="shared" si="104"/>
        <v>4628127.4160000002</v>
      </c>
      <c r="CS128" s="112">
        <f t="shared" si="105"/>
        <v>2079620.692</v>
      </c>
      <c r="CT128" s="112">
        <f t="shared" si="126"/>
        <v>9174025.0320000015</v>
      </c>
      <c r="CU128" s="124">
        <f t="shared" si="127"/>
        <v>5293724.7732256213</v>
      </c>
      <c r="CV128" s="112">
        <f t="shared" si="106"/>
        <v>1265026.54</v>
      </c>
      <c r="CW128" s="112">
        <f t="shared" si="107"/>
        <v>1347256.34</v>
      </c>
      <c r="CX128" s="112">
        <f t="shared" si="128"/>
        <v>2612282.88</v>
      </c>
      <c r="CY128" s="112">
        <f t="shared" si="108"/>
        <v>5173566.4919999996</v>
      </c>
      <c r="CZ128" s="112">
        <f t="shared" si="109"/>
        <v>5173566.4919999996</v>
      </c>
      <c r="DA128" s="106"/>
      <c r="DB128" s="128">
        <f t="shared" si="129"/>
        <v>149.6170519869093</v>
      </c>
      <c r="DC128" s="106"/>
      <c r="DD128" s="106"/>
      <c r="DE128" s="106"/>
      <c r="DF128" s="106"/>
      <c r="DG128" s="618">
        <f t="shared" si="110"/>
        <v>130142.09270400001</v>
      </c>
      <c r="DH128" s="618">
        <f t="shared" si="111"/>
        <v>106892.63297999999</v>
      </c>
      <c r="DI128" s="618">
        <f t="shared" si="112"/>
        <v>237034.725684</v>
      </c>
      <c r="DJ128" s="106"/>
    </row>
    <row r="129" spans="1:114" s="20" customFormat="1" ht="75.75" hidden="1" customHeight="1">
      <c r="A129" s="20">
        <f t="shared" si="130"/>
        <v>114</v>
      </c>
      <c r="B129" s="1566"/>
      <c r="C129" s="1503"/>
      <c r="D129" s="755" t="s">
        <v>154</v>
      </c>
      <c r="E129" s="803">
        <v>7729314745</v>
      </c>
      <c r="F129" s="803" t="s">
        <v>8</v>
      </c>
      <c r="G129" s="809" t="s">
        <v>895</v>
      </c>
      <c r="H129" s="38">
        <f>2847.7*1.2</f>
        <v>3417.24</v>
      </c>
      <c r="I129" s="38">
        <f>2847.7*1.2</f>
        <v>3417.24</v>
      </c>
      <c r="J129" s="38"/>
      <c r="K129" s="38"/>
      <c r="L129" s="38"/>
      <c r="M129" s="10"/>
      <c r="N129" s="38">
        <f>3199.17 *1.2</f>
        <v>3839.0039999999999</v>
      </c>
      <c r="O129" s="38">
        <f>3199.17 *1.2</f>
        <v>3839.0039999999999</v>
      </c>
      <c r="P129" s="10"/>
      <c r="Q129" s="10"/>
      <c r="R129" s="10"/>
      <c r="S129" s="10"/>
      <c r="T129" s="23">
        <v>570.31467900000007</v>
      </c>
      <c r="U129" s="23"/>
      <c r="V129" s="206"/>
      <c r="W129" s="23"/>
      <c r="X129" s="23"/>
      <c r="Y129" s="23"/>
      <c r="Z129" s="23">
        <f t="shared" si="131"/>
        <v>570.31467900000007</v>
      </c>
      <c r="AA129" s="23">
        <v>373.37600699999996</v>
      </c>
      <c r="AB129" s="23"/>
      <c r="AC129" s="206"/>
      <c r="AD129" s="15"/>
      <c r="AE129" s="15"/>
      <c r="AF129" s="15"/>
      <c r="AG129" s="35">
        <f t="shared" si="132"/>
        <v>373.37600699999996</v>
      </c>
      <c r="AH129" s="35">
        <f t="shared" si="113"/>
        <v>943.69068600000003</v>
      </c>
      <c r="AI129" s="15">
        <f t="shared" si="134"/>
        <v>943.69068600000003</v>
      </c>
      <c r="AJ129" s="15">
        <f t="shared" si="134"/>
        <v>0</v>
      </c>
      <c r="AK129" s="15">
        <f t="shared" si="134"/>
        <v>0</v>
      </c>
      <c r="AL129" s="15">
        <f t="shared" si="134"/>
        <v>0</v>
      </c>
      <c r="AM129" s="15">
        <f t="shared" si="133"/>
        <v>0</v>
      </c>
      <c r="AN129" s="15"/>
      <c r="AO129" s="15">
        <f t="shared" si="85"/>
        <v>943.69068600000003</v>
      </c>
      <c r="AP129" s="15">
        <f t="shared" si="86"/>
        <v>943.69068600000003</v>
      </c>
      <c r="AQ129" s="17">
        <f t="shared" si="81"/>
        <v>943.69068600000003</v>
      </c>
      <c r="AR129" s="127">
        <f t="shared" si="114"/>
        <v>0</v>
      </c>
      <c r="AS129" s="112">
        <f t="shared" si="146"/>
        <v>3224817.5598266399</v>
      </c>
      <c r="AT129" s="112">
        <f t="shared" si="146"/>
        <v>0</v>
      </c>
      <c r="AU129" s="112">
        <f t="shared" si="146"/>
        <v>0</v>
      </c>
      <c r="AV129" s="112">
        <f t="shared" si="146"/>
        <v>0</v>
      </c>
      <c r="AW129" s="112">
        <f t="shared" si="146"/>
        <v>0</v>
      </c>
      <c r="AX129" s="112">
        <f t="shared" si="115"/>
        <v>3224817.5598266399</v>
      </c>
      <c r="AY129" s="112">
        <f t="shared" si="116"/>
        <v>3224817.5598266399</v>
      </c>
      <c r="AZ129" s="112">
        <f t="shared" si="147"/>
        <v>3622832.3183167442</v>
      </c>
      <c r="BA129" s="112">
        <f t="shared" si="147"/>
        <v>0</v>
      </c>
      <c r="BB129" s="112">
        <f t="shared" si="147"/>
        <v>0</v>
      </c>
      <c r="BC129" s="112">
        <f t="shared" si="147"/>
        <v>0</v>
      </c>
      <c r="BD129" s="112">
        <f t="shared" si="147"/>
        <v>0</v>
      </c>
      <c r="BE129" s="112">
        <f t="shared" si="117"/>
        <v>3622832.3183167442</v>
      </c>
      <c r="BF129" s="112">
        <f t="shared" si="118"/>
        <v>3622832.3183167442</v>
      </c>
      <c r="BG129" s="623">
        <f>(I129-J129)/1.2*U129/1000+(I129-K129)/1.2*V129/1000</f>
        <v>0</v>
      </c>
      <c r="BH129" s="624">
        <f>(O129-P129)/1.2*AB129/1000+(O129-Q129)/1.2*AC129/1000</f>
        <v>0</v>
      </c>
      <c r="BI129" s="623">
        <f t="shared" ref="BI129:BI140" si="148">BG129+BH129</f>
        <v>0</v>
      </c>
      <c r="BJ129" s="112"/>
      <c r="BK129" s="112"/>
      <c r="BL129" s="112">
        <f t="shared" si="141"/>
        <v>1948902.13366596</v>
      </c>
      <c r="BM129" s="112">
        <f t="shared" si="141"/>
        <v>0</v>
      </c>
      <c r="BN129" s="112">
        <f t="shared" si="141"/>
        <v>0</v>
      </c>
      <c r="BO129" s="112">
        <f t="shared" si="141"/>
        <v>0</v>
      </c>
      <c r="BP129" s="112">
        <f t="shared" si="141"/>
        <v>0</v>
      </c>
      <c r="BQ129" s="112">
        <f t="shared" si="119"/>
        <v>1948902.13366596</v>
      </c>
      <c r="BR129" s="112">
        <f t="shared" si="120"/>
        <v>1948902.13366596</v>
      </c>
      <c r="BS129" s="112">
        <f t="shared" si="142"/>
        <v>1433391.9843770277</v>
      </c>
      <c r="BT129" s="112">
        <f t="shared" si="142"/>
        <v>0</v>
      </c>
      <c r="BU129" s="112">
        <f t="shared" si="142"/>
        <v>0</v>
      </c>
      <c r="BV129" s="112">
        <f t="shared" si="93"/>
        <v>0</v>
      </c>
      <c r="BW129" s="112">
        <f t="shared" si="94"/>
        <v>0</v>
      </c>
      <c r="BX129" s="112">
        <f t="shared" si="121"/>
        <v>1433391.9843770277</v>
      </c>
      <c r="BY129" s="112">
        <f t="shared" si="122"/>
        <v>1433391.9843770277</v>
      </c>
      <c r="BZ129" s="113">
        <f t="shared" si="91"/>
        <v>0</v>
      </c>
      <c r="CA129" s="113">
        <f t="shared" si="91"/>
        <v>0</v>
      </c>
      <c r="CB129" s="113">
        <f t="shared" si="123"/>
        <v>0</v>
      </c>
      <c r="CC129" s="119" t="e">
        <f t="shared" si="92"/>
        <v>#DIV/0!</v>
      </c>
      <c r="CD129" s="119" t="e">
        <f t="shared" si="92"/>
        <v>#DIV/0!</v>
      </c>
      <c r="CE129" s="119" t="e">
        <f t="shared" si="124"/>
        <v>#DIV/0!</v>
      </c>
      <c r="CF129" s="113" t="e">
        <f t="shared" si="95"/>
        <v>#DIV/0!</v>
      </c>
      <c r="CG129" s="619">
        <f t="shared" si="96"/>
        <v>0</v>
      </c>
      <c r="CH129" s="132" t="e">
        <f t="shared" si="125"/>
        <v>#DIV/0!</v>
      </c>
      <c r="CI129" s="106"/>
      <c r="CJ129" s="112">
        <f t="shared" si="97"/>
        <v>1948.90213366596</v>
      </c>
      <c r="CK129" s="112">
        <f t="shared" si="98"/>
        <v>1433.3919843770277</v>
      </c>
      <c r="CL129" s="112">
        <f t="shared" si="84"/>
        <v>3382.294118042988</v>
      </c>
      <c r="CM129" s="112">
        <f t="shared" si="99"/>
        <v>3382294.1180429878</v>
      </c>
      <c r="CN129" s="112">
        <f t="shared" si="100"/>
        <v>3224817.5598266399</v>
      </c>
      <c r="CO129" s="112">
        <f t="shared" si="101"/>
        <v>3224817.5598266399</v>
      </c>
      <c r="CP129" s="112">
        <f t="shared" si="102"/>
        <v>1948902.13366596</v>
      </c>
      <c r="CQ129" s="112">
        <f t="shared" si="103"/>
        <v>3622832.3183167442</v>
      </c>
      <c r="CR129" s="112">
        <f t="shared" si="104"/>
        <v>3622832.3183167442</v>
      </c>
      <c r="CS129" s="112">
        <f t="shared" si="105"/>
        <v>1433391.9843770277</v>
      </c>
      <c r="CT129" s="112">
        <f t="shared" si="126"/>
        <v>6847649.8781433841</v>
      </c>
      <c r="CU129" s="124">
        <f t="shared" si="127"/>
        <v>7256244</v>
      </c>
      <c r="CV129" s="112">
        <f t="shared" si="106"/>
        <v>0</v>
      </c>
      <c r="CW129" s="112">
        <f t="shared" si="107"/>
        <v>0</v>
      </c>
      <c r="CX129" s="112">
        <f t="shared" si="128"/>
        <v>0</v>
      </c>
      <c r="CY129" s="112">
        <f t="shared" si="108"/>
        <v>3224817.5598266399</v>
      </c>
      <c r="CZ129" s="112">
        <f t="shared" si="109"/>
        <v>3622832.3183167442</v>
      </c>
      <c r="DA129" s="106"/>
      <c r="DB129" s="128" t="e">
        <f t="shared" si="129"/>
        <v>#DIV/0!</v>
      </c>
      <c r="DC129" s="106"/>
      <c r="DD129" s="106"/>
      <c r="DE129" s="106"/>
      <c r="DF129" s="106"/>
      <c r="DG129" s="618">
        <f t="shared" si="110"/>
        <v>0</v>
      </c>
      <c r="DH129" s="618">
        <f t="shared" si="111"/>
        <v>0</v>
      </c>
      <c r="DI129" s="618">
        <f t="shared" si="112"/>
        <v>0</v>
      </c>
      <c r="DJ129" s="115"/>
    </row>
    <row r="130" spans="1:114" s="13" customFormat="1" ht="60" hidden="1" customHeight="1">
      <c r="A130" s="695">
        <f t="shared" si="130"/>
        <v>115</v>
      </c>
      <c r="B130" s="1503"/>
      <c r="C130" s="1503"/>
      <c r="D130" s="805" t="s">
        <v>137</v>
      </c>
      <c r="E130" s="805">
        <v>4632001454</v>
      </c>
      <c r="F130" s="696" t="s">
        <v>8</v>
      </c>
      <c r="G130" s="805" t="s">
        <v>906</v>
      </c>
      <c r="H130" s="697">
        <v>3125.12</v>
      </c>
      <c r="I130" s="697">
        <v>0</v>
      </c>
      <c r="J130" s="697">
        <v>0</v>
      </c>
      <c r="K130" s="697">
        <v>0</v>
      </c>
      <c r="L130" s="697">
        <v>3125.12</v>
      </c>
      <c r="M130" s="698">
        <v>0</v>
      </c>
      <c r="N130" s="698">
        <v>3535.64</v>
      </c>
      <c r="O130" s="698">
        <v>0</v>
      </c>
      <c r="P130" s="698">
        <v>0</v>
      </c>
      <c r="Q130" s="698">
        <v>0</v>
      </c>
      <c r="R130" s="698">
        <v>3535.64</v>
      </c>
      <c r="S130" s="698">
        <v>0</v>
      </c>
      <c r="T130" s="699">
        <v>0</v>
      </c>
      <c r="U130" s="699">
        <v>0</v>
      </c>
      <c r="V130" s="699">
        <v>0</v>
      </c>
      <c r="W130" s="704">
        <v>472</v>
      </c>
      <c r="X130" s="699">
        <v>0</v>
      </c>
      <c r="Y130" s="704">
        <v>3563.5</v>
      </c>
      <c r="Z130" s="99">
        <f t="shared" si="131"/>
        <v>472</v>
      </c>
      <c r="AA130" s="699">
        <v>0</v>
      </c>
      <c r="AB130" s="699">
        <v>0</v>
      </c>
      <c r="AC130" s="699">
        <v>0</v>
      </c>
      <c r="AD130" s="704">
        <v>275</v>
      </c>
      <c r="AE130" s="699">
        <v>0</v>
      </c>
      <c r="AF130" s="704">
        <v>2915.6</v>
      </c>
      <c r="AG130" s="99">
        <f t="shared" si="132"/>
        <v>275</v>
      </c>
      <c r="AH130" s="99">
        <f t="shared" si="113"/>
        <v>747</v>
      </c>
      <c r="AI130" s="18">
        <f t="shared" si="134"/>
        <v>0</v>
      </c>
      <c r="AJ130" s="18">
        <f t="shared" si="134"/>
        <v>0</v>
      </c>
      <c r="AK130" s="18">
        <f t="shared" si="134"/>
        <v>0</v>
      </c>
      <c r="AL130" s="702">
        <f t="shared" si="134"/>
        <v>747</v>
      </c>
      <c r="AM130" s="18">
        <f t="shared" si="133"/>
        <v>0</v>
      </c>
      <c r="AN130" s="18"/>
      <c r="AO130" s="702">
        <f>SUM(AI130:AN130)</f>
        <v>747</v>
      </c>
      <c r="AP130" s="702">
        <f t="shared" si="86"/>
        <v>747</v>
      </c>
      <c r="AQ130" s="703">
        <f t="shared" si="81"/>
        <v>747</v>
      </c>
      <c r="AR130" s="99">
        <f t="shared" si="114"/>
        <v>0</v>
      </c>
      <c r="AS130" s="18">
        <f t="shared" si="146"/>
        <v>0</v>
      </c>
      <c r="AT130" s="18">
        <f t="shared" si="146"/>
        <v>0</v>
      </c>
      <c r="AU130" s="18">
        <f t="shared" si="146"/>
        <v>0</v>
      </c>
      <c r="AV130" s="18">
        <f t="shared" si="146"/>
        <v>2334464.64</v>
      </c>
      <c r="AW130" s="18">
        <f t="shared" si="146"/>
        <v>0</v>
      </c>
      <c r="AX130" s="18">
        <f t="shared" si="115"/>
        <v>2334464.64</v>
      </c>
      <c r="AY130" s="18">
        <f t="shared" si="116"/>
        <v>2334464.64</v>
      </c>
      <c r="AZ130" s="18">
        <f t="shared" si="147"/>
        <v>0</v>
      </c>
      <c r="BA130" s="18">
        <f t="shared" si="147"/>
        <v>0</v>
      </c>
      <c r="BB130" s="18">
        <f t="shared" si="147"/>
        <v>0</v>
      </c>
      <c r="BC130" s="18">
        <f t="shared" si="147"/>
        <v>2641123.08</v>
      </c>
      <c r="BD130" s="18">
        <f t="shared" si="147"/>
        <v>0</v>
      </c>
      <c r="BE130" s="18">
        <f t="shared" si="117"/>
        <v>2641123.08</v>
      </c>
      <c r="BF130" s="18">
        <f t="shared" si="118"/>
        <v>2641123.08</v>
      </c>
      <c r="BG130" s="18">
        <v>0</v>
      </c>
      <c r="BH130" s="18">
        <v>0</v>
      </c>
      <c r="BI130" s="18">
        <f t="shared" si="148"/>
        <v>0</v>
      </c>
      <c r="BJ130" s="29">
        <v>19909.953029100812</v>
      </c>
      <c r="BK130" s="29">
        <v>14252.69</v>
      </c>
      <c r="BL130" s="18">
        <f t="shared" si="141"/>
        <v>0</v>
      </c>
      <c r="BM130" s="18">
        <f t="shared" si="141"/>
        <v>0</v>
      </c>
      <c r="BN130" s="18">
        <f t="shared" si="141"/>
        <v>0</v>
      </c>
      <c r="BO130" s="18">
        <f t="shared" si="141"/>
        <v>1475056.6399999999</v>
      </c>
      <c r="BP130" s="18">
        <f t="shared" si="141"/>
        <v>0</v>
      </c>
      <c r="BQ130" s="18">
        <f t="shared" si="119"/>
        <v>1475056.6399999999</v>
      </c>
      <c r="BR130" s="18">
        <f t="shared" si="120"/>
        <v>1475056.6399999999</v>
      </c>
      <c r="BS130" s="18">
        <f t="shared" si="142"/>
        <v>0</v>
      </c>
      <c r="BT130" s="18">
        <f t="shared" si="142"/>
        <v>0</v>
      </c>
      <c r="BU130" s="18">
        <f t="shared" si="142"/>
        <v>0</v>
      </c>
      <c r="BV130" s="18">
        <f t="shared" si="93"/>
        <v>1668822.0799999998</v>
      </c>
      <c r="BW130" s="18">
        <f t="shared" si="94"/>
        <v>0</v>
      </c>
      <c r="BX130" s="18">
        <f t="shared" si="121"/>
        <v>1668822.0799999998</v>
      </c>
      <c r="BY130" s="18">
        <f t="shared" si="122"/>
        <v>1668822.0799999998</v>
      </c>
      <c r="BZ130" s="161">
        <f t="shared" si="91"/>
        <v>0</v>
      </c>
      <c r="CA130" s="161">
        <f t="shared" si="91"/>
        <v>0</v>
      </c>
      <c r="CB130" s="161">
        <f t="shared" si="123"/>
        <v>0</v>
      </c>
      <c r="CC130" s="162" t="e">
        <f t="shared" si="92"/>
        <v>#DIV/0!</v>
      </c>
      <c r="CD130" s="162" t="e">
        <f t="shared" si="92"/>
        <v>#DIV/0!</v>
      </c>
      <c r="CE130" s="162" t="e">
        <f t="shared" si="124"/>
        <v>#DIV/0!</v>
      </c>
      <c r="CF130" s="161" t="e">
        <f t="shared" si="95"/>
        <v>#DIV/0!</v>
      </c>
      <c r="CG130" s="651">
        <f t="shared" si="96"/>
        <v>0</v>
      </c>
      <c r="CH130" s="652" t="e">
        <f t="shared" si="125"/>
        <v>#DIV/0!</v>
      </c>
      <c r="CJ130" s="18">
        <f t="shared" si="97"/>
        <v>1475.0566399999998</v>
      </c>
      <c r="CK130" s="18">
        <f t="shared" si="98"/>
        <v>972.30100000000004</v>
      </c>
      <c r="CL130" s="18">
        <f t="shared" si="84"/>
        <v>2447.3576399999997</v>
      </c>
      <c r="CM130" s="18">
        <f t="shared" si="99"/>
        <v>2447357.6399999997</v>
      </c>
      <c r="CN130" s="18">
        <f t="shared" si="100"/>
        <v>2334464.64</v>
      </c>
      <c r="CO130" s="18">
        <f t="shared" si="101"/>
        <v>2334464.64</v>
      </c>
      <c r="CP130" s="18">
        <f t="shared" si="102"/>
        <v>1475056.6399999999</v>
      </c>
      <c r="CQ130" s="18">
        <f t="shared" si="103"/>
        <v>2641123.08</v>
      </c>
      <c r="CR130" s="18">
        <f t="shared" si="104"/>
        <v>2641123.08</v>
      </c>
      <c r="CS130" s="18">
        <f t="shared" si="105"/>
        <v>972301</v>
      </c>
      <c r="CT130" s="18">
        <f t="shared" si="126"/>
        <v>4975587.7200000007</v>
      </c>
      <c r="CU130" s="29">
        <f t="shared" si="127"/>
        <v>6660760.0000000009</v>
      </c>
      <c r="CV130" s="18">
        <f t="shared" si="106"/>
        <v>0</v>
      </c>
      <c r="CW130" s="18">
        <f t="shared" si="107"/>
        <v>0</v>
      </c>
      <c r="CX130" s="18">
        <f t="shared" si="128"/>
        <v>0</v>
      </c>
      <c r="CY130" s="18">
        <f t="shared" si="108"/>
        <v>2334464.64</v>
      </c>
      <c r="CZ130" s="18">
        <f t="shared" si="109"/>
        <v>2641123.08</v>
      </c>
      <c r="DB130" s="653" t="e">
        <f t="shared" si="129"/>
        <v>#DIV/0!</v>
      </c>
      <c r="DG130" s="701">
        <f t="shared" si="110"/>
        <v>0</v>
      </c>
      <c r="DH130" s="701">
        <f t="shared" si="111"/>
        <v>0</v>
      </c>
      <c r="DI130" s="701">
        <f t="shared" si="112"/>
        <v>0</v>
      </c>
    </row>
    <row r="131" spans="1:114" s="100" customFormat="1" ht="63.75" hidden="1" customHeight="1">
      <c r="A131" s="20">
        <f t="shared" si="130"/>
        <v>116</v>
      </c>
      <c r="B131" s="1561"/>
      <c r="C131" s="1503"/>
      <c r="D131" s="696" t="s">
        <v>49</v>
      </c>
      <c r="E131" s="696">
        <v>4632033706</v>
      </c>
      <c r="F131" s="696" t="s">
        <v>184</v>
      </c>
      <c r="G131" s="805" t="s">
        <v>908</v>
      </c>
      <c r="H131" s="697">
        <f>160.37*1.2</f>
        <v>192.44399999999999</v>
      </c>
      <c r="I131" s="697">
        <v>0</v>
      </c>
      <c r="J131" s="697">
        <v>0</v>
      </c>
      <c r="K131" s="697">
        <v>0</v>
      </c>
      <c r="L131" s="697">
        <f>H131</f>
        <v>192.44399999999999</v>
      </c>
      <c r="M131" s="698">
        <v>0</v>
      </c>
      <c r="N131" s="698">
        <f>H131</f>
        <v>192.44399999999999</v>
      </c>
      <c r="O131" s="698">
        <v>0</v>
      </c>
      <c r="P131" s="698">
        <v>0</v>
      </c>
      <c r="Q131" s="698">
        <v>0</v>
      </c>
      <c r="R131" s="653">
        <f>N131</f>
        <v>192.44399999999999</v>
      </c>
      <c r="S131" s="10">
        <v>0</v>
      </c>
      <c r="T131" s="15"/>
      <c r="U131" s="15"/>
      <c r="V131" s="208"/>
      <c r="W131" s="15"/>
      <c r="X131" s="15"/>
      <c r="Y131" s="15"/>
      <c r="Z131" s="35">
        <f t="shared" si="131"/>
        <v>0</v>
      </c>
      <c r="AA131" s="15"/>
      <c r="AB131" s="15"/>
      <c r="AC131" s="208"/>
      <c r="AD131" s="15"/>
      <c r="AE131" s="15"/>
      <c r="AF131" s="15">
        <v>0</v>
      </c>
      <c r="AG131" s="35">
        <f t="shared" si="132"/>
        <v>0</v>
      </c>
      <c r="AH131" s="35">
        <f t="shared" si="113"/>
        <v>0</v>
      </c>
      <c r="AI131" s="15">
        <f t="shared" si="134"/>
        <v>0</v>
      </c>
      <c r="AJ131" s="15">
        <f t="shared" si="134"/>
        <v>0</v>
      </c>
      <c r="AK131" s="15">
        <f t="shared" si="134"/>
        <v>0</v>
      </c>
      <c r="AL131" s="15">
        <f t="shared" si="134"/>
        <v>0</v>
      </c>
      <c r="AM131" s="15">
        <f t="shared" si="133"/>
        <v>0</v>
      </c>
      <c r="AN131" s="15"/>
      <c r="AO131" s="15">
        <f t="shared" si="85"/>
        <v>0</v>
      </c>
      <c r="AP131" s="15">
        <f t="shared" si="86"/>
        <v>0</v>
      </c>
      <c r="AQ131" s="15">
        <f t="shared" si="81"/>
        <v>0</v>
      </c>
      <c r="AR131" s="127">
        <f t="shared" si="114"/>
        <v>0</v>
      </c>
      <c r="AS131" s="112">
        <f t="shared" si="146"/>
        <v>0</v>
      </c>
      <c r="AT131" s="112">
        <f t="shared" si="146"/>
        <v>0</v>
      </c>
      <c r="AU131" s="112">
        <f t="shared" si="146"/>
        <v>0</v>
      </c>
      <c r="AV131" s="112">
        <f t="shared" si="146"/>
        <v>0</v>
      </c>
      <c r="AW131" s="112">
        <f t="shared" si="146"/>
        <v>0</v>
      </c>
      <c r="AX131" s="112">
        <f t="shared" si="115"/>
        <v>0</v>
      </c>
      <c r="AY131" s="112">
        <f t="shared" si="116"/>
        <v>0</v>
      </c>
      <c r="AZ131" s="112">
        <f t="shared" si="147"/>
        <v>0</v>
      </c>
      <c r="BA131" s="112">
        <f t="shared" si="147"/>
        <v>0</v>
      </c>
      <c r="BB131" s="112">
        <f t="shared" si="147"/>
        <v>0</v>
      </c>
      <c r="BC131" s="112">
        <f t="shared" si="147"/>
        <v>0</v>
      </c>
      <c r="BD131" s="112">
        <f t="shared" si="147"/>
        <v>0</v>
      </c>
      <c r="BE131" s="112">
        <f t="shared" si="117"/>
        <v>0</v>
      </c>
      <c r="BF131" s="112">
        <f t="shared" si="118"/>
        <v>0</v>
      </c>
      <c r="BG131" s="112"/>
      <c r="BH131" s="112"/>
      <c r="BI131" s="112">
        <f t="shared" si="148"/>
        <v>0</v>
      </c>
      <c r="BJ131" s="124">
        <v>30669.495915401152</v>
      </c>
      <c r="BK131" s="112">
        <v>30733.289999999997</v>
      </c>
      <c r="BL131" s="112">
        <f t="shared" ref="BL131:BP140" si="149">I131*T131</f>
        <v>0</v>
      </c>
      <c r="BM131" s="112">
        <f t="shared" si="149"/>
        <v>0</v>
      </c>
      <c r="BN131" s="112">
        <f t="shared" si="149"/>
        <v>0</v>
      </c>
      <c r="BO131" s="112">
        <f t="shared" si="149"/>
        <v>0</v>
      </c>
      <c r="BP131" s="112">
        <v>0</v>
      </c>
      <c r="BQ131" s="112">
        <f t="shared" si="119"/>
        <v>0</v>
      </c>
      <c r="BR131" s="112">
        <f t="shared" si="120"/>
        <v>0</v>
      </c>
      <c r="BS131" s="112">
        <f t="shared" si="142"/>
        <v>0</v>
      </c>
      <c r="BT131" s="112">
        <f t="shared" si="142"/>
        <v>0</v>
      </c>
      <c r="BU131" s="112">
        <f t="shared" si="142"/>
        <v>0</v>
      </c>
      <c r="BV131" s="112">
        <f t="shared" si="93"/>
        <v>0</v>
      </c>
      <c r="BW131" s="112">
        <v>0</v>
      </c>
      <c r="BX131" s="112">
        <f t="shared" si="121"/>
        <v>0</v>
      </c>
      <c r="BY131" s="112">
        <f t="shared" si="122"/>
        <v>0</v>
      </c>
      <c r="BZ131" s="113">
        <f t="shared" si="91"/>
        <v>0</v>
      </c>
      <c r="CA131" s="113">
        <f t="shared" si="91"/>
        <v>0</v>
      </c>
      <c r="CB131" s="113">
        <f t="shared" si="123"/>
        <v>0</v>
      </c>
      <c r="CC131" s="119" t="e">
        <f t="shared" si="92"/>
        <v>#DIV/0!</v>
      </c>
      <c r="CD131" s="119" t="e">
        <f t="shared" si="92"/>
        <v>#DIV/0!</v>
      </c>
      <c r="CE131" s="119" t="e">
        <f t="shared" si="124"/>
        <v>#DIV/0!</v>
      </c>
      <c r="CF131" s="113" t="e">
        <f t="shared" si="95"/>
        <v>#DIV/0!</v>
      </c>
      <c r="CG131" s="619">
        <f t="shared" si="96"/>
        <v>0</v>
      </c>
      <c r="CH131" s="132" t="e">
        <f t="shared" si="125"/>
        <v>#DIV/0!</v>
      </c>
      <c r="CI131" s="106"/>
      <c r="CJ131" s="112">
        <f t="shared" si="97"/>
        <v>0</v>
      </c>
      <c r="CK131" s="112">
        <f t="shared" si="98"/>
        <v>0</v>
      </c>
      <c r="CL131" s="112">
        <f t="shared" si="84"/>
        <v>0</v>
      </c>
      <c r="CM131" s="112">
        <f t="shared" si="99"/>
        <v>0</v>
      </c>
      <c r="CN131" s="112">
        <f t="shared" si="100"/>
        <v>0</v>
      </c>
      <c r="CO131" s="112">
        <f t="shared" si="101"/>
        <v>0</v>
      </c>
      <c r="CP131" s="112">
        <f t="shared" si="102"/>
        <v>0</v>
      </c>
      <c r="CQ131" s="112">
        <f t="shared" si="103"/>
        <v>0</v>
      </c>
      <c r="CR131" s="112">
        <f t="shared" si="104"/>
        <v>0</v>
      </c>
      <c r="CS131" s="112">
        <f t="shared" si="105"/>
        <v>0</v>
      </c>
      <c r="CT131" s="112">
        <f t="shared" si="126"/>
        <v>0</v>
      </c>
      <c r="CU131" s="124" t="e">
        <f t="shared" si="127"/>
        <v>#DIV/0!</v>
      </c>
      <c r="CV131" s="112">
        <f t="shared" si="106"/>
        <v>0</v>
      </c>
      <c r="CW131" s="112">
        <f t="shared" si="107"/>
        <v>0</v>
      </c>
      <c r="CX131" s="112">
        <f t="shared" si="128"/>
        <v>0</v>
      </c>
      <c r="CY131" s="112">
        <f t="shared" si="108"/>
        <v>0</v>
      </c>
      <c r="CZ131" s="112">
        <f t="shared" si="109"/>
        <v>0</v>
      </c>
      <c r="DA131" s="106"/>
      <c r="DB131" s="128" t="e">
        <f t="shared" si="129"/>
        <v>#DIV/0!</v>
      </c>
      <c r="DC131" s="106"/>
      <c r="DD131" s="106"/>
      <c r="DE131" s="106"/>
      <c r="DF131" s="106"/>
      <c r="DG131" s="618">
        <f t="shared" si="110"/>
        <v>0</v>
      </c>
      <c r="DH131" s="618">
        <f t="shared" si="111"/>
        <v>0</v>
      </c>
      <c r="DI131" s="618">
        <f t="shared" si="112"/>
        <v>0</v>
      </c>
      <c r="DJ131" s="172"/>
    </row>
    <row r="132" spans="1:114" s="13" customFormat="1" ht="62.25" hidden="1" customHeight="1">
      <c r="A132" s="695">
        <f t="shared" si="130"/>
        <v>117</v>
      </c>
      <c r="B132" s="1503"/>
      <c r="C132" s="1503"/>
      <c r="D132" s="696" t="s">
        <v>50</v>
      </c>
      <c r="E132" s="696">
        <v>4632032678</v>
      </c>
      <c r="F132" s="696" t="s">
        <v>8</v>
      </c>
      <c r="G132" s="805" t="s">
        <v>863</v>
      </c>
      <c r="H132" s="697">
        <v>2257.9299999999998</v>
      </c>
      <c r="I132" s="697">
        <v>2257.9299999999998</v>
      </c>
      <c r="J132" s="697">
        <v>0</v>
      </c>
      <c r="K132" s="697">
        <v>0</v>
      </c>
      <c r="L132" s="697">
        <v>2257.9299999999998</v>
      </c>
      <c r="M132" s="698">
        <v>0</v>
      </c>
      <c r="N132" s="698">
        <f>2004.66*1.2</f>
        <v>2405.5920000000001</v>
      </c>
      <c r="O132" s="698">
        <f>N132</f>
        <v>2405.5920000000001</v>
      </c>
      <c r="P132" s="698">
        <v>0</v>
      </c>
      <c r="Q132" s="698">
        <v>0</v>
      </c>
      <c r="R132" s="698">
        <f>N132</f>
        <v>2405.5920000000001</v>
      </c>
      <c r="S132" s="698">
        <v>0</v>
      </c>
      <c r="T132" s="699">
        <v>201.3</v>
      </c>
      <c r="U132" s="699">
        <v>0</v>
      </c>
      <c r="V132" s="699">
        <v>0</v>
      </c>
      <c r="W132" s="700">
        <v>3840.48</v>
      </c>
      <c r="X132" s="699">
        <v>0</v>
      </c>
      <c r="Y132" s="699">
        <v>0</v>
      </c>
      <c r="Z132" s="99">
        <f>SUM(T132:W132)</f>
        <v>4041.78</v>
      </c>
      <c r="AA132" s="699">
        <v>128.69999999999999</v>
      </c>
      <c r="AB132" s="699">
        <v>0</v>
      </c>
      <c r="AC132" s="699">
        <v>0</v>
      </c>
      <c r="AD132" s="700">
        <v>3271.52</v>
      </c>
      <c r="AE132" s="699">
        <v>0</v>
      </c>
      <c r="AF132" s="699">
        <v>0</v>
      </c>
      <c r="AG132" s="99">
        <f>SUM(AA132:AD132)</f>
        <v>3400.22</v>
      </c>
      <c r="AH132" s="99">
        <f t="shared" si="113"/>
        <v>7442</v>
      </c>
      <c r="AI132" s="18">
        <f t="shared" si="134"/>
        <v>330</v>
      </c>
      <c r="AJ132" s="18">
        <f t="shared" si="134"/>
        <v>0</v>
      </c>
      <c r="AK132" s="18">
        <f t="shared" si="134"/>
        <v>0</v>
      </c>
      <c r="AL132" s="702">
        <f t="shared" si="134"/>
        <v>7112</v>
      </c>
      <c r="AM132" s="18">
        <f t="shared" si="133"/>
        <v>0</v>
      </c>
      <c r="AN132" s="18"/>
      <c r="AO132" s="702">
        <f t="shared" si="85"/>
        <v>7442</v>
      </c>
      <c r="AP132" s="702">
        <f t="shared" si="86"/>
        <v>7442</v>
      </c>
      <c r="AQ132" s="703">
        <f t="shared" si="81"/>
        <v>7442</v>
      </c>
      <c r="AR132" s="99">
        <f t="shared" si="114"/>
        <v>0</v>
      </c>
      <c r="AS132" s="18">
        <f t="shared" si="146"/>
        <v>745116.89999999991</v>
      </c>
      <c r="AT132" s="18">
        <f t="shared" si="146"/>
        <v>0</v>
      </c>
      <c r="AU132" s="18">
        <f t="shared" si="146"/>
        <v>0</v>
      </c>
      <c r="AV132" s="12">
        <f t="shared" si="146"/>
        <v>16058398.159999998</v>
      </c>
      <c r="AW132" s="12">
        <f t="shared" si="146"/>
        <v>0</v>
      </c>
      <c r="AX132" s="18">
        <f t="shared" si="115"/>
        <v>16803515.059999999</v>
      </c>
      <c r="AY132" s="18">
        <f t="shared" si="116"/>
        <v>16803515.059999999</v>
      </c>
      <c r="AZ132" s="18">
        <f t="shared" si="147"/>
        <v>793845.36</v>
      </c>
      <c r="BA132" s="18">
        <f t="shared" si="147"/>
        <v>0</v>
      </c>
      <c r="BB132" s="18">
        <f t="shared" si="147"/>
        <v>0</v>
      </c>
      <c r="BC132" s="18">
        <f t="shared" si="147"/>
        <v>17108570.304000001</v>
      </c>
      <c r="BD132" s="18">
        <f t="shared" si="147"/>
        <v>0</v>
      </c>
      <c r="BE132" s="18">
        <f t="shared" si="117"/>
        <v>17902415.664000001</v>
      </c>
      <c r="BF132" s="18">
        <f t="shared" si="118"/>
        <v>17902415.664000001</v>
      </c>
      <c r="BG132" s="18">
        <v>0</v>
      </c>
      <c r="BH132" s="18">
        <v>0</v>
      </c>
      <c r="BI132" s="18">
        <f t="shared" si="148"/>
        <v>0</v>
      </c>
      <c r="BJ132" s="29">
        <v>14421.328978950489</v>
      </c>
      <c r="BK132" s="29">
        <v>13244.1</v>
      </c>
      <c r="BL132" s="18">
        <f t="shared" si="149"/>
        <v>454521.30900000001</v>
      </c>
      <c r="BM132" s="18">
        <f t="shared" si="149"/>
        <v>0</v>
      </c>
      <c r="BN132" s="18">
        <f t="shared" si="149"/>
        <v>0</v>
      </c>
      <c r="BO132" s="18">
        <f t="shared" si="149"/>
        <v>8671535.0064000003</v>
      </c>
      <c r="BP132" s="18">
        <f t="shared" si="149"/>
        <v>0</v>
      </c>
      <c r="BQ132" s="18">
        <f t="shared" si="119"/>
        <v>9126056.3154000007</v>
      </c>
      <c r="BR132" s="18">
        <f t="shared" si="120"/>
        <v>9126056.3154000007</v>
      </c>
      <c r="BS132" s="18">
        <f t="shared" si="142"/>
        <v>309599.69039999996</v>
      </c>
      <c r="BT132" s="18">
        <f t="shared" si="142"/>
        <v>0</v>
      </c>
      <c r="BU132" s="18">
        <f t="shared" si="142"/>
        <v>0</v>
      </c>
      <c r="BV132" s="18">
        <f t="shared" si="93"/>
        <v>9238627.9641600009</v>
      </c>
      <c r="BW132" s="18">
        <f t="shared" ref="BW132:BW141" si="150">S132*AE132</f>
        <v>0</v>
      </c>
      <c r="BX132" s="18">
        <f t="shared" si="121"/>
        <v>9548227.6545600016</v>
      </c>
      <c r="BY132" s="18">
        <f t="shared" si="122"/>
        <v>9548227.6545600016</v>
      </c>
      <c r="BZ132" s="161">
        <f t="shared" si="91"/>
        <v>0</v>
      </c>
      <c r="CA132" s="161">
        <f t="shared" si="91"/>
        <v>0</v>
      </c>
      <c r="CB132" s="161">
        <f t="shared" si="123"/>
        <v>0</v>
      </c>
      <c r="CC132" s="162" t="e">
        <f t="shared" si="92"/>
        <v>#DIV/0!</v>
      </c>
      <c r="CD132" s="162" t="e">
        <f t="shared" si="92"/>
        <v>#DIV/0!</v>
      </c>
      <c r="CE132" s="162" t="e">
        <f t="shared" si="124"/>
        <v>#DIV/0!</v>
      </c>
      <c r="CF132" s="161" t="e">
        <f t="shared" si="95"/>
        <v>#DIV/0!</v>
      </c>
      <c r="CG132" s="651">
        <f t="shared" si="96"/>
        <v>0</v>
      </c>
      <c r="CH132" s="652" t="e">
        <f t="shared" si="125"/>
        <v>#DIV/0!</v>
      </c>
      <c r="CJ132" s="18">
        <f t="shared" si="97"/>
        <v>9126.056315400001</v>
      </c>
      <c r="CK132" s="18">
        <f t="shared" si="98"/>
        <v>8179.5420302399998</v>
      </c>
      <c r="CL132" s="18">
        <f t="shared" si="84"/>
        <v>17305.598345639999</v>
      </c>
      <c r="CM132" s="18">
        <f t="shared" si="99"/>
        <v>17305598.34564</v>
      </c>
      <c r="CN132" s="18">
        <f t="shared" si="100"/>
        <v>16803515.059999999</v>
      </c>
      <c r="CO132" s="18">
        <f t="shared" si="101"/>
        <v>16803515.059999999</v>
      </c>
      <c r="CP132" s="18">
        <f t="shared" si="102"/>
        <v>9126056.3154000007</v>
      </c>
      <c r="CQ132" s="18">
        <f t="shared" si="103"/>
        <v>17902415.664000001</v>
      </c>
      <c r="CR132" s="18">
        <f t="shared" si="104"/>
        <v>17902415.664000001</v>
      </c>
      <c r="CS132" s="18">
        <f t="shared" si="105"/>
        <v>8179542.0302400002</v>
      </c>
      <c r="CT132" s="18">
        <f t="shared" si="126"/>
        <v>34705930.723999999</v>
      </c>
      <c r="CU132" s="29">
        <f t="shared" si="127"/>
        <v>4663522</v>
      </c>
      <c r="CV132" s="18">
        <f t="shared" si="106"/>
        <v>0</v>
      </c>
      <c r="CW132" s="18">
        <f t="shared" si="107"/>
        <v>0</v>
      </c>
      <c r="CX132" s="18">
        <f t="shared" si="128"/>
        <v>0</v>
      </c>
      <c r="CY132" s="18">
        <f t="shared" si="108"/>
        <v>16803515.059999999</v>
      </c>
      <c r="CZ132" s="18">
        <f t="shared" si="109"/>
        <v>17902415.664000001</v>
      </c>
      <c r="DB132" s="653" t="e">
        <f t="shared" si="129"/>
        <v>#DIV/0!</v>
      </c>
      <c r="DG132" s="701">
        <f t="shared" si="110"/>
        <v>0</v>
      </c>
      <c r="DH132" s="701">
        <f t="shared" si="111"/>
        <v>0</v>
      </c>
      <c r="DI132" s="701">
        <f t="shared" si="112"/>
        <v>0</v>
      </c>
    </row>
    <row r="133" spans="1:114" s="13" customFormat="1" ht="77.25" hidden="1" customHeight="1">
      <c r="A133" s="695">
        <f t="shared" si="130"/>
        <v>118</v>
      </c>
      <c r="B133" s="1503"/>
      <c r="C133" s="1503"/>
      <c r="D133" s="696" t="s">
        <v>51</v>
      </c>
      <c r="E133" s="696">
        <v>4632077904</v>
      </c>
      <c r="F133" s="696" t="s">
        <v>8</v>
      </c>
      <c r="G133" s="805" t="s">
        <v>864</v>
      </c>
      <c r="H133" s="697">
        <v>1069.8</v>
      </c>
      <c r="I133" s="697">
        <v>1069.8</v>
      </c>
      <c r="J133" s="697">
        <v>0</v>
      </c>
      <c r="K133" s="697">
        <v>0</v>
      </c>
      <c r="L133" s="697">
        <v>1069.8</v>
      </c>
      <c r="M133" s="698">
        <v>0</v>
      </c>
      <c r="N133" s="698">
        <f>949.42*1.2</f>
        <v>1139.3039999999999</v>
      </c>
      <c r="O133" s="698">
        <f>N133</f>
        <v>1139.3039999999999</v>
      </c>
      <c r="P133" s="698">
        <v>0</v>
      </c>
      <c r="Q133" s="698">
        <v>0</v>
      </c>
      <c r="R133" s="698">
        <f>N133</f>
        <v>1139.3039999999999</v>
      </c>
      <c r="S133" s="698">
        <v>0</v>
      </c>
      <c r="T133" s="699">
        <v>57</v>
      </c>
      <c r="U133" s="699">
        <v>0</v>
      </c>
      <c r="V133" s="699">
        <v>0</v>
      </c>
      <c r="W133" s="704">
        <v>5107.6000000000004</v>
      </c>
      <c r="X133" s="699">
        <v>0</v>
      </c>
      <c r="Y133" s="699">
        <v>0</v>
      </c>
      <c r="Z133" s="99">
        <f>SUM(T133:W133)</f>
        <v>5164.6000000000004</v>
      </c>
      <c r="AA133" s="699">
        <v>51</v>
      </c>
      <c r="AB133" s="699">
        <v>0</v>
      </c>
      <c r="AC133" s="699">
        <v>0</v>
      </c>
      <c r="AD133" s="704">
        <v>3130.4</v>
      </c>
      <c r="AE133" s="699">
        <v>0</v>
      </c>
      <c r="AF133" s="699">
        <v>0</v>
      </c>
      <c r="AG133" s="99">
        <f>SUM(AA133:AD133)</f>
        <v>3181.4</v>
      </c>
      <c r="AH133" s="99">
        <f>Z133+AG133</f>
        <v>8346</v>
      </c>
      <c r="AI133" s="18">
        <f t="shared" si="134"/>
        <v>108</v>
      </c>
      <c r="AJ133" s="18">
        <f t="shared" si="134"/>
        <v>0</v>
      </c>
      <c r="AK133" s="18">
        <f t="shared" si="134"/>
        <v>0</v>
      </c>
      <c r="AL133" s="702">
        <f>W133+AD133</f>
        <v>8238</v>
      </c>
      <c r="AM133" s="18">
        <f t="shared" si="133"/>
        <v>0</v>
      </c>
      <c r="AN133" s="18"/>
      <c r="AO133" s="18">
        <f>SUM(AI133:AN133)</f>
        <v>8346</v>
      </c>
      <c r="AP133" s="18">
        <f>SUM(AI133:AM133)</f>
        <v>8346</v>
      </c>
      <c r="AQ133" s="12">
        <f>SUM(AI133:AL133)</f>
        <v>8346</v>
      </c>
      <c r="AR133" s="99">
        <f t="shared" si="114"/>
        <v>0</v>
      </c>
      <c r="AS133" s="18">
        <f t="shared" si="146"/>
        <v>115538.4</v>
      </c>
      <c r="AT133" s="18">
        <f t="shared" si="146"/>
        <v>0</v>
      </c>
      <c r="AU133" s="18">
        <f t="shared" si="146"/>
        <v>0</v>
      </c>
      <c r="AV133" s="12">
        <f t="shared" si="146"/>
        <v>8813012.4000000004</v>
      </c>
      <c r="AW133" s="12">
        <f t="shared" si="146"/>
        <v>0</v>
      </c>
      <c r="AX133" s="18">
        <f t="shared" si="115"/>
        <v>8928550.8000000007</v>
      </c>
      <c r="AY133" s="18">
        <f t="shared" si="116"/>
        <v>8928550.8000000007</v>
      </c>
      <c r="AZ133" s="18">
        <f t="shared" si="147"/>
        <v>123044.83199999998</v>
      </c>
      <c r="BA133" s="18">
        <f t="shared" si="147"/>
        <v>0</v>
      </c>
      <c r="BB133" s="18">
        <f t="shared" si="147"/>
        <v>0</v>
      </c>
      <c r="BC133" s="18">
        <f t="shared" si="147"/>
        <v>9385586.3519999981</v>
      </c>
      <c r="BD133" s="18">
        <f t="shared" si="147"/>
        <v>0</v>
      </c>
      <c r="BE133" s="18">
        <f t="shared" si="117"/>
        <v>9508631.1839999985</v>
      </c>
      <c r="BF133" s="18">
        <f t="shared" si="118"/>
        <v>9508631.1839999985</v>
      </c>
      <c r="BG133" s="18">
        <v>0</v>
      </c>
      <c r="BH133" s="18">
        <v>0</v>
      </c>
      <c r="BI133" s="18">
        <f t="shared" si="148"/>
        <v>0</v>
      </c>
      <c r="BJ133" s="29">
        <v>7624.7214919875332</v>
      </c>
      <c r="BK133" s="29">
        <v>11522.3</v>
      </c>
      <c r="BL133" s="18">
        <f>I133*T133</f>
        <v>60978.6</v>
      </c>
      <c r="BM133" s="18">
        <f t="shared" si="149"/>
        <v>0</v>
      </c>
      <c r="BN133" s="18">
        <f t="shared" si="149"/>
        <v>0</v>
      </c>
      <c r="BO133" s="18">
        <f t="shared" si="149"/>
        <v>5464110.4800000004</v>
      </c>
      <c r="BP133" s="18">
        <f t="shared" si="149"/>
        <v>0</v>
      </c>
      <c r="BQ133" s="18">
        <f t="shared" si="119"/>
        <v>5525089.0800000001</v>
      </c>
      <c r="BR133" s="18">
        <f t="shared" si="120"/>
        <v>5525089.0800000001</v>
      </c>
      <c r="BS133" s="18">
        <f t="shared" si="142"/>
        <v>58104.503999999994</v>
      </c>
      <c r="BT133" s="18">
        <f t="shared" si="142"/>
        <v>0</v>
      </c>
      <c r="BU133" s="18">
        <f t="shared" si="142"/>
        <v>0</v>
      </c>
      <c r="BV133" s="18">
        <f t="shared" si="93"/>
        <v>5819109.1103999997</v>
      </c>
      <c r="BW133" s="18">
        <f t="shared" si="150"/>
        <v>0</v>
      </c>
      <c r="BX133" s="18">
        <f t="shared" si="121"/>
        <v>5877213.6143999994</v>
      </c>
      <c r="BY133" s="18">
        <f t="shared" si="122"/>
        <v>5877213.6143999994</v>
      </c>
      <c r="BZ133" s="161">
        <f t="shared" si="91"/>
        <v>0</v>
      </c>
      <c r="CA133" s="161">
        <f t="shared" si="91"/>
        <v>0</v>
      </c>
      <c r="CB133" s="161">
        <f t="shared" si="123"/>
        <v>0</v>
      </c>
      <c r="CC133" s="162" t="e">
        <f t="shared" si="92"/>
        <v>#DIV/0!</v>
      </c>
      <c r="CD133" s="162" t="e">
        <f t="shared" si="92"/>
        <v>#DIV/0!</v>
      </c>
      <c r="CE133" s="162" t="e">
        <f t="shared" si="124"/>
        <v>#DIV/0!</v>
      </c>
      <c r="CF133" s="161" t="e">
        <f t="shared" si="95"/>
        <v>#DIV/0!</v>
      </c>
      <c r="CG133" s="651">
        <f t="shared" si="96"/>
        <v>0</v>
      </c>
      <c r="CH133" s="652" t="e">
        <f t="shared" si="125"/>
        <v>#DIV/0!</v>
      </c>
      <c r="CJ133" s="18">
        <f t="shared" si="97"/>
        <v>5525.0890799999997</v>
      </c>
      <c r="CK133" s="18">
        <f t="shared" si="98"/>
        <v>3624.5817455999995</v>
      </c>
      <c r="CL133" s="18">
        <f t="shared" si="84"/>
        <v>9149.6708255999984</v>
      </c>
      <c r="CM133" s="18">
        <f t="shared" si="99"/>
        <v>9149670.8256000001</v>
      </c>
      <c r="CN133" s="18">
        <f t="shared" si="100"/>
        <v>8928550.8000000007</v>
      </c>
      <c r="CO133" s="18">
        <f t="shared" si="101"/>
        <v>8928550.8000000007</v>
      </c>
      <c r="CP133" s="18">
        <f t="shared" si="102"/>
        <v>5525089.0800000001</v>
      </c>
      <c r="CQ133" s="18">
        <f t="shared" si="103"/>
        <v>9508631.1839999985</v>
      </c>
      <c r="CR133" s="18">
        <f t="shared" si="104"/>
        <v>9508631.1839999985</v>
      </c>
      <c r="CS133" s="18">
        <f t="shared" si="105"/>
        <v>3624581.7456</v>
      </c>
      <c r="CT133" s="18">
        <f t="shared" si="126"/>
        <v>18437181.983999997</v>
      </c>
      <c r="CU133" s="29">
        <f t="shared" si="127"/>
        <v>2209104</v>
      </c>
      <c r="CV133" s="18">
        <f t="shared" si="106"/>
        <v>0</v>
      </c>
      <c r="CW133" s="18">
        <f t="shared" si="107"/>
        <v>0</v>
      </c>
      <c r="CX133" s="18">
        <f t="shared" si="128"/>
        <v>0</v>
      </c>
      <c r="CY133" s="18">
        <f t="shared" si="108"/>
        <v>8928550.8000000007</v>
      </c>
      <c r="CZ133" s="18">
        <f t="shared" si="109"/>
        <v>9508631.1839999985</v>
      </c>
      <c r="DB133" s="653" t="e">
        <f t="shared" si="129"/>
        <v>#DIV/0!</v>
      </c>
      <c r="DG133" s="701">
        <f t="shared" si="110"/>
        <v>0</v>
      </c>
      <c r="DH133" s="701">
        <f t="shared" si="111"/>
        <v>0</v>
      </c>
      <c r="DI133" s="701">
        <f t="shared" si="112"/>
        <v>0</v>
      </c>
    </row>
    <row r="134" spans="1:114" s="13" customFormat="1" ht="67.5" hidden="1" customHeight="1">
      <c r="A134" s="695">
        <f t="shared" si="130"/>
        <v>119</v>
      </c>
      <c r="B134" s="1503"/>
      <c r="C134" s="1503"/>
      <c r="D134" s="696" t="s">
        <v>54</v>
      </c>
      <c r="E134" s="696">
        <v>4632068226</v>
      </c>
      <c r="F134" s="696" t="s">
        <v>8</v>
      </c>
      <c r="G134" s="805" t="s">
        <v>881</v>
      </c>
      <c r="H134" s="733">
        <v>1587.05</v>
      </c>
      <c r="I134" s="733">
        <v>1587.05</v>
      </c>
      <c r="J134" s="733">
        <v>1502.17</v>
      </c>
      <c r="K134" s="733">
        <v>1502.17</v>
      </c>
      <c r="L134" s="733">
        <v>1587.05</v>
      </c>
      <c r="M134" s="733">
        <v>1587.05</v>
      </c>
      <c r="N134" s="734">
        <v>1657.9977495314727</v>
      </c>
      <c r="O134" s="734">
        <v>1657.9977495314727</v>
      </c>
      <c r="P134" s="29">
        <v>1599.8</v>
      </c>
      <c r="Q134" s="29">
        <v>1599.8</v>
      </c>
      <c r="R134" s="734">
        <v>1657.9977495314699</v>
      </c>
      <c r="S134" s="734">
        <v>1657.9977495314699</v>
      </c>
      <c r="T134" s="704">
        <v>159.19999999999999</v>
      </c>
      <c r="U134" s="704">
        <v>83.5</v>
      </c>
      <c r="V134" s="704">
        <v>14</v>
      </c>
      <c r="W134" s="704">
        <v>2705.48</v>
      </c>
      <c r="X134" s="700">
        <v>128791.05</v>
      </c>
      <c r="Y134" s="699">
        <v>0</v>
      </c>
      <c r="Z134" s="99">
        <f>SUM(T134:W134)</f>
        <v>2962.18</v>
      </c>
      <c r="AA134" s="704">
        <v>96.8</v>
      </c>
      <c r="AB134" s="704">
        <v>50.7</v>
      </c>
      <c r="AC134" s="704">
        <v>12</v>
      </c>
      <c r="AD134" s="704">
        <v>2074.52</v>
      </c>
      <c r="AE134" s="700">
        <v>102017.28</v>
      </c>
      <c r="AF134" s="699">
        <v>0</v>
      </c>
      <c r="AG134" s="99">
        <f>SUM(AA134:AD134)</f>
        <v>2234.02</v>
      </c>
      <c r="AH134" s="99">
        <f>Z134+AG134</f>
        <v>5196.2</v>
      </c>
      <c r="AI134" s="702">
        <f>T134+AA134</f>
        <v>256</v>
      </c>
      <c r="AJ134" s="702">
        <f>U134+AB134</f>
        <v>134.19999999999999</v>
      </c>
      <c r="AK134" s="702">
        <f>V134+AC134</f>
        <v>26</v>
      </c>
      <c r="AL134" s="702">
        <f>W134+AD134</f>
        <v>4780</v>
      </c>
      <c r="AM134" s="29">
        <f>X134+AE134</f>
        <v>230808.33000000002</v>
      </c>
      <c r="AN134" s="18"/>
      <c r="AO134" s="702">
        <f>SUM(AI134:AN134)</f>
        <v>236004.53000000003</v>
      </c>
      <c r="AP134" s="702">
        <f>SUM(AI134:AM134)</f>
        <v>236004.53000000003</v>
      </c>
      <c r="AQ134" s="703">
        <f>SUM(AI134:AL134)</f>
        <v>5196.2</v>
      </c>
      <c r="AR134" s="99">
        <f t="shared" si="114"/>
        <v>0</v>
      </c>
      <c r="AS134" s="18">
        <f t="shared" si="146"/>
        <v>406284.79999999999</v>
      </c>
      <c r="AT134" s="18">
        <f t="shared" si="146"/>
        <v>201591.21400000001</v>
      </c>
      <c r="AU134" s="18">
        <f t="shared" si="146"/>
        <v>39056.42</v>
      </c>
      <c r="AV134" s="12">
        <f t="shared" si="146"/>
        <v>7586099</v>
      </c>
      <c r="AW134" s="12">
        <f t="shared" si="146"/>
        <v>366304360.12650001</v>
      </c>
      <c r="AX134" s="18">
        <f t="shared" si="115"/>
        <v>374537391.56050003</v>
      </c>
      <c r="AY134" s="18">
        <f t="shared" si="116"/>
        <v>8233031.4340000004</v>
      </c>
      <c r="AZ134" s="18">
        <f t="shared" si="147"/>
        <v>424447.423880057</v>
      </c>
      <c r="BA134" s="18">
        <f t="shared" si="147"/>
        <v>214693.15999999997</v>
      </c>
      <c r="BB134" s="18">
        <f t="shared" si="147"/>
        <v>41594.799999999996</v>
      </c>
      <c r="BC134" s="18">
        <f t="shared" si="147"/>
        <v>7925229.2427604264</v>
      </c>
      <c r="BD134" s="18">
        <f t="shared" si="147"/>
        <v>382679691.71311688</v>
      </c>
      <c r="BE134" s="18">
        <f t="shared" si="117"/>
        <v>391285656.33975738</v>
      </c>
      <c r="BF134" s="18">
        <f t="shared" si="118"/>
        <v>8605964.6266404837</v>
      </c>
      <c r="BG134" s="163">
        <v>6.8959999999999999</v>
      </c>
      <c r="BH134" s="164">
        <v>3.0409999999999999</v>
      </c>
      <c r="BI134" s="164">
        <f>BG134+BH134</f>
        <v>9.9369999999999994</v>
      </c>
      <c r="BJ134" s="738">
        <v>318289.23863198026</v>
      </c>
      <c r="BK134" s="163">
        <v>328659.75</v>
      </c>
      <c r="BL134" s="18">
        <f>I134*T134</f>
        <v>252658.36</v>
      </c>
      <c r="BM134" s="18">
        <f>J134*U134</f>
        <v>125431.19500000001</v>
      </c>
      <c r="BN134" s="18">
        <f>K134*V134</f>
        <v>21030.38</v>
      </c>
      <c r="BO134" s="18">
        <f>L134*W134</f>
        <v>4293732.034</v>
      </c>
      <c r="BP134" s="18">
        <f>M134*X134</f>
        <v>204397835.9025</v>
      </c>
      <c r="BQ134" s="18">
        <f>BL134+BM134+BN134+BO134+BP134</f>
        <v>209090687.87150002</v>
      </c>
      <c r="BR134" s="18">
        <f>BQ134-BP134</f>
        <v>4692851.9690000117</v>
      </c>
      <c r="BS134" s="18">
        <f>O134*AA134</f>
        <v>160494.18215464655</v>
      </c>
      <c r="BT134" s="18">
        <f>P134*AB134</f>
        <v>81109.86</v>
      </c>
      <c r="BU134" s="18">
        <f>Q134*AC134</f>
        <v>19197.599999999999</v>
      </c>
      <c r="BV134" s="18">
        <f>R134*W134</f>
        <v>4485679.7514024014</v>
      </c>
      <c r="BW134" s="18">
        <f>S134*AE134</f>
        <v>169144420.65332183</v>
      </c>
      <c r="BX134" s="18">
        <f>BS134+BT134+BU134+BV134+BW134</f>
        <v>173890902.04687887</v>
      </c>
      <c r="BY134" s="18">
        <f>BX134-BW134</f>
        <v>4746481.3935570419</v>
      </c>
      <c r="BZ134" s="161">
        <f t="shared" si="91"/>
        <v>206541.05499999999</v>
      </c>
      <c r="CA134" s="161">
        <f t="shared" si="91"/>
        <v>40227.979999999996</v>
      </c>
      <c r="CB134" s="161">
        <f t="shared" si="123"/>
        <v>246769.03499999997</v>
      </c>
      <c r="CC134" s="162">
        <f t="shared" si="92"/>
        <v>1539.0540611028316</v>
      </c>
      <c r="CD134" s="162">
        <f t="shared" si="92"/>
        <v>1547.2299999999998</v>
      </c>
      <c r="CE134" s="162">
        <f t="shared" si="124"/>
        <v>1540.3809925093633</v>
      </c>
      <c r="CF134" s="162">
        <f t="shared" si="95"/>
        <v>1540.3809925093633</v>
      </c>
      <c r="CG134" s="651">
        <f t="shared" si="96"/>
        <v>258693.83389562333</v>
      </c>
      <c r="CH134" s="652">
        <f t="shared" si="125"/>
        <v>1614.8179394233669</v>
      </c>
      <c r="CJ134" s="18">
        <f t="shared" si="97"/>
        <v>4701.1277689999997</v>
      </c>
      <c r="CK134" s="18">
        <f t="shared" si="98"/>
        <v>3704.0001324083005</v>
      </c>
      <c r="CL134" s="18">
        <f t="shared" si="84"/>
        <v>8405.1279014083011</v>
      </c>
      <c r="CM134" s="18">
        <f t="shared" si="99"/>
        <v>8405127.9014082998</v>
      </c>
      <c r="CN134" s="18">
        <f t="shared" si="100"/>
        <v>8233031.4340000004</v>
      </c>
      <c r="CO134" s="18">
        <f t="shared" si="101"/>
        <v>8233031.4340000004</v>
      </c>
      <c r="CP134" s="18">
        <f t="shared" si="102"/>
        <v>4692851.9689999996</v>
      </c>
      <c r="CQ134" s="18">
        <f t="shared" si="103"/>
        <v>8605964.6266404837</v>
      </c>
      <c r="CR134" s="18">
        <f t="shared" si="104"/>
        <v>8605964.6266404837</v>
      </c>
      <c r="CS134" s="18">
        <f t="shared" si="105"/>
        <v>3700351.1335126716</v>
      </c>
      <c r="CT134" s="18">
        <f t="shared" si="126"/>
        <v>16838996.060640484</v>
      </c>
      <c r="CU134" s="29">
        <f t="shared" si="127"/>
        <v>3240636.6307379403</v>
      </c>
      <c r="CV134" s="18">
        <f t="shared" si="106"/>
        <v>240647.63400000002</v>
      </c>
      <c r="CW134" s="18">
        <f t="shared" si="107"/>
        <v>256287.95999999996</v>
      </c>
      <c r="CX134" s="18">
        <f t="shared" si="128"/>
        <v>496935.59399999998</v>
      </c>
      <c r="CY134" s="18">
        <f t="shared" si="108"/>
        <v>8246629.21</v>
      </c>
      <c r="CZ134" s="18">
        <f t="shared" si="109"/>
        <v>8615287.9061154388</v>
      </c>
      <c r="DB134" s="653">
        <f t="shared" si="129"/>
        <v>110.37350962484089</v>
      </c>
      <c r="DG134" s="701">
        <f t="shared" si="110"/>
        <v>204397.8359025</v>
      </c>
      <c r="DH134" s="701">
        <f t="shared" si="111"/>
        <v>169144.42065332184</v>
      </c>
      <c r="DI134" s="701">
        <f t="shared" si="112"/>
        <v>373542.25655582186</v>
      </c>
    </row>
    <row r="135" spans="1:114" s="98" customFormat="1" ht="63.75" customHeight="1">
      <c r="A135" s="20">
        <f t="shared" si="130"/>
        <v>120</v>
      </c>
      <c r="B135" s="1503"/>
      <c r="C135" s="1503"/>
      <c r="D135" s="748" t="s">
        <v>141</v>
      </c>
      <c r="E135" s="617">
        <v>4632024035</v>
      </c>
      <c r="F135" s="803" t="s">
        <v>8</v>
      </c>
      <c r="G135" s="751" t="s">
        <v>890</v>
      </c>
      <c r="H135" s="816">
        <f>2653.36*1.2</f>
        <v>3184.0320000000002</v>
      </c>
      <c r="I135" s="816">
        <f>2653.36*1.2</f>
        <v>3184.0320000000002</v>
      </c>
      <c r="J135" s="38">
        <v>2732.57</v>
      </c>
      <c r="K135" s="38">
        <v>2732.57</v>
      </c>
      <c r="L135" s="816">
        <f>2653.36*1.2</f>
        <v>3184.0320000000002</v>
      </c>
      <c r="M135" s="38"/>
      <c r="N135" s="622">
        <f>2749.3*1.2</f>
        <v>3299.1600000000003</v>
      </c>
      <c r="O135" s="622">
        <f>2749.3*1.2</f>
        <v>3299.1600000000003</v>
      </c>
      <c r="P135" s="38">
        <v>2896.52</v>
      </c>
      <c r="Q135" s="38">
        <v>2896.52</v>
      </c>
      <c r="R135" s="622">
        <f>2749.3*1.2</f>
        <v>3299.1600000000003</v>
      </c>
      <c r="S135" s="38"/>
      <c r="T135" s="620">
        <f>4851.363+716.268+113.936</f>
        <v>5681.567</v>
      </c>
      <c r="U135" s="664">
        <v>60.8</v>
      </c>
      <c r="V135" s="665">
        <v>14.75</v>
      </c>
      <c r="W135" s="606"/>
      <c r="X135" s="606"/>
      <c r="Y135" s="606"/>
      <c r="Z135" s="648">
        <f>SUM(T135:W135)</f>
        <v>5757.1170000000002</v>
      </c>
      <c r="AA135" s="620">
        <f>3036.764+506.476+72.266</f>
        <v>3615.5060000000003</v>
      </c>
      <c r="AB135" s="606">
        <v>45.599999999999994</v>
      </c>
      <c r="AC135" s="669">
        <v>13.870000000000001</v>
      </c>
      <c r="AD135" s="606"/>
      <c r="AE135" s="606"/>
      <c r="AF135" s="606"/>
      <c r="AG135" s="178">
        <f t="shared" si="132"/>
        <v>3674.9760000000001</v>
      </c>
      <c r="AH135" s="178">
        <f t="shared" si="113"/>
        <v>9432.0930000000008</v>
      </c>
      <c r="AI135" s="16">
        <f t="shared" si="134"/>
        <v>9297.0730000000003</v>
      </c>
      <c r="AJ135" s="16">
        <f t="shared" si="134"/>
        <v>106.39999999999999</v>
      </c>
      <c r="AK135" s="16">
        <f t="shared" si="134"/>
        <v>28.62</v>
      </c>
      <c r="AL135" s="16">
        <f t="shared" si="134"/>
        <v>0</v>
      </c>
      <c r="AM135" s="16">
        <f t="shared" si="133"/>
        <v>0</v>
      </c>
      <c r="AN135" s="16"/>
      <c r="AO135" s="16">
        <f t="shared" si="85"/>
        <v>9432.0930000000008</v>
      </c>
      <c r="AP135" s="16">
        <f t="shared" si="86"/>
        <v>9432.0930000000008</v>
      </c>
      <c r="AQ135" s="16">
        <f t="shared" si="81"/>
        <v>9432.0930000000008</v>
      </c>
      <c r="AR135" s="127">
        <f t="shared" si="114"/>
        <v>0</v>
      </c>
      <c r="AS135" s="112">
        <f t="shared" si="146"/>
        <v>29602177.938336004</v>
      </c>
      <c r="AT135" s="112">
        <f t="shared" si="146"/>
        <v>290745.44799999997</v>
      </c>
      <c r="AU135" s="112">
        <f t="shared" si="146"/>
        <v>78206.15340000001</v>
      </c>
      <c r="AV135" s="112">
        <f t="shared" si="146"/>
        <v>0</v>
      </c>
      <c r="AW135" s="112">
        <f t="shared" si="146"/>
        <v>0</v>
      </c>
      <c r="AX135" s="112">
        <f t="shared" si="115"/>
        <v>29971129.539736003</v>
      </c>
      <c r="AY135" s="112">
        <f t="shared" si="116"/>
        <v>29971129.539736003</v>
      </c>
      <c r="AZ135" s="112">
        <f t="shared" si="147"/>
        <v>30672531.358680002</v>
      </c>
      <c r="BA135" s="112">
        <f t="shared" si="147"/>
        <v>308189.72799999994</v>
      </c>
      <c r="BB135" s="112">
        <f t="shared" si="147"/>
        <v>82898.402400000006</v>
      </c>
      <c r="BC135" s="112">
        <f t="shared" si="147"/>
        <v>0</v>
      </c>
      <c r="BD135" s="112">
        <f t="shared" si="147"/>
        <v>0</v>
      </c>
      <c r="BE135" s="112">
        <f t="shared" si="117"/>
        <v>31063619.489080001</v>
      </c>
      <c r="BF135" s="112">
        <f t="shared" si="118"/>
        <v>31063619.489080001</v>
      </c>
      <c r="BG135" s="623">
        <f>(I135-J135)/1.2*U135/1000+(I135-K135)/1.2*V135/1000</f>
        <v>28.423295083333336</v>
      </c>
      <c r="BH135" s="624">
        <f>(O135-P135)/1.2*AB135/1000+(O135-Q135)/1.2*AC135/1000</f>
        <v>19.954167333333348</v>
      </c>
      <c r="BI135" s="623">
        <f>BG135+BH135</f>
        <v>48.377462416666688</v>
      </c>
      <c r="BJ135" s="169"/>
      <c r="BK135" s="169"/>
      <c r="BL135" s="112">
        <f t="shared" si="149"/>
        <v>18090291.138144001</v>
      </c>
      <c r="BM135" s="112">
        <f t="shared" si="149"/>
        <v>166140.25599999999</v>
      </c>
      <c r="BN135" s="112">
        <f t="shared" si="149"/>
        <v>40305.407500000001</v>
      </c>
      <c r="BO135" s="112">
        <f t="shared" si="149"/>
        <v>0</v>
      </c>
      <c r="BP135" s="112">
        <f t="shared" si="149"/>
        <v>0</v>
      </c>
      <c r="BQ135" s="112">
        <f t="shared" si="119"/>
        <v>18296736.801644001</v>
      </c>
      <c r="BR135" s="112">
        <f t="shared" si="120"/>
        <v>18296736.801644001</v>
      </c>
      <c r="BS135" s="112">
        <f t="shared" si="142"/>
        <v>11928132.774960002</v>
      </c>
      <c r="BT135" s="112">
        <f t="shared" si="142"/>
        <v>132081.31199999998</v>
      </c>
      <c r="BU135" s="112">
        <f t="shared" si="142"/>
        <v>40174.732400000001</v>
      </c>
      <c r="BV135" s="112">
        <f t="shared" si="93"/>
        <v>0</v>
      </c>
      <c r="BW135" s="112">
        <f t="shared" si="150"/>
        <v>0</v>
      </c>
      <c r="BX135" s="112">
        <f t="shared" si="121"/>
        <v>12100388.819360003</v>
      </c>
      <c r="BY135" s="112">
        <f t="shared" si="122"/>
        <v>12100388.819360003</v>
      </c>
      <c r="BZ135" s="113">
        <f t="shared" si="91"/>
        <v>298221.56799999997</v>
      </c>
      <c r="CA135" s="113">
        <f t="shared" si="91"/>
        <v>80480.139900000009</v>
      </c>
      <c r="CB135" s="113">
        <f t="shared" si="123"/>
        <v>378701.70789999998</v>
      </c>
      <c r="CC135" s="119">
        <f t="shared" si="92"/>
        <v>2802.8342857142857</v>
      </c>
      <c r="CD135" s="119">
        <f t="shared" si="92"/>
        <v>2812.0244549266249</v>
      </c>
      <c r="CE135" s="119">
        <f t="shared" si="124"/>
        <v>2804.7823129906683</v>
      </c>
      <c r="CF135" s="119">
        <f t="shared" si="95"/>
        <v>2804.7823129906683</v>
      </c>
      <c r="CG135" s="619">
        <f t="shared" si="96"/>
        <v>436754.66280000005</v>
      </c>
      <c r="CH135" s="132">
        <f t="shared" si="125"/>
        <v>3234.7405036290929</v>
      </c>
      <c r="CI135" s="625"/>
      <c r="CJ135" s="227">
        <f t="shared" si="97"/>
        <v>18330.844755744001</v>
      </c>
      <c r="CK135" s="227">
        <f t="shared" si="98"/>
        <v>12124.333820160002</v>
      </c>
      <c r="CL135" s="227">
        <f>CJ135+CK135</f>
        <v>30455.178575904003</v>
      </c>
      <c r="CM135" s="126">
        <f t="shared" si="99"/>
        <v>30455178.575904004</v>
      </c>
      <c r="CN135" s="126">
        <f t="shared" si="100"/>
        <v>29971129.539736003</v>
      </c>
      <c r="CO135" s="126">
        <f t="shared" si="101"/>
        <v>29971129.539736003</v>
      </c>
      <c r="CP135" s="126">
        <f t="shared" si="102"/>
        <v>18296736.801644001</v>
      </c>
      <c r="CQ135" s="126">
        <f t="shared" si="103"/>
        <v>31063619.489080001</v>
      </c>
      <c r="CR135" s="126">
        <f t="shared" si="104"/>
        <v>31063619.489080001</v>
      </c>
      <c r="CS135" s="126">
        <f t="shared" si="105"/>
        <v>12100388.819360003</v>
      </c>
      <c r="CT135" s="126">
        <f t="shared" si="126"/>
        <v>61034749.028816</v>
      </c>
      <c r="CU135" s="679">
        <f t="shared" si="127"/>
        <v>6470965.567113894</v>
      </c>
      <c r="CV135" s="126">
        <f t="shared" si="106"/>
        <v>368951.60139999999</v>
      </c>
      <c r="CW135" s="126">
        <f t="shared" si="107"/>
        <v>391088.13039999997</v>
      </c>
      <c r="CX135" s="126">
        <f t="shared" si="128"/>
        <v>760039.73179999995</v>
      </c>
      <c r="CY135" s="126">
        <f t="shared" si="108"/>
        <v>30032085.938976005</v>
      </c>
      <c r="CZ135" s="126">
        <f t="shared" si="109"/>
        <v>31117983.941880003</v>
      </c>
      <c r="DA135" s="625"/>
      <c r="DB135" s="680">
        <f t="shared" si="129"/>
        <v>120.73469298133259</v>
      </c>
      <c r="DC135" s="625"/>
      <c r="DD135" s="625"/>
      <c r="DE135" s="625"/>
      <c r="DF135" s="625"/>
      <c r="DG135" s="618">
        <f t="shared" si="110"/>
        <v>0</v>
      </c>
      <c r="DH135" s="618">
        <f t="shared" si="111"/>
        <v>0</v>
      </c>
      <c r="DI135" s="618">
        <f t="shared" si="112"/>
        <v>0</v>
      </c>
      <c r="DJ135" s="123"/>
    </row>
    <row r="136" spans="1:114" ht="76.5" hidden="1" customHeight="1">
      <c r="A136" s="20">
        <f t="shared" si="130"/>
        <v>121</v>
      </c>
      <c r="B136" s="1503"/>
      <c r="C136" s="1503"/>
      <c r="D136" s="726" t="s">
        <v>279</v>
      </c>
      <c r="E136" s="765">
        <v>6829012680</v>
      </c>
      <c r="F136" s="696" t="s">
        <v>8</v>
      </c>
      <c r="G136" s="696" t="s">
        <v>907</v>
      </c>
      <c r="H136" s="697">
        <v>1958.86</v>
      </c>
      <c r="I136" s="697">
        <v>1958.86</v>
      </c>
      <c r="J136" s="697">
        <v>1958.86</v>
      </c>
      <c r="K136" s="697">
        <v>1958.86</v>
      </c>
      <c r="L136" s="697">
        <v>1958.86</v>
      </c>
      <c r="M136" s="697">
        <f>L136</f>
        <v>1958.86</v>
      </c>
      <c r="N136" s="714">
        <f>1844.59*1.2</f>
        <v>2213.5079999999998</v>
      </c>
      <c r="O136" s="697">
        <f>N136</f>
        <v>2213.5079999999998</v>
      </c>
      <c r="P136" s="697">
        <v>2047</v>
      </c>
      <c r="Q136" s="697">
        <f>P136</f>
        <v>2047</v>
      </c>
      <c r="R136" s="697">
        <f>O136</f>
        <v>2213.5079999999998</v>
      </c>
      <c r="S136" s="697">
        <f>R136</f>
        <v>2213.5079999999998</v>
      </c>
      <c r="T136" s="768">
        <f>178829.2</f>
        <v>178829.2</v>
      </c>
      <c r="U136" s="768">
        <v>720341.5</v>
      </c>
      <c r="V136" s="769">
        <f>851709.6-U136</f>
        <v>131368.09999999998</v>
      </c>
      <c r="W136" s="163">
        <f>172569.7-X136</f>
        <v>166356.25</v>
      </c>
      <c r="X136" s="163">
        <f>6213.45</f>
        <v>6213.45</v>
      </c>
      <c r="Y136" s="163"/>
      <c r="Z136" s="767">
        <f>SUM(T136:W136)</f>
        <v>1196895.0499999998</v>
      </c>
      <c r="AA136" s="701">
        <f>104209.7</f>
        <v>104209.7</v>
      </c>
      <c r="AB136" s="176">
        <v>528655.6</v>
      </c>
      <c r="AC136" s="226">
        <f>647496.1-AB136</f>
        <v>118840.5</v>
      </c>
      <c r="AD136" s="17">
        <f>104166.4-AE136</f>
        <v>99639.849999999991</v>
      </c>
      <c r="AE136" s="15">
        <v>4526.55</v>
      </c>
      <c r="AF136" s="15"/>
      <c r="AG136" s="662">
        <f>SUM(AA136:AD136)</f>
        <v>851345.64999999991</v>
      </c>
      <c r="AH136" s="17">
        <f t="shared" si="113"/>
        <v>2048240.6999999997</v>
      </c>
      <c r="AI136" s="15">
        <f t="shared" si="134"/>
        <v>283038.90000000002</v>
      </c>
      <c r="AJ136" s="15">
        <f t="shared" si="134"/>
        <v>1248997.1000000001</v>
      </c>
      <c r="AK136" s="15">
        <f t="shared" si="134"/>
        <v>250208.59999999998</v>
      </c>
      <c r="AL136" s="15">
        <f t="shared" si="134"/>
        <v>265996.09999999998</v>
      </c>
      <c r="AM136" s="15">
        <f t="shared" si="133"/>
        <v>10740</v>
      </c>
      <c r="AN136" s="15"/>
      <c r="AO136" s="15">
        <f t="shared" si="85"/>
        <v>2058980.7000000002</v>
      </c>
      <c r="AP136" s="15">
        <f t="shared" si="86"/>
        <v>2058980.7000000002</v>
      </c>
      <c r="AQ136" s="15">
        <f t="shared" ref="AQ136:AQ141" si="151">SUM(AI136:AL136)</f>
        <v>2048240.7000000002</v>
      </c>
      <c r="AR136" s="127">
        <f t="shared" si="114"/>
        <v>0</v>
      </c>
      <c r="AS136" s="112">
        <f t="shared" si="146"/>
        <v>554433579.65400004</v>
      </c>
      <c r="AT136" s="112">
        <f t="shared" si="146"/>
        <v>2446610459.3060002</v>
      </c>
      <c r="AU136" s="112">
        <f t="shared" si="146"/>
        <v>490123618.19599992</v>
      </c>
      <c r="AV136" s="112">
        <f t="shared" si="146"/>
        <v>521049120.44599992</v>
      </c>
      <c r="AW136" s="112">
        <f t="shared" si="146"/>
        <v>21038156.399999999</v>
      </c>
      <c r="AX136" s="112">
        <f t="shared" si="115"/>
        <v>4033254934.0020003</v>
      </c>
      <c r="AY136" s="112">
        <f t="shared" si="116"/>
        <v>4012216777.6020002</v>
      </c>
      <c r="AZ136" s="112">
        <f t="shared" si="147"/>
        <v>626508869.4612</v>
      </c>
      <c r="BA136" s="112">
        <f t="shared" si="147"/>
        <v>2556697063.7000003</v>
      </c>
      <c r="BB136" s="112">
        <f t="shared" si="147"/>
        <v>512177004.19999993</v>
      </c>
      <c r="BC136" s="112">
        <f t="shared" si="147"/>
        <v>588784495.31879985</v>
      </c>
      <c r="BD136" s="112">
        <f t="shared" si="147"/>
        <v>23773075.919999998</v>
      </c>
      <c r="BE136" s="112">
        <f t="shared" si="117"/>
        <v>4307940508.6000004</v>
      </c>
      <c r="BF136" s="112">
        <f t="shared" si="118"/>
        <v>4284167432.6800003</v>
      </c>
      <c r="BG136" s="112"/>
      <c r="BH136" s="99">
        <v>89845.975000000006</v>
      </c>
      <c r="BI136" s="99">
        <f t="shared" si="148"/>
        <v>89845.975000000006</v>
      </c>
      <c r="BJ136" s="18">
        <v>3561288.1563654612</v>
      </c>
      <c r="BK136" s="18">
        <v>5114795.505462857</v>
      </c>
      <c r="BL136" s="112">
        <f t="shared" si="149"/>
        <v>350301366.71200001</v>
      </c>
      <c r="BM136" s="112">
        <f t="shared" si="149"/>
        <v>1411048150.6899998</v>
      </c>
      <c r="BN136" s="112">
        <f t="shared" si="149"/>
        <v>257331716.36599994</v>
      </c>
      <c r="BO136" s="112">
        <f t="shared" si="149"/>
        <v>325868603.875</v>
      </c>
      <c r="BP136" s="112">
        <f t="shared" si="149"/>
        <v>12171278.666999999</v>
      </c>
      <c r="BQ136" s="112">
        <f t="shared" si="119"/>
        <v>2356721116.3099995</v>
      </c>
      <c r="BR136" s="112">
        <f t="shared" si="120"/>
        <v>2344549837.6429996</v>
      </c>
      <c r="BS136" s="112">
        <f t="shared" si="142"/>
        <v>230669004.62759998</v>
      </c>
      <c r="BT136" s="112">
        <f t="shared" si="142"/>
        <v>1082158013.2</v>
      </c>
      <c r="BU136" s="112">
        <f t="shared" si="142"/>
        <v>243266503.5</v>
      </c>
      <c r="BV136" s="112">
        <f t="shared" si="93"/>
        <v>368230890.22499996</v>
      </c>
      <c r="BW136" s="112">
        <f t="shared" si="150"/>
        <v>10019554.637399999</v>
      </c>
      <c r="BX136" s="112">
        <f t="shared" si="121"/>
        <v>1934343966.1899998</v>
      </c>
      <c r="BY136" s="112">
        <f t="shared" si="122"/>
        <v>1924324411.5525999</v>
      </c>
      <c r="BZ136" s="113">
        <f t="shared" si="91"/>
        <v>2493206163.8899999</v>
      </c>
      <c r="CA136" s="113">
        <f t="shared" si="91"/>
        <v>500598219.86599994</v>
      </c>
      <c r="CB136" s="113">
        <f t="shared" si="123"/>
        <v>2993804383.7559996</v>
      </c>
      <c r="CC136" s="119">
        <f t="shared" si="92"/>
        <v>1996.1664954146008</v>
      </c>
      <c r="CD136" s="119">
        <f t="shared" si="92"/>
        <v>2000.7234757957958</v>
      </c>
      <c r="CE136" s="119">
        <f t="shared" si="124"/>
        <v>1996.9270285965422</v>
      </c>
      <c r="CF136" s="119">
        <f t="shared" si="95"/>
        <v>1996.9270285965426</v>
      </c>
      <c r="CG136" s="619">
        <f t="shared" si="96"/>
        <v>3101617664.3747997</v>
      </c>
      <c r="CH136" s="132">
        <f t="shared" si="125"/>
        <v>2068.8406296579578</v>
      </c>
      <c r="CI136" s="106"/>
      <c r="CJ136" s="112">
        <f t="shared" si="97"/>
        <v>2344549.8376429998</v>
      </c>
      <c r="CK136" s="112">
        <f t="shared" si="98"/>
        <v>1884460.4070401995</v>
      </c>
      <c r="CL136" s="112">
        <f t="shared" si="84"/>
        <v>4229010.2446831996</v>
      </c>
      <c r="CM136" s="112">
        <f t="shared" si="99"/>
        <v>4229010244.6831989</v>
      </c>
      <c r="CN136" s="112">
        <f t="shared" si="100"/>
        <v>4012216777.6020002</v>
      </c>
      <c r="CO136" s="112">
        <f t="shared" si="101"/>
        <v>4012216777.6020002</v>
      </c>
      <c r="CP136" s="112">
        <f t="shared" si="102"/>
        <v>2344549837.6429996</v>
      </c>
      <c r="CQ136" s="112">
        <f t="shared" si="103"/>
        <v>4284167432.6800003</v>
      </c>
      <c r="CR136" s="112">
        <f t="shared" si="104"/>
        <v>4284167432.6800003</v>
      </c>
      <c r="CS136" s="112">
        <f t="shared" si="105"/>
        <v>1776647126.4214001</v>
      </c>
      <c r="CT136" s="112">
        <f t="shared" si="126"/>
        <v>8296384210.2820005</v>
      </c>
      <c r="CU136" s="124">
        <f t="shared" si="127"/>
        <v>4050492.8011058471</v>
      </c>
      <c r="CV136" s="112">
        <f t="shared" si="106"/>
        <v>2936734077.5020003</v>
      </c>
      <c r="CW136" s="112">
        <f t="shared" si="107"/>
        <v>3068874067.9000001</v>
      </c>
      <c r="CX136" s="112">
        <f t="shared" si="128"/>
        <v>6005608145.4020004</v>
      </c>
      <c r="CY136" s="112">
        <f t="shared" si="108"/>
        <v>4012216777.6020002</v>
      </c>
      <c r="CZ136" s="112">
        <f t="shared" si="109"/>
        <v>4533797175.3755999</v>
      </c>
      <c r="DA136" s="106"/>
      <c r="DB136" s="128">
        <f t="shared" si="129"/>
        <v>112.99980600961783</v>
      </c>
      <c r="DC136" s="106"/>
      <c r="DD136" s="106"/>
      <c r="DE136" s="106"/>
      <c r="DF136" s="106"/>
      <c r="DG136" s="618">
        <f t="shared" si="110"/>
        <v>12171.278666999999</v>
      </c>
      <c r="DH136" s="618">
        <f t="shared" si="111"/>
        <v>10019.554637399999</v>
      </c>
      <c r="DI136" s="618">
        <f t="shared" si="112"/>
        <v>22190.833304399996</v>
      </c>
      <c r="DJ136" s="106"/>
    </row>
    <row r="137" spans="1:114" s="13" customFormat="1" ht="60.75" hidden="1" customHeight="1">
      <c r="A137" s="695">
        <f t="shared" si="130"/>
        <v>122</v>
      </c>
      <c r="B137" s="1503"/>
      <c r="C137" s="1503"/>
      <c r="D137" s="726" t="s">
        <v>272</v>
      </c>
      <c r="E137" s="727">
        <v>4630001280</v>
      </c>
      <c r="F137" s="696" t="s">
        <v>8</v>
      </c>
      <c r="G137" s="805" t="s">
        <v>871</v>
      </c>
      <c r="H137" s="697">
        <v>2031.86</v>
      </c>
      <c r="I137" s="697">
        <v>0</v>
      </c>
      <c r="J137" s="697">
        <v>2031.86</v>
      </c>
      <c r="K137" s="697">
        <v>0</v>
      </c>
      <c r="L137" s="697">
        <v>0</v>
      </c>
      <c r="M137" s="698">
        <v>0</v>
      </c>
      <c r="N137" s="698">
        <v>2138.9899999999998</v>
      </c>
      <c r="O137" s="698">
        <v>0</v>
      </c>
      <c r="P137" s="698">
        <v>2138.9899999999998</v>
      </c>
      <c r="Q137" s="698">
        <v>0</v>
      </c>
      <c r="R137" s="698">
        <v>0</v>
      </c>
      <c r="S137" s="698">
        <v>0</v>
      </c>
      <c r="T137" s="18">
        <v>0</v>
      </c>
      <c r="U137" s="18">
        <v>44.88</v>
      </c>
      <c r="V137" s="18">
        <v>0</v>
      </c>
      <c r="W137" s="18">
        <v>0</v>
      </c>
      <c r="X137" s="18">
        <v>0</v>
      </c>
      <c r="Y137" s="18">
        <v>6010.71</v>
      </c>
      <c r="Z137" s="99">
        <f>U137</f>
        <v>44.88</v>
      </c>
      <c r="AA137" s="18">
        <v>0</v>
      </c>
      <c r="AB137" s="18">
        <v>33.659999999999997</v>
      </c>
      <c r="AC137" s="18">
        <v>0</v>
      </c>
      <c r="AD137" s="18">
        <v>0</v>
      </c>
      <c r="AE137" s="18">
        <v>0</v>
      </c>
      <c r="AF137" s="18">
        <v>6021.93</v>
      </c>
      <c r="AG137" s="99">
        <f>AB137</f>
        <v>33.659999999999997</v>
      </c>
      <c r="AH137" s="99">
        <f>Z137+AG137</f>
        <v>78.539999999999992</v>
      </c>
      <c r="AI137" s="18">
        <f t="shared" si="134"/>
        <v>0</v>
      </c>
      <c r="AJ137" s="18">
        <f t="shared" si="134"/>
        <v>78.539999999999992</v>
      </c>
      <c r="AK137" s="18">
        <f t="shared" si="134"/>
        <v>0</v>
      </c>
      <c r="AL137" s="18">
        <f t="shared" si="134"/>
        <v>0</v>
      </c>
      <c r="AM137" s="18">
        <f t="shared" si="133"/>
        <v>0</v>
      </c>
      <c r="AN137" s="18">
        <f>AF137+Y137</f>
        <v>12032.64</v>
      </c>
      <c r="AO137" s="18">
        <f>SUM(AI137:AN137)</f>
        <v>12111.18</v>
      </c>
      <c r="AP137" s="18">
        <f t="shared" si="86"/>
        <v>78.539999999999992</v>
      </c>
      <c r="AQ137" s="18">
        <f t="shared" si="151"/>
        <v>78.539999999999992</v>
      </c>
      <c r="AR137" s="99">
        <f t="shared" si="114"/>
        <v>0</v>
      </c>
      <c r="AS137" s="18">
        <f t="shared" si="146"/>
        <v>0</v>
      </c>
      <c r="AT137" s="18">
        <f t="shared" si="146"/>
        <v>159582.28439999997</v>
      </c>
      <c r="AU137" s="18">
        <f t="shared" si="146"/>
        <v>0</v>
      </c>
      <c r="AV137" s="18">
        <f t="shared" si="146"/>
        <v>0</v>
      </c>
      <c r="AW137" s="18">
        <f t="shared" si="146"/>
        <v>0</v>
      </c>
      <c r="AX137" s="18">
        <f t="shared" si="115"/>
        <v>159582.28439999997</v>
      </c>
      <c r="AY137" s="18">
        <f t="shared" si="116"/>
        <v>159582.28439999997</v>
      </c>
      <c r="AZ137" s="18">
        <f t="shared" si="147"/>
        <v>0</v>
      </c>
      <c r="BA137" s="18">
        <f t="shared" si="147"/>
        <v>167996.27459999998</v>
      </c>
      <c r="BB137" s="18">
        <f t="shared" si="147"/>
        <v>0</v>
      </c>
      <c r="BC137" s="18">
        <f t="shared" si="147"/>
        <v>0</v>
      </c>
      <c r="BD137" s="18">
        <f t="shared" si="147"/>
        <v>0</v>
      </c>
      <c r="BE137" s="18">
        <f t="shared" si="117"/>
        <v>167996.27459999998</v>
      </c>
      <c r="BF137" s="18">
        <f t="shared" si="118"/>
        <v>167996.27459999998</v>
      </c>
      <c r="BG137" s="18">
        <v>0</v>
      </c>
      <c r="BH137" s="18">
        <v>0</v>
      </c>
      <c r="BI137" s="18">
        <v>0</v>
      </c>
      <c r="BJ137" s="29">
        <v>21047.5</v>
      </c>
      <c r="BK137" s="18">
        <v>21012.7</v>
      </c>
      <c r="BL137" s="18">
        <f t="shared" si="149"/>
        <v>0</v>
      </c>
      <c r="BM137" s="18">
        <f t="shared" si="149"/>
        <v>91189.876799999998</v>
      </c>
      <c r="BN137" s="18">
        <f t="shared" si="149"/>
        <v>0</v>
      </c>
      <c r="BO137" s="18">
        <f t="shared" si="149"/>
        <v>0</v>
      </c>
      <c r="BP137" s="18">
        <f t="shared" si="149"/>
        <v>0</v>
      </c>
      <c r="BQ137" s="18">
        <f t="shared" si="119"/>
        <v>91189.876799999998</v>
      </c>
      <c r="BR137" s="18">
        <f t="shared" si="120"/>
        <v>91189.876799999998</v>
      </c>
      <c r="BS137" s="18">
        <f t="shared" si="142"/>
        <v>0</v>
      </c>
      <c r="BT137" s="18">
        <f t="shared" si="142"/>
        <v>71998.403399999981</v>
      </c>
      <c r="BU137" s="18">
        <f t="shared" si="142"/>
        <v>0</v>
      </c>
      <c r="BV137" s="18">
        <f t="shared" si="93"/>
        <v>0</v>
      </c>
      <c r="BW137" s="18">
        <f t="shared" si="150"/>
        <v>0</v>
      </c>
      <c r="BX137" s="18">
        <f t="shared" si="121"/>
        <v>71998.403399999981</v>
      </c>
      <c r="BY137" s="18">
        <f t="shared" si="122"/>
        <v>71998.403399999981</v>
      </c>
      <c r="BZ137" s="161">
        <f t="shared" si="91"/>
        <v>163188.28019999998</v>
      </c>
      <c r="CA137" s="161">
        <f t="shared" si="91"/>
        <v>0</v>
      </c>
      <c r="CB137" s="161">
        <f t="shared" si="123"/>
        <v>163188.28019999998</v>
      </c>
      <c r="CC137" s="162">
        <f t="shared" si="92"/>
        <v>2077.772857142857</v>
      </c>
      <c r="CD137" s="162" t="e">
        <f t="shared" si="92"/>
        <v>#DIV/0!</v>
      </c>
      <c r="CE137" s="162">
        <f t="shared" si="124"/>
        <v>2077.772857142857</v>
      </c>
      <c r="CF137" s="162">
        <f t="shared" si="95"/>
        <v>2077.772857142857</v>
      </c>
      <c r="CG137" s="651">
        <f t="shared" si="96"/>
        <v>0</v>
      </c>
      <c r="CH137" s="652">
        <f t="shared" si="125"/>
        <v>0</v>
      </c>
      <c r="CJ137" s="18">
        <f t="shared" si="97"/>
        <v>91.189876799999993</v>
      </c>
      <c r="CK137" s="18">
        <f t="shared" si="98"/>
        <v>71.998403399999987</v>
      </c>
      <c r="CL137" s="18">
        <f t="shared" si="84"/>
        <v>163.18828019999998</v>
      </c>
      <c r="CM137" s="18">
        <f t="shared" si="99"/>
        <v>163188.28019999998</v>
      </c>
      <c r="CN137" s="18">
        <f t="shared" si="100"/>
        <v>159582.28439999997</v>
      </c>
      <c r="CO137" s="18">
        <f t="shared" si="101"/>
        <v>159582.28439999997</v>
      </c>
      <c r="CP137" s="18">
        <f t="shared" si="102"/>
        <v>91189.876799999998</v>
      </c>
      <c r="CQ137" s="18">
        <f t="shared" si="103"/>
        <v>167996.27459999998</v>
      </c>
      <c r="CR137" s="18">
        <f t="shared" si="104"/>
        <v>167996.27459999998</v>
      </c>
      <c r="CS137" s="18">
        <f t="shared" si="105"/>
        <v>71998.403399999981</v>
      </c>
      <c r="CT137" s="18">
        <f t="shared" si="126"/>
        <v>327578.55899999995</v>
      </c>
      <c r="CU137" s="29">
        <f t="shared" si="127"/>
        <v>4170849.9999999995</v>
      </c>
      <c r="CV137" s="18">
        <f t="shared" si="106"/>
        <v>159582.28439999997</v>
      </c>
      <c r="CW137" s="18">
        <f t="shared" si="107"/>
        <v>167996.27459999998</v>
      </c>
      <c r="CX137" s="18">
        <f t="shared" si="128"/>
        <v>327578.55899999995</v>
      </c>
      <c r="CY137" s="18">
        <f t="shared" si="108"/>
        <v>159582.28439999997</v>
      </c>
      <c r="CZ137" s="18">
        <f t="shared" si="109"/>
        <v>167996.27459999998</v>
      </c>
      <c r="DB137" s="653">
        <f t="shared" si="129"/>
        <v>105.27250893270205</v>
      </c>
      <c r="DG137" s="701">
        <f t="shared" si="110"/>
        <v>0</v>
      </c>
      <c r="DH137" s="701">
        <f t="shared" si="111"/>
        <v>0</v>
      </c>
      <c r="DI137" s="701">
        <f t="shared" si="112"/>
        <v>0</v>
      </c>
    </row>
    <row r="138" spans="1:114" s="13" customFormat="1" ht="60.75" hidden="1" customHeight="1">
      <c r="A138" s="695">
        <f t="shared" si="130"/>
        <v>123</v>
      </c>
      <c r="B138" s="1504"/>
      <c r="C138" s="1504"/>
      <c r="D138" s="726" t="s">
        <v>189</v>
      </c>
      <c r="E138" s="727">
        <v>3666120176</v>
      </c>
      <c r="F138" s="696" t="s">
        <v>8</v>
      </c>
      <c r="G138" s="805" t="s">
        <v>905</v>
      </c>
      <c r="H138" s="697">
        <v>1728.42</v>
      </c>
      <c r="I138" s="697">
        <v>0</v>
      </c>
      <c r="J138" s="697">
        <v>1728.42</v>
      </c>
      <c r="K138" s="697">
        <v>1728.42</v>
      </c>
      <c r="L138" s="697">
        <v>1728.42</v>
      </c>
      <c r="M138" s="698">
        <v>0</v>
      </c>
      <c r="N138" s="698">
        <v>1764.88</v>
      </c>
      <c r="O138" s="698">
        <v>0</v>
      </c>
      <c r="P138" s="698">
        <v>1764.88</v>
      </c>
      <c r="Q138" s="698">
        <v>1764.88</v>
      </c>
      <c r="R138" s="698">
        <v>1764.88</v>
      </c>
      <c r="S138" s="698">
        <v>0</v>
      </c>
      <c r="T138" s="18">
        <v>0</v>
      </c>
      <c r="U138" s="18">
        <v>8884.9500000000007</v>
      </c>
      <c r="V138" s="18">
        <v>5430.6</v>
      </c>
      <c r="W138" s="18">
        <v>254.72</v>
      </c>
      <c r="X138" s="18">
        <v>0</v>
      </c>
      <c r="Y138" s="18">
        <v>0</v>
      </c>
      <c r="Z138" s="99">
        <f>SUM(T138:W138)</f>
        <v>14570.27</v>
      </c>
      <c r="AA138" s="18">
        <v>0</v>
      </c>
      <c r="AB138" s="18">
        <v>6215.17</v>
      </c>
      <c r="AC138" s="18">
        <v>4379.3100000000004</v>
      </c>
      <c r="AD138" s="18">
        <v>113.99</v>
      </c>
      <c r="AE138" s="18">
        <v>0</v>
      </c>
      <c r="AF138" s="18">
        <v>0</v>
      </c>
      <c r="AG138" s="99">
        <f>SUM(AA138:AD138)</f>
        <v>10708.47</v>
      </c>
      <c r="AH138" s="99">
        <f>Z138+AG138</f>
        <v>25278.739999999998</v>
      </c>
      <c r="AI138" s="18">
        <f t="shared" si="134"/>
        <v>0</v>
      </c>
      <c r="AJ138" s="18">
        <f>U138+AB138</f>
        <v>15100.12</v>
      </c>
      <c r="AK138" s="18">
        <f>V138+AC138</f>
        <v>9809.91</v>
      </c>
      <c r="AL138" s="18">
        <f>W138+AD138</f>
        <v>368.71</v>
      </c>
      <c r="AM138" s="18">
        <f t="shared" si="133"/>
        <v>0</v>
      </c>
      <c r="AN138" s="18"/>
      <c r="AO138" s="18">
        <f>SUM(AI138:AN138)</f>
        <v>25278.739999999998</v>
      </c>
      <c r="AP138" s="18">
        <f>SUM(AI138:AM138)</f>
        <v>25278.739999999998</v>
      </c>
      <c r="AQ138" s="18">
        <f t="shared" si="151"/>
        <v>25278.739999999998</v>
      </c>
      <c r="AR138" s="99">
        <f t="shared" si="114"/>
        <v>0</v>
      </c>
      <c r="AS138" s="18">
        <f t="shared" si="146"/>
        <v>0</v>
      </c>
      <c r="AT138" s="18">
        <f t="shared" si="146"/>
        <v>26099349.410400003</v>
      </c>
      <c r="AU138" s="18">
        <f t="shared" si="146"/>
        <v>16955644.642200001</v>
      </c>
      <c r="AV138" s="18">
        <f t="shared" si="146"/>
        <v>637285.73820000002</v>
      </c>
      <c r="AW138" s="18">
        <f t="shared" si="146"/>
        <v>0</v>
      </c>
      <c r="AX138" s="18">
        <f t="shared" si="115"/>
        <v>43692279.790800005</v>
      </c>
      <c r="AY138" s="18">
        <f t="shared" si="116"/>
        <v>43692279.790800005</v>
      </c>
      <c r="AZ138" s="18">
        <f t="shared" si="147"/>
        <v>0</v>
      </c>
      <c r="BA138" s="18">
        <f t="shared" si="147"/>
        <v>26649899.785600003</v>
      </c>
      <c r="BB138" s="18">
        <f t="shared" si="147"/>
        <v>17313313.9608</v>
      </c>
      <c r="BC138" s="18">
        <f t="shared" si="147"/>
        <v>650728.90480000002</v>
      </c>
      <c r="BD138" s="18">
        <f t="shared" si="147"/>
        <v>0</v>
      </c>
      <c r="BE138" s="18">
        <f t="shared" si="117"/>
        <v>44613942.651199996</v>
      </c>
      <c r="BF138" s="18">
        <f t="shared" si="118"/>
        <v>44613942.651199996</v>
      </c>
      <c r="BG138" s="18">
        <v>0</v>
      </c>
      <c r="BH138" s="18">
        <v>0</v>
      </c>
      <c r="BI138" s="18">
        <v>0</v>
      </c>
      <c r="BJ138" s="29">
        <v>44082.70845870427</v>
      </c>
      <c r="BK138" s="29">
        <v>48858.748879999999</v>
      </c>
      <c r="BL138" s="18">
        <f t="shared" si="149"/>
        <v>0</v>
      </c>
      <c r="BM138" s="18">
        <f>J138*U138</f>
        <v>15356925.279000001</v>
      </c>
      <c r="BN138" s="18">
        <f t="shared" si="149"/>
        <v>9386357.6520000007</v>
      </c>
      <c r="BO138" s="18">
        <f t="shared" si="149"/>
        <v>440263.14240000001</v>
      </c>
      <c r="BP138" s="18">
        <f t="shared" si="149"/>
        <v>0</v>
      </c>
      <c r="BQ138" s="18">
        <f t="shared" si="119"/>
        <v>25183546.073400002</v>
      </c>
      <c r="BR138" s="18">
        <f t="shared" si="120"/>
        <v>25183546.073400002</v>
      </c>
      <c r="BS138" s="18">
        <f t="shared" si="142"/>
        <v>0</v>
      </c>
      <c r="BT138" s="18">
        <f t="shared" si="142"/>
        <v>10969029.229600001</v>
      </c>
      <c r="BU138" s="18">
        <f>Q138*AC138</f>
        <v>7728956.6328000007</v>
      </c>
      <c r="BV138" s="18">
        <f>R138*W138</f>
        <v>449550.23360000004</v>
      </c>
      <c r="BW138" s="18">
        <f t="shared" si="150"/>
        <v>0</v>
      </c>
      <c r="BX138" s="18">
        <f>BS138+BT138+BU138+BV138+BW138</f>
        <v>19147536.096000005</v>
      </c>
      <c r="BY138" s="18">
        <f>BX138-BW138</f>
        <v>19147536.096000005</v>
      </c>
      <c r="BZ138" s="161">
        <f t="shared" si="91"/>
        <v>26325954.508600004</v>
      </c>
      <c r="CA138" s="161">
        <f t="shared" si="91"/>
        <v>17115314.2848</v>
      </c>
      <c r="CB138" s="161">
        <f t="shared" si="123"/>
        <v>43441268.793400005</v>
      </c>
      <c r="CC138" s="162">
        <f t="shared" si="92"/>
        <v>1743.4268408860328</v>
      </c>
      <c r="CD138" s="162">
        <f t="shared" si="92"/>
        <v>1744.6963616179967</v>
      </c>
      <c r="CE138" s="162">
        <f t="shared" si="124"/>
        <v>1743.9267954876011</v>
      </c>
      <c r="CF138" s="162">
        <f t="shared" si="95"/>
        <v>1743.9267954876009</v>
      </c>
      <c r="CG138" s="651">
        <f t="shared" si="96"/>
        <v>0</v>
      </c>
      <c r="CH138" s="652">
        <f t="shared" si="125"/>
        <v>0</v>
      </c>
      <c r="CJ138" s="18">
        <f t="shared" si="97"/>
        <v>25183.546073400001</v>
      </c>
      <c r="CK138" s="18">
        <f t="shared" si="98"/>
        <v>18899.1645336</v>
      </c>
      <c r="CL138" s="18">
        <f>CJ138+CK138</f>
        <v>44082.710607000001</v>
      </c>
      <c r="CM138" s="18">
        <f t="shared" si="99"/>
        <v>44082710.607000001</v>
      </c>
      <c r="CN138" s="18">
        <f t="shared" si="100"/>
        <v>43692279.790800005</v>
      </c>
      <c r="CO138" s="18">
        <f t="shared" si="101"/>
        <v>43692279.790799998</v>
      </c>
      <c r="CP138" s="18">
        <f t="shared" si="102"/>
        <v>25183546.073400002</v>
      </c>
      <c r="CQ138" s="18">
        <f t="shared" si="103"/>
        <v>44613942.651199996</v>
      </c>
      <c r="CR138" s="18">
        <f t="shared" si="104"/>
        <v>44613942.651199996</v>
      </c>
      <c r="CS138" s="18">
        <f t="shared" si="105"/>
        <v>18899164.533600003</v>
      </c>
      <c r="CT138" s="18">
        <f t="shared" si="126"/>
        <v>88306222.442000002</v>
      </c>
      <c r="CU138" s="29">
        <f t="shared" si="127"/>
        <v>3493300</v>
      </c>
      <c r="CV138" s="18">
        <f t="shared" si="106"/>
        <v>43054994.052600004</v>
      </c>
      <c r="CW138" s="18">
        <f t="shared" si="107"/>
        <v>43963213.746399999</v>
      </c>
      <c r="CX138" s="18">
        <f t="shared" si="128"/>
        <v>87018207.798999995</v>
      </c>
      <c r="CY138" s="18">
        <f t="shared" si="108"/>
        <v>43692279.790800005</v>
      </c>
      <c r="CZ138" s="18">
        <f t="shared" si="109"/>
        <v>44613942.651199996</v>
      </c>
      <c r="DB138" s="653">
        <f t="shared" si="129"/>
        <v>102.1094409923514</v>
      </c>
      <c r="DG138" s="701">
        <f t="shared" si="110"/>
        <v>0</v>
      </c>
      <c r="DH138" s="701">
        <f t="shared" si="111"/>
        <v>0</v>
      </c>
      <c r="DI138" s="701">
        <f t="shared" si="112"/>
        <v>0</v>
      </c>
    </row>
    <row r="139" spans="1:114" ht="63.75" hidden="1" customHeight="1">
      <c r="A139" s="20">
        <f t="shared" si="130"/>
        <v>124</v>
      </c>
      <c r="B139" s="1573" t="s">
        <v>52</v>
      </c>
      <c r="C139" s="1574" t="s">
        <v>52</v>
      </c>
      <c r="D139" s="827" t="s">
        <v>255</v>
      </c>
      <c r="E139" s="696">
        <v>4634002573</v>
      </c>
      <c r="F139" s="696" t="s">
        <v>8</v>
      </c>
      <c r="G139" s="696" t="s">
        <v>885</v>
      </c>
      <c r="H139" s="697">
        <v>721.93</v>
      </c>
      <c r="I139" s="742">
        <v>721.93</v>
      </c>
      <c r="J139" s="742">
        <v>721.93</v>
      </c>
      <c r="K139" s="742">
        <v>721.93</v>
      </c>
      <c r="L139" s="742">
        <v>721.93</v>
      </c>
      <c r="M139" s="742">
        <v>0</v>
      </c>
      <c r="N139" s="163">
        <v>748.15</v>
      </c>
      <c r="O139" s="163">
        <v>748.15</v>
      </c>
      <c r="P139" s="163">
        <v>748.15</v>
      </c>
      <c r="Q139" s="163">
        <v>748.15</v>
      </c>
      <c r="R139" s="163">
        <v>748.15</v>
      </c>
      <c r="S139" s="163">
        <v>0</v>
      </c>
      <c r="T139" s="18">
        <v>23563.62</v>
      </c>
      <c r="U139" s="18">
        <f>96704.2+3282.57-U59</f>
        <v>95803.16</v>
      </c>
      <c r="V139" s="18">
        <f>24271-V59</f>
        <v>23318.638218200002</v>
      </c>
      <c r="W139" s="702">
        <f>24618.96-W59-0.6</f>
        <v>23793.23</v>
      </c>
      <c r="X139" s="702"/>
      <c r="Y139" s="18"/>
      <c r="Z139" s="99">
        <f t="shared" si="131"/>
        <v>166478.64821820002</v>
      </c>
      <c r="AA139" s="18">
        <v>15040.38</v>
      </c>
      <c r="AB139" s="18">
        <f>73902.3-3281.75-0.82-0.6-AB59</f>
        <v>67526.889999999985</v>
      </c>
      <c r="AC139" s="18">
        <f>24338+0.82-AC59</f>
        <v>23267.932520599999</v>
      </c>
      <c r="AD139" s="18">
        <f>17061.32-AD59+0.6</f>
        <v>16236.79</v>
      </c>
      <c r="AE139" s="18"/>
      <c r="AF139" s="18"/>
      <c r="AG139" s="99">
        <f t="shared" si="132"/>
        <v>122071.9925206</v>
      </c>
      <c r="AH139" s="99">
        <f t="shared" si="113"/>
        <v>288550.64073880005</v>
      </c>
      <c r="AI139" s="685">
        <f t="shared" si="134"/>
        <v>38604</v>
      </c>
      <c r="AJ139" s="35">
        <f t="shared" si="134"/>
        <v>163330.04999999999</v>
      </c>
      <c r="AK139" s="35">
        <f t="shared" si="134"/>
        <v>46586.570738800001</v>
      </c>
      <c r="AL139" s="686">
        <f t="shared" si="134"/>
        <v>40030.020000000004</v>
      </c>
      <c r="AM139" s="15">
        <f t="shared" si="133"/>
        <v>0</v>
      </c>
      <c r="AN139" s="15"/>
      <c r="AO139" s="179">
        <f>SUM(AI139:AN139)</f>
        <v>288550.64073879999</v>
      </c>
      <c r="AP139" s="15">
        <f>SUM(AI139:AM139)</f>
        <v>288550.64073879999</v>
      </c>
      <c r="AQ139" s="15">
        <f t="shared" si="151"/>
        <v>288550.64073879999</v>
      </c>
      <c r="AR139" s="127">
        <f t="shared" si="114"/>
        <v>0</v>
      </c>
      <c r="AS139" s="112">
        <f t="shared" si="146"/>
        <v>27869385.719999999</v>
      </c>
      <c r="AT139" s="112">
        <f t="shared" si="146"/>
        <v>117912862.99649999</v>
      </c>
      <c r="AU139" s="112">
        <f t="shared" si="146"/>
        <v>33632243.01346188</v>
      </c>
      <c r="AV139" s="112">
        <f t="shared" si="146"/>
        <v>28898872.338600002</v>
      </c>
      <c r="AW139" s="112">
        <f t="shared" si="146"/>
        <v>0</v>
      </c>
      <c r="AX139" s="112">
        <f t="shared" si="115"/>
        <v>208313364.06856188</v>
      </c>
      <c r="AY139" s="112">
        <f t="shared" si="116"/>
        <v>208313364.06856188</v>
      </c>
      <c r="AZ139" s="112">
        <f t="shared" si="147"/>
        <v>28881582.599999998</v>
      </c>
      <c r="BA139" s="112">
        <f t="shared" si="147"/>
        <v>122195376.90749998</v>
      </c>
      <c r="BB139" s="112">
        <f t="shared" si="147"/>
        <v>34853742.89823322</v>
      </c>
      <c r="BC139" s="112">
        <f t="shared" si="147"/>
        <v>29948459.463000003</v>
      </c>
      <c r="BD139" s="112">
        <f t="shared" si="147"/>
        <v>0</v>
      </c>
      <c r="BE139" s="112">
        <f t="shared" si="117"/>
        <v>215879161.86873323</v>
      </c>
      <c r="BF139" s="112">
        <f t="shared" si="118"/>
        <v>215879161.86873323</v>
      </c>
      <c r="BG139" s="112">
        <v>0</v>
      </c>
      <c r="BH139" s="112">
        <v>0</v>
      </c>
      <c r="BI139" s="112">
        <f t="shared" si="148"/>
        <v>0</v>
      </c>
      <c r="BJ139" s="18">
        <v>182958.40368140512</v>
      </c>
      <c r="BK139" s="18">
        <v>188399.90999999997</v>
      </c>
      <c r="BL139" s="112">
        <f t="shared" si="149"/>
        <v>17011284.1866</v>
      </c>
      <c r="BM139" s="112">
        <f t="shared" si="149"/>
        <v>69163175.298799992</v>
      </c>
      <c r="BN139" s="112">
        <f>K139*V139</f>
        <v>16834424.488865126</v>
      </c>
      <c r="BO139" s="112">
        <f>L139*W139</f>
        <v>17177046.5339</v>
      </c>
      <c r="BP139" s="112">
        <f t="shared" si="149"/>
        <v>0</v>
      </c>
      <c r="BQ139" s="112">
        <f>BL139+BM139+BN139+BO139+BP139</f>
        <v>120185930.50816512</v>
      </c>
      <c r="BR139" s="112">
        <f>BQ139-BP139</f>
        <v>120185930.50816512</v>
      </c>
      <c r="BS139" s="112">
        <f>O139*AA139</f>
        <v>11252460.296999998</v>
      </c>
      <c r="BT139" s="112">
        <f>P139*AB139</f>
        <v>50520242.753499985</v>
      </c>
      <c r="BU139" s="112">
        <f t="shared" si="142"/>
        <v>17407903.715286888</v>
      </c>
      <c r="BV139" s="112">
        <f t="shared" si="93"/>
        <v>17800905.024499997</v>
      </c>
      <c r="BW139" s="112">
        <f t="shared" si="150"/>
        <v>0</v>
      </c>
      <c r="BX139" s="112">
        <f t="shared" si="121"/>
        <v>96981511.790286869</v>
      </c>
      <c r="BY139" s="112">
        <f t="shared" si="122"/>
        <v>96981511.790286869</v>
      </c>
      <c r="BZ139" s="113">
        <f t="shared" si="91"/>
        <v>119683418.05229998</v>
      </c>
      <c r="CA139" s="113">
        <f t="shared" si="91"/>
        <v>34242328.204152018</v>
      </c>
      <c r="CB139" s="113">
        <f t="shared" si="123"/>
        <v>153925746.25645199</v>
      </c>
      <c r="CC139" s="119">
        <f t="shared" si="92"/>
        <v>732.77035090787024</v>
      </c>
      <c r="CD139" s="119">
        <f t="shared" si="92"/>
        <v>735.02573083004404</v>
      </c>
      <c r="CE139" s="119">
        <f t="shared" si="124"/>
        <v>733.27088495761552</v>
      </c>
      <c r="CF139" s="119">
        <f t="shared" si="95"/>
        <v>733.27088495761541</v>
      </c>
      <c r="CG139" s="619">
        <f t="shared" si="96"/>
        <v>153925746.25645202</v>
      </c>
      <c r="CH139" s="132">
        <f t="shared" si="125"/>
        <v>733.27088495761564</v>
      </c>
      <c r="CI139" s="106"/>
      <c r="CJ139" s="112">
        <f t="shared" si="97"/>
        <v>120185.93050816514</v>
      </c>
      <c r="CK139" s="112">
        <f t="shared" si="98"/>
        <v>91328.161204286895</v>
      </c>
      <c r="CL139" s="112">
        <f>CJ139+CK139</f>
        <v>211514.09171245203</v>
      </c>
      <c r="CM139" s="112">
        <f t="shared" si="99"/>
        <v>211514091.71245202</v>
      </c>
      <c r="CN139" s="112">
        <f t="shared" si="100"/>
        <v>208313364.06856188</v>
      </c>
      <c r="CO139" s="112">
        <f t="shared" si="101"/>
        <v>208313364.06856185</v>
      </c>
      <c r="CP139" s="112">
        <f t="shared" si="102"/>
        <v>120185930.50816512</v>
      </c>
      <c r="CQ139" s="112">
        <f t="shared" si="103"/>
        <v>215879161.86873323</v>
      </c>
      <c r="CR139" s="112">
        <f t="shared" si="104"/>
        <v>215879161.8687332</v>
      </c>
      <c r="CS139" s="112">
        <f t="shared" si="105"/>
        <v>91328161.204286873</v>
      </c>
      <c r="CT139" s="112">
        <f t="shared" si="126"/>
        <v>424192525.93729508</v>
      </c>
      <c r="CU139" s="124">
        <f t="shared" si="127"/>
        <v>1470079.9999999998</v>
      </c>
      <c r="CV139" s="112">
        <f t="shared" si="106"/>
        <v>151545106.00996187</v>
      </c>
      <c r="CW139" s="112">
        <f t="shared" si="107"/>
        <v>157049119.8057332</v>
      </c>
      <c r="CX139" s="112">
        <f t="shared" si="128"/>
        <v>308594225.81569505</v>
      </c>
      <c r="CY139" s="112">
        <f t="shared" si="108"/>
        <v>208313364.06856188</v>
      </c>
      <c r="CZ139" s="112">
        <f t="shared" si="109"/>
        <v>215879161.86873323</v>
      </c>
      <c r="DA139" s="106"/>
      <c r="DB139" s="128">
        <f t="shared" si="129"/>
        <v>103.63193107364981</v>
      </c>
      <c r="DC139" s="106"/>
      <c r="DD139" s="106"/>
      <c r="DE139" s="106"/>
      <c r="DF139" s="106"/>
      <c r="DG139" s="618">
        <f t="shared" si="110"/>
        <v>0</v>
      </c>
      <c r="DH139" s="618">
        <f t="shared" si="111"/>
        <v>0</v>
      </c>
      <c r="DI139" s="618">
        <f t="shared" si="112"/>
        <v>0</v>
      </c>
      <c r="DJ139" s="106"/>
    </row>
    <row r="140" spans="1:114" ht="87" hidden="1" customHeight="1">
      <c r="A140" s="20">
        <f t="shared" si="130"/>
        <v>125</v>
      </c>
      <c r="B140" s="1573"/>
      <c r="C140" s="1573"/>
      <c r="D140" s="827" t="s">
        <v>135</v>
      </c>
      <c r="E140" s="696">
        <v>7721632827</v>
      </c>
      <c r="F140" s="696" t="s">
        <v>8</v>
      </c>
      <c r="G140" s="696" t="s">
        <v>880</v>
      </c>
      <c r="H140" s="697">
        <v>289.52</v>
      </c>
      <c r="I140" s="697">
        <v>0</v>
      </c>
      <c r="J140" s="697">
        <v>289.52</v>
      </c>
      <c r="K140" s="697">
        <v>289.52</v>
      </c>
      <c r="L140" s="697">
        <v>289.52</v>
      </c>
      <c r="M140" s="697">
        <f>L140</f>
        <v>289.52</v>
      </c>
      <c r="N140" s="738">
        <v>301.2</v>
      </c>
      <c r="O140" s="697">
        <v>0</v>
      </c>
      <c r="P140" s="738">
        <v>301.2</v>
      </c>
      <c r="Q140" s="738">
        <v>301.2</v>
      </c>
      <c r="R140" s="738">
        <v>301.2</v>
      </c>
      <c r="S140" s="738">
        <v>301.2</v>
      </c>
      <c r="T140" s="15"/>
      <c r="U140" s="29">
        <f>323-V140-15.4+0.1</f>
        <v>228.7</v>
      </c>
      <c r="V140" s="29">
        <v>79</v>
      </c>
      <c r="W140" s="829">
        <v>41655.26</v>
      </c>
      <c r="X140" s="830">
        <v>211631.04</v>
      </c>
      <c r="Y140" s="15"/>
      <c r="Z140" s="35">
        <f t="shared" si="131"/>
        <v>41962.96</v>
      </c>
      <c r="AA140" s="18"/>
      <c r="AB140" s="29">
        <f>196.3-AC140</f>
        <v>116.30000000000001</v>
      </c>
      <c r="AC140" s="29">
        <v>80</v>
      </c>
      <c r="AD140" s="829">
        <v>14671.62</v>
      </c>
      <c r="AE140" s="831">
        <v>156967.07999999999</v>
      </c>
      <c r="AF140" s="15"/>
      <c r="AG140" s="35">
        <f t="shared" si="132"/>
        <v>14867.92</v>
      </c>
      <c r="AH140" s="35">
        <f t="shared" si="113"/>
        <v>56830.879999999997</v>
      </c>
      <c r="AI140" s="15">
        <f t="shared" si="134"/>
        <v>0</v>
      </c>
      <c r="AJ140" s="18">
        <f t="shared" si="134"/>
        <v>345</v>
      </c>
      <c r="AK140" s="18">
        <f t="shared" si="134"/>
        <v>159</v>
      </c>
      <c r="AL140" s="15">
        <f t="shared" si="134"/>
        <v>56326.880000000005</v>
      </c>
      <c r="AM140" s="15">
        <f t="shared" si="133"/>
        <v>368598.12</v>
      </c>
      <c r="AN140" s="15"/>
      <c r="AO140" s="15">
        <f>SUM(AI140:AN140)</f>
        <v>425429</v>
      </c>
      <c r="AP140" s="15">
        <f>SUM(AI140:AM140)</f>
        <v>425429</v>
      </c>
      <c r="AQ140" s="15">
        <f t="shared" si="151"/>
        <v>56830.880000000005</v>
      </c>
      <c r="AR140" s="127">
        <f t="shared" si="114"/>
        <v>0</v>
      </c>
      <c r="AS140" s="112">
        <f t="shared" si="146"/>
        <v>0</v>
      </c>
      <c r="AT140" s="112">
        <f t="shared" si="146"/>
        <v>99884.4</v>
      </c>
      <c r="AU140" s="112">
        <f t="shared" si="146"/>
        <v>46033.68</v>
      </c>
      <c r="AV140" s="112">
        <f t="shared" si="146"/>
        <v>16307758.297600001</v>
      </c>
      <c r="AW140" s="112">
        <f t="shared" si="146"/>
        <v>106716527.7024</v>
      </c>
      <c r="AX140" s="112">
        <f t="shared" si="115"/>
        <v>123170204.08</v>
      </c>
      <c r="AY140" s="112">
        <f t="shared" si="116"/>
        <v>16453676.377600001</v>
      </c>
      <c r="AZ140" s="112">
        <f t="shared" si="147"/>
        <v>0</v>
      </c>
      <c r="BA140" s="112">
        <f t="shared" si="147"/>
        <v>103914</v>
      </c>
      <c r="BB140" s="112">
        <f t="shared" si="147"/>
        <v>47890.799999999996</v>
      </c>
      <c r="BC140" s="112">
        <f t="shared" si="147"/>
        <v>16965656.256000001</v>
      </c>
      <c r="BD140" s="112">
        <f t="shared" si="147"/>
        <v>111021753.74399999</v>
      </c>
      <c r="BE140" s="112">
        <f t="shared" si="117"/>
        <v>128139214.79999998</v>
      </c>
      <c r="BF140" s="112">
        <f t="shared" si="118"/>
        <v>17117461.056000002</v>
      </c>
      <c r="BG140" s="112"/>
      <c r="BH140" s="112"/>
      <c r="BI140" s="112">
        <f t="shared" si="148"/>
        <v>0</v>
      </c>
      <c r="BJ140" s="13">
        <v>104315.89720512618</v>
      </c>
      <c r="BK140" s="18">
        <v>141708.48045865499</v>
      </c>
      <c r="BL140" s="112">
        <f t="shared" si="149"/>
        <v>0</v>
      </c>
      <c r="BM140" s="112">
        <f t="shared" si="149"/>
        <v>66213.223999999987</v>
      </c>
      <c r="BN140" s="112">
        <f t="shared" si="149"/>
        <v>22872.079999999998</v>
      </c>
      <c r="BO140" s="112">
        <f t="shared" si="149"/>
        <v>12060030.8752</v>
      </c>
      <c r="BP140" s="112">
        <f t="shared" si="149"/>
        <v>61271418.700800002</v>
      </c>
      <c r="BQ140" s="112">
        <f>BL140+BM140+BN140+BO140+BP140</f>
        <v>73420534.879999995</v>
      </c>
      <c r="BR140" s="112">
        <f>BQ140-BP140</f>
        <v>12149116.179199994</v>
      </c>
      <c r="BS140" s="112">
        <f t="shared" si="142"/>
        <v>0</v>
      </c>
      <c r="BT140" s="112">
        <f t="shared" si="142"/>
        <v>35029.560000000005</v>
      </c>
      <c r="BU140" s="112">
        <f t="shared" si="142"/>
        <v>24096</v>
      </c>
      <c r="BV140" s="112">
        <f t="shared" si="93"/>
        <v>12546564.312000001</v>
      </c>
      <c r="BW140" s="112">
        <f t="shared" si="150"/>
        <v>47278484.495999992</v>
      </c>
      <c r="BX140" s="112">
        <f t="shared" si="121"/>
        <v>59884174.367999993</v>
      </c>
      <c r="BY140" s="112">
        <f t="shared" si="122"/>
        <v>12605689.872000001</v>
      </c>
      <c r="BZ140" s="113">
        <f>BM140+BT140</f>
        <v>101242.78399999999</v>
      </c>
      <c r="CA140" s="113">
        <f>BN140+BU140</f>
        <v>46968.08</v>
      </c>
      <c r="CB140" s="113">
        <f t="shared" si="123"/>
        <v>148210.864</v>
      </c>
      <c r="CC140" s="119">
        <f>BZ140/AJ140</f>
        <v>293.45734492753621</v>
      </c>
      <c r="CD140" s="119">
        <f>CA140/AK140</f>
        <v>295.39672955974845</v>
      </c>
      <c r="CE140" s="119">
        <f t="shared" si="124"/>
        <v>294.06917460317459</v>
      </c>
      <c r="CF140" s="119">
        <f t="shared" si="95"/>
        <v>294.06917460317459</v>
      </c>
      <c r="CG140" s="619">
        <f t="shared" si="96"/>
        <v>0</v>
      </c>
      <c r="CH140" s="132">
        <f t="shared" si="125"/>
        <v>0</v>
      </c>
      <c r="CI140" s="106"/>
      <c r="CJ140" s="112">
        <f t="shared" si="97"/>
        <v>12149.116179199998</v>
      </c>
      <c r="CK140" s="112">
        <f t="shared" si="98"/>
        <v>4478.2175039999993</v>
      </c>
      <c r="CL140" s="112">
        <f>CJ140+CK140</f>
        <v>16627.333683199999</v>
      </c>
      <c r="CM140" s="112">
        <f t="shared" si="99"/>
        <v>16627333.683199998</v>
      </c>
      <c r="CN140" s="112">
        <f t="shared" si="100"/>
        <v>16453676.377600001</v>
      </c>
      <c r="CO140" s="112">
        <f t="shared" si="101"/>
        <v>16453676.377600001</v>
      </c>
      <c r="CP140" s="112">
        <f t="shared" si="102"/>
        <v>12149116.179199999</v>
      </c>
      <c r="CQ140" s="112">
        <f t="shared" si="103"/>
        <v>17117461.056000002</v>
      </c>
      <c r="CR140" s="112">
        <f t="shared" si="104"/>
        <v>17117461.056000002</v>
      </c>
      <c r="CS140" s="112">
        <f t="shared" si="105"/>
        <v>4478217.5039999997</v>
      </c>
      <c r="CT140" s="112">
        <f t="shared" si="126"/>
        <v>33571137.433600001</v>
      </c>
      <c r="CU140" s="124">
        <f>CT140/AH140*1000</f>
        <v>590720</v>
      </c>
      <c r="CV140" s="112">
        <f t="shared" si="106"/>
        <v>145918.07999999999</v>
      </c>
      <c r="CW140" s="112">
        <f t="shared" si="107"/>
        <v>151804.79999999999</v>
      </c>
      <c r="CX140" s="112">
        <f t="shared" si="128"/>
        <v>297722.88</v>
      </c>
      <c r="CY140" s="112">
        <f t="shared" si="108"/>
        <v>16453676.377600001</v>
      </c>
      <c r="CZ140" s="112">
        <f t="shared" si="109"/>
        <v>17117461.056000002</v>
      </c>
      <c r="DA140" s="106"/>
      <c r="DB140" s="128">
        <f t="shared" si="129"/>
        <v>104.03426360873169</v>
      </c>
      <c r="DC140" s="106"/>
      <c r="DD140" s="106"/>
      <c r="DE140" s="106"/>
      <c r="DF140" s="106"/>
      <c r="DG140" s="618">
        <f t="shared" si="110"/>
        <v>61271.418700800001</v>
      </c>
      <c r="DH140" s="618">
        <f t="shared" si="111"/>
        <v>47278.48449599999</v>
      </c>
      <c r="DI140" s="618">
        <f t="shared" si="112"/>
        <v>108549.90319679999</v>
      </c>
      <c r="DJ140" s="106"/>
    </row>
    <row r="141" spans="1:114" ht="66.75" hidden="1" customHeight="1" thickBot="1">
      <c r="A141" s="20">
        <f t="shared" si="130"/>
        <v>126</v>
      </c>
      <c r="B141" s="1573"/>
      <c r="C141" s="1573"/>
      <c r="D141" s="739" t="s">
        <v>188</v>
      </c>
      <c r="E141" s="696">
        <v>4629043694</v>
      </c>
      <c r="F141" s="696" t="s">
        <v>8</v>
      </c>
      <c r="G141" s="696" t="s">
        <v>911</v>
      </c>
      <c r="H141" s="697">
        <v>162.32400000000001</v>
      </c>
      <c r="I141" s="740">
        <v>0</v>
      </c>
      <c r="J141" s="740">
        <v>0</v>
      </c>
      <c r="K141" s="740">
        <v>0</v>
      </c>
      <c r="L141" s="697">
        <v>162.32400000000001</v>
      </c>
      <c r="M141" s="163">
        <v>0</v>
      </c>
      <c r="N141" s="738">
        <f>145.03*1.2</f>
        <v>174.036</v>
      </c>
      <c r="O141" s="163">
        <v>0</v>
      </c>
      <c r="P141" s="163">
        <v>0</v>
      </c>
      <c r="Q141" s="163">
        <v>0</v>
      </c>
      <c r="R141" s="738">
        <f>N141</f>
        <v>174.036</v>
      </c>
      <c r="S141" s="163">
        <v>0</v>
      </c>
      <c r="T141" s="35"/>
      <c r="U141" s="15"/>
      <c r="V141" s="600"/>
      <c r="W141" s="180"/>
      <c r="X141" s="15"/>
      <c r="Y141" s="15"/>
      <c r="Z141" s="35">
        <f>SUM(T141:W141)</f>
        <v>0</v>
      </c>
      <c r="AA141" s="35"/>
      <c r="AB141" s="15"/>
      <c r="AC141" s="600"/>
      <c r="AD141" s="15"/>
      <c r="AE141" s="15"/>
      <c r="AF141" s="15"/>
      <c r="AG141" s="35">
        <f>SUM(AA141:AD141)</f>
        <v>0</v>
      </c>
      <c r="AH141" s="35">
        <f t="shared" si="113"/>
        <v>0</v>
      </c>
      <c r="AI141" s="15"/>
      <c r="AJ141" s="15"/>
      <c r="AK141" s="15"/>
      <c r="AL141" s="179">
        <f>AD141+W141</f>
        <v>0</v>
      </c>
      <c r="AM141" s="15"/>
      <c r="AN141" s="15"/>
      <c r="AO141" s="15"/>
      <c r="AP141" s="15"/>
      <c r="AQ141" s="15">
        <f t="shared" si="151"/>
        <v>0</v>
      </c>
      <c r="AR141" s="127">
        <f t="shared" si="114"/>
        <v>0</v>
      </c>
      <c r="AS141" s="112"/>
      <c r="AT141" s="112"/>
      <c r="AU141" s="112"/>
      <c r="AV141" s="112">
        <f>L141*AL141</f>
        <v>0</v>
      </c>
      <c r="AW141" s="112"/>
      <c r="AX141" s="112"/>
      <c r="AY141" s="112"/>
      <c r="AZ141" s="112"/>
      <c r="BA141" s="112"/>
      <c r="BB141" s="112"/>
      <c r="BC141" s="112">
        <f>R141*AL141</f>
        <v>0</v>
      </c>
      <c r="BD141" s="112"/>
      <c r="BE141" s="112"/>
      <c r="BF141" s="112"/>
      <c r="BG141" s="112"/>
      <c r="BH141" s="112"/>
      <c r="BI141" s="112"/>
      <c r="BJ141" s="18">
        <v>811.32227</v>
      </c>
      <c r="BK141" s="18">
        <v>1212.72</v>
      </c>
      <c r="BL141" s="112"/>
      <c r="BM141" s="112"/>
      <c r="BN141" s="112"/>
      <c r="BO141" s="112"/>
      <c r="BP141" s="112"/>
      <c r="BQ141" s="112"/>
      <c r="BR141" s="112"/>
      <c r="BS141" s="112"/>
      <c r="BT141" s="112"/>
      <c r="BU141" s="112"/>
      <c r="BV141" s="112"/>
      <c r="BW141" s="112">
        <f t="shared" si="150"/>
        <v>0</v>
      </c>
      <c r="BX141" s="112">
        <f t="shared" si="121"/>
        <v>0</v>
      </c>
      <c r="BY141" s="112">
        <f t="shared" si="122"/>
        <v>0</v>
      </c>
      <c r="BZ141" s="113">
        <f>BM141+BT141</f>
        <v>0</v>
      </c>
      <c r="CA141" s="113">
        <f>BN141+BU141</f>
        <v>0</v>
      </c>
      <c r="CB141" s="113">
        <f t="shared" si="123"/>
        <v>0</v>
      </c>
      <c r="CC141" s="119" t="e">
        <f>BZ141/AJ141</f>
        <v>#DIV/0!</v>
      </c>
      <c r="CD141" s="119" t="e">
        <f>CA141/AK141</f>
        <v>#DIV/0!</v>
      </c>
      <c r="CE141" s="119" t="e">
        <f t="shared" si="124"/>
        <v>#DIV/0!</v>
      </c>
      <c r="CF141" s="113" t="e">
        <f t="shared" si="95"/>
        <v>#DIV/0!</v>
      </c>
      <c r="CG141" s="619">
        <f t="shared" si="96"/>
        <v>0</v>
      </c>
      <c r="CH141" s="132" t="e">
        <f t="shared" si="125"/>
        <v>#DIV/0!</v>
      </c>
      <c r="CI141" s="106"/>
      <c r="CJ141" s="112">
        <f t="shared" si="97"/>
        <v>0</v>
      </c>
      <c r="CK141" s="112">
        <f t="shared" si="98"/>
        <v>0</v>
      </c>
      <c r="CL141" s="112">
        <f>CJ141+CK141</f>
        <v>0</v>
      </c>
      <c r="CM141" s="112">
        <f t="shared" si="99"/>
        <v>0</v>
      </c>
      <c r="CN141" s="112">
        <v>0</v>
      </c>
      <c r="CO141" s="112"/>
      <c r="CP141" s="112"/>
      <c r="CQ141" s="112">
        <v>0</v>
      </c>
      <c r="CR141" s="112"/>
      <c r="CS141" s="112"/>
      <c r="CT141" s="112">
        <f t="shared" si="126"/>
        <v>0</v>
      </c>
      <c r="CU141" s="124"/>
      <c r="CV141" s="112"/>
      <c r="CW141" s="112"/>
      <c r="CX141" s="112"/>
      <c r="CY141" s="112"/>
      <c r="CZ141" s="112"/>
      <c r="DA141" s="106"/>
      <c r="DB141" s="128" t="e">
        <f t="shared" si="129"/>
        <v>#DIV/0!</v>
      </c>
      <c r="DC141" s="106"/>
      <c r="DD141" s="106"/>
      <c r="DE141" s="106"/>
      <c r="DF141" s="106"/>
      <c r="DG141" s="618">
        <f t="shared" si="110"/>
        <v>0</v>
      </c>
      <c r="DH141" s="618">
        <f t="shared" si="111"/>
        <v>0</v>
      </c>
      <c r="DI141" s="618">
        <f t="shared" si="112"/>
        <v>0</v>
      </c>
      <c r="DJ141" s="106"/>
    </row>
    <row r="142" spans="1:114" s="27" customFormat="1" ht="66.75" hidden="1" customHeight="1" thickBot="1">
      <c r="A142" s="28"/>
      <c r="B142" s="189"/>
      <c r="C142" s="189"/>
      <c r="D142" s="190"/>
      <c r="E142" s="189"/>
      <c r="F142" s="189"/>
      <c r="G142" s="189"/>
      <c r="H142" s="40"/>
      <c r="L142" s="40"/>
      <c r="N142" s="40"/>
      <c r="R142" s="40"/>
      <c r="T142" s="39"/>
      <c r="V142" s="601">
        <f>SUM(V14:V141)</f>
        <v>221738.3961519881</v>
      </c>
      <c r="W142" s="598"/>
      <c r="X142" s="599"/>
      <c r="Y142" s="599"/>
      <c r="Z142" s="599"/>
      <c r="AA142" s="599"/>
      <c r="AB142" s="599"/>
      <c r="AC142" s="601">
        <f>SUM(AC14:AC141)</f>
        <v>206040.46853611013</v>
      </c>
      <c r="AG142" s="39"/>
      <c r="AH142" s="601">
        <f>SUM(AH14:AH141)</f>
        <v>3665789.3969098451</v>
      </c>
      <c r="AJ142" s="601">
        <f>SUM(AJ14:AJ141)</f>
        <v>2151743.3423429844</v>
      </c>
      <c r="AK142" s="601">
        <f>SUM(AK14:AK141)</f>
        <v>427778.86468809814</v>
      </c>
      <c r="AL142" s="192"/>
      <c r="AR142" s="122"/>
      <c r="AS142" s="113"/>
      <c r="AT142" s="113"/>
      <c r="AU142" s="113"/>
      <c r="AV142" s="113"/>
      <c r="AW142" s="113"/>
      <c r="AX142" s="113"/>
      <c r="AY142" s="113"/>
      <c r="AZ142" s="113"/>
      <c r="BA142" s="113"/>
      <c r="BB142" s="113"/>
      <c r="BC142" s="113"/>
      <c r="BD142" s="113"/>
      <c r="BE142" s="113"/>
      <c r="BF142" s="113"/>
      <c r="BG142" s="113"/>
      <c r="BH142" s="113"/>
      <c r="BI142" s="113"/>
      <c r="BJ142" s="161"/>
      <c r="BK142" s="161"/>
      <c r="BL142" s="113"/>
      <c r="BM142" s="113"/>
      <c r="BN142" s="113"/>
      <c r="BO142" s="113"/>
      <c r="BP142" s="113"/>
      <c r="BQ142" s="113"/>
      <c r="BR142" s="113"/>
      <c r="BS142" s="113"/>
      <c r="BT142" s="113"/>
      <c r="BU142" s="113"/>
      <c r="BV142" s="113"/>
      <c r="BW142" s="113"/>
      <c r="BX142" s="113"/>
      <c r="BY142" s="113"/>
      <c r="BZ142" s="113"/>
      <c r="CA142" s="113"/>
      <c r="CB142" s="113"/>
      <c r="CC142" s="119"/>
      <c r="CD142" s="119"/>
      <c r="CE142" s="119"/>
      <c r="CF142" s="113"/>
      <c r="CG142" s="619"/>
      <c r="CH142" s="619"/>
      <c r="CI142" s="113"/>
      <c r="CJ142" s="112"/>
      <c r="CK142" s="112"/>
      <c r="CL142" s="112"/>
      <c r="CM142" s="112"/>
      <c r="CN142" s="112"/>
      <c r="CO142" s="112"/>
      <c r="CP142" s="112"/>
      <c r="CQ142" s="112"/>
      <c r="CR142" s="112"/>
      <c r="CS142" s="112"/>
      <c r="CT142" s="112"/>
      <c r="CU142" s="124"/>
      <c r="CV142" s="112"/>
      <c r="CW142" s="112"/>
      <c r="CX142" s="112"/>
      <c r="CY142" s="112"/>
      <c r="CZ142" s="112"/>
      <c r="DA142" s="113"/>
      <c r="DB142" s="119"/>
      <c r="DC142" s="113"/>
      <c r="DD142" s="113"/>
      <c r="DE142" s="113"/>
      <c r="DF142" s="113"/>
      <c r="DG142" s="618">
        <f t="shared" ref="DG142:DG147" si="152">M142*X142/1000</f>
        <v>0</v>
      </c>
      <c r="DH142" s="618">
        <f t="shared" ref="DH142:DH147" si="153">S142*AE142/1000</f>
        <v>0</v>
      </c>
      <c r="DI142" s="618">
        <f t="shared" ref="DI142:DI147" si="154">DG142+DH142</f>
        <v>0</v>
      </c>
      <c r="DJ142" s="113"/>
    </row>
    <row r="143" spans="1:114" s="27" customFormat="1" ht="66.75" hidden="1" customHeight="1">
      <c r="A143" s="28"/>
      <c r="B143" s="189"/>
      <c r="C143" s="189"/>
      <c r="D143" s="190"/>
      <c r="E143" s="189"/>
      <c r="F143" s="189"/>
      <c r="G143" s="189"/>
      <c r="H143" s="40"/>
      <c r="L143" s="40"/>
      <c r="N143" s="40"/>
      <c r="R143" s="40"/>
      <c r="T143" s="39"/>
      <c r="V143" s="209"/>
      <c r="W143" s="191"/>
      <c r="Z143" s="39"/>
      <c r="AA143" s="39"/>
      <c r="AC143" s="602">
        <f>V142+AC142</f>
        <v>427778.8646880982</v>
      </c>
      <c r="AG143" s="39"/>
      <c r="AH143" s="39">
        <f>SUM(AH14:AH141)</f>
        <v>3665789.3969098451</v>
      </c>
      <c r="AI143" s="39">
        <f t="shared" ref="AI143:CT143" si="155">SUM(AI14:AI141)</f>
        <v>588352.14087876235</v>
      </c>
      <c r="AJ143" s="39">
        <f t="shared" si="155"/>
        <v>2151743.3423429844</v>
      </c>
      <c r="AK143" s="39">
        <f t="shared" si="155"/>
        <v>427778.86468809814</v>
      </c>
      <c r="AL143" s="39">
        <f t="shared" si="155"/>
        <v>497915.04900000006</v>
      </c>
      <c r="AM143" s="39">
        <f t="shared" si="155"/>
        <v>707619.45</v>
      </c>
      <c r="AN143" s="39">
        <f t="shared" si="155"/>
        <v>19905.739999999998</v>
      </c>
      <c r="AO143" s="39">
        <f t="shared" si="155"/>
        <v>4393314.5869098455</v>
      </c>
      <c r="AP143" s="39">
        <f t="shared" si="155"/>
        <v>4373408.8469098452</v>
      </c>
      <c r="AQ143" s="39">
        <f t="shared" si="155"/>
        <v>3665789.3969098451</v>
      </c>
      <c r="AR143" s="39">
        <f t="shared" si="155"/>
        <v>0</v>
      </c>
      <c r="AS143" s="39">
        <f t="shared" si="155"/>
        <v>1282293161.9769917</v>
      </c>
      <c r="AT143" s="39">
        <f t="shared" si="155"/>
        <v>3964553560.0783243</v>
      </c>
      <c r="AU143" s="39">
        <f t="shared" si="155"/>
        <v>743671622.69775915</v>
      </c>
      <c r="AV143" s="39">
        <f t="shared" si="155"/>
        <v>802454862.63571596</v>
      </c>
      <c r="AW143" s="39">
        <f t="shared" si="155"/>
        <v>721729459.57289994</v>
      </c>
      <c r="AX143" s="39">
        <f t="shared" si="155"/>
        <v>7504652345.0666914</v>
      </c>
      <c r="AY143" s="39">
        <f t="shared" si="155"/>
        <v>6782922885.4937906</v>
      </c>
      <c r="AZ143" s="39">
        <f t="shared" si="155"/>
        <v>1384436916.114784</v>
      </c>
      <c r="BA143" s="39">
        <f t="shared" si="155"/>
        <v>4137285507.5137701</v>
      </c>
      <c r="BB143" s="39">
        <f t="shared" si="155"/>
        <v>776598315.08289623</v>
      </c>
      <c r="BC143" s="39">
        <f t="shared" si="155"/>
        <v>886615920.69939041</v>
      </c>
      <c r="BD143" s="39">
        <f t="shared" si="155"/>
        <v>767005011.48511672</v>
      </c>
      <c r="BE143" s="39">
        <f t="shared" si="155"/>
        <v>7939527760.403759</v>
      </c>
      <c r="BF143" s="39">
        <f t="shared" si="155"/>
        <v>7172522748.9186411</v>
      </c>
      <c r="BG143" s="39">
        <f t="shared" si="155"/>
        <v>78160.902503646765</v>
      </c>
      <c r="BH143" s="39">
        <f t="shared" si="155"/>
        <v>149574.29076555104</v>
      </c>
      <c r="BI143" s="39">
        <f t="shared" si="155"/>
        <v>227735.1932691978</v>
      </c>
      <c r="BJ143" s="39">
        <f t="shared" si="155"/>
        <v>5376826.3760106172</v>
      </c>
      <c r="BK143" s="39">
        <f t="shared" si="155"/>
        <v>7140763.7885215124</v>
      </c>
      <c r="BL143" s="39">
        <f t="shared" si="155"/>
        <v>788792304.23649645</v>
      </c>
      <c r="BM143" s="39">
        <f t="shared" si="155"/>
        <v>2279964801.115602</v>
      </c>
      <c r="BN143" s="39">
        <f t="shared" si="155"/>
        <v>386990594.37695783</v>
      </c>
      <c r="BO143" s="39">
        <f t="shared" si="155"/>
        <v>494628657.66269201</v>
      </c>
      <c r="BP143" s="39">
        <f t="shared" si="155"/>
        <v>407982625.97430003</v>
      </c>
      <c r="BQ143" s="39">
        <f t="shared" si="155"/>
        <v>4353213732.251049</v>
      </c>
      <c r="BR143" s="39">
        <f t="shared" si="155"/>
        <v>3945231106.2767487</v>
      </c>
      <c r="BS143" s="39">
        <f t="shared" si="155"/>
        <v>533181142.8177436</v>
      </c>
      <c r="BT143" s="39">
        <f t="shared" si="155"/>
        <v>1757907680.8282042</v>
      </c>
      <c r="BU143" s="39">
        <f t="shared" si="155"/>
        <v>372455986.60754144</v>
      </c>
      <c r="BV143" s="39">
        <f t="shared" si="155"/>
        <v>546898148.76554239</v>
      </c>
      <c r="BW143" s="39">
        <f t="shared" si="155"/>
        <v>333335092.76672179</v>
      </c>
      <c r="BX143" s="39">
        <f t="shared" si="155"/>
        <v>3539841312.275754</v>
      </c>
      <c r="BY143" s="39">
        <f t="shared" si="155"/>
        <v>3206506219.5090322</v>
      </c>
      <c r="BZ143" s="39">
        <f t="shared" si="155"/>
        <v>4037872481.9438066</v>
      </c>
      <c r="CA143" s="39">
        <f t="shared" si="155"/>
        <v>759446580.98449934</v>
      </c>
      <c r="CB143" s="39">
        <f t="shared" si="155"/>
        <v>4797319062.9283047</v>
      </c>
      <c r="CC143" s="39" t="e">
        <f t="shared" si="155"/>
        <v>#DIV/0!</v>
      </c>
      <c r="CD143" s="39" t="e">
        <f t="shared" si="155"/>
        <v>#DIV/0!</v>
      </c>
      <c r="CE143" s="39" t="e">
        <f t="shared" si="155"/>
        <v>#DIV/0!</v>
      </c>
      <c r="CF143" s="39" t="e">
        <f t="shared" si="155"/>
        <v>#DIV/0!</v>
      </c>
      <c r="CG143" s="39">
        <f t="shared" si="155"/>
        <v>4916582073.4260454</v>
      </c>
      <c r="CH143" s="39" t="e">
        <f t="shared" si="155"/>
        <v>#DIV/0!</v>
      </c>
      <c r="CI143" s="39">
        <f t="shared" si="155"/>
        <v>0</v>
      </c>
      <c r="CJ143" s="39">
        <f t="shared" si="155"/>
        <v>4041158.9183807462</v>
      </c>
      <c r="CK143" s="39">
        <f t="shared" si="155"/>
        <v>3178183.8330262066</v>
      </c>
      <c r="CL143" s="777">
        <f t="shared" si="155"/>
        <v>7219342.7514069537</v>
      </c>
      <c r="CM143" s="39">
        <f t="shared" si="155"/>
        <v>7219342751.4069538</v>
      </c>
      <c r="CN143" s="774">
        <f t="shared" si="155"/>
        <v>6793940261.8962288</v>
      </c>
      <c r="CO143" s="39">
        <f t="shared" si="155"/>
        <v>6809962627.8249016</v>
      </c>
      <c r="CP143" s="775">
        <f t="shared" si="155"/>
        <v>3949534604.486084</v>
      </c>
      <c r="CQ143" s="39">
        <f t="shared" si="155"/>
        <v>7183914184.719408</v>
      </c>
      <c r="CR143" s="122">
        <f t="shared" si="155"/>
        <v>7199085004.913414</v>
      </c>
      <c r="CS143" s="775">
        <f t="shared" si="155"/>
        <v>3003111164.2328506</v>
      </c>
      <c r="CT143" s="39">
        <f t="shared" si="155"/>
        <v>13977854446.615637</v>
      </c>
      <c r="CU143" s="39" t="e">
        <f t="shared" ref="CU143:DI143" si="156">SUM(CU14:CU141)</f>
        <v>#DIV/0!</v>
      </c>
      <c r="CV143" s="39">
        <f t="shared" si="156"/>
        <v>4714938481.505722</v>
      </c>
      <c r="CW143" s="39">
        <f t="shared" si="156"/>
        <v>4920840943.7089319</v>
      </c>
      <c r="CX143" s="39">
        <f t="shared" si="156"/>
        <v>9635779425.2146549</v>
      </c>
      <c r="CY143" s="39">
        <f t="shared" si="156"/>
        <v>6954911711.0519476</v>
      </c>
      <c r="CZ143" s="39">
        <f t="shared" si="156"/>
        <v>7589765152.2078552</v>
      </c>
      <c r="DA143" s="39">
        <f t="shared" si="156"/>
        <v>0</v>
      </c>
      <c r="DB143" s="39" t="e">
        <f t="shared" si="156"/>
        <v>#DIV/0!</v>
      </c>
      <c r="DC143" s="39">
        <f t="shared" si="156"/>
        <v>0</v>
      </c>
      <c r="DD143" s="39">
        <f t="shared" si="156"/>
        <v>0</v>
      </c>
      <c r="DE143" s="39">
        <f t="shared" si="156"/>
        <v>0</v>
      </c>
      <c r="DF143" s="39">
        <f t="shared" si="156"/>
        <v>0</v>
      </c>
      <c r="DG143" s="39">
        <f t="shared" si="156"/>
        <v>407982.62597430003</v>
      </c>
      <c r="DH143" s="39">
        <f t="shared" si="156"/>
        <v>333335.09276672185</v>
      </c>
      <c r="DI143" s="777">
        <f t="shared" si="156"/>
        <v>741317.71874102193</v>
      </c>
      <c r="DJ143" s="113"/>
    </row>
    <row r="144" spans="1:114" s="27" customFormat="1" ht="66.75" customHeight="1">
      <c r="A144" s="28"/>
      <c r="B144" s="189"/>
      <c r="C144" s="189"/>
      <c r="D144" s="190"/>
      <c r="E144" s="189"/>
      <c r="F144" s="189"/>
      <c r="G144" s="189"/>
      <c r="H144" s="40"/>
      <c r="L144" s="40"/>
      <c r="N144" s="40"/>
      <c r="R144" s="40"/>
      <c r="T144" s="39"/>
      <c r="U144" s="39"/>
      <c r="V144" s="39"/>
      <c r="W144" s="39"/>
      <c r="X144" s="39"/>
      <c r="Y144" s="39"/>
      <c r="Z144" s="770"/>
      <c r="AA144" s="39"/>
      <c r="AB144" s="39"/>
      <c r="AC144" s="39"/>
      <c r="AD144" s="39"/>
      <c r="AE144" s="39"/>
      <c r="AF144" s="39"/>
      <c r="AG144" s="39"/>
      <c r="AH144" s="39"/>
      <c r="AI144" s="39"/>
      <c r="AJ144" s="39"/>
      <c r="AK144" s="39"/>
      <c r="AL144" s="39"/>
      <c r="AM144" s="39"/>
      <c r="AN144" s="39"/>
      <c r="AO144" s="39"/>
      <c r="AP144" s="39"/>
      <c r="AQ144" s="39"/>
      <c r="AR144" s="122"/>
      <c r="AS144" s="113"/>
      <c r="AT144" s="113"/>
      <c r="AU144" s="113"/>
      <c r="AV144" s="113"/>
      <c r="AW144" s="113"/>
      <c r="AX144" s="113"/>
      <c r="AY144" s="113"/>
      <c r="AZ144" s="113"/>
      <c r="BA144" s="113"/>
      <c r="BB144" s="113"/>
      <c r="BC144" s="113"/>
      <c r="BD144" s="113"/>
      <c r="BE144" s="113"/>
      <c r="BF144" s="113"/>
      <c r="BG144" s="113"/>
      <c r="BH144" s="39"/>
      <c r="BI144" s="772"/>
      <c r="BJ144" s="161"/>
      <c r="BK144" s="161"/>
      <c r="BL144" s="113"/>
      <c r="BM144" s="113"/>
      <c r="BN144" s="113"/>
      <c r="BO144" s="113"/>
      <c r="BP144" s="113"/>
      <c r="BQ144" s="113"/>
      <c r="BR144" s="113"/>
      <c r="BS144" s="113"/>
      <c r="BT144" s="113"/>
      <c r="BU144" s="113"/>
      <c r="BV144" s="113"/>
      <c r="BW144" s="113"/>
      <c r="BX144" s="113"/>
      <c r="BY144" s="113"/>
      <c r="BZ144" s="113"/>
      <c r="CA144" s="113"/>
      <c r="CB144" s="113"/>
      <c r="CC144" s="119"/>
      <c r="CD144" s="119"/>
      <c r="CE144" s="119"/>
      <c r="CF144" s="113"/>
      <c r="CG144" s="619"/>
      <c r="CH144" s="619"/>
      <c r="CI144" s="113"/>
      <c r="CJ144" s="112"/>
      <c r="CK144" s="112"/>
      <c r="CL144" s="776"/>
      <c r="CM144" s="112"/>
      <c r="CN144" s="112"/>
      <c r="CO144" s="112"/>
      <c r="CP144" s="112"/>
      <c r="CQ144" s="112"/>
      <c r="CR144" s="112"/>
      <c r="CS144" s="701">
        <f>CS143+CP143</f>
        <v>6952645768.718935</v>
      </c>
      <c r="CT144" s="112"/>
      <c r="CU144" s="124"/>
      <c r="CV144" s="112"/>
      <c r="CW144" s="112"/>
      <c r="CX144" s="112"/>
      <c r="CY144" s="112"/>
      <c r="CZ144" s="112"/>
      <c r="DA144" s="113"/>
      <c r="DB144" s="119"/>
      <c r="DC144" s="113"/>
      <c r="DD144" s="113"/>
      <c r="DE144" s="113"/>
      <c r="DF144" s="113"/>
      <c r="DG144" s="618">
        <f t="shared" si="152"/>
        <v>0</v>
      </c>
      <c r="DH144" s="618">
        <f t="shared" si="153"/>
        <v>0</v>
      </c>
      <c r="DI144" s="618">
        <f t="shared" si="154"/>
        <v>0</v>
      </c>
      <c r="DJ144" s="113"/>
    </row>
    <row r="145" spans="1:114" s="27" customFormat="1" ht="66.75" customHeight="1">
      <c r="A145" s="28"/>
      <c r="B145" s="189"/>
      <c r="C145" s="189"/>
      <c r="D145" s="190"/>
      <c r="E145" s="189"/>
      <c r="F145" s="189"/>
      <c r="G145" s="189"/>
      <c r="H145" s="40"/>
      <c r="L145" s="40"/>
      <c r="N145" s="40"/>
      <c r="R145" s="40"/>
      <c r="T145" s="39"/>
      <c r="U145" s="39"/>
      <c r="V145" s="39"/>
      <c r="W145" s="39"/>
      <c r="X145" s="770"/>
      <c r="Y145" s="39"/>
      <c r="Z145" s="39"/>
      <c r="AA145" s="39"/>
      <c r="AB145" s="39"/>
      <c r="AC145" s="39"/>
      <c r="AD145" s="39"/>
      <c r="AE145" s="39"/>
      <c r="AF145" s="39"/>
      <c r="AG145" s="39"/>
      <c r="AH145" s="39"/>
      <c r="AI145" s="39"/>
      <c r="AJ145" s="39"/>
      <c r="AK145" s="39"/>
      <c r="AL145" s="39"/>
      <c r="AM145" s="39"/>
      <c r="AN145" s="39"/>
      <c r="AO145" s="39"/>
      <c r="AP145" s="39"/>
      <c r="AQ145" s="39"/>
      <c r="AR145" s="122"/>
      <c r="AS145" s="113"/>
      <c r="AT145" s="113"/>
      <c r="AU145" s="113"/>
      <c r="AV145" s="113"/>
      <c r="AW145" s="113"/>
      <c r="AX145" s="113"/>
      <c r="AY145" s="113"/>
      <c r="AZ145" s="113"/>
      <c r="BA145" s="113"/>
      <c r="BB145" s="113"/>
      <c r="BC145" s="113"/>
      <c r="BD145" s="113"/>
      <c r="BE145" s="113"/>
      <c r="BF145" s="113"/>
      <c r="BG145" s="113"/>
      <c r="BH145" s="113"/>
      <c r="BI145" s="113"/>
      <c r="BJ145" s="161"/>
      <c r="BK145" s="161"/>
      <c r="BL145" s="113"/>
      <c r="BM145" s="113"/>
      <c r="BN145" s="113"/>
      <c r="BO145" s="113"/>
      <c r="BP145" s="113"/>
      <c r="BQ145" s="113"/>
      <c r="BR145" s="113"/>
      <c r="BS145" s="113"/>
      <c r="BT145" s="113"/>
      <c r="BU145" s="113"/>
      <c r="BV145" s="113"/>
      <c r="BW145" s="113"/>
      <c r="BX145" s="113"/>
      <c r="BY145" s="113"/>
      <c r="BZ145" s="113"/>
      <c r="CA145" s="113"/>
      <c r="CB145" s="113"/>
      <c r="CC145" s="119"/>
      <c r="CD145" s="119"/>
      <c r="CE145" s="119"/>
      <c r="CF145" s="113"/>
      <c r="CG145" s="619"/>
      <c r="CH145" s="619"/>
      <c r="CI145" s="113"/>
      <c r="CJ145" s="112"/>
      <c r="CK145" s="112"/>
      <c r="CL145" s="776">
        <f>CS144/1000</f>
        <v>6952645.7687189346</v>
      </c>
      <c r="CM145" s="112"/>
      <c r="CN145" s="112"/>
      <c r="CO145" s="112"/>
      <c r="CP145" s="112"/>
      <c r="CQ145" s="112"/>
      <c r="CR145" s="112"/>
      <c r="CS145" s="776">
        <f>CL143-CL145</f>
        <v>266696.98268801905</v>
      </c>
      <c r="CT145" s="112"/>
      <c r="CU145" s="124"/>
      <c r="CV145" s="112"/>
      <c r="CW145" s="112"/>
      <c r="CX145" s="112"/>
      <c r="CY145" s="112"/>
      <c r="CZ145" s="112"/>
      <c r="DA145" s="113"/>
      <c r="DB145" s="119"/>
      <c r="DC145" s="113"/>
      <c r="DD145" s="113"/>
      <c r="DE145" s="113"/>
      <c r="DF145" s="113"/>
      <c r="DG145" s="618">
        <f t="shared" si="152"/>
        <v>0</v>
      </c>
      <c r="DH145" s="618">
        <f t="shared" si="153"/>
        <v>0</v>
      </c>
      <c r="DI145" s="618">
        <f t="shared" si="154"/>
        <v>0</v>
      </c>
      <c r="DJ145" s="113"/>
    </row>
    <row r="146" spans="1:114" s="8" customFormat="1" ht="25.5" hidden="1">
      <c r="A146" s="20">
        <f>A141+1</f>
        <v>127</v>
      </c>
      <c r="B146" s="3"/>
      <c r="C146" s="4"/>
      <c r="D146" s="4"/>
      <c r="E146" s="4"/>
      <c r="F146" s="4"/>
      <c r="G146" s="4"/>
      <c r="I146" s="34"/>
      <c r="J146" s="687"/>
      <c r="T146" s="31"/>
      <c r="U146" s="6"/>
      <c r="V146" s="228"/>
      <c r="AA146" s="31"/>
      <c r="AB146" s="6">
        <f>AB57+AC57</f>
        <v>220.11</v>
      </c>
      <c r="AC146" s="228"/>
      <c r="AD146" s="24"/>
      <c r="AI146" s="4">
        <f t="shared" ref="AI146:AQ146" si="157">SUM(AI14:AI141)</f>
        <v>588352.14087876235</v>
      </c>
      <c r="AJ146" s="4">
        <f t="shared" si="157"/>
        <v>2151743.3423429844</v>
      </c>
      <c r="AK146" s="4">
        <f t="shared" si="157"/>
        <v>427778.86468809814</v>
      </c>
      <c r="AL146" s="4">
        <f t="shared" si="157"/>
        <v>497915.04900000006</v>
      </c>
      <c r="AM146" s="4">
        <f t="shared" si="157"/>
        <v>707619.45</v>
      </c>
      <c r="AN146" s="4">
        <f t="shared" si="157"/>
        <v>19905.739999999998</v>
      </c>
      <c r="AO146" s="4">
        <f t="shared" si="157"/>
        <v>4393314.5869098455</v>
      </c>
      <c r="AP146" s="4">
        <f t="shared" si="157"/>
        <v>4373408.8469098452</v>
      </c>
      <c r="AQ146" s="4">
        <f t="shared" si="157"/>
        <v>3665789.3969098451</v>
      </c>
      <c r="AR146" s="129"/>
      <c r="AS146" s="129">
        <f t="shared" ref="AS146:BI146" si="158">SUM(AS14:AS141)</f>
        <v>1282293161.9769917</v>
      </c>
      <c r="AT146" s="129">
        <f t="shared" si="158"/>
        <v>3964553560.0783243</v>
      </c>
      <c r="AU146" s="129">
        <f t="shared" si="158"/>
        <v>743671622.69775915</v>
      </c>
      <c r="AV146" s="129">
        <f t="shared" si="158"/>
        <v>802454862.63571596</v>
      </c>
      <c r="AW146" s="129">
        <f t="shared" si="158"/>
        <v>721729459.57289994</v>
      </c>
      <c r="AX146" s="129">
        <f t="shared" si="158"/>
        <v>7504652345.0666914</v>
      </c>
      <c r="AY146" s="129">
        <f t="shared" si="158"/>
        <v>6782922885.4937906</v>
      </c>
      <c r="AZ146" s="129">
        <f t="shared" si="158"/>
        <v>1384436916.114784</v>
      </c>
      <c r="BA146" s="129">
        <f t="shared" si="158"/>
        <v>4137285507.5137701</v>
      </c>
      <c r="BB146" s="129">
        <f t="shared" si="158"/>
        <v>776598315.08289623</v>
      </c>
      <c r="BC146" s="129">
        <f t="shared" si="158"/>
        <v>886615920.69939041</v>
      </c>
      <c r="BD146" s="129">
        <f t="shared" si="158"/>
        <v>767005011.48511672</v>
      </c>
      <c r="BE146" s="129">
        <f t="shared" si="158"/>
        <v>7939527760.403759</v>
      </c>
      <c r="BF146" s="129">
        <f t="shared" si="158"/>
        <v>7172522748.9186411</v>
      </c>
      <c r="BG146" s="129">
        <f t="shared" si="158"/>
        <v>78160.902503646765</v>
      </c>
      <c r="BH146" s="129">
        <f t="shared" si="158"/>
        <v>149574.29076555104</v>
      </c>
      <c r="BI146" s="129">
        <f t="shared" si="158"/>
        <v>227735.1932691978</v>
      </c>
      <c r="BJ146" s="129"/>
      <c r="BK146" s="129"/>
      <c r="BL146" s="129">
        <f t="shared" ref="BL146:CA146" si="159">SUM(BL14:BL141)/1000</f>
        <v>788792.30423649645</v>
      </c>
      <c r="BM146" s="129">
        <f t="shared" si="159"/>
        <v>2279964.8011156018</v>
      </c>
      <c r="BN146" s="129">
        <f t="shared" si="159"/>
        <v>386990.59437695786</v>
      </c>
      <c r="BO146" s="129">
        <f t="shared" si="159"/>
        <v>494628.65766269201</v>
      </c>
      <c r="BP146" s="129">
        <f t="shared" si="159"/>
        <v>407982.62597430003</v>
      </c>
      <c r="BQ146" s="129">
        <f t="shared" si="159"/>
        <v>4353213.732251049</v>
      </c>
      <c r="BR146" s="129">
        <f t="shared" si="159"/>
        <v>3945231.1062767487</v>
      </c>
      <c r="BS146" s="129">
        <f t="shared" si="159"/>
        <v>533181.14281774359</v>
      </c>
      <c r="BT146" s="129">
        <f t="shared" si="159"/>
        <v>1757907.6808282041</v>
      </c>
      <c r="BU146" s="129">
        <f t="shared" si="159"/>
        <v>372455.98660754145</v>
      </c>
      <c r="BV146" s="129">
        <f t="shared" si="159"/>
        <v>546898.14876554243</v>
      </c>
      <c r="BW146" s="129">
        <f t="shared" si="159"/>
        <v>333335.09276672179</v>
      </c>
      <c r="BX146" s="129">
        <f t="shared" si="159"/>
        <v>3539841.3122757538</v>
      </c>
      <c r="BY146" s="129">
        <f t="shared" si="159"/>
        <v>3206506.2195090321</v>
      </c>
      <c r="BZ146" s="129">
        <f t="shared" si="159"/>
        <v>4037872.4819438066</v>
      </c>
      <c r="CA146" s="129">
        <f t="shared" si="159"/>
        <v>759446.58098449931</v>
      </c>
      <c r="CB146" s="129">
        <f>SUM(CB14:CB141)</f>
        <v>4797319062.9283047</v>
      </c>
      <c r="CC146" s="119">
        <f>BZ146/AJ146*1000</f>
        <v>1876.5586036609084</v>
      </c>
      <c r="CD146" s="119">
        <f>CA146/AK146*1000</f>
        <v>1775.3251590356774</v>
      </c>
      <c r="CE146" s="119">
        <f>CB146/AJ147</f>
        <v>1859.7704062605492</v>
      </c>
      <c r="CF146" s="113" t="e">
        <f>CB146/(U146+V146+#REF!+AC146)</f>
        <v>#REF!</v>
      </c>
      <c r="CG146" s="619">
        <f>SUM(CG14:CG141)</f>
        <v>4916582073.4260454</v>
      </c>
      <c r="CH146" s="128">
        <f>CG146/(AJ146+AK146)</f>
        <v>1906.0049415448984</v>
      </c>
      <c r="CI146" s="120"/>
      <c r="CJ146" s="118"/>
      <c r="CK146" s="118"/>
      <c r="CL146" s="118"/>
      <c r="CM146" s="118">
        <f>SUM(CM14:CM141)</f>
        <v>7219342751.4069538</v>
      </c>
      <c r="CN146" s="118"/>
      <c r="CO146" s="118"/>
      <c r="CP146" s="118"/>
      <c r="CQ146" s="118"/>
      <c r="CR146" s="118"/>
      <c r="CS146" s="118"/>
      <c r="CT146" s="118"/>
      <c r="CU146" s="118"/>
      <c r="CV146" s="118"/>
      <c r="CW146" s="118"/>
      <c r="CX146" s="118"/>
      <c r="CY146" s="118"/>
      <c r="CZ146" s="118"/>
      <c r="DA146" s="120"/>
      <c r="DB146" s="128" t="e">
        <f t="shared" ref="DB146:DB151" si="160">N146/J146*100</f>
        <v>#DIV/0!</v>
      </c>
      <c r="DC146" s="120"/>
      <c r="DD146" s="120"/>
      <c r="DE146" s="120"/>
      <c r="DF146" s="120"/>
      <c r="DG146" s="618">
        <f t="shared" si="152"/>
        <v>0</v>
      </c>
      <c r="DH146" s="618">
        <f t="shared" si="153"/>
        <v>0</v>
      </c>
      <c r="DI146" s="618">
        <f t="shared" si="154"/>
        <v>0</v>
      </c>
      <c r="DJ146" s="120"/>
    </row>
    <row r="147" spans="1:114" hidden="1">
      <c r="A147" s="20">
        <f t="shared" ref="A147:A168" si="161">A146+1</f>
        <v>128</v>
      </c>
      <c r="B147" s="2"/>
      <c r="C147" s="2"/>
      <c r="D147" s="2"/>
      <c r="E147" s="2"/>
      <c r="F147" s="2"/>
      <c r="G147" s="2"/>
      <c r="I147" s="34"/>
      <c r="J147" s="688"/>
      <c r="K147" s="27"/>
      <c r="T147" s="30">
        <f>SUM(T14:T141)</f>
        <v>361409.90211923898</v>
      </c>
      <c r="U147" s="30">
        <f>SUM(U14:U141)</f>
        <v>1238113.5157123199</v>
      </c>
      <c r="V147" s="229">
        <f>SUM(V14:V141)</f>
        <v>221738.3961519881</v>
      </c>
      <c r="W147" s="30">
        <f>SUM(W14:W141)</f>
        <v>311023.83300000004</v>
      </c>
      <c r="Z147" s="30">
        <f>SUM(Z14:Z141)</f>
        <v>2132285.6469835467</v>
      </c>
      <c r="AA147" s="30">
        <f>SUM(AA14:AA141)</f>
        <v>226942.23875952355</v>
      </c>
      <c r="AB147" s="30">
        <f>SUM(AB14:AB141)</f>
        <v>913629.82663066394</v>
      </c>
      <c r="AC147" s="229">
        <f>SUM(AC14:AC141)</f>
        <v>206040.46853611013</v>
      </c>
      <c r="AD147" s="30">
        <f>SUM(AD14:AD141)</f>
        <v>186891.21599999999</v>
      </c>
      <c r="AG147" s="30">
        <f>SUM(AG14:AG141)</f>
        <v>1533503.7499262975</v>
      </c>
      <c r="AH147" s="8">
        <f>SUM(AH14:AH141)</f>
        <v>3665789.3969098451</v>
      </c>
      <c r="AJ147" s="25">
        <f>AJ146+AK146</f>
        <v>2579522.2070310824</v>
      </c>
      <c r="AQ147" s="9">
        <f>AJ147/AQ146*100</f>
        <v>70.367441435821306</v>
      </c>
      <c r="AR147" s="128">
        <f>AH147-AQ148</f>
        <v>0</v>
      </c>
      <c r="AS147" s="106"/>
      <c r="AT147" s="106"/>
      <c r="AU147" s="130"/>
      <c r="AV147" s="106"/>
      <c r="AW147" s="106"/>
      <c r="AX147" s="106"/>
      <c r="AY147" s="106"/>
      <c r="AZ147" s="130"/>
      <c r="BA147" s="106"/>
      <c r="BB147" s="130"/>
      <c r="BC147" s="106"/>
      <c r="BD147" s="106"/>
      <c r="BE147" s="106"/>
      <c r="BF147" s="106"/>
      <c r="BG147" s="106"/>
      <c r="BH147" s="106"/>
      <c r="BI147" s="106"/>
      <c r="BJ147" s="106"/>
      <c r="BK147" s="106"/>
      <c r="BL147" s="106"/>
      <c r="BM147" s="106"/>
      <c r="BN147" s="106"/>
      <c r="BO147" s="106"/>
      <c r="BP147" s="106"/>
      <c r="BQ147" s="106"/>
      <c r="BR147" s="106"/>
      <c r="BS147" s="106"/>
      <c r="BT147" s="106"/>
      <c r="BU147" s="106"/>
      <c r="BV147" s="106"/>
      <c r="BW147" s="106"/>
      <c r="BX147" s="106"/>
      <c r="BY147" s="106"/>
      <c r="BZ147" s="130">
        <f>BZ146/AJ146*1000</f>
        <v>1876.5586036609084</v>
      </c>
      <c r="CA147" s="128">
        <f>CA146/AK146*1000</f>
        <v>1775.3251590356774</v>
      </c>
      <c r="CB147" s="128">
        <f>CB146/AJ147</f>
        <v>1859.7704062605492</v>
      </c>
      <c r="CC147" s="106">
        <f>BZ147/AJ147*1000</f>
        <v>0.72748301935370641</v>
      </c>
      <c r="CD147" s="106"/>
      <c r="CE147" s="120" t="e">
        <f>SUM(CE14:CE146)</f>
        <v>#DIV/0!</v>
      </c>
      <c r="CF147" s="106"/>
      <c r="CG147" s="106"/>
      <c r="CH147" s="106"/>
      <c r="CI147" s="106"/>
      <c r="CJ147" s="112">
        <f>SUM(CJ14:CJ141)</f>
        <v>4041158.9183807462</v>
      </c>
      <c r="CK147" s="112">
        <f>SUM(CK14:CK141)</f>
        <v>3178183.8330262066</v>
      </c>
      <c r="CL147" s="112">
        <f>SUM(CL14:CL141)</f>
        <v>7219342.7514069537</v>
      </c>
      <c r="CM147" s="112"/>
      <c r="CN147" s="112">
        <f t="shared" ref="CN147:CZ147" si="162">SUM(CN14:CN146)</f>
        <v>13587880523.792458</v>
      </c>
      <c r="CO147" s="112">
        <f t="shared" si="162"/>
        <v>13619925255.649803</v>
      </c>
      <c r="CP147" s="112">
        <f t="shared" si="162"/>
        <v>7899069208.972168</v>
      </c>
      <c r="CQ147" s="112">
        <f t="shared" si="162"/>
        <v>14367828369.438816</v>
      </c>
      <c r="CR147" s="112">
        <f t="shared" si="162"/>
        <v>14398170009.826828</v>
      </c>
      <c r="CS147" s="112">
        <f t="shared" si="162"/>
        <v>12959134794.167324</v>
      </c>
      <c r="CT147" s="112">
        <f t="shared" si="162"/>
        <v>27955708893.231274</v>
      </c>
      <c r="CU147" s="112" t="e">
        <f t="shared" si="162"/>
        <v>#DIV/0!</v>
      </c>
      <c r="CV147" s="118">
        <f t="shared" si="162"/>
        <v>9429876963.0114441</v>
      </c>
      <c r="CW147" s="118">
        <f t="shared" si="162"/>
        <v>9841681887.4178638</v>
      </c>
      <c r="CX147" s="118">
        <f t="shared" si="162"/>
        <v>19271558850.42931</v>
      </c>
      <c r="CY147" s="118">
        <f t="shared" si="162"/>
        <v>13909823422.103895</v>
      </c>
      <c r="CZ147" s="118">
        <f t="shared" si="162"/>
        <v>15179530304.41571</v>
      </c>
      <c r="DA147" s="106"/>
      <c r="DB147" s="128" t="e">
        <f t="shared" si="160"/>
        <v>#DIV/0!</v>
      </c>
      <c r="DC147" s="106"/>
      <c r="DD147" s="106"/>
      <c r="DE147" s="106"/>
      <c r="DF147" s="106"/>
      <c r="DG147" s="618">
        <f t="shared" si="152"/>
        <v>0</v>
      </c>
      <c r="DH147" s="618">
        <f t="shared" si="153"/>
        <v>0</v>
      </c>
      <c r="DI147" s="618">
        <f t="shared" si="154"/>
        <v>0</v>
      </c>
      <c r="DJ147" s="106"/>
    </row>
    <row r="148" spans="1:114" ht="22.5" hidden="1">
      <c r="A148" s="20">
        <f t="shared" si="161"/>
        <v>129</v>
      </c>
      <c r="B148" s="2"/>
      <c r="C148" s="2"/>
      <c r="D148" s="2"/>
      <c r="E148" s="2"/>
      <c r="F148" s="2"/>
      <c r="G148" s="2"/>
      <c r="I148" s="34"/>
      <c r="U148" s="6">
        <f>U147+V147</f>
        <v>1459851.9118643079</v>
      </c>
      <c r="AB148" s="6">
        <f>AB147+AC147</f>
        <v>1119670.2951667742</v>
      </c>
      <c r="AH148" s="41"/>
      <c r="AJ148" s="8"/>
      <c r="AL148" s="25"/>
      <c r="AQ148" s="8">
        <f>SUM(AQ14:AQ140)</f>
        <v>3665789.3969098451</v>
      </c>
      <c r="AR148" s="106"/>
      <c r="AS148" s="131">
        <f>AS146/AI146</f>
        <v>2179.465447447441</v>
      </c>
      <c r="AT148" s="131">
        <f>AT146/AJ146</f>
        <v>1842.4844088335424</v>
      </c>
      <c r="AU148" s="131">
        <f>AU146/AK146</f>
        <v>1738.4487268672906</v>
      </c>
      <c r="AV148" s="131">
        <f>AV146/AL146</f>
        <v>1611.6300647014907</v>
      </c>
      <c r="AW148" s="131">
        <f>AW146/AM146</f>
        <v>1019.940109861169</v>
      </c>
      <c r="AX148" s="131">
        <f>AX146/AP146</f>
        <v>1715.9731933979403</v>
      </c>
      <c r="AY148" s="689">
        <f>AY146/AQ146</f>
        <v>1850.3307612847589</v>
      </c>
      <c r="AZ148" s="131">
        <f>AZ146/AI146</f>
        <v>2353.0753436997611</v>
      </c>
      <c r="BA148" s="131">
        <f>BA146/AJ146</f>
        <v>1922.7597576803812</v>
      </c>
      <c r="BB148" s="131">
        <f>BB146/AK146</f>
        <v>1815.4200199889003</v>
      </c>
      <c r="BC148" s="131">
        <f>BC146/AL146</f>
        <v>1780.6570066119659</v>
      </c>
      <c r="BD148" s="131">
        <f>BD146/AM146</f>
        <v>1083.9230203255672</v>
      </c>
      <c r="BE148" s="131">
        <f>BE146/AP146</f>
        <v>1815.4094525174921</v>
      </c>
      <c r="BF148" s="689">
        <f>BF146/AQ146</f>
        <v>1956.6106975389453</v>
      </c>
      <c r="BG148" s="106"/>
      <c r="BH148" s="106"/>
      <c r="BI148" s="106" t="s">
        <v>196</v>
      </c>
      <c r="BJ148" s="106"/>
      <c r="BK148" s="106"/>
      <c r="BL148" s="106"/>
      <c r="BM148" s="106"/>
      <c r="BN148" s="106"/>
      <c r="BO148" s="106"/>
      <c r="BP148" s="106"/>
      <c r="BQ148" s="106"/>
      <c r="BR148" s="106"/>
      <c r="BS148" s="106"/>
      <c r="BT148" s="106"/>
      <c r="BU148" s="106"/>
      <c r="BV148" s="106"/>
      <c r="BW148" s="106"/>
      <c r="BX148" s="106"/>
      <c r="BY148" s="106"/>
      <c r="BZ148" s="106"/>
      <c r="CA148" s="106"/>
      <c r="CB148" s="106"/>
      <c r="CC148" s="106"/>
      <c r="CD148" s="106"/>
      <c r="CE148" s="128" t="e">
        <f>CE147/AJ147</f>
        <v>#DIV/0!</v>
      </c>
      <c r="CF148" s="128" t="e">
        <f>CE147/AJ147</f>
        <v>#DIV/0!</v>
      </c>
      <c r="CG148" s="106"/>
      <c r="CH148" s="132">
        <f>CB147/CH146*100</f>
        <v>97.574269915225187</v>
      </c>
      <c r="CI148" s="106"/>
      <c r="CJ148" s="131">
        <f>CJ147/Z147*1000</f>
        <v>1895.2239931350666</v>
      </c>
      <c r="CK148" s="131">
        <f>CK147/AG147*1000</f>
        <v>2072.4982466974438</v>
      </c>
      <c r="CL148" s="131">
        <f>CL147/AQ146*1000</f>
        <v>1969.3828449317496</v>
      </c>
      <c r="CM148" s="133">
        <f>CM146/AQ146</f>
        <v>1969.3828449317498</v>
      </c>
      <c r="CN148" s="124">
        <f>CN147/AQ146</f>
        <v>3706.6724387512959</v>
      </c>
      <c r="CO148" s="124">
        <f>CO147/AQ146</f>
        <v>3715.4140025422648</v>
      </c>
      <c r="CP148" s="124">
        <f>CP147/Z147</f>
        <v>3704.5079866042543</v>
      </c>
      <c r="CQ148" s="124">
        <f>CQ147/AQ146</f>
        <v>3919.4363924862901</v>
      </c>
      <c r="CR148" s="124">
        <f>CR147/AQ146</f>
        <v>3927.713365629807</v>
      </c>
      <c r="CS148" s="124">
        <f>CS147/AG147</f>
        <v>8450.6704302419603</v>
      </c>
      <c r="CT148" s="134">
        <f>CT147/(AH147+AQ146)</f>
        <v>3813.054415618793</v>
      </c>
      <c r="CU148" s="112"/>
      <c r="CV148" s="135">
        <f>CV147/(AJ146+AK146)</f>
        <v>3655.6680680275367</v>
      </c>
      <c r="CW148" s="135">
        <f>CW147/(AJ146+AK146)</f>
        <v>3815.3119444337758</v>
      </c>
      <c r="CX148" s="134">
        <f>(CV148+CW148)/2</f>
        <v>3735.490006230656</v>
      </c>
      <c r="CY148" s="136">
        <f>CY147/AQ146</f>
        <v>3794.4960596562028</v>
      </c>
      <c r="CZ148" s="136">
        <f>CZ147/AQ146</f>
        <v>4140.8626248991877</v>
      </c>
      <c r="DA148" s="106"/>
      <c r="DB148" s="128" t="e">
        <f t="shared" si="160"/>
        <v>#DIV/0!</v>
      </c>
      <c r="DC148" s="106"/>
      <c r="DD148" s="106"/>
      <c r="DE148" s="106"/>
      <c r="DF148" s="106"/>
      <c r="DH148" s="106"/>
      <c r="DI148" s="106"/>
      <c r="DJ148" s="106"/>
    </row>
    <row r="149" spans="1:114" ht="20.25" hidden="1">
      <c r="A149" s="20">
        <f t="shared" si="161"/>
        <v>130</v>
      </c>
      <c r="B149" s="2"/>
      <c r="C149" s="2"/>
      <c r="D149" s="2"/>
      <c r="E149" s="2"/>
      <c r="F149" s="2"/>
      <c r="G149" s="2"/>
      <c r="I149" s="34"/>
      <c r="AG149" s="30">
        <f>AG147+Z147</f>
        <v>3665789.3969098441</v>
      </c>
      <c r="AH149" s="30"/>
      <c r="AR149" s="106"/>
      <c r="AS149" s="137"/>
      <c r="AT149" s="1575">
        <f>(AT146+AU146)/(AJ146+AK146)</f>
        <v>1825.2314982762041</v>
      </c>
      <c r="AU149" s="1575"/>
      <c r="AV149" s="137"/>
      <c r="AW149" s="137"/>
      <c r="AX149" s="137"/>
      <c r="AY149" s="137"/>
      <c r="AZ149" s="137"/>
      <c r="BA149" s="1575">
        <f>(BA146+BB146)/(AJ146+AK146)</f>
        <v>1904.9589141751692</v>
      </c>
      <c r="BB149" s="1575"/>
      <c r="BC149" s="137"/>
      <c r="BD149" s="137"/>
      <c r="BE149" s="137"/>
      <c r="BF149" s="137"/>
      <c r="BG149" s="106"/>
      <c r="BH149" s="106"/>
      <c r="BI149" s="106"/>
      <c r="BJ149" s="106"/>
      <c r="BK149" s="106"/>
      <c r="BL149" s="106"/>
      <c r="BM149" s="106"/>
      <c r="BN149" s="138">
        <f>BL146+BM146+BO146</f>
        <v>3563385.7630147901</v>
      </c>
      <c r="BO149" s="106"/>
      <c r="BP149" s="106"/>
      <c r="BQ149" s="106"/>
      <c r="BR149" s="106"/>
      <c r="BS149" s="106"/>
      <c r="BT149" s="106"/>
      <c r="BU149" s="130">
        <f>BS146+BT146+BV146</f>
        <v>2837986.97241149</v>
      </c>
      <c r="BV149" s="106"/>
      <c r="BW149" s="106"/>
      <c r="BX149" s="106"/>
      <c r="BY149" s="106"/>
      <c r="BZ149" s="130"/>
      <c r="CA149" s="106"/>
      <c r="CB149" s="130">
        <f>BZ146+CA146</f>
        <v>4797319.0629283059</v>
      </c>
      <c r="CC149" s="106"/>
      <c r="CD149" s="106"/>
      <c r="CE149" s="106"/>
      <c r="CF149" s="106"/>
      <c r="CG149" s="106"/>
      <c r="CH149" s="106"/>
      <c r="CI149" s="106"/>
      <c r="CJ149" s="112"/>
      <c r="CK149" s="124">
        <f>CK148/CJ148*100</f>
        <v>109.35373624460776</v>
      </c>
      <c r="CL149" s="112"/>
      <c r="CM149" s="112"/>
      <c r="CN149" s="112"/>
      <c r="CO149" s="112"/>
      <c r="CP149" s="112"/>
      <c r="CQ149" s="124">
        <f>CQ148/CN148*100</f>
        <v>105.74002578460022</v>
      </c>
      <c r="CR149" s="139">
        <f>CR148/CO148*100</f>
        <v>105.7140163368679</v>
      </c>
      <c r="CS149" s="124">
        <f>CS148/CP148*100</f>
        <v>228.1185642141991</v>
      </c>
      <c r="CT149" s="112"/>
      <c r="CU149" s="112"/>
      <c r="CV149" s="140"/>
      <c r="CW149" s="141">
        <f>CW148/CV148</f>
        <v>1.0436702330286725</v>
      </c>
      <c r="CX149" s="134" t="e">
        <f>CX147/(2*AJ148)</f>
        <v>#DIV/0!</v>
      </c>
      <c r="CY149" s="140"/>
      <c r="CZ149" s="690">
        <f>CZ148/CY148*100</f>
        <v>109.1281308452424</v>
      </c>
      <c r="DA149" s="106"/>
      <c r="DB149" s="128" t="e">
        <f t="shared" si="160"/>
        <v>#DIV/0!</v>
      </c>
      <c r="DC149" s="106"/>
      <c r="DD149" s="106"/>
      <c r="DE149" s="106"/>
      <c r="DF149" s="106"/>
      <c r="DH149" s="106"/>
      <c r="DI149" s="106"/>
      <c r="DJ149" s="106"/>
    </row>
    <row r="150" spans="1:114" ht="15.75" hidden="1">
      <c r="A150" s="20">
        <f t="shared" si="161"/>
        <v>131</v>
      </c>
      <c r="B150" s="2"/>
      <c r="C150" s="2"/>
      <c r="D150" s="2"/>
      <c r="E150" s="2"/>
      <c r="F150" s="2"/>
      <c r="G150" s="2"/>
      <c r="AG150" s="41">
        <f>AQ146-AG149</f>
        <v>0</v>
      </c>
      <c r="AH150" s="41"/>
      <c r="AI150" s="691" t="s">
        <v>220</v>
      </c>
      <c r="AJ150" s="691">
        <v>3726743.3058103835</v>
      </c>
      <c r="AQ150" s="25">
        <f>AH147-AQ148</f>
        <v>0</v>
      </c>
      <c r="AR150" s="106"/>
      <c r="AS150" s="137"/>
      <c r="AT150" s="800"/>
      <c r="AU150" s="800"/>
      <c r="AV150" s="137"/>
      <c r="AW150" s="137"/>
      <c r="AX150" s="137"/>
      <c r="AY150" s="137" t="s">
        <v>177</v>
      </c>
      <c r="AZ150" s="137"/>
      <c r="BA150" s="1576">
        <f>BA149/AT149*100</f>
        <v>104.36807144596516</v>
      </c>
      <c r="BB150" s="1576"/>
      <c r="BC150" s="137"/>
      <c r="BD150" s="137"/>
      <c r="BE150" s="137"/>
      <c r="BF150" s="137"/>
      <c r="BG150" s="106"/>
      <c r="BH150" s="106"/>
      <c r="BI150" s="106"/>
      <c r="BJ150" s="106"/>
      <c r="BK150" s="106"/>
      <c r="BL150" s="106"/>
      <c r="BM150" s="106"/>
      <c r="BN150" s="106"/>
      <c r="BO150" s="106"/>
      <c r="BP150" s="106"/>
      <c r="BQ150" s="106"/>
      <c r="BR150" s="106"/>
      <c r="BS150" s="106"/>
      <c r="BT150" s="106"/>
      <c r="BU150" s="106"/>
      <c r="BV150" s="106"/>
      <c r="BW150" s="106"/>
      <c r="BX150" s="106"/>
      <c r="BY150" s="106"/>
      <c r="BZ150" s="106"/>
      <c r="CA150" s="106"/>
      <c r="CB150" s="106"/>
      <c r="CC150" s="106"/>
      <c r="CD150" s="106"/>
      <c r="CE150" s="106"/>
      <c r="CF150" s="106"/>
      <c r="CG150" s="106"/>
      <c r="CH150" s="106"/>
      <c r="CI150" s="106"/>
      <c r="CJ150" s="106"/>
      <c r="CK150" s="106"/>
      <c r="CL150" s="106"/>
      <c r="CM150" s="106"/>
      <c r="CN150" s="106"/>
      <c r="CO150" s="106"/>
      <c r="CP150" s="106"/>
      <c r="CQ150" s="106"/>
      <c r="CR150" s="106"/>
      <c r="CS150" s="106"/>
      <c r="CT150" s="106"/>
      <c r="CU150" s="106"/>
      <c r="CV150" s="106"/>
      <c r="CW150" s="106"/>
      <c r="CX150" s="106"/>
      <c r="CY150" s="106"/>
      <c r="CZ150" s="106"/>
      <c r="DA150" s="106"/>
      <c r="DB150" s="128" t="e">
        <f t="shared" si="160"/>
        <v>#DIV/0!</v>
      </c>
      <c r="DC150" s="106"/>
      <c r="DD150" s="106"/>
      <c r="DE150" s="106"/>
      <c r="DF150" s="106"/>
      <c r="DH150" s="106"/>
      <c r="DI150" s="106"/>
      <c r="DJ150" s="106"/>
    </row>
    <row r="151" spans="1:114" ht="30.75" hidden="1">
      <c r="A151" s="20">
        <f t="shared" si="161"/>
        <v>132</v>
      </c>
      <c r="B151" s="2"/>
      <c r="C151" s="2"/>
      <c r="D151" s="2"/>
      <c r="E151" s="2"/>
      <c r="F151" s="2"/>
      <c r="G151" s="2"/>
      <c r="AI151" s="691" t="s">
        <v>219</v>
      </c>
      <c r="AJ151" s="691">
        <f>AJ150-AH147</f>
        <v>60953.908900538459</v>
      </c>
      <c r="AR151" s="106"/>
      <c r="AS151" s="142" t="s">
        <v>178</v>
      </c>
      <c r="AT151" s="143"/>
      <c r="AU151" s="143"/>
      <c r="AV151" s="137"/>
      <c r="AW151" s="137"/>
      <c r="AX151" s="137"/>
      <c r="AY151" s="137"/>
      <c r="AZ151" s="144" t="s">
        <v>178</v>
      </c>
      <c r="BA151" s="692">
        <f>BA148/AT148*100</f>
        <v>104.35690790445604</v>
      </c>
      <c r="BB151" s="692">
        <f>BB148/AU148*100</f>
        <v>104.42758488829942</v>
      </c>
      <c r="BC151" s="137"/>
      <c r="BD151" s="137"/>
      <c r="BE151" s="137"/>
      <c r="BF151" s="689">
        <f>BF148/AY148*100</f>
        <v>105.74383447964688</v>
      </c>
      <c r="BG151" s="106"/>
      <c r="BH151" s="106"/>
      <c r="BI151" s="106"/>
      <c r="BJ151" s="106"/>
      <c r="BK151" s="106"/>
      <c r="BL151" s="106"/>
      <c r="BM151" s="106"/>
      <c r="BN151" s="106"/>
      <c r="BO151" s="106"/>
      <c r="BP151" s="106"/>
      <c r="BQ151" s="106"/>
      <c r="BR151" s="106"/>
      <c r="BS151" s="106"/>
      <c r="BT151" s="105" t="s">
        <v>222</v>
      </c>
      <c r="BU151" s="138">
        <f>BU149+BN149</f>
        <v>6401372.7354262806</v>
      </c>
      <c r="BV151" s="106"/>
      <c r="BW151" s="106"/>
      <c r="BX151" s="106"/>
      <c r="BY151" s="106"/>
      <c r="BZ151" s="106"/>
      <c r="CA151" s="106"/>
      <c r="CB151" s="106"/>
      <c r="CC151" s="106"/>
      <c r="CD151" s="106"/>
      <c r="CE151" s="106"/>
      <c r="CF151" s="106"/>
      <c r="CG151" s="106"/>
      <c r="CH151" s="106"/>
      <c r="CI151" s="106"/>
      <c r="CJ151" s="106"/>
      <c r="CK151" s="106"/>
      <c r="CL151" s="106"/>
      <c r="CM151" s="106"/>
      <c r="CN151" s="106"/>
      <c r="CO151" s="106"/>
      <c r="CP151" s="106"/>
      <c r="CQ151" s="106"/>
      <c r="CR151" s="145">
        <f>BF151</f>
        <v>105.74383447964688</v>
      </c>
      <c r="CS151" s="106"/>
      <c r="CT151" s="106"/>
      <c r="CU151" s="106"/>
      <c r="CV151" s="106"/>
      <c r="CW151" s="106"/>
      <c r="CX151" s="106"/>
      <c r="CY151" s="106"/>
      <c r="CZ151" s="106"/>
      <c r="DA151" s="106"/>
      <c r="DB151" s="128" t="e">
        <f t="shared" si="160"/>
        <v>#DIV/0!</v>
      </c>
      <c r="DC151" s="106"/>
      <c r="DD151" s="106"/>
      <c r="DE151" s="106"/>
      <c r="DF151" s="106"/>
      <c r="DH151" s="106"/>
      <c r="DI151" s="106"/>
      <c r="DJ151" s="106"/>
    </row>
    <row r="152" spans="1:114" ht="15.75" hidden="1" thickBot="1">
      <c r="A152" s="20">
        <f t="shared" si="161"/>
        <v>133</v>
      </c>
      <c r="B152" s="2"/>
      <c r="C152" s="2"/>
      <c r="D152" s="2"/>
      <c r="E152" s="2"/>
      <c r="F152" s="2"/>
      <c r="G152" s="2"/>
      <c r="Z152" s="30">
        <f>Z136+Z47+Z50</f>
        <v>1203399.6499999997</v>
      </c>
      <c r="AG152" s="30">
        <f>AG136+AG47+AG50</f>
        <v>855687.84999999986</v>
      </c>
      <c r="AR152" s="106"/>
      <c r="AS152" s="146">
        <f>(AS146+AV146)/(AI146+AL146)</f>
        <v>1919.1853017721955</v>
      </c>
      <c r="AT152" s="106">
        <f>SUM(AT126:AT139)</f>
        <v>2599479133.6652803</v>
      </c>
      <c r="AU152" s="106">
        <f>SUM(AU125:AU137)</f>
        <v>490357613.1753999</v>
      </c>
      <c r="AV152" s="137"/>
      <c r="AW152" s="137"/>
      <c r="AX152" s="137"/>
      <c r="AY152" s="137"/>
      <c r="AZ152" s="693">
        <f>(AZ146+BC146)/(AI146+AL146)</f>
        <v>2090.6944976103396</v>
      </c>
      <c r="BA152" s="694" t="s">
        <v>258</v>
      </c>
      <c r="BB152" s="694" t="s">
        <v>259</v>
      </c>
      <c r="BC152" s="137"/>
      <c r="BD152" s="137"/>
      <c r="BE152" s="137"/>
      <c r="BF152" s="137"/>
      <c r="BG152" s="106"/>
      <c r="BH152" s="106"/>
      <c r="BI152" s="106"/>
      <c r="BJ152" s="106"/>
      <c r="BK152" s="106"/>
      <c r="BL152" s="106"/>
      <c r="BM152" s="106"/>
      <c r="BN152" s="106"/>
      <c r="BO152" s="106"/>
      <c r="BP152" s="106"/>
      <c r="BQ152" s="106"/>
      <c r="BR152" s="106"/>
      <c r="BS152" s="106"/>
      <c r="BT152" s="106"/>
      <c r="BU152" s="106"/>
      <c r="BV152" s="106"/>
      <c r="BW152" s="106"/>
      <c r="BX152" s="106"/>
      <c r="BY152" s="106"/>
      <c r="BZ152" s="106"/>
      <c r="CA152" s="106"/>
      <c r="CB152" s="106"/>
      <c r="CC152" s="106"/>
      <c r="CD152" s="106"/>
      <c r="CE152" s="106"/>
      <c r="CF152" s="106"/>
      <c r="CG152" s="106"/>
      <c r="CH152" s="106"/>
      <c r="CI152" s="106"/>
      <c r="CJ152" s="106"/>
      <c r="CK152" s="106"/>
      <c r="CL152" s="106"/>
      <c r="CM152" s="106"/>
      <c r="CN152" s="106"/>
      <c r="CO152" s="106"/>
      <c r="CP152" s="106"/>
      <c r="CQ152" s="106"/>
      <c r="CR152" s="106"/>
      <c r="CS152" s="106"/>
      <c r="CT152" s="106"/>
      <c r="CU152" s="106"/>
      <c r="CV152" s="106"/>
      <c r="CW152" s="106"/>
      <c r="CX152" s="106"/>
      <c r="CY152" s="106"/>
      <c r="CZ152" s="106"/>
      <c r="DA152" s="106"/>
      <c r="DB152" s="106"/>
      <c r="DC152" s="106"/>
      <c r="DD152" s="106"/>
      <c r="DE152" s="106"/>
      <c r="DF152" s="106"/>
      <c r="DH152" s="106"/>
      <c r="DI152" s="106"/>
      <c r="DJ152" s="106"/>
    </row>
    <row r="153" spans="1:114" hidden="1">
      <c r="A153" s="20">
        <f t="shared" si="161"/>
        <v>134</v>
      </c>
      <c r="B153" s="2"/>
      <c r="C153" s="2"/>
      <c r="D153" s="2"/>
      <c r="E153" s="2"/>
      <c r="F153" s="2"/>
      <c r="G153" s="2"/>
      <c r="Z153" s="30">
        <f>Z152+X136</f>
        <v>1209613.0999999996</v>
      </c>
      <c r="AG153" s="30">
        <f>AG152+AE136</f>
        <v>860214.39999999991</v>
      </c>
      <c r="AR153" s="106"/>
      <c r="AS153" s="137"/>
      <c r="AT153" s="143"/>
      <c r="AU153" s="143"/>
      <c r="AV153" s="137"/>
      <c r="AW153" s="137"/>
      <c r="AX153" s="137"/>
      <c r="AY153" s="106" t="s">
        <v>176</v>
      </c>
      <c r="AZ153" s="137">
        <f>AZ152/AS152*100</f>
        <v>108.93656259662737</v>
      </c>
      <c r="BA153" s="143"/>
      <c r="BB153" s="143"/>
      <c r="BC153" s="137"/>
      <c r="BD153" s="137"/>
      <c r="BE153" s="137"/>
      <c r="BF153" s="137"/>
      <c r="BG153" s="106"/>
      <c r="BH153" s="106"/>
      <c r="BI153" s="106"/>
      <c r="BJ153" s="106"/>
      <c r="BK153" s="106"/>
      <c r="BL153" s="106"/>
      <c r="BM153" s="106"/>
      <c r="BN153" s="106"/>
      <c r="BO153" s="106"/>
      <c r="BP153" s="106"/>
      <c r="BQ153" s="106"/>
      <c r="BR153" s="106"/>
      <c r="BS153" s="106"/>
      <c r="BT153" s="106"/>
      <c r="BU153" s="106"/>
      <c r="BV153" s="106"/>
      <c r="BW153" s="106"/>
      <c r="BX153" s="106"/>
      <c r="BY153" s="106"/>
      <c r="BZ153" s="106"/>
      <c r="CA153" s="106"/>
      <c r="CB153" s="106"/>
      <c r="CC153" s="106"/>
      <c r="CD153" s="106"/>
      <c r="CE153" s="106"/>
      <c r="CF153" s="106"/>
      <c r="CG153" s="106"/>
      <c r="CH153" s="106"/>
      <c r="CI153" s="106"/>
      <c r="CJ153" s="106"/>
      <c r="CK153" s="106"/>
      <c r="CL153" s="106"/>
      <c r="CM153" s="106"/>
      <c r="CN153" s="106"/>
      <c r="CO153" s="106"/>
      <c r="CP153" s="106"/>
      <c r="CQ153" s="106"/>
      <c r="CR153" s="106"/>
      <c r="CS153" s="106"/>
      <c r="CT153" s="106"/>
      <c r="CU153" s="106"/>
      <c r="CV153" s="106"/>
      <c r="CW153" s="106"/>
      <c r="CX153" s="106"/>
      <c r="CY153" s="106"/>
      <c r="CZ153" s="106"/>
      <c r="DA153" s="106"/>
      <c r="DB153" s="106"/>
      <c r="DC153" s="106"/>
      <c r="DD153" s="106"/>
      <c r="DE153" s="106"/>
      <c r="DF153" s="106"/>
      <c r="DH153" s="106"/>
      <c r="DI153" s="106"/>
      <c r="DJ153" s="106"/>
    </row>
    <row r="154" spans="1:114" hidden="1">
      <c r="A154" s="20">
        <f t="shared" si="161"/>
        <v>135</v>
      </c>
      <c r="AR154" s="106"/>
      <c r="AS154" s="106"/>
      <c r="AT154" s="147"/>
      <c r="AU154" s="147"/>
      <c r="AV154" s="113"/>
      <c r="AW154" s="113"/>
      <c r="AX154" s="113"/>
      <c r="AY154" s="113"/>
      <c r="AZ154" s="113"/>
      <c r="BA154" s="147"/>
      <c r="BB154" s="147"/>
      <c r="BC154" s="106"/>
      <c r="BD154" s="106"/>
      <c r="BE154" s="106"/>
      <c r="BF154" s="106"/>
      <c r="BG154" s="106"/>
      <c r="BH154" s="106"/>
      <c r="BI154" s="106"/>
      <c r="BJ154" s="106"/>
      <c r="BK154" s="106"/>
      <c r="BL154" s="106"/>
      <c r="BM154" s="106"/>
      <c r="BN154" s="106"/>
      <c r="BO154" s="106"/>
      <c r="BP154" s="106"/>
      <c r="BQ154" s="106"/>
      <c r="BR154" s="106"/>
      <c r="BS154" s="106"/>
      <c r="BT154" s="106"/>
      <c r="BU154" s="106"/>
      <c r="BV154" s="106"/>
      <c r="BW154" s="106"/>
      <c r="BX154" s="106"/>
      <c r="BY154" s="106"/>
      <c r="BZ154" s="106"/>
      <c r="CA154" s="106"/>
      <c r="CB154" s="106"/>
      <c r="CC154" s="106"/>
      <c r="CD154" s="106"/>
      <c r="CE154" s="106"/>
      <c r="CF154" s="106"/>
      <c r="CG154" s="106"/>
      <c r="CH154" s="106"/>
      <c r="CI154" s="106"/>
      <c r="CJ154" s="106"/>
      <c r="CK154" s="106"/>
      <c r="CL154" s="106"/>
      <c r="CM154" s="106"/>
      <c r="CN154" s="106"/>
      <c r="CO154" s="106"/>
      <c r="CP154" s="106"/>
      <c r="CQ154" s="106"/>
      <c r="CR154" s="106"/>
      <c r="CS154" s="106"/>
      <c r="CT154" s="106"/>
      <c r="CU154" s="106"/>
      <c r="CV154" s="106"/>
      <c r="CW154" s="106"/>
      <c r="CX154" s="106"/>
      <c r="CY154" s="106"/>
      <c r="CZ154" s="106"/>
      <c r="DA154" s="106"/>
      <c r="DB154" s="106"/>
      <c r="DC154" s="106"/>
      <c r="DD154" s="106"/>
      <c r="DE154" s="106"/>
      <c r="DF154" s="106"/>
      <c r="DH154" s="106"/>
      <c r="DI154" s="106"/>
      <c r="DJ154" s="106"/>
    </row>
    <row r="155" spans="1:114" hidden="1">
      <c r="A155" s="20">
        <f t="shared" si="161"/>
        <v>136</v>
      </c>
      <c r="AY155" s="6" t="s">
        <v>176</v>
      </c>
      <c r="AZ155" s="26">
        <f>AZ148/AS148*100</f>
        <v>107.96570996138752</v>
      </c>
      <c r="BA155" s="26">
        <f t="shared" ref="BA155:BF155" si="163">BA148/AT148*100</f>
        <v>104.35690790445604</v>
      </c>
      <c r="BB155" s="26">
        <f t="shared" si="163"/>
        <v>104.42758488829942</v>
      </c>
      <c r="BC155" s="26">
        <f t="shared" si="163"/>
        <v>110.48794916479687</v>
      </c>
      <c r="BD155" s="26">
        <f t="shared" si="163"/>
        <v>106.27320269550997</v>
      </c>
      <c r="BE155" s="26">
        <f t="shared" si="163"/>
        <v>105.79474431780893</v>
      </c>
      <c r="BF155" s="26">
        <f t="shared" si="163"/>
        <v>105.74383447964688</v>
      </c>
    </row>
    <row r="156" spans="1:114" hidden="1">
      <c r="A156" s="20">
        <f t="shared" si="161"/>
        <v>137</v>
      </c>
      <c r="H156" s="6">
        <f>H129*1.2</f>
        <v>4100.6879999999992</v>
      </c>
      <c r="I156" s="6">
        <f>I129*1.2</f>
        <v>4100.6879999999992</v>
      </c>
      <c r="N156" s="6">
        <f>N129*1.2</f>
        <v>4606.8047999999999</v>
      </c>
      <c r="O156" s="6">
        <f>O129*1.2</f>
        <v>4606.8047999999999</v>
      </c>
      <c r="AA156" s="181"/>
      <c r="AB156" s="181"/>
      <c r="AC156" s="230">
        <f>AC136+AC50+AC47</f>
        <v>119100.2</v>
      </c>
      <c r="AD156" s="181"/>
      <c r="AE156" s="181"/>
      <c r="AF156" s="181"/>
      <c r="AG156" s="181"/>
      <c r="AH156" s="181">
        <f>AH136+AH50+AH47</f>
        <v>2059087.4999999998</v>
      </c>
      <c r="AK156" s="181">
        <f>AK136+AK50+AK47</f>
        <v>250593.89999999997</v>
      </c>
      <c r="AP156" s="6">
        <f>AP136+AP50+AP47</f>
        <v>2069827.5000000002</v>
      </c>
      <c r="AT156" s="6">
        <f>AT152+AU152</f>
        <v>3089836746.8406801</v>
      </c>
    </row>
    <row r="157" spans="1:114" hidden="1">
      <c r="A157" s="20">
        <f t="shared" si="161"/>
        <v>138</v>
      </c>
      <c r="K157" s="9"/>
    </row>
    <row r="158" spans="1:114" hidden="1">
      <c r="A158" s="20">
        <f t="shared" si="161"/>
        <v>139</v>
      </c>
      <c r="K158" s="9"/>
      <c r="AS158" s="6" t="s">
        <v>179</v>
      </c>
      <c r="AT158" s="6">
        <f>AT156/AK156</f>
        <v>12330.055707025112</v>
      </c>
      <c r="BA158" s="97">
        <f>BA148/AT148*100</f>
        <v>104.35690790445604</v>
      </c>
      <c r="BB158" s="6">
        <f>BB148/AU148*100</f>
        <v>104.42758488829942</v>
      </c>
      <c r="BF158" s="6" t="s">
        <v>185</v>
      </c>
    </row>
    <row r="159" spans="1:114" hidden="1">
      <c r="A159" s="20">
        <f t="shared" si="161"/>
        <v>140</v>
      </c>
      <c r="K159" s="9"/>
      <c r="CL159" s="6">
        <f>SUBTOTAL(9,CL71:CL83)</f>
        <v>16312.434759072003</v>
      </c>
    </row>
    <row r="160" spans="1:114" hidden="1">
      <c r="A160" s="20">
        <f t="shared" si="161"/>
        <v>141</v>
      </c>
    </row>
    <row r="161" spans="1:90" hidden="1">
      <c r="A161" s="20">
        <f t="shared" si="161"/>
        <v>142</v>
      </c>
      <c r="AS161" s="6" t="s">
        <v>180</v>
      </c>
      <c r="AT161" s="9">
        <f>AT152/AJ151</f>
        <v>42646.635475125644</v>
      </c>
      <c r="BB161" s="25">
        <f>AZ146+BA146+BC146</f>
        <v>6408338344.3279448</v>
      </c>
    </row>
    <row r="162" spans="1:90" hidden="1">
      <c r="A162" s="20">
        <f t="shared" si="161"/>
        <v>143</v>
      </c>
      <c r="BB162" s="25">
        <f>AI146+AJ146+AL146</f>
        <v>3238010.5322217471</v>
      </c>
    </row>
    <row r="163" spans="1:90" hidden="1">
      <c r="A163" s="20">
        <f t="shared" si="161"/>
        <v>144</v>
      </c>
      <c r="BB163" s="6">
        <f>BB161/BB162</f>
        <v>1979.0974367000872</v>
      </c>
    </row>
    <row r="164" spans="1:90" hidden="1">
      <c r="A164" s="20">
        <f t="shared" si="161"/>
        <v>145</v>
      </c>
    </row>
    <row r="165" spans="1:90" hidden="1">
      <c r="A165" s="20">
        <f t="shared" si="161"/>
        <v>146</v>
      </c>
    </row>
    <row r="166" spans="1:90">
      <c r="A166" s="20">
        <f t="shared" si="161"/>
        <v>147</v>
      </c>
      <c r="AY166" s="25">
        <f>AY146+BF146</f>
        <v>13955445634.412432</v>
      </c>
      <c r="BA166" s="25">
        <f>BA146+BB146+AT146+AU146</f>
        <v>9622109005.3727512</v>
      </c>
    </row>
    <row r="167" spans="1:90">
      <c r="A167" s="20">
        <f t="shared" si="161"/>
        <v>148</v>
      </c>
      <c r="AY167" s="25">
        <f>AQ148*2</f>
        <v>7331578.7938196901</v>
      </c>
      <c r="BA167" s="6">
        <f>(AJ147*2)</f>
        <v>5159044.4140621647</v>
      </c>
    </row>
    <row r="168" spans="1:90" ht="20.25">
      <c r="A168" s="20">
        <f t="shared" si="161"/>
        <v>149</v>
      </c>
      <c r="S168" s="6">
        <v>436449</v>
      </c>
      <c r="T168" s="30">
        <v>11020</v>
      </c>
      <c r="AY168" s="101">
        <f>AY166/AY167</f>
        <v>1903.4707294118521</v>
      </c>
      <c r="BA168" s="102">
        <f>BA166/BA167</f>
        <v>1865.095206225687</v>
      </c>
    </row>
    <row r="169" spans="1:90">
      <c r="S169" s="30">
        <f>S168-T168</f>
        <v>425429</v>
      </c>
      <c r="T169" s="6"/>
      <c r="AA169" s="6"/>
      <c r="AB169" s="8"/>
      <c r="AG169" s="6">
        <v>234909.61222926635</v>
      </c>
      <c r="AO169" s="9"/>
      <c r="AP169" s="9"/>
      <c r="AQ169" s="9"/>
      <c r="AR169" s="43"/>
      <c r="CL169" s="25">
        <f>CL119/1.2</f>
        <v>863304.86796637985</v>
      </c>
    </row>
    <row r="170" spans="1:90">
      <c r="T170" s="6"/>
      <c r="AB170" s="8"/>
      <c r="AG170" s="30">
        <f>AG119-AG169</f>
        <v>-5228.5792292663537</v>
      </c>
      <c r="AO170" s="9"/>
      <c r="AP170" s="9"/>
      <c r="AQ170" s="9"/>
      <c r="AR170" s="43"/>
    </row>
    <row r="171" spans="1:90">
      <c r="AB171" s="8"/>
    </row>
    <row r="172" spans="1:90">
      <c r="AB172" s="8"/>
      <c r="CJ172" s="159"/>
      <c r="CK172" s="159"/>
      <c r="CL172" s="159"/>
    </row>
    <row r="173" spans="1:90">
      <c r="BG173" s="30"/>
      <c r="BH173" s="30"/>
      <c r="CJ173" s="160"/>
      <c r="CK173" s="160"/>
      <c r="CL173" s="160"/>
    </row>
    <row r="175" spans="1:90">
      <c r="CJ175" s="160"/>
      <c r="CK175" s="160"/>
      <c r="CL175" s="160"/>
    </row>
  </sheetData>
  <autoFilter ref="A13:DL143">
    <filterColumn colId="3">
      <filters>
        <filter val="ГУПКО &quot;Курскоблжилкомхоз&quot;"/>
      </filters>
    </filterColumn>
  </autoFilter>
  <dataConsolidate link="1"/>
  <mergeCells count="130">
    <mergeCell ref="B139:B141"/>
    <mergeCell ref="C139:C141"/>
    <mergeCell ref="AT149:AU149"/>
    <mergeCell ref="BA149:BB149"/>
    <mergeCell ref="BA150:BB150"/>
    <mergeCell ref="B110:B118"/>
    <mergeCell ref="B119:B124"/>
    <mergeCell ref="C119:C124"/>
    <mergeCell ref="G121:G122"/>
    <mergeCell ref="B125:B138"/>
    <mergeCell ref="C125:C138"/>
    <mergeCell ref="B96:B97"/>
    <mergeCell ref="C96:C97"/>
    <mergeCell ref="B102:B103"/>
    <mergeCell ref="C102:C103"/>
    <mergeCell ref="B104:B107"/>
    <mergeCell ref="B108:B109"/>
    <mergeCell ref="B80:B82"/>
    <mergeCell ref="B83:B85"/>
    <mergeCell ref="B86:B90"/>
    <mergeCell ref="C87:C88"/>
    <mergeCell ref="B91:B95"/>
    <mergeCell ref="C91:C92"/>
    <mergeCell ref="B61:B64"/>
    <mergeCell ref="B65:B67"/>
    <mergeCell ref="B68:B70"/>
    <mergeCell ref="B71:B79"/>
    <mergeCell ref="C71:C72"/>
    <mergeCell ref="G73:G79"/>
    <mergeCell ref="B40:B43"/>
    <mergeCell ref="B46:B57"/>
    <mergeCell ref="C46:C49"/>
    <mergeCell ref="G48:G49"/>
    <mergeCell ref="C50:C52"/>
    <mergeCell ref="B58:B60"/>
    <mergeCell ref="BY12:BY13"/>
    <mergeCell ref="B14:B17"/>
    <mergeCell ref="B18:B21"/>
    <mergeCell ref="B22:B27"/>
    <mergeCell ref="B29:B33"/>
    <mergeCell ref="B34:B39"/>
    <mergeCell ref="C35:C37"/>
    <mergeCell ref="BR12:BR13"/>
    <mergeCell ref="BS12:BS13"/>
    <mergeCell ref="BT12:BU12"/>
    <mergeCell ref="BV12:BV13"/>
    <mergeCell ref="BW12:BW13"/>
    <mergeCell ref="BX12:BX13"/>
    <mergeCell ref="BF12:BF13"/>
    <mergeCell ref="BL12:BL13"/>
    <mergeCell ref="BM12:BN12"/>
    <mergeCell ref="BO12:BO13"/>
    <mergeCell ref="BP12:BP13"/>
    <mergeCell ref="BQ12:BQ13"/>
    <mergeCell ref="AY12:AY13"/>
    <mergeCell ref="AZ12:AZ13"/>
    <mergeCell ref="BA12:BB12"/>
    <mergeCell ref="BC12:BC13"/>
    <mergeCell ref="BD12:BD13"/>
    <mergeCell ref="BE12:BE13"/>
    <mergeCell ref="AQ12:AQ13"/>
    <mergeCell ref="AS12:AS13"/>
    <mergeCell ref="AT12:AU12"/>
    <mergeCell ref="AV12:AV13"/>
    <mergeCell ref="AW12:AW13"/>
    <mergeCell ref="AX12:AX13"/>
    <mergeCell ref="AJ12:AK12"/>
    <mergeCell ref="AL12:AL13"/>
    <mergeCell ref="AM12:AM13"/>
    <mergeCell ref="AN12:AN13"/>
    <mergeCell ref="AO12:AO13"/>
    <mergeCell ref="AP12:AP13"/>
    <mergeCell ref="CK11:CK13"/>
    <mergeCell ref="CL11:CL13"/>
    <mergeCell ref="CM11:CM13"/>
    <mergeCell ref="CY11:CY13"/>
    <mergeCell ref="CZ11:CZ13"/>
    <mergeCell ref="H12:H13"/>
    <mergeCell ref="I12:I13"/>
    <mergeCell ref="J12:K12"/>
    <mergeCell ref="L12:L13"/>
    <mergeCell ref="M12:M13"/>
    <mergeCell ref="N12:N13"/>
    <mergeCell ref="O12:O13"/>
    <mergeCell ref="AB12:AC12"/>
    <mergeCell ref="AD12:AD13"/>
    <mergeCell ref="AE12:AE13"/>
    <mergeCell ref="AF12:AF13"/>
    <mergeCell ref="AG12:AG13"/>
    <mergeCell ref="AI12:AI13"/>
    <mergeCell ref="U12:V12"/>
    <mergeCell ref="W12:W13"/>
    <mergeCell ref="X12:X13"/>
    <mergeCell ref="Y12:Y13"/>
    <mergeCell ref="Z12:Z13"/>
    <mergeCell ref="AA12:AA13"/>
    <mergeCell ref="AH10:AQ10"/>
    <mergeCell ref="AS10:BF10"/>
    <mergeCell ref="BG10:BI10"/>
    <mergeCell ref="P12:Q12"/>
    <mergeCell ref="R12:R13"/>
    <mergeCell ref="S12:S13"/>
    <mergeCell ref="T12:T13"/>
    <mergeCell ref="CV10:CX10"/>
    <mergeCell ref="CY10:CZ10"/>
    <mergeCell ref="N11:S11"/>
    <mergeCell ref="T11:Z11"/>
    <mergeCell ref="AA11:AG11"/>
    <mergeCell ref="AI11:AQ11"/>
    <mergeCell ref="AS11:AY11"/>
    <mergeCell ref="AZ11:BF11"/>
    <mergeCell ref="BL11:BR11"/>
    <mergeCell ref="BL10:BY10"/>
    <mergeCell ref="BZ10:BZ13"/>
    <mergeCell ref="CA10:CA13"/>
    <mergeCell ref="CB10:CB13"/>
    <mergeCell ref="CJ10:CL10"/>
    <mergeCell ref="CN10:CU10"/>
    <mergeCell ref="BS11:BY11"/>
    <mergeCell ref="CJ11:CJ13"/>
    <mergeCell ref="A10:A13"/>
    <mergeCell ref="B10:B13"/>
    <mergeCell ref="C10:C13"/>
    <mergeCell ref="D10:D13"/>
    <mergeCell ref="E10:E13"/>
    <mergeCell ref="F10:F13"/>
    <mergeCell ref="G10:G13"/>
    <mergeCell ref="H10:S10"/>
    <mergeCell ref="T10:AG10"/>
    <mergeCell ref="H11:M11"/>
  </mergeCells>
  <pageMargins left="0.11811023622047245" right="0.11811023622047245" top="0.35433070866141736" bottom="0.35433070866141736" header="0.31496062992125984" footer="0.31496062992125984"/>
  <pageSetup paperSize="9" scale="55" fitToWidth="2" fitToHeight="0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6" filterMode="1"/>
  <dimension ref="A1:GI451"/>
  <sheetViews>
    <sheetView topLeftCell="A4" zoomScale="85" zoomScaleNormal="85" workbookViewId="0">
      <pane xSplit="4" ySplit="10" topLeftCell="S14" activePane="bottomRight" state="frozen"/>
      <selection activeCell="G169" sqref="G169"/>
      <selection pane="topRight" activeCell="G169" sqref="G169"/>
      <selection pane="bottomLeft" activeCell="G169" sqref="G169"/>
      <selection pane="bottomRight" activeCell="AD142" activeCellId="1" sqref="W142 AD142"/>
    </sheetView>
  </sheetViews>
  <sheetFormatPr defaultRowHeight="15"/>
  <cols>
    <col min="1" max="1" width="9.140625" style="6" hidden="1" customWidth="1"/>
    <col min="2" max="2" width="17.42578125" style="6" customWidth="1"/>
    <col min="3" max="3" width="16.7109375" style="6" customWidth="1"/>
    <col min="4" max="4" width="24.140625" style="6" customWidth="1"/>
    <col min="5" max="5" width="19.28515625" style="6" customWidth="1"/>
    <col min="6" max="6" width="10.5703125" style="6" customWidth="1"/>
    <col min="7" max="7" width="27.28515625" style="6" customWidth="1"/>
    <col min="8" max="8" width="11.140625" style="6" customWidth="1"/>
    <col min="9" max="9" width="13.140625" style="6" customWidth="1"/>
    <col min="10" max="10" width="13.42578125" style="6" customWidth="1"/>
    <col min="11" max="11" width="12.5703125" style="6" customWidth="1"/>
    <col min="12" max="12" width="11.140625" style="6" customWidth="1"/>
    <col min="13" max="13" width="12.42578125" style="6" customWidth="1"/>
    <col min="14" max="17" width="11.140625" style="6" customWidth="1"/>
    <col min="18" max="18" width="13.140625" style="6" customWidth="1"/>
    <col min="19" max="19" width="12.5703125" style="6" customWidth="1"/>
    <col min="20" max="20" width="15.42578125" style="30" customWidth="1"/>
    <col min="21" max="21" width="16.85546875" style="6" customWidth="1"/>
    <col min="22" max="22" width="14.42578125" style="222" customWidth="1"/>
    <col min="23" max="23" width="15.28515625" style="6" customWidth="1"/>
    <col min="24" max="24" width="15.85546875" style="6" customWidth="1"/>
    <col min="25" max="25" width="16.85546875" style="6" customWidth="1"/>
    <col min="26" max="26" width="16" style="6" customWidth="1"/>
    <col min="27" max="27" width="16.5703125" style="30" customWidth="1"/>
    <col min="28" max="28" width="15.42578125" style="6" customWidth="1"/>
    <col min="29" max="29" width="15.7109375" style="222" customWidth="1"/>
    <col min="30" max="30" width="14.5703125" style="6" customWidth="1"/>
    <col min="31" max="31" width="14" style="6" customWidth="1"/>
    <col min="32" max="32" width="16.28515625" style="6" customWidth="1"/>
    <col min="33" max="33" width="16.140625" style="6" customWidth="1"/>
    <col min="34" max="34" width="22.42578125" style="6" customWidth="1"/>
    <col min="35" max="35" width="17.7109375" style="6" customWidth="1"/>
    <col min="36" max="36" width="18.7109375" style="6" customWidth="1"/>
    <col min="37" max="37" width="17" style="6" customWidth="1"/>
    <col min="38" max="38" width="13.7109375" style="6" customWidth="1"/>
    <col min="39" max="39" width="14.28515625" style="6" customWidth="1"/>
    <col min="40" max="40" width="12.7109375" style="6" customWidth="1"/>
    <col min="41" max="41" width="15.85546875" style="6" customWidth="1"/>
    <col min="42" max="42" width="16.5703125" style="6" customWidth="1"/>
    <col min="43" max="43" width="17" style="6" customWidth="1"/>
    <col min="44" max="44" width="17" style="42" customWidth="1"/>
    <col min="45" max="45" width="19.140625" style="6" customWidth="1"/>
    <col min="46" max="46" width="19.28515625" style="6" customWidth="1"/>
    <col min="47" max="47" width="19.140625" style="6" customWidth="1"/>
    <col min="48" max="48" width="19.7109375" style="6" customWidth="1"/>
    <col min="49" max="49" width="20" style="6" customWidth="1"/>
    <col min="50" max="50" width="21.28515625" style="6" customWidth="1"/>
    <col min="51" max="51" width="20.42578125" style="6" customWidth="1"/>
    <col min="52" max="52" width="21.7109375" style="6" customWidth="1"/>
    <col min="53" max="53" width="20.140625" style="6" customWidth="1"/>
    <col min="54" max="54" width="18.5703125" style="6" customWidth="1"/>
    <col min="55" max="55" width="19.42578125" style="6" customWidth="1"/>
    <col min="56" max="56" width="17.5703125" style="6" customWidth="1"/>
    <col min="57" max="57" width="20.140625" style="6" customWidth="1"/>
    <col min="58" max="58" width="20.85546875" style="6" customWidth="1"/>
    <col min="59" max="59" width="19.7109375" style="6" customWidth="1"/>
    <col min="60" max="60" width="17.140625" style="6" customWidth="1"/>
    <col min="61" max="61" width="18.85546875" style="6" customWidth="1"/>
    <col min="62" max="62" width="19.7109375" style="6" customWidth="1"/>
    <col min="63" max="63" width="18.85546875" style="6" customWidth="1"/>
    <col min="64" max="64" width="20.140625" style="6" customWidth="1"/>
    <col min="65" max="65" width="19.85546875" style="6" customWidth="1"/>
    <col min="66" max="66" width="21.42578125" style="6" customWidth="1"/>
    <col min="67" max="67" width="20.5703125" style="6" customWidth="1"/>
    <col min="68" max="68" width="16.28515625" style="6" customWidth="1"/>
    <col min="69" max="70" width="16" style="6" customWidth="1"/>
    <col min="71" max="71" width="16.28515625" style="6" customWidth="1"/>
    <col min="72" max="72" width="17.140625" style="6" customWidth="1"/>
    <col min="73" max="73" width="16.7109375" style="6" customWidth="1"/>
    <col min="74" max="74" width="15.42578125" style="6" customWidth="1"/>
    <col min="75" max="75" width="16" style="6" customWidth="1"/>
    <col min="76" max="76" width="16.140625" style="6" customWidth="1"/>
    <col min="77" max="79" width="16.5703125" style="6" customWidth="1"/>
    <col min="80" max="80" width="21" style="6" customWidth="1"/>
    <col min="81" max="81" width="23.42578125" style="6" customWidth="1"/>
    <col min="82" max="82" width="17.140625" style="6" customWidth="1"/>
    <col min="83" max="83" width="22.7109375" style="6" customWidth="1"/>
    <col min="84" max="84" width="20.85546875" style="6" customWidth="1"/>
    <col min="85" max="85" width="20.28515625" style="6" customWidth="1"/>
    <col min="86" max="86" width="18.7109375" style="6" customWidth="1"/>
    <col min="87" max="87" width="13.28515625" style="6" customWidth="1"/>
    <col min="88" max="88" width="22.85546875" style="6" customWidth="1"/>
    <col min="89" max="89" width="20.28515625" style="6" customWidth="1"/>
    <col min="90" max="90" width="21" style="6" customWidth="1"/>
    <col min="91" max="92" width="21" style="13" customWidth="1"/>
    <col min="93" max="93" width="21.7109375" style="6" customWidth="1"/>
    <col min="94" max="94" width="21.140625" style="6" customWidth="1"/>
    <col min="95" max="96" width="18.28515625" style="6" customWidth="1"/>
    <col min="97" max="99" width="20" style="6" customWidth="1"/>
    <col min="100" max="100" width="19.140625" style="6" customWidth="1"/>
    <col min="101" max="101" width="26.28515625" style="821" customWidth="1"/>
    <col min="102" max="104" width="21.28515625" style="6" customWidth="1"/>
    <col min="105" max="105" width="21" style="6" customWidth="1"/>
    <col min="106" max="106" width="20.28515625" style="6" customWidth="1"/>
    <col min="107" max="111" width="9.140625" style="27" customWidth="1"/>
    <col min="112" max="112" width="24.7109375" style="6" customWidth="1"/>
    <col min="113" max="114" width="22.28515625" style="6" customWidth="1"/>
    <col min="115" max="115" width="9.140625" style="6" customWidth="1"/>
    <col min="116" max="116" width="14.28515625" style="219" bestFit="1" customWidth="1"/>
    <col min="117" max="118" width="14.28515625" style="6" bestFit="1" customWidth="1"/>
    <col min="119" max="119" width="9.140625" style="6" customWidth="1"/>
    <col min="120" max="16384" width="9.140625" style="6"/>
  </cols>
  <sheetData>
    <row r="1" spans="1:142">
      <c r="A1" s="6">
        <v>1</v>
      </c>
      <c r="B1" s="6">
        <v>2</v>
      </c>
      <c r="C1" s="6">
        <v>3</v>
      </c>
      <c r="D1" s="6">
        <f t="shared" ref="D1:BO1" si="0">C1+1</f>
        <v>4</v>
      </c>
      <c r="E1" s="6">
        <f>D1+1</f>
        <v>5</v>
      </c>
      <c r="F1" s="6">
        <f t="shared" si="0"/>
        <v>6</v>
      </c>
      <c r="G1" s="6">
        <f t="shared" si="0"/>
        <v>7</v>
      </c>
      <c r="H1" s="6">
        <f t="shared" si="0"/>
        <v>8</v>
      </c>
      <c r="I1" s="6">
        <f t="shared" si="0"/>
        <v>9</v>
      </c>
      <c r="J1" s="6">
        <f t="shared" si="0"/>
        <v>10</v>
      </c>
      <c r="K1" s="6">
        <f t="shared" si="0"/>
        <v>11</v>
      </c>
      <c r="L1" s="6">
        <f t="shared" si="0"/>
        <v>12</v>
      </c>
      <c r="M1" s="6">
        <f t="shared" si="0"/>
        <v>13</v>
      </c>
      <c r="N1" s="6">
        <f t="shared" si="0"/>
        <v>14</v>
      </c>
      <c r="O1" s="6">
        <f t="shared" si="0"/>
        <v>15</v>
      </c>
      <c r="P1" s="6">
        <f t="shared" si="0"/>
        <v>16</v>
      </c>
      <c r="Q1" s="6">
        <f t="shared" si="0"/>
        <v>17</v>
      </c>
      <c r="R1" s="6">
        <f t="shared" si="0"/>
        <v>18</v>
      </c>
      <c r="S1" s="6">
        <f t="shared" si="0"/>
        <v>19</v>
      </c>
      <c r="T1" s="6">
        <f t="shared" si="0"/>
        <v>20</v>
      </c>
      <c r="U1" s="6">
        <f t="shared" si="0"/>
        <v>21</v>
      </c>
      <c r="V1" s="222">
        <f t="shared" si="0"/>
        <v>22</v>
      </c>
      <c r="W1" s="6">
        <f t="shared" si="0"/>
        <v>23</v>
      </c>
      <c r="X1" s="6">
        <f t="shared" si="0"/>
        <v>24</v>
      </c>
      <c r="Y1" s="6">
        <f t="shared" si="0"/>
        <v>25</v>
      </c>
      <c r="Z1" s="6">
        <f t="shared" si="0"/>
        <v>26</v>
      </c>
      <c r="AA1" s="6">
        <f t="shared" si="0"/>
        <v>27</v>
      </c>
      <c r="AB1" s="6">
        <f t="shared" si="0"/>
        <v>28</v>
      </c>
      <c r="AC1" s="222">
        <f t="shared" si="0"/>
        <v>29</v>
      </c>
      <c r="AD1" s="6">
        <f t="shared" si="0"/>
        <v>30</v>
      </c>
      <c r="AE1" s="6">
        <f t="shared" si="0"/>
        <v>31</v>
      </c>
      <c r="AF1" s="6">
        <f t="shared" si="0"/>
        <v>32</v>
      </c>
      <c r="AG1" s="6">
        <f t="shared" si="0"/>
        <v>33</v>
      </c>
      <c r="AH1" s="6">
        <f t="shared" si="0"/>
        <v>34</v>
      </c>
      <c r="AI1" s="6">
        <f t="shared" si="0"/>
        <v>35</v>
      </c>
      <c r="AJ1" s="6">
        <f t="shared" si="0"/>
        <v>36</v>
      </c>
      <c r="AK1" s="6">
        <f t="shared" si="0"/>
        <v>37</v>
      </c>
      <c r="AL1" s="6">
        <f t="shared" si="0"/>
        <v>38</v>
      </c>
      <c r="AM1" s="6">
        <f t="shared" si="0"/>
        <v>39</v>
      </c>
      <c r="AN1" s="6">
        <f t="shared" si="0"/>
        <v>40</v>
      </c>
      <c r="AO1" s="6">
        <f t="shared" si="0"/>
        <v>41</v>
      </c>
      <c r="AP1" s="6">
        <f t="shared" si="0"/>
        <v>42</v>
      </c>
      <c r="AQ1" s="6">
        <f t="shared" si="0"/>
        <v>43</v>
      </c>
      <c r="AR1" s="6">
        <f t="shared" si="0"/>
        <v>44</v>
      </c>
      <c r="AS1" s="6">
        <f t="shared" si="0"/>
        <v>45</v>
      </c>
      <c r="AT1" s="6">
        <f t="shared" si="0"/>
        <v>46</v>
      </c>
      <c r="AU1" s="6">
        <f t="shared" si="0"/>
        <v>47</v>
      </c>
      <c r="AV1" s="6">
        <f t="shared" si="0"/>
        <v>48</v>
      </c>
      <c r="AW1" s="6">
        <f t="shared" si="0"/>
        <v>49</v>
      </c>
      <c r="AX1" s="6">
        <f t="shared" si="0"/>
        <v>50</v>
      </c>
      <c r="AY1" s="6">
        <f t="shared" si="0"/>
        <v>51</v>
      </c>
      <c r="AZ1" s="6">
        <f t="shared" si="0"/>
        <v>52</v>
      </c>
      <c r="BA1" s="6">
        <f t="shared" si="0"/>
        <v>53</v>
      </c>
      <c r="BB1" s="6">
        <f t="shared" si="0"/>
        <v>54</v>
      </c>
      <c r="BC1" s="6">
        <f t="shared" si="0"/>
        <v>55</v>
      </c>
      <c r="BD1" s="6">
        <f t="shared" si="0"/>
        <v>56</v>
      </c>
      <c r="BE1" s="6">
        <f t="shared" si="0"/>
        <v>57</v>
      </c>
      <c r="BF1" s="6">
        <f t="shared" si="0"/>
        <v>58</v>
      </c>
      <c r="BG1" s="6">
        <f t="shared" si="0"/>
        <v>59</v>
      </c>
      <c r="BH1" s="6">
        <f t="shared" si="0"/>
        <v>60</v>
      </c>
      <c r="BI1" s="6">
        <f t="shared" si="0"/>
        <v>61</v>
      </c>
      <c r="BL1" s="6">
        <f>BI1+1</f>
        <v>62</v>
      </c>
      <c r="BM1" s="6">
        <f t="shared" si="0"/>
        <v>63</v>
      </c>
      <c r="BN1" s="6">
        <f t="shared" si="0"/>
        <v>64</v>
      </c>
      <c r="BO1" s="6">
        <f t="shared" si="0"/>
        <v>65</v>
      </c>
      <c r="BP1" s="6">
        <f t="shared" ref="BP1:DB1" si="1">BO1+1</f>
        <v>66</v>
      </c>
      <c r="BQ1" s="6">
        <f t="shared" si="1"/>
        <v>67</v>
      </c>
      <c r="BR1" s="6">
        <f t="shared" si="1"/>
        <v>68</v>
      </c>
      <c r="BS1" s="6">
        <f t="shared" si="1"/>
        <v>69</v>
      </c>
      <c r="BT1" s="6">
        <f t="shared" si="1"/>
        <v>70</v>
      </c>
      <c r="BU1" s="6">
        <f t="shared" si="1"/>
        <v>71</v>
      </c>
      <c r="BV1" s="6">
        <f t="shared" si="1"/>
        <v>72</v>
      </c>
      <c r="BW1" s="6">
        <f t="shared" si="1"/>
        <v>73</v>
      </c>
      <c r="BX1" s="6">
        <f t="shared" si="1"/>
        <v>74</v>
      </c>
      <c r="BY1" s="6">
        <f t="shared" si="1"/>
        <v>75</v>
      </c>
      <c r="BZ1" s="6">
        <f t="shared" si="1"/>
        <v>76</v>
      </c>
      <c r="CA1" s="6">
        <f t="shared" si="1"/>
        <v>77</v>
      </c>
      <c r="CB1" s="6">
        <f t="shared" si="1"/>
        <v>78</v>
      </c>
      <c r="CC1" s="6">
        <f t="shared" si="1"/>
        <v>79</v>
      </c>
      <c r="CD1" s="6">
        <f t="shared" si="1"/>
        <v>80</v>
      </c>
      <c r="CE1" s="6">
        <f t="shared" si="1"/>
        <v>81</v>
      </c>
      <c r="CF1" s="6">
        <f t="shared" si="1"/>
        <v>82</v>
      </c>
      <c r="CG1" s="6">
        <f t="shared" si="1"/>
        <v>83</v>
      </c>
      <c r="CH1" s="6">
        <f t="shared" si="1"/>
        <v>84</v>
      </c>
      <c r="CI1" s="6">
        <f t="shared" si="1"/>
        <v>85</v>
      </c>
      <c r="CJ1" s="6">
        <f t="shared" si="1"/>
        <v>86</v>
      </c>
      <c r="CK1" s="6">
        <f t="shared" si="1"/>
        <v>87</v>
      </c>
      <c r="CL1" s="6">
        <f t="shared" si="1"/>
        <v>88</v>
      </c>
      <c r="CO1" s="6">
        <f>CL1+1</f>
        <v>89</v>
      </c>
      <c r="CP1" s="6">
        <f t="shared" si="1"/>
        <v>90</v>
      </c>
      <c r="CQ1" s="6">
        <f t="shared" si="1"/>
        <v>91</v>
      </c>
      <c r="CR1" s="6">
        <f t="shared" si="1"/>
        <v>92</v>
      </c>
      <c r="CS1" s="6">
        <f t="shared" si="1"/>
        <v>93</v>
      </c>
      <c r="CT1" s="6">
        <f t="shared" si="1"/>
        <v>94</v>
      </c>
      <c r="CU1" s="6">
        <f t="shared" si="1"/>
        <v>95</v>
      </c>
      <c r="CV1" s="6">
        <f t="shared" si="1"/>
        <v>96</v>
      </c>
      <c r="CW1" s="821">
        <f t="shared" si="1"/>
        <v>97</v>
      </c>
      <c r="CX1" s="6">
        <f t="shared" si="1"/>
        <v>98</v>
      </c>
      <c r="CY1" s="6">
        <f t="shared" si="1"/>
        <v>99</v>
      </c>
      <c r="CZ1" s="6">
        <f t="shared" si="1"/>
        <v>100</v>
      </c>
      <c r="DA1" s="6">
        <f t="shared" si="1"/>
        <v>101</v>
      </c>
      <c r="DB1" s="6">
        <f t="shared" si="1"/>
        <v>102</v>
      </c>
    </row>
    <row r="3" spans="1:142">
      <c r="B3" s="2"/>
      <c r="C3" s="2"/>
      <c r="D3" s="2"/>
      <c r="E3" s="2"/>
      <c r="F3" s="2"/>
      <c r="G3" s="2"/>
    </row>
    <row r="4" spans="1:142" ht="15" hidden="1" customHeight="1">
      <c r="B4" s="2"/>
      <c r="C4" s="2"/>
      <c r="D4" s="2"/>
      <c r="E4" s="2"/>
      <c r="F4" s="2"/>
      <c r="G4" s="2"/>
      <c r="CJ4" s="25">
        <f>CJ6*1000-CJ5</f>
        <v>-163233734.07076395</v>
      </c>
      <c r="CK4" s="25">
        <f>CK6*1000-CK5</f>
        <v>-102274905.15388399</v>
      </c>
      <c r="CM4" s="6"/>
      <c r="CN4" s="6"/>
      <c r="DH4" s="25"/>
      <c r="DI4" s="25"/>
    </row>
    <row r="5" spans="1:142" ht="15" hidden="1" customHeight="1">
      <c r="B5" s="2"/>
      <c r="C5" s="2"/>
      <c r="D5" s="2"/>
      <c r="E5" s="2"/>
      <c r="F5" s="2"/>
      <c r="G5" s="2"/>
      <c r="CJ5" s="6">
        <f>299808.113340764*1000</f>
        <v>299808113.34076399</v>
      </c>
      <c r="CK5" s="6">
        <f>203653.415106384*1000</f>
        <v>203653415.10638401</v>
      </c>
      <c r="CM5" s="6"/>
      <c r="CN5" s="6"/>
    </row>
    <row r="6" spans="1:142" ht="15" hidden="1" customHeight="1">
      <c r="B6" s="2"/>
      <c r="C6" s="2"/>
      <c r="D6" s="2"/>
      <c r="E6" s="2"/>
      <c r="F6" s="2"/>
      <c r="G6" s="2"/>
      <c r="V6" s="231"/>
      <c r="Z6" s="8" t="e">
        <f>R15*#REF!/1000</f>
        <v>#REF!</v>
      </c>
      <c r="BI6" s="6">
        <f>BI8/1.2</f>
        <v>0</v>
      </c>
      <c r="CG6" s="25"/>
      <c r="CH6" s="25"/>
      <c r="CJ6" s="8">
        <f>CJ8/1.2</f>
        <v>136574.37927000003</v>
      </c>
      <c r="CK6" s="8">
        <f>CK8/1.2</f>
        <v>101378.50995250001</v>
      </c>
      <c r="CL6" s="8">
        <f>CL8/1.2</f>
        <v>237952.8892225</v>
      </c>
      <c r="CM6" s="8"/>
      <c r="CN6" s="8"/>
      <c r="DH6" s="8"/>
      <c r="DI6" s="8"/>
      <c r="DJ6" s="8"/>
    </row>
    <row r="7" spans="1:142" ht="18.75">
      <c r="B7" s="2">
        <v>2024</v>
      </c>
      <c r="C7" s="2"/>
      <c r="D7" s="2"/>
      <c r="E7" s="2"/>
      <c r="F7" s="2"/>
      <c r="G7" s="1240">
        <v>100</v>
      </c>
      <c r="H7" s="1258">
        <f>2762.47*1.2</f>
        <v>3314.9639999999995</v>
      </c>
      <c r="L7" s="6">
        <v>3758.5679999999998</v>
      </c>
      <c r="M7" s="1239">
        <f>3132.14*1.2</f>
        <v>3758.5679999999998</v>
      </c>
      <c r="N7" s="752">
        <f>2749.3*1.2</f>
        <v>3299.1600000000003</v>
      </c>
      <c r="O7" s="752">
        <f>2749.3*1.2</f>
        <v>3299.1600000000003</v>
      </c>
      <c r="P7" s="10"/>
      <c r="Q7" s="10"/>
      <c r="R7" s="752">
        <f>2749.3*1.2</f>
        <v>3299.1600000000003</v>
      </c>
      <c r="T7" s="30">
        <v>928.61700000002747</v>
      </c>
      <c r="V7" s="231"/>
      <c r="Z7" s="8">
        <f>Z8/AH8</f>
        <v>0.58518236452037498</v>
      </c>
      <c r="AA7" s="30">
        <v>671.25900000002002</v>
      </c>
      <c r="AH7" s="836"/>
      <c r="AI7" s="837"/>
      <c r="BE7" s="6">
        <f>(N120-P120)*AB120/1000/1.2</f>
        <v>-0.24010086499432237</v>
      </c>
      <c r="BG7" s="623">
        <f>(I7-J7)/1.2*U7/1000+(I7-K7)/1.2*V7/1000</f>
        <v>0</v>
      </c>
      <c r="BH7" s="624">
        <f>(O7-P7)/1.2*AB7/1000+(O7-Q7)/1.2*AC7/1000</f>
        <v>0</v>
      </c>
      <c r="BI7" s="623">
        <f>BG7+BH7</f>
        <v>0</v>
      </c>
      <c r="BJ7" s="753">
        <v>59417.220359300787</v>
      </c>
      <c r="BK7" s="753">
        <f>BJ7-BI8</f>
        <v>59417.220359300787</v>
      </c>
      <c r="CG7" s="25"/>
      <c r="CH7" s="25"/>
      <c r="CI7" s="754"/>
      <c r="CK7" s="838" t="s">
        <v>922</v>
      </c>
      <c r="CL7" s="839">
        <f>513454.73654768*1.2</f>
        <v>616145.68385721592</v>
      </c>
      <c r="CM7" s="843"/>
      <c r="CN7" s="843"/>
      <c r="DH7" s="159"/>
      <c r="DI7" s="159"/>
      <c r="DJ7" s="8"/>
    </row>
    <row r="8" spans="1:142" ht="26.25">
      <c r="B8" s="7" t="s">
        <v>945</v>
      </c>
      <c r="C8" s="7"/>
      <c r="D8" s="7"/>
      <c r="E8" s="7"/>
      <c r="F8" s="7"/>
      <c r="G8" s="7"/>
      <c r="T8" s="610">
        <f t="shared" ref="T8:AD8" si="2">SUBTOTAL(9,T14:T142)</f>
        <v>23004</v>
      </c>
      <c r="U8" s="610">
        <f t="shared" si="2"/>
        <v>100603.76298</v>
      </c>
      <c r="V8" s="826">
        <f t="shared" si="2"/>
        <v>26090.637019999998</v>
      </c>
      <c r="W8" s="610">
        <f t="shared" si="2"/>
        <v>82506</v>
      </c>
      <c r="X8" s="610">
        <f t="shared" si="2"/>
        <v>201720</v>
      </c>
      <c r="Y8" s="610">
        <f t="shared" si="2"/>
        <v>0</v>
      </c>
      <c r="Z8" s="610">
        <f t="shared" si="2"/>
        <v>232204.4</v>
      </c>
      <c r="AA8" s="610">
        <f t="shared" si="2"/>
        <v>15600</v>
      </c>
      <c r="AB8" s="610">
        <f t="shared" si="2"/>
        <v>75527.646904780006</v>
      </c>
      <c r="AC8" s="826">
        <f t="shared" si="2"/>
        <v>26122.34309522</v>
      </c>
      <c r="AD8" s="610">
        <f t="shared" si="2"/>
        <v>47352.509999999995</v>
      </c>
      <c r="AE8" s="610">
        <v>0</v>
      </c>
      <c r="AF8" s="610">
        <f>77580.827-AG8</f>
        <v>-87021.672999999995</v>
      </c>
      <c r="AG8" s="610">
        <f t="shared" ref="AG8:AQ8" si="3">SUBTOTAL(9,AG14:AG142)</f>
        <v>164602.5</v>
      </c>
      <c r="AH8" s="616">
        <f t="shared" si="3"/>
        <v>396806.9</v>
      </c>
      <c r="AI8" s="613">
        <f t="shared" si="3"/>
        <v>38604</v>
      </c>
      <c r="AJ8" s="613">
        <f t="shared" si="3"/>
        <v>176131.40988478001</v>
      </c>
      <c r="AK8" s="613">
        <f t="shared" si="3"/>
        <v>52212.980115220002</v>
      </c>
      <c r="AL8" s="181">
        <f t="shared" si="3"/>
        <v>129858.51</v>
      </c>
      <c r="AM8" s="181">
        <f t="shared" si="3"/>
        <v>349353</v>
      </c>
      <c r="AN8" s="181">
        <f t="shared" si="3"/>
        <v>0</v>
      </c>
      <c r="AO8" s="611">
        <f t="shared" si="3"/>
        <v>746159.9</v>
      </c>
      <c r="AP8" s="611">
        <f t="shared" si="3"/>
        <v>746159.9</v>
      </c>
      <c r="AQ8" s="613">
        <f t="shared" si="3"/>
        <v>396806.9</v>
      </c>
      <c r="BG8" s="611">
        <f>SUBTOTAL(9,BG14:BG142)</f>
        <v>0</v>
      </c>
      <c r="BH8" s="611">
        <f>SUBTOTAL(9,BH14:BH142)</f>
        <v>0</v>
      </c>
      <c r="BI8" s="611">
        <f>SUBTOTAL(9,BI14:BI142)</f>
        <v>0</v>
      </c>
      <c r="BJ8" s="753">
        <f>BK8-BI8</f>
        <v>227735.19299763377</v>
      </c>
      <c r="BK8" s="773">
        <v>227735.19299763377</v>
      </c>
      <c r="CF8" s="25"/>
      <c r="CG8" s="611">
        <f t="shared" ref="CG8:CL8" si="4">SUBTOTAL(9,CG14:CG142)</f>
        <v>182677894.52355698</v>
      </c>
      <c r="CH8" s="611">
        <f t="shared" si="4"/>
        <v>1124.0411163553374</v>
      </c>
      <c r="CI8" s="611">
        <f t="shared" si="4"/>
        <v>0</v>
      </c>
      <c r="CJ8" s="611">
        <f t="shared" si="4"/>
        <v>163889.25512400002</v>
      </c>
      <c r="CK8" s="611">
        <f t="shared" si="4"/>
        <v>121654.211943</v>
      </c>
      <c r="CL8" s="611">
        <f t="shared" si="4"/>
        <v>285543.46706699999</v>
      </c>
      <c r="CM8" s="844"/>
      <c r="CN8" s="844"/>
      <c r="CO8" s="754">
        <f>CL8/1.2</f>
        <v>237952.8892225</v>
      </c>
      <c r="CP8" s="25"/>
      <c r="CQ8" s="158">
        <f>503461.528447148*1000</f>
        <v>503461528.44714797</v>
      </c>
      <c r="DH8" s="611">
        <f>SUM(DH14:DH142)</f>
        <v>3640553.3282431778</v>
      </c>
      <c r="DI8" s="611">
        <f>SUM(DI14:DI142)</f>
        <v>2370681.7118644156</v>
      </c>
      <c r="DJ8" s="611">
        <f>SUM(DJ14:DJ142)</f>
        <v>1269871.6163787621</v>
      </c>
      <c r="DL8" s="6"/>
    </row>
    <row r="9" spans="1:142" s="814" customFormat="1" ht="15.75" thickBot="1">
      <c r="A9" s="814">
        <v>1</v>
      </c>
      <c r="B9" s="814">
        <v>2</v>
      </c>
      <c r="C9" s="814">
        <v>3</v>
      </c>
      <c r="D9" s="814">
        <f t="shared" ref="D9:BO9" si="5">C9+1</f>
        <v>4</v>
      </c>
      <c r="E9" s="814">
        <f>D9+1</f>
        <v>5</v>
      </c>
      <c r="F9" s="814">
        <f t="shared" si="5"/>
        <v>6</v>
      </c>
      <c r="G9" s="814">
        <f t="shared" si="5"/>
        <v>7</v>
      </c>
      <c r="H9" s="814">
        <f t="shared" si="5"/>
        <v>8</v>
      </c>
      <c r="I9" s="814">
        <f t="shared" si="5"/>
        <v>9</v>
      </c>
      <c r="J9" s="814">
        <f t="shared" si="5"/>
        <v>10</v>
      </c>
      <c r="K9" s="814">
        <f t="shared" si="5"/>
        <v>11</v>
      </c>
      <c r="L9" s="814">
        <f t="shared" si="5"/>
        <v>12</v>
      </c>
      <c r="M9" s="814">
        <f t="shared" si="5"/>
        <v>13</v>
      </c>
      <c r="N9" s="814">
        <f t="shared" si="5"/>
        <v>14</v>
      </c>
      <c r="O9" s="814">
        <f t="shared" si="5"/>
        <v>15</v>
      </c>
      <c r="P9" s="814">
        <f t="shared" si="5"/>
        <v>16</v>
      </c>
      <c r="Q9" s="814">
        <f t="shared" si="5"/>
        <v>17</v>
      </c>
      <c r="R9" s="814">
        <f t="shared" si="5"/>
        <v>18</v>
      </c>
      <c r="S9" s="814">
        <f t="shared" si="5"/>
        <v>19</v>
      </c>
      <c r="T9" s="814">
        <f t="shared" si="5"/>
        <v>20</v>
      </c>
      <c r="U9" s="814">
        <f t="shared" si="5"/>
        <v>21</v>
      </c>
      <c r="V9" s="815">
        <f t="shared" si="5"/>
        <v>22</v>
      </c>
      <c r="W9" s="814">
        <f t="shared" si="5"/>
        <v>23</v>
      </c>
      <c r="X9" s="814">
        <f t="shared" si="5"/>
        <v>24</v>
      </c>
      <c r="Y9" s="814">
        <f t="shared" si="5"/>
        <v>25</v>
      </c>
      <c r="Z9" s="814">
        <f t="shared" si="5"/>
        <v>26</v>
      </c>
      <c r="AA9" s="814">
        <f t="shared" si="5"/>
        <v>27</v>
      </c>
      <c r="AB9" s="814">
        <f t="shared" si="5"/>
        <v>28</v>
      </c>
      <c r="AC9" s="815">
        <f t="shared" si="5"/>
        <v>29</v>
      </c>
      <c r="AD9" s="814">
        <f t="shared" si="5"/>
        <v>30</v>
      </c>
      <c r="AE9" s="814">
        <f t="shared" si="5"/>
        <v>31</v>
      </c>
      <c r="AF9" s="814">
        <f t="shared" si="5"/>
        <v>32</v>
      </c>
      <c r="AG9" s="814">
        <f t="shared" si="5"/>
        <v>33</v>
      </c>
      <c r="AH9" s="814">
        <f t="shared" si="5"/>
        <v>34</v>
      </c>
      <c r="AI9" s="814">
        <f t="shared" si="5"/>
        <v>35</v>
      </c>
      <c r="AJ9" s="814">
        <f t="shared" si="5"/>
        <v>36</v>
      </c>
      <c r="AK9" s="814">
        <f t="shared" si="5"/>
        <v>37</v>
      </c>
      <c r="AL9" s="814">
        <f t="shared" si="5"/>
        <v>38</v>
      </c>
      <c r="AM9" s="814">
        <f t="shared" si="5"/>
        <v>39</v>
      </c>
      <c r="AN9" s="814">
        <f t="shared" si="5"/>
        <v>40</v>
      </c>
      <c r="AO9" s="814">
        <f t="shared" si="5"/>
        <v>41</v>
      </c>
      <c r="AP9" s="814">
        <f t="shared" si="5"/>
        <v>42</v>
      </c>
      <c r="AQ9" s="814">
        <f t="shared" si="5"/>
        <v>43</v>
      </c>
      <c r="AR9" s="814">
        <f t="shared" si="5"/>
        <v>44</v>
      </c>
      <c r="AS9" s="814">
        <f t="shared" si="5"/>
        <v>45</v>
      </c>
      <c r="AT9" s="814">
        <f t="shared" si="5"/>
        <v>46</v>
      </c>
      <c r="AU9" s="814">
        <f t="shared" si="5"/>
        <v>47</v>
      </c>
      <c r="AV9" s="814">
        <f t="shared" si="5"/>
        <v>48</v>
      </c>
      <c r="AW9" s="814">
        <f t="shared" si="5"/>
        <v>49</v>
      </c>
      <c r="AX9" s="814">
        <f t="shared" si="5"/>
        <v>50</v>
      </c>
      <c r="AY9" s="814">
        <f t="shared" si="5"/>
        <v>51</v>
      </c>
      <c r="AZ9" s="814">
        <f t="shared" si="5"/>
        <v>52</v>
      </c>
      <c r="BA9" s="814">
        <f t="shared" si="5"/>
        <v>53</v>
      </c>
      <c r="BB9" s="814">
        <f t="shared" si="5"/>
        <v>54</v>
      </c>
      <c r="BC9" s="814">
        <f t="shared" si="5"/>
        <v>55</v>
      </c>
      <c r="BD9" s="814">
        <f t="shared" si="5"/>
        <v>56</v>
      </c>
      <c r="BE9" s="814">
        <f t="shared" si="5"/>
        <v>57</v>
      </c>
      <c r="BF9" s="814">
        <f t="shared" si="5"/>
        <v>58</v>
      </c>
      <c r="BG9" s="814">
        <f t="shared" si="5"/>
        <v>59</v>
      </c>
      <c r="BH9" s="814">
        <f t="shared" si="5"/>
        <v>60</v>
      </c>
      <c r="BI9" s="814">
        <f t="shared" si="5"/>
        <v>61</v>
      </c>
      <c r="BL9" s="814">
        <f>BI9+1</f>
        <v>62</v>
      </c>
      <c r="BM9" s="814">
        <f t="shared" si="5"/>
        <v>63</v>
      </c>
      <c r="BN9" s="814">
        <f t="shared" si="5"/>
        <v>64</v>
      </c>
      <c r="BO9" s="814">
        <f t="shared" si="5"/>
        <v>65</v>
      </c>
      <c r="BP9" s="814">
        <f t="shared" ref="BP9:DB9" si="6">BO9+1</f>
        <v>66</v>
      </c>
      <c r="BQ9" s="814">
        <f t="shared" si="6"/>
        <v>67</v>
      </c>
      <c r="BR9" s="814">
        <f t="shared" si="6"/>
        <v>68</v>
      </c>
      <c r="BS9" s="814">
        <f t="shared" si="6"/>
        <v>69</v>
      </c>
      <c r="BT9" s="814">
        <f t="shared" si="6"/>
        <v>70</v>
      </c>
      <c r="BU9" s="814">
        <f t="shared" si="6"/>
        <v>71</v>
      </c>
      <c r="BV9" s="814">
        <f t="shared" si="6"/>
        <v>72</v>
      </c>
      <c r="BW9" s="814">
        <f t="shared" si="6"/>
        <v>73</v>
      </c>
      <c r="BX9" s="814">
        <f t="shared" si="6"/>
        <v>74</v>
      </c>
      <c r="BY9" s="814">
        <f t="shared" si="6"/>
        <v>75</v>
      </c>
      <c r="BZ9" s="814">
        <f t="shared" si="6"/>
        <v>76</v>
      </c>
      <c r="CA9" s="814">
        <f t="shared" si="6"/>
        <v>77</v>
      </c>
      <c r="CB9" s="814">
        <f t="shared" si="6"/>
        <v>78</v>
      </c>
      <c r="CC9" s="814">
        <f t="shared" si="6"/>
        <v>79</v>
      </c>
      <c r="CD9" s="814">
        <f t="shared" si="6"/>
        <v>80</v>
      </c>
      <c r="CE9" s="814">
        <f t="shared" si="6"/>
        <v>81</v>
      </c>
      <c r="CF9" s="814">
        <f t="shared" si="6"/>
        <v>82</v>
      </c>
      <c r="CG9" s="814">
        <f t="shared" si="6"/>
        <v>83</v>
      </c>
      <c r="CH9" s="814">
        <f t="shared" si="6"/>
        <v>84</v>
      </c>
      <c r="CI9" s="814">
        <f t="shared" si="6"/>
        <v>85</v>
      </c>
      <c r="CJ9" s="814">
        <f t="shared" si="6"/>
        <v>86</v>
      </c>
      <c r="CK9" s="814">
        <f t="shared" si="6"/>
        <v>87</v>
      </c>
      <c r="CL9" s="814">
        <f t="shared" si="6"/>
        <v>88</v>
      </c>
      <c r="CM9" s="845"/>
      <c r="CN9" s="845"/>
      <c r="CO9" s="814">
        <f>CL9+1</f>
        <v>89</v>
      </c>
      <c r="CP9" s="814">
        <f t="shared" si="6"/>
        <v>90</v>
      </c>
      <c r="CQ9" s="814">
        <f t="shared" si="6"/>
        <v>91</v>
      </c>
      <c r="CR9" s="814">
        <f t="shared" si="6"/>
        <v>92</v>
      </c>
      <c r="CS9" s="814">
        <f t="shared" si="6"/>
        <v>93</v>
      </c>
      <c r="CT9" s="814">
        <f t="shared" si="6"/>
        <v>94</v>
      </c>
      <c r="CU9" s="814">
        <f t="shared" si="6"/>
        <v>95</v>
      </c>
      <c r="CV9" s="814">
        <f t="shared" si="6"/>
        <v>96</v>
      </c>
      <c r="CW9" s="820">
        <f t="shared" si="6"/>
        <v>97</v>
      </c>
      <c r="CX9" s="814">
        <f t="shared" si="6"/>
        <v>98</v>
      </c>
      <c r="CY9" s="814">
        <f t="shared" si="6"/>
        <v>99</v>
      </c>
      <c r="CZ9" s="814">
        <f t="shared" si="6"/>
        <v>100</v>
      </c>
      <c r="DA9" s="814">
        <f t="shared" si="6"/>
        <v>101</v>
      </c>
      <c r="DB9" s="814">
        <f t="shared" si="6"/>
        <v>102</v>
      </c>
      <c r="DC9" s="1129"/>
      <c r="DD9" s="1129"/>
      <c r="DE9" s="1129"/>
      <c r="DF9" s="1129"/>
      <c r="DG9" s="1129"/>
    </row>
    <row r="10" spans="1:142" s="816" customFormat="1" ht="41.25" customHeight="1" thickBot="1">
      <c r="A10" s="1501" t="s">
        <v>233</v>
      </c>
      <c r="B10" s="1502" t="s">
        <v>134</v>
      </c>
      <c r="C10" s="1502" t="s">
        <v>1</v>
      </c>
      <c r="D10" s="1502" t="s">
        <v>0</v>
      </c>
      <c r="E10" s="1502" t="s">
        <v>223</v>
      </c>
      <c r="F10" s="1505" t="s">
        <v>2</v>
      </c>
      <c r="G10" s="1502" t="s">
        <v>3</v>
      </c>
      <c r="H10" s="1637" t="s">
        <v>230</v>
      </c>
      <c r="I10" s="1637"/>
      <c r="J10" s="1637"/>
      <c r="K10" s="1637"/>
      <c r="L10" s="1637"/>
      <c r="M10" s="1637"/>
      <c r="N10" s="1637"/>
      <c r="O10" s="1637"/>
      <c r="P10" s="1637"/>
      <c r="Q10" s="1637"/>
      <c r="R10" s="1637"/>
      <c r="S10" s="1637"/>
      <c r="T10" s="1638" t="s">
        <v>915</v>
      </c>
      <c r="U10" s="1638"/>
      <c r="V10" s="1638"/>
      <c r="W10" s="1638"/>
      <c r="X10" s="1638"/>
      <c r="Y10" s="1638"/>
      <c r="Z10" s="1638"/>
      <c r="AA10" s="1638"/>
      <c r="AB10" s="1638"/>
      <c r="AC10" s="1638"/>
      <c r="AD10" s="1638"/>
      <c r="AE10" s="1638"/>
      <c r="AF10" s="1638"/>
      <c r="AG10" s="1639"/>
      <c r="AH10" s="1640" t="s">
        <v>267</v>
      </c>
      <c r="AI10" s="1641"/>
      <c r="AJ10" s="1641"/>
      <c r="AK10" s="1641"/>
      <c r="AL10" s="1641"/>
      <c r="AM10" s="1641"/>
      <c r="AN10" s="1641"/>
      <c r="AO10" s="1641"/>
      <c r="AP10" s="1641"/>
      <c r="AQ10" s="1642"/>
      <c r="AR10" s="876"/>
      <c r="AS10" s="1643" t="s">
        <v>268</v>
      </c>
      <c r="AT10" s="1644"/>
      <c r="AU10" s="1644"/>
      <c r="AV10" s="1644"/>
      <c r="AW10" s="1644"/>
      <c r="AX10" s="1644"/>
      <c r="AY10" s="1644"/>
      <c r="AZ10" s="1644"/>
      <c r="BA10" s="1644"/>
      <c r="BB10" s="1644"/>
      <c r="BC10" s="1644"/>
      <c r="BD10" s="1644"/>
      <c r="BE10" s="1644"/>
      <c r="BF10" s="1645"/>
      <c r="BG10" s="1622" t="s">
        <v>269</v>
      </c>
      <c r="BH10" s="1622"/>
      <c r="BI10" s="1623"/>
      <c r="BJ10" s="835" t="s">
        <v>937</v>
      </c>
      <c r="BK10" s="842" t="s">
        <v>990</v>
      </c>
      <c r="BL10" s="1633" t="s">
        <v>946</v>
      </c>
      <c r="BM10" s="1633"/>
      <c r="BN10" s="1633"/>
      <c r="BO10" s="1633"/>
      <c r="BP10" s="1633"/>
      <c r="BQ10" s="1633"/>
      <c r="BR10" s="1633"/>
      <c r="BS10" s="1633"/>
      <c r="BT10" s="1633"/>
      <c r="BU10" s="1633"/>
      <c r="BV10" s="1633"/>
      <c r="BW10" s="1633"/>
      <c r="BX10" s="1633"/>
      <c r="BY10" s="1633"/>
      <c r="BZ10" s="1634" t="s">
        <v>192</v>
      </c>
      <c r="CA10" s="1634" t="s">
        <v>193</v>
      </c>
      <c r="CB10" s="1585" t="s">
        <v>201</v>
      </c>
      <c r="CC10" s="854" t="s">
        <v>191</v>
      </c>
      <c r="CD10" s="854" t="s">
        <v>191</v>
      </c>
      <c r="CE10" s="854" t="s">
        <v>202</v>
      </c>
      <c r="CF10" s="854" t="s">
        <v>197</v>
      </c>
      <c r="CG10" s="855" t="s">
        <v>199</v>
      </c>
      <c r="CH10" s="856" t="s">
        <v>198</v>
      </c>
      <c r="CI10" s="625"/>
      <c r="CJ10" s="1588" t="s">
        <v>277</v>
      </c>
      <c r="CK10" s="1589"/>
      <c r="CL10" s="1590"/>
      <c r="CM10" s="857"/>
      <c r="CN10" s="857"/>
      <c r="CO10" s="858" t="s">
        <v>211</v>
      </c>
      <c r="CP10" s="1615" t="s">
        <v>228</v>
      </c>
      <c r="CQ10" s="1616"/>
      <c r="CR10" s="1616"/>
      <c r="CS10" s="1616"/>
      <c r="CT10" s="1616"/>
      <c r="CU10" s="1616"/>
      <c r="CV10" s="1616"/>
      <c r="CW10" s="1617"/>
      <c r="CX10" s="1615" t="s">
        <v>229</v>
      </c>
      <c r="CY10" s="1616"/>
      <c r="CZ10" s="1617"/>
      <c r="DA10" s="1618" t="s">
        <v>221</v>
      </c>
      <c r="DB10" s="1618"/>
      <c r="DC10" s="675"/>
      <c r="DD10" s="675" t="s">
        <v>263</v>
      </c>
      <c r="DE10" s="675"/>
      <c r="DF10" s="675"/>
      <c r="DG10" s="675"/>
      <c r="DH10" s="1619" t="s">
        <v>944</v>
      </c>
      <c r="DI10" s="1620"/>
      <c r="DJ10" s="1621"/>
      <c r="DK10" s="625"/>
      <c r="DL10" s="625"/>
      <c r="DM10" s="625"/>
      <c r="DN10" s="625"/>
      <c r="DO10" s="625"/>
    </row>
    <row r="11" spans="1:142" s="816" customFormat="1" ht="28.5" customHeight="1">
      <c r="A11" s="1501"/>
      <c r="B11" s="1503"/>
      <c r="C11" s="1503"/>
      <c r="D11" s="1503"/>
      <c r="E11" s="1503"/>
      <c r="F11" s="1506"/>
      <c r="G11" s="1636"/>
      <c r="H11" s="1624" t="s">
        <v>939</v>
      </c>
      <c r="I11" s="1625"/>
      <c r="J11" s="1625"/>
      <c r="K11" s="1625"/>
      <c r="L11" s="1625"/>
      <c r="M11" s="1626"/>
      <c r="N11" s="1625" t="s">
        <v>938</v>
      </c>
      <c r="O11" s="1625"/>
      <c r="P11" s="1625"/>
      <c r="Q11" s="1625"/>
      <c r="R11" s="1625"/>
      <c r="S11" s="1626"/>
      <c r="T11" s="1627" t="s">
        <v>265</v>
      </c>
      <c r="U11" s="1628"/>
      <c r="V11" s="1628"/>
      <c r="W11" s="1628"/>
      <c r="X11" s="1628"/>
      <c r="Y11" s="1628"/>
      <c r="Z11" s="1629"/>
      <c r="AA11" s="1628" t="s">
        <v>266</v>
      </c>
      <c r="AB11" s="1628"/>
      <c r="AC11" s="1628"/>
      <c r="AD11" s="1628"/>
      <c r="AE11" s="1628"/>
      <c r="AF11" s="1628"/>
      <c r="AG11" s="1628"/>
      <c r="AH11" s="873" t="s">
        <v>208</v>
      </c>
      <c r="AI11" s="1630"/>
      <c r="AJ11" s="1631"/>
      <c r="AK11" s="1631"/>
      <c r="AL11" s="1631"/>
      <c r="AM11" s="1631"/>
      <c r="AN11" s="1631"/>
      <c r="AO11" s="1631"/>
      <c r="AP11" s="1631"/>
      <c r="AQ11" s="1632"/>
      <c r="AR11" s="1361" t="s">
        <v>210</v>
      </c>
      <c r="AS11" s="1648" t="s">
        <v>265</v>
      </c>
      <c r="AT11" s="1534"/>
      <c r="AU11" s="1534"/>
      <c r="AV11" s="1534"/>
      <c r="AW11" s="1534"/>
      <c r="AX11" s="1534"/>
      <c r="AY11" s="1535"/>
      <c r="AZ11" s="1533" t="s">
        <v>266</v>
      </c>
      <c r="BA11" s="1534"/>
      <c r="BB11" s="1534"/>
      <c r="BC11" s="1534"/>
      <c r="BD11" s="1534"/>
      <c r="BE11" s="1534"/>
      <c r="BF11" s="1649"/>
      <c r="BG11" s="879" t="s">
        <v>225</v>
      </c>
      <c r="BH11" s="108" t="s">
        <v>226</v>
      </c>
      <c r="BI11" s="1362" t="s">
        <v>163</v>
      </c>
      <c r="BJ11" s="1362"/>
      <c r="BK11" s="1191"/>
      <c r="BL11" s="1635" t="s">
        <v>940</v>
      </c>
      <c r="BM11" s="1635"/>
      <c r="BN11" s="1635"/>
      <c r="BO11" s="1635"/>
      <c r="BP11" s="1635"/>
      <c r="BQ11" s="1635"/>
      <c r="BR11" s="1635"/>
      <c r="BS11" s="1635" t="s">
        <v>941</v>
      </c>
      <c r="BT11" s="1635"/>
      <c r="BU11" s="1635"/>
      <c r="BV11" s="1635"/>
      <c r="BW11" s="1635"/>
      <c r="BX11" s="1635"/>
      <c r="BY11" s="1635"/>
      <c r="BZ11" s="1634"/>
      <c r="CA11" s="1634"/>
      <c r="CB11" s="1586"/>
      <c r="CC11" s="1362" t="s">
        <v>194</v>
      </c>
      <c r="CD11" s="859" t="s">
        <v>195</v>
      </c>
      <c r="CE11" s="1362" t="s">
        <v>200</v>
      </c>
      <c r="CF11" s="1362"/>
      <c r="CG11" s="111"/>
      <c r="CH11" s="625"/>
      <c r="CI11" s="625"/>
      <c r="CJ11" s="1591" t="s">
        <v>203</v>
      </c>
      <c r="CK11" s="1591" t="s">
        <v>204</v>
      </c>
      <c r="CL11" s="1591" t="s">
        <v>205</v>
      </c>
      <c r="CM11" s="846"/>
      <c r="CN11" s="846"/>
      <c r="CO11" s="1604"/>
      <c r="CP11" s="126"/>
      <c r="CQ11" s="126"/>
      <c r="CR11" s="126"/>
      <c r="CS11" s="126"/>
      <c r="CT11" s="126"/>
      <c r="CU11" s="126"/>
      <c r="CV11" s="126"/>
      <c r="CW11" s="860"/>
      <c r="CX11" s="126" t="s">
        <v>218</v>
      </c>
      <c r="CY11" s="126" t="s">
        <v>218</v>
      </c>
      <c r="CZ11" s="126" t="s">
        <v>218</v>
      </c>
      <c r="DA11" s="1604" t="s">
        <v>203</v>
      </c>
      <c r="DB11" s="1604" t="s">
        <v>204</v>
      </c>
      <c r="DC11" s="675"/>
      <c r="DD11" s="675" t="s">
        <v>264</v>
      </c>
      <c r="DE11" s="675"/>
      <c r="DF11" s="675"/>
      <c r="DG11" s="675"/>
      <c r="DH11" s="1607" t="s">
        <v>163</v>
      </c>
      <c r="DI11" s="1612" t="s">
        <v>969</v>
      </c>
      <c r="DJ11" s="1612" t="s">
        <v>919</v>
      </c>
      <c r="DK11" s="625"/>
      <c r="DL11" s="625"/>
      <c r="DM11" s="625"/>
      <c r="DN11" s="625"/>
      <c r="DO11" s="625"/>
    </row>
    <row r="12" spans="1:142" s="816" customFormat="1" ht="29.25" customHeight="1">
      <c r="A12" s="1501"/>
      <c r="B12" s="1503"/>
      <c r="C12" s="1503"/>
      <c r="D12" s="1503"/>
      <c r="E12" s="1503"/>
      <c r="F12" s="1506"/>
      <c r="G12" s="1636"/>
      <c r="H12" s="1650" t="s">
        <v>207</v>
      </c>
      <c r="I12" s="1573" t="s">
        <v>909</v>
      </c>
      <c r="J12" s="1520" t="s">
        <v>139</v>
      </c>
      <c r="K12" s="1521"/>
      <c r="L12" s="1502" t="s">
        <v>5</v>
      </c>
      <c r="M12" s="1600" t="s">
        <v>6</v>
      </c>
      <c r="N12" s="1610" t="s">
        <v>207</v>
      </c>
      <c r="O12" s="1502" t="s">
        <v>909</v>
      </c>
      <c r="P12" s="1520" t="s">
        <v>139</v>
      </c>
      <c r="Q12" s="1521"/>
      <c r="R12" s="1502" t="s">
        <v>5</v>
      </c>
      <c r="S12" s="1600" t="s">
        <v>6</v>
      </c>
      <c r="T12" s="1646" t="s">
        <v>909</v>
      </c>
      <c r="U12" s="1520" t="s">
        <v>139</v>
      </c>
      <c r="V12" s="1521"/>
      <c r="W12" s="1502" t="s">
        <v>5</v>
      </c>
      <c r="X12" s="1502" t="s">
        <v>6</v>
      </c>
      <c r="Y12" s="1502" t="s">
        <v>164</v>
      </c>
      <c r="Z12" s="1600" t="s">
        <v>206</v>
      </c>
      <c r="AA12" s="1602" t="s">
        <v>909</v>
      </c>
      <c r="AB12" s="1520" t="s">
        <v>139</v>
      </c>
      <c r="AC12" s="1521"/>
      <c r="AD12" s="1502" t="s">
        <v>5</v>
      </c>
      <c r="AE12" s="1502" t="s">
        <v>6</v>
      </c>
      <c r="AF12" s="1502" t="s">
        <v>164</v>
      </c>
      <c r="AG12" s="1596" t="s">
        <v>206</v>
      </c>
      <c r="AH12" s="874" t="s">
        <v>209</v>
      </c>
      <c r="AI12" s="1502" t="s">
        <v>909</v>
      </c>
      <c r="AJ12" s="1598" t="s">
        <v>139</v>
      </c>
      <c r="AK12" s="1599"/>
      <c r="AL12" s="1502" t="s">
        <v>5</v>
      </c>
      <c r="AM12" s="1502" t="s">
        <v>6</v>
      </c>
      <c r="AN12" s="1502" t="s">
        <v>164</v>
      </c>
      <c r="AO12" s="1502" t="s">
        <v>173</v>
      </c>
      <c r="AP12" s="1502" t="s">
        <v>174</v>
      </c>
      <c r="AQ12" s="1600" t="s">
        <v>175</v>
      </c>
      <c r="AR12" s="877"/>
      <c r="AS12" s="1594" t="s">
        <v>4</v>
      </c>
      <c r="AT12" s="1553" t="s">
        <v>139</v>
      </c>
      <c r="AU12" s="1554"/>
      <c r="AV12" s="1551" t="s">
        <v>5</v>
      </c>
      <c r="AW12" s="1551" t="s">
        <v>6</v>
      </c>
      <c r="AX12" s="1551" t="s">
        <v>171</v>
      </c>
      <c r="AY12" s="1551" t="s">
        <v>172</v>
      </c>
      <c r="AZ12" s="1551" t="s">
        <v>909</v>
      </c>
      <c r="BA12" s="1553" t="s">
        <v>139</v>
      </c>
      <c r="BB12" s="1554"/>
      <c r="BC12" s="1551" t="s">
        <v>5</v>
      </c>
      <c r="BD12" s="1559" t="s">
        <v>6</v>
      </c>
      <c r="BE12" s="1551" t="s">
        <v>171</v>
      </c>
      <c r="BF12" s="1580" t="s">
        <v>172</v>
      </c>
      <c r="BG12" s="880"/>
      <c r="BH12" s="126"/>
      <c r="BI12" s="126">
        <f>BG12+BH12</f>
        <v>0</v>
      </c>
      <c r="BJ12" s="861"/>
      <c r="BK12" s="1192"/>
      <c r="BL12" s="1551" t="s">
        <v>4</v>
      </c>
      <c r="BM12" s="1553" t="s">
        <v>139</v>
      </c>
      <c r="BN12" s="1554"/>
      <c r="BO12" s="1551" t="s">
        <v>5</v>
      </c>
      <c r="BP12" s="1551" t="s">
        <v>6</v>
      </c>
      <c r="BQ12" s="1551" t="s">
        <v>171</v>
      </c>
      <c r="BR12" s="1551" t="s">
        <v>172</v>
      </c>
      <c r="BS12" s="1551" t="s">
        <v>4</v>
      </c>
      <c r="BT12" s="1553" t="s">
        <v>139</v>
      </c>
      <c r="BU12" s="1554"/>
      <c r="BV12" s="1551" t="s">
        <v>5</v>
      </c>
      <c r="BW12" s="1559" t="s">
        <v>6</v>
      </c>
      <c r="BX12" s="1551" t="s">
        <v>171</v>
      </c>
      <c r="BY12" s="1551" t="s">
        <v>172</v>
      </c>
      <c r="BZ12" s="1634"/>
      <c r="CA12" s="1634"/>
      <c r="CB12" s="1586"/>
      <c r="CC12" s="126"/>
      <c r="CD12" s="126"/>
      <c r="CE12" s="126"/>
      <c r="CF12" s="126"/>
      <c r="CG12" s="675"/>
      <c r="CH12" s="625"/>
      <c r="CI12" s="625"/>
      <c r="CJ12" s="1592"/>
      <c r="CK12" s="1592"/>
      <c r="CL12" s="1592"/>
      <c r="CM12" s="847"/>
      <c r="CN12" s="847"/>
      <c r="CO12" s="1605"/>
      <c r="CP12" s="858" t="s">
        <v>216</v>
      </c>
      <c r="CQ12" s="858" t="s">
        <v>217</v>
      </c>
      <c r="CR12" s="126" t="s">
        <v>215</v>
      </c>
      <c r="CS12" s="858" t="s">
        <v>216</v>
      </c>
      <c r="CT12" s="858" t="s">
        <v>217</v>
      </c>
      <c r="CU12" s="126" t="s">
        <v>215</v>
      </c>
      <c r="CV12" s="858" t="s">
        <v>216</v>
      </c>
      <c r="CW12" s="860"/>
      <c r="CX12" s="866" t="s">
        <v>942</v>
      </c>
      <c r="CY12" s="866" t="s">
        <v>943</v>
      </c>
      <c r="CZ12" s="823" t="s">
        <v>205</v>
      </c>
      <c r="DA12" s="1605"/>
      <c r="DB12" s="1605"/>
      <c r="DC12" s="675"/>
      <c r="DD12" s="675"/>
      <c r="DE12" s="675"/>
      <c r="DF12" s="675"/>
      <c r="DG12" s="675"/>
      <c r="DH12" s="1608"/>
      <c r="DI12" s="1613"/>
      <c r="DJ12" s="1613"/>
      <c r="DK12" s="625"/>
      <c r="DL12" s="862" t="s">
        <v>285</v>
      </c>
      <c r="DM12" s="862"/>
      <c r="DN12" s="862"/>
      <c r="DO12" s="625"/>
    </row>
    <row r="13" spans="1:142" s="816" customFormat="1" ht="45" customHeight="1">
      <c r="A13" s="1501"/>
      <c r="B13" s="1504"/>
      <c r="C13" s="1504"/>
      <c r="D13" s="1504"/>
      <c r="E13" s="1504"/>
      <c r="F13" s="1507"/>
      <c r="G13" s="1597"/>
      <c r="H13" s="1651"/>
      <c r="I13" s="1502"/>
      <c r="J13" s="1363" t="s">
        <v>149</v>
      </c>
      <c r="K13" s="1363" t="s">
        <v>150</v>
      </c>
      <c r="L13" s="1504"/>
      <c r="M13" s="1601"/>
      <c r="N13" s="1611"/>
      <c r="O13" s="1504"/>
      <c r="P13" s="1363" t="s">
        <v>149</v>
      </c>
      <c r="Q13" s="1363" t="s">
        <v>150</v>
      </c>
      <c r="R13" s="1504"/>
      <c r="S13" s="1601"/>
      <c r="T13" s="1647"/>
      <c r="U13" s="1363" t="s">
        <v>149</v>
      </c>
      <c r="V13" s="223" t="s">
        <v>150</v>
      </c>
      <c r="W13" s="1504"/>
      <c r="X13" s="1504"/>
      <c r="Y13" s="1504"/>
      <c r="Z13" s="1601"/>
      <c r="AA13" s="1603"/>
      <c r="AB13" s="1363" t="s">
        <v>149</v>
      </c>
      <c r="AC13" s="223" t="s">
        <v>150</v>
      </c>
      <c r="AD13" s="1504"/>
      <c r="AE13" s="1504"/>
      <c r="AF13" s="1504"/>
      <c r="AG13" s="1597"/>
      <c r="AH13" s="875"/>
      <c r="AI13" s="1504"/>
      <c r="AJ13" s="819" t="s">
        <v>149</v>
      </c>
      <c r="AK13" s="819" t="s">
        <v>150</v>
      </c>
      <c r="AL13" s="1504"/>
      <c r="AM13" s="1504"/>
      <c r="AN13" s="1504"/>
      <c r="AO13" s="1504"/>
      <c r="AP13" s="1504"/>
      <c r="AQ13" s="1601"/>
      <c r="AR13" s="878"/>
      <c r="AS13" s="1595"/>
      <c r="AT13" s="114" t="s">
        <v>149</v>
      </c>
      <c r="AU13" s="114" t="s">
        <v>150</v>
      </c>
      <c r="AV13" s="1552"/>
      <c r="AW13" s="1552"/>
      <c r="AX13" s="1552"/>
      <c r="AY13" s="1552"/>
      <c r="AZ13" s="1552"/>
      <c r="BA13" s="114" t="s">
        <v>149</v>
      </c>
      <c r="BB13" s="114" t="s">
        <v>150</v>
      </c>
      <c r="BC13" s="1552"/>
      <c r="BD13" s="1560"/>
      <c r="BE13" s="1552"/>
      <c r="BF13" s="1581"/>
      <c r="BG13" s="880"/>
      <c r="BH13" s="126"/>
      <c r="BI13" s="126">
        <f t="shared" ref="BI13:BI45" si="7">BG13+BH13</f>
        <v>0</v>
      </c>
      <c r="BJ13" s="863"/>
      <c r="BK13" s="1193"/>
      <c r="BL13" s="1552"/>
      <c r="BM13" s="114" t="s">
        <v>149</v>
      </c>
      <c r="BN13" s="114" t="s">
        <v>150</v>
      </c>
      <c r="BO13" s="1552"/>
      <c r="BP13" s="1552"/>
      <c r="BQ13" s="1552"/>
      <c r="BR13" s="1552"/>
      <c r="BS13" s="1552"/>
      <c r="BT13" s="114" t="s">
        <v>149</v>
      </c>
      <c r="BU13" s="114" t="s">
        <v>150</v>
      </c>
      <c r="BV13" s="1552"/>
      <c r="BW13" s="1560"/>
      <c r="BX13" s="1552"/>
      <c r="BY13" s="1552"/>
      <c r="BZ13" s="1634"/>
      <c r="CA13" s="1634"/>
      <c r="CB13" s="1587"/>
      <c r="CC13" s="126"/>
      <c r="CD13" s="126"/>
      <c r="CE13" s="126"/>
      <c r="CF13" s="126"/>
      <c r="CG13" s="675"/>
      <c r="CH13" s="625"/>
      <c r="CI13" s="625"/>
      <c r="CJ13" s="1593"/>
      <c r="CK13" s="1593"/>
      <c r="CL13" s="1593"/>
      <c r="CM13" s="848"/>
      <c r="CN13" s="848"/>
      <c r="CO13" s="1606"/>
      <c r="CP13" s="1582" t="s">
        <v>939</v>
      </c>
      <c r="CQ13" s="1583"/>
      <c r="CR13" s="1584"/>
      <c r="CS13" s="1582" t="s">
        <v>938</v>
      </c>
      <c r="CT13" s="1583"/>
      <c r="CU13" s="1584"/>
      <c r="CV13" s="126" t="s">
        <v>227</v>
      </c>
      <c r="CW13" s="864" t="s">
        <v>214</v>
      </c>
      <c r="CX13" s="126"/>
      <c r="CY13" s="126"/>
      <c r="CZ13" s="126"/>
      <c r="DA13" s="1606"/>
      <c r="DB13" s="1606"/>
      <c r="DC13" s="675"/>
      <c r="DD13" s="675"/>
      <c r="DE13" s="675"/>
      <c r="DF13" s="675"/>
      <c r="DG13" s="675"/>
      <c r="DH13" s="1609"/>
      <c r="DI13" s="1614"/>
      <c r="DJ13" s="1614"/>
      <c r="DK13" s="865"/>
      <c r="DL13" s="865" t="s">
        <v>203</v>
      </c>
      <c r="DM13" s="865" t="s">
        <v>204</v>
      </c>
      <c r="DN13" s="865" t="s">
        <v>208</v>
      </c>
      <c r="DO13" s="865"/>
    </row>
    <row r="14" spans="1:142" s="869" customFormat="1" ht="80.25" hidden="1" customHeight="1">
      <c r="A14" s="6">
        <v>1</v>
      </c>
      <c r="B14" s="881" t="s">
        <v>7</v>
      </c>
      <c r="C14" s="1393" t="s">
        <v>69</v>
      </c>
      <c r="D14" s="1261" t="s">
        <v>141</v>
      </c>
      <c r="E14" s="882">
        <v>4632024035</v>
      </c>
      <c r="F14" s="881" t="s">
        <v>8</v>
      </c>
      <c r="G14" s="1238" t="s">
        <v>983</v>
      </c>
      <c r="H14" s="1256">
        <v>3314.9639999999995</v>
      </c>
      <c r="I14" s="1257">
        <f>H14</f>
        <v>3314.9639999999995</v>
      </c>
      <c r="J14" s="883"/>
      <c r="K14" s="883"/>
      <c r="L14" s="1256">
        <v>3314.9639999999995</v>
      </c>
      <c r="M14" s="1277"/>
      <c r="N14" s="1259">
        <f>3132.14*1.2</f>
        <v>3758.5679999999998</v>
      </c>
      <c r="O14" s="1260">
        <f>N14</f>
        <v>3758.5679999999998</v>
      </c>
      <c r="P14" s="883"/>
      <c r="Q14" s="883"/>
      <c r="R14" s="1260">
        <f>O14</f>
        <v>3758.5679999999998</v>
      </c>
      <c r="S14" s="1277"/>
      <c r="T14" s="1307">
        <v>667.96300000000008</v>
      </c>
      <c r="U14" s="1278"/>
      <c r="V14" s="1278"/>
      <c r="W14" s="1278"/>
      <c r="X14" s="1278"/>
      <c r="Y14" s="1278"/>
      <c r="Z14" s="1279">
        <f t="shared" ref="Z14:Z75" si="8">SUM(T14:W14)</f>
        <v>667.96300000000008</v>
      </c>
      <c r="AA14" s="1308">
        <v>392.226</v>
      </c>
      <c r="AB14" s="1278"/>
      <c r="AC14" s="1278"/>
      <c r="AD14" s="1278"/>
      <c r="AE14" s="1278"/>
      <c r="AF14" s="1278"/>
      <c r="AG14" s="1280">
        <f>SUM(AA14:AD14)</f>
        <v>392.226</v>
      </c>
      <c r="AH14" s="1310">
        <f>Z14+AG14</f>
        <v>1060.1890000000001</v>
      </c>
      <c r="AI14" s="1278">
        <f t="shared" ref="AI14:AM29" si="9">T14+AA14</f>
        <v>1060.1890000000001</v>
      </c>
      <c r="AJ14" s="1278">
        <f t="shared" si="9"/>
        <v>0</v>
      </c>
      <c r="AK14" s="1278">
        <f t="shared" si="9"/>
        <v>0</v>
      </c>
      <c r="AL14" s="1278">
        <f t="shared" si="9"/>
        <v>0</v>
      </c>
      <c r="AM14" s="1278">
        <f t="shared" si="9"/>
        <v>0</v>
      </c>
      <c r="AN14" s="1278"/>
      <c r="AO14" s="1278">
        <f t="shared" ref="AO14:AO27" si="10">SUM(AI14:AN14)</f>
        <v>1060.1890000000001</v>
      </c>
      <c r="AP14" s="1278">
        <f t="shared" ref="AP14:AP27" si="11">SUM(AI14:AM14)</f>
        <v>1060.1890000000001</v>
      </c>
      <c r="AQ14" s="1281">
        <f t="shared" ref="AQ14:AQ27" si="12">SUM(AI14:AL14)</f>
        <v>1060.1890000000001</v>
      </c>
      <c r="AR14" s="1282">
        <f>AQ14-AH14</f>
        <v>0</v>
      </c>
      <c r="AS14" s="1283">
        <f t="shared" ref="AS14:AW29" si="13">I14*AI14</f>
        <v>3514488.3681959999</v>
      </c>
      <c r="AT14" s="1278">
        <f t="shared" si="13"/>
        <v>0</v>
      </c>
      <c r="AU14" s="1278">
        <f t="shared" si="13"/>
        <v>0</v>
      </c>
      <c r="AV14" s="1278">
        <f t="shared" si="13"/>
        <v>0</v>
      </c>
      <c r="AW14" s="1278">
        <f t="shared" si="13"/>
        <v>0</v>
      </c>
      <c r="AX14" s="1278">
        <f>SUM(AS14:AW14)</f>
        <v>3514488.3681959999</v>
      </c>
      <c r="AY14" s="1278">
        <f>SUM(AS14:AV14)</f>
        <v>3514488.3681959999</v>
      </c>
      <c r="AZ14" s="1278">
        <f t="shared" ref="AZ14:BD29" si="14">O14*AI14</f>
        <v>3984792.4493519999</v>
      </c>
      <c r="BA14" s="1278">
        <f t="shared" si="14"/>
        <v>0</v>
      </c>
      <c r="BB14" s="1278">
        <f t="shared" si="14"/>
        <v>0</v>
      </c>
      <c r="BC14" s="1278">
        <f t="shared" si="14"/>
        <v>0</v>
      </c>
      <c r="BD14" s="1278">
        <f t="shared" si="14"/>
        <v>0</v>
      </c>
      <c r="BE14" s="1278">
        <f>SUM(AZ14:BD14)</f>
        <v>3984792.4493519999</v>
      </c>
      <c r="BF14" s="1281">
        <f>SUM(AZ14:BC14)</f>
        <v>3984792.4493519999</v>
      </c>
      <c r="BG14" s="953">
        <f>(H14-J14)/1.2*U14/1000+(H14-K14)/1.2*V14/1000</f>
        <v>0</v>
      </c>
      <c r="BH14" s="954">
        <f>(O14-P14)*AB14/1000/1.2+(O14-Q14)/1.2*AC14/1000</f>
        <v>0</v>
      </c>
      <c r="BI14" s="955">
        <f t="shared" si="7"/>
        <v>0</v>
      </c>
      <c r="BJ14" s="1278"/>
      <c r="BK14" s="1284"/>
      <c r="BL14" s="1278">
        <f t="shared" ref="BL14:BP29" si="15">I14*T14</f>
        <v>2214273.2983320002</v>
      </c>
      <c r="BM14" s="1278">
        <f t="shared" si="15"/>
        <v>0</v>
      </c>
      <c r="BN14" s="1278">
        <f t="shared" si="15"/>
        <v>0</v>
      </c>
      <c r="BO14" s="1278">
        <f t="shared" si="15"/>
        <v>0</v>
      </c>
      <c r="BP14" s="1278">
        <f t="shared" si="15"/>
        <v>0</v>
      </c>
      <c r="BQ14" s="1278">
        <f>BL14+BM14+BN14+BO14+BP14</f>
        <v>2214273.2983320002</v>
      </c>
      <c r="BR14" s="1278">
        <f>BQ14-BP14</f>
        <v>2214273.2983320002</v>
      </c>
      <c r="BS14" s="1278">
        <f t="shared" ref="BS14:BU29" si="16">O14*AA14</f>
        <v>1474208.092368</v>
      </c>
      <c r="BT14" s="1278">
        <f t="shared" si="16"/>
        <v>0</v>
      </c>
      <c r="BU14" s="1278">
        <f t="shared" si="16"/>
        <v>0</v>
      </c>
      <c r="BV14" s="1278">
        <f>R14*W14</f>
        <v>0</v>
      </c>
      <c r="BW14" s="1278">
        <f t="shared" ref="BW14:BW77" si="17">S14*AE14</f>
        <v>0</v>
      </c>
      <c r="BX14" s="1278">
        <f>BS14+BT14+BU14+BV14+BW14</f>
        <v>1474208.092368</v>
      </c>
      <c r="BY14" s="1278">
        <f>BX14-BW14</f>
        <v>1474208.092368</v>
      </c>
      <c r="BZ14" s="1285">
        <f>BM14+BT14</f>
        <v>0</v>
      </c>
      <c r="CA14" s="1285">
        <f>BN14+BU14</f>
        <v>0</v>
      </c>
      <c r="CB14" s="1285">
        <f>BZ14+CA14</f>
        <v>0</v>
      </c>
      <c r="CC14" s="1285" t="e">
        <f>BZ14/AJ14</f>
        <v>#DIV/0!</v>
      </c>
      <c r="CD14" s="1285" t="e">
        <f>CA14/AK14</f>
        <v>#DIV/0!</v>
      </c>
      <c r="CE14" s="1285" t="e">
        <f>CB14/(AJ14+AK14)</f>
        <v>#DIV/0!</v>
      </c>
      <c r="CF14" s="1285" t="e">
        <f t="shared" ref="CF14:CF77" si="18">CB14/(U14+V14+AB14+AC14)</f>
        <v>#DIV/0!</v>
      </c>
      <c r="CG14" s="1285">
        <f t="shared" ref="CG14:CG77" si="19">I14*(U14+V14)+O14*(AB14+AC14)</f>
        <v>0</v>
      </c>
      <c r="CH14" s="1285" t="e">
        <f>CG14/(AJ14+AK14)</f>
        <v>#DIV/0!</v>
      </c>
      <c r="CI14" s="1285"/>
      <c r="CJ14" s="1312">
        <f>H14*Z14/1000</f>
        <v>2214.2732983320002</v>
      </c>
      <c r="CK14" s="1312">
        <f t="shared" ref="CK14:CK77" si="20">N14*AG14/1000</f>
        <v>1474.2080923680001</v>
      </c>
      <c r="CL14" s="1312">
        <f>CJ14+CK14</f>
        <v>3688.4813907000002</v>
      </c>
      <c r="CM14" s="1278">
        <f>N14*AH14/1000</f>
        <v>3984.7924493519999</v>
      </c>
      <c r="CN14" s="1278">
        <f>CM14-CL14</f>
        <v>296.3110586519997</v>
      </c>
      <c r="CO14" s="1278">
        <f t="shared" ref="CO14:CO77" si="21">H14*Z14+N14*AG14</f>
        <v>3688481.3907000003</v>
      </c>
      <c r="CP14" s="1278">
        <f t="shared" ref="CP14:CP77" si="22">I14*AI14+J14*AJ14+K14*AK14+L14*AL14</f>
        <v>3514488.3681959999</v>
      </c>
      <c r="CQ14" s="1278">
        <f t="shared" ref="CQ14:CQ77" si="23">I14*AI14+J14*(AJ14+AK14)+L14*AL14</f>
        <v>3514488.3681959999</v>
      </c>
      <c r="CR14" s="1278">
        <f t="shared" ref="CR14:CR77" si="24">I14*T14+J14*U14+K14*V14+L14*W14</f>
        <v>2214273.2983320002</v>
      </c>
      <c r="CS14" s="1278">
        <f t="shared" ref="CS14:CS77" si="25">O14*AI14+P14*AJ14+Q14*AK14+R14*AL14</f>
        <v>3984792.4493519999</v>
      </c>
      <c r="CT14" s="1278">
        <f t="shared" ref="CT14:CT77" si="26">O14*AI14+P14*(AJ14+AK14)+R14*AL14</f>
        <v>3984792.4493519999</v>
      </c>
      <c r="CU14" s="1278">
        <f t="shared" ref="CU14:CU77" si="27">O14*AA14+P14*AB14+Q14*AC14+R14*AD14</f>
        <v>1474208.092368</v>
      </c>
      <c r="CV14" s="1278">
        <f>CP14+CS14</f>
        <v>7499280.8175479993</v>
      </c>
      <c r="CW14" s="1286">
        <f>CV14/AH14</f>
        <v>7073.5319999999992</v>
      </c>
      <c r="CX14" s="1278">
        <f t="shared" ref="CX14:CX77" si="28">J14*AJ14+K14*AK14</f>
        <v>0</v>
      </c>
      <c r="CY14" s="1278">
        <f t="shared" ref="CY14:CY77" si="29">P14*AJ14+Q14*AK14</f>
        <v>0</v>
      </c>
      <c r="CZ14" s="1278"/>
      <c r="DA14" s="1278">
        <f t="shared" ref="DA14:DA77" si="30">H14*AI14+H14*AJ14+H14*AK14+H14*AL14</f>
        <v>3514488.3681959999</v>
      </c>
      <c r="DB14" s="1278">
        <f t="shared" ref="DB14:DB77" si="31">N14*AI14+N14*AJ14+N14*AK14+N14*AL14</f>
        <v>3984792.4493519999</v>
      </c>
      <c r="DC14" s="840"/>
      <c r="DD14" s="841" t="e">
        <f>N14/J14*100</f>
        <v>#DIV/0!</v>
      </c>
      <c r="DE14" s="840"/>
      <c r="DF14" s="840"/>
      <c r="DG14" s="840"/>
      <c r="DH14" s="1287"/>
      <c r="DI14" s="1287"/>
      <c r="DJ14" s="1287"/>
      <c r="DK14" s="1285"/>
      <c r="DL14" s="1288">
        <f t="shared" ref="DL14:DL77" si="32">M14*X14/1000</f>
        <v>0</v>
      </c>
      <c r="DM14" s="1288">
        <f t="shared" ref="DM14:DM77" si="33">S14*AE14/1000</f>
        <v>0</v>
      </c>
      <c r="DN14" s="1288">
        <f t="shared" ref="DN14:DN77" si="34">DL14+DM14</f>
        <v>0</v>
      </c>
      <c r="DO14" s="816"/>
      <c r="DP14" s="871"/>
      <c r="DQ14" s="871"/>
      <c r="DR14" s="871"/>
      <c r="DS14" s="871"/>
      <c r="DT14" s="871"/>
      <c r="DU14" s="871"/>
      <c r="DV14" s="871"/>
      <c r="DW14" s="871"/>
      <c r="DX14" s="871"/>
      <c r="DY14" s="871"/>
      <c r="DZ14" s="871"/>
      <c r="EA14" s="871"/>
      <c r="EB14" s="871"/>
      <c r="EC14" s="871"/>
      <c r="ED14" s="871"/>
      <c r="EE14" s="871"/>
      <c r="EF14" s="871"/>
      <c r="EG14" s="871"/>
      <c r="EH14" s="871"/>
      <c r="EI14" s="871"/>
      <c r="EJ14" s="871"/>
      <c r="EK14" s="871"/>
      <c r="EL14" s="871"/>
    </row>
    <row r="15" spans="1:142" s="869" customFormat="1" ht="72.75" hidden="1" customHeight="1">
      <c r="A15" s="6">
        <f>A14+1</f>
        <v>2</v>
      </c>
      <c r="B15" s="881" t="s">
        <v>7</v>
      </c>
      <c r="C15" s="1394" t="s">
        <v>70</v>
      </c>
      <c r="D15" s="1262" t="s">
        <v>141</v>
      </c>
      <c r="E15" s="887">
        <v>4632024035</v>
      </c>
      <c r="F15" s="886" t="s">
        <v>8</v>
      </c>
      <c r="G15" s="1238" t="s">
        <v>983</v>
      </c>
      <c r="H15" s="1256">
        <v>3314.9639999999995</v>
      </c>
      <c r="I15" s="1257">
        <f>H15</f>
        <v>3314.9639999999995</v>
      </c>
      <c r="J15" s="891"/>
      <c r="K15" s="891"/>
      <c r="L15" s="1256">
        <v>3314.9639999999995</v>
      </c>
      <c r="M15" s="946"/>
      <c r="N15" s="1259">
        <f>3132.14*1.2</f>
        <v>3758.5679999999998</v>
      </c>
      <c r="O15" s="1260">
        <f>N15</f>
        <v>3758.5679999999998</v>
      </c>
      <c r="P15" s="891"/>
      <c r="Q15" s="891"/>
      <c r="R15" s="1260">
        <f>O15</f>
        <v>3758.5679999999998</v>
      </c>
      <c r="S15" s="946"/>
      <c r="T15" s="1307">
        <v>215.74499999999998</v>
      </c>
      <c r="U15" s="890"/>
      <c r="V15" s="890"/>
      <c r="W15" s="890"/>
      <c r="X15" s="890"/>
      <c r="Y15" s="890"/>
      <c r="Z15" s="949">
        <f t="shared" si="8"/>
        <v>215.74499999999998</v>
      </c>
      <c r="AA15" s="1308">
        <v>125.28</v>
      </c>
      <c r="AB15" s="890"/>
      <c r="AC15" s="890"/>
      <c r="AD15" s="890"/>
      <c r="AE15" s="890"/>
      <c r="AF15" s="890"/>
      <c r="AG15" s="951">
        <f>SUM(AA15:AD15)</f>
        <v>125.28</v>
      </c>
      <c r="AH15" s="1307">
        <f>Z15+AG15</f>
        <v>341.02499999999998</v>
      </c>
      <c r="AI15" s="890">
        <f t="shared" si="9"/>
        <v>341.02499999999998</v>
      </c>
      <c r="AJ15" s="890">
        <f t="shared" si="9"/>
        <v>0</v>
      </c>
      <c r="AK15" s="890">
        <f t="shared" si="9"/>
        <v>0</v>
      </c>
      <c r="AL15" s="890">
        <f t="shared" si="9"/>
        <v>0</v>
      </c>
      <c r="AM15" s="890">
        <f t="shared" si="9"/>
        <v>0</v>
      </c>
      <c r="AN15" s="890"/>
      <c r="AO15" s="890">
        <f t="shared" si="10"/>
        <v>341.02499999999998</v>
      </c>
      <c r="AP15" s="890">
        <f t="shared" si="11"/>
        <v>341.02499999999998</v>
      </c>
      <c r="AQ15" s="952">
        <f t="shared" si="12"/>
        <v>341.02499999999998</v>
      </c>
      <c r="AR15" s="973">
        <f t="shared" ref="AR15:AR78" si="35">AQ15-AH15</f>
        <v>0</v>
      </c>
      <c r="AS15" s="889">
        <f t="shared" si="13"/>
        <v>1130485.5980999998</v>
      </c>
      <c r="AT15" s="890">
        <f t="shared" si="13"/>
        <v>0</v>
      </c>
      <c r="AU15" s="890">
        <f t="shared" si="13"/>
        <v>0</v>
      </c>
      <c r="AV15" s="890">
        <f t="shared" si="13"/>
        <v>0</v>
      </c>
      <c r="AW15" s="890">
        <f t="shared" si="13"/>
        <v>0</v>
      </c>
      <c r="AX15" s="890">
        <f>SUM(AS15:AW15)</f>
        <v>1130485.5980999998</v>
      </c>
      <c r="AY15" s="890">
        <f>SUM(AS15:AV15)</f>
        <v>1130485.5980999998</v>
      </c>
      <c r="AZ15" s="890">
        <f t="shared" si="14"/>
        <v>1281765.6521999999</v>
      </c>
      <c r="BA15" s="890">
        <f t="shared" si="14"/>
        <v>0</v>
      </c>
      <c r="BB15" s="890">
        <f t="shared" si="14"/>
        <v>0</v>
      </c>
      <c r="BC15" s="890">
        <f t="shared" si="14"/>
        <v>0</v>
      </c>
      <c r="BD15" s="890">
        <f t="shared" si="14"/>
        <v>0</v>
      </c>
      <c r="BE15" s="890">
        <f>SUM(AZ15:BD15)</f>
        <v>1281765.6521999999</v>
      </c>
      <c r="BF15" s="952">
        <f>SUM(AZ15:BC15)</f>
        <v>1281765.6521999999</v>
      </c>
      <c r="BG15" s="953">
        <f>(H15-J15)/1.2*U15/1000+(H15-K15)/1.2*V15/1000</f>
        <v>0</v>
      </c>
      <c r="BH15" s="954">
        <f>(O15-P15)*AB15/1000/1.2+(O15-Q15)/1.2*AC15/1000</f>
        <v>0</v>
      </c>
      <c r="BI15" s="955">
        <f t="shared" si="7"/>
        <v>0</v>
      </c>
      <c r="BJ15" s="890"/>
      <c r="BK15" s="1199"/>
      <c r="BL15" s="890">
        <f t="shared" si="15"/>
        <v>715186.90817999979</v>
      </c>
      <c r="BM15" s="890">
        <f t="shared" si="15"/>
        <v>0</v>
      </c>
      <c r="BN15" s="890">
        <f t="shared" si="15"/>
        <v>0</v>
      </c>
      <c r="BO15" s="890">
        <f t="shared" si="15"/>
        <v>0</v>
      </c>
      <c r="BP15" s="890">
        <f t="shared" si="15"/>
        <v>0</v>
      </c>
      <c r="BQ15" s="890">
        <f>BL15+BM15+BN15+BO15+BP15</f>
        <v>715186.90817999979</v>
      </c>
      <c r="BR15" s="890">
        <f>BQ15-BP15</f>
        <v>715186.90817999979</v>
      </c>
      <c r="BS15" s="890">
        <f t="shared" si="16"/>
        <v>470873.39903999999</v>
      </c>
      <c r="BT15" s="890">
        <f t="shared" si="16"/>
        <v>0</v>
      </c>
      <c r="BU15" s="890">
        <f t="shared" si="16"/>
        <v>0</v>
      </c>
      <c r="BV15" s="890">
        <f>R15*W15</f>
        <v>0</v>
      </c>
      <c r="BW15" s="890">
        <f t="shared" si="17"/>
        <v>0</v>
      </c>
      <c r="BX15" s="890">
        <f>BS15+BT15+BU15+BV15+BW15</f>
        <v>470873.39903999999</v>
      </c>
      <c r="BY15" s="890">
        <f>BX15-BW15</f>
        <v>470873.39903999999</v>
      </c>
      <c r="BZ15" s="945">
        <f t="shared" ref="BZ15:CA30" si="36">BM15+BT15</f>
        <v>0</v>
      </c>
      <c r="CA15" s="945">
        <f t="shared" si="36"/>
        <v>0</v>
      </c>
      <c r="CB15" s="945">
        <f>BZ15+CA15</f>
        <v>0</v>
      </c>
      <c r="CC15" s="945" t="e">
        <f t="shared" ref="CC15:CD30" si="37">BZ15/AJ15</f>
        <v>#DIV/0!</v>
      </c>
      <c r="CD15" s="945" t="e">
        <f t="shared" si="37"/>
        <v>#DIV/0!</v>
      </c>
      <c r="CE15" s="945" t="e">
        <f t="shared" ref="CE15:CE78" si="38">CB15/(AJ15+AK15)</f>
        <v>#DIV/0!</v>
      </c>
      <c r="CF15" s="945" t="e">
        <f t="shared" si="18"/>
        <v>#DIV/0!</v>
      </c>
      <c r="CG15" s="945">
        <f t="shared" si="19"/>
        <v>0</v>
      </c>
      <c r="CH15" s="945" t="e">
        <f t="shared" ref="CH15:CH78" si="39">CG15/(AJ15+AK15)</f>
        <v>#DIV/0!</v>
      </c>
      <c r="CI15" s="945"/>
      <c r="CJ15" s="1312">
        <f>H15*Z15/1000</f>
        <v>715.18690817999982</v>
      </c>
      <c r="CK15" s="1312">
        <f t="shared" si="20"/>
        <v>470.87339903999998</v>
      </c>
      <c r="CL15" s="1312">
        <f t="shared" ref="CL15:CL70" si="40">CJ15+CK15</f>
        <v>1186.0603072199997</v>
      </c>
      <c r="CM15" s="890">
        <f t="shared" ref="CM15:CM78" si="41">N15*AH15/1000</f>
        <v>1281.7656522</v>
      </c>
      <c r="CN15" s="890">
        <f t="shared" ref="CN15:CN78" si="42">CM15-CL15</f>
        <v>95.705344980000291</v>
      </c>
      <c r="CO15" s="890">
        <f t="shared" si="21"/>
        <v>1186060.3072199998</v>
      </c>
      <c r="CP15" s="890">
        <f t="shared" si="22"/>
        <v>1130485.5980999998</v>
      </c>
      <c r="CQ15" s="890">
        <f t="shared" si="23"/>
        <v>1130485.5980999998</v>
      </c>
      <c r="CR15" s="890">
        <f t="shared" si="24"/>
        <v>715186.90817999979</v>
      </c>
      <c r="CS15" s="890">
        <f t="shared" si="25"/>
        <v>1281765.6521999999</v>
      </c>
      <c r="CT15" s="890">
        <f t="shared" si="26"/>
        <v>1281765.6521999999</v>
      </c>
      <c r="CU15" s="890">
        <f t="shared" si="27"/>
        <v>470873.39903999999</v>
      </c>
      <c r="CV15" s="890">
        <f t="shared" ref="CV15:CV78" si="43">CP15+CS15</f>
        <v>2412251.2502999995</v>
      </c>
      <c r="CW15" s="978">
        <f t="shared" ref="CW15:CW78" si="44">CV15/AH15</f>
        <v>7073.5319999999992</v>
      </c>
      <c r="CX15" s="890">
        <f t="shared" si="28"/>
        <v>0</v>
      </c>
      <c r="CY15" s="890">
        <f t="shared" si="29"/>
        <v>0</v>
      </c>
      <c r="CZ15" s="890"/>
      <c r="DA15" s="890">
        <f t="shared" si="30"/>
        <v>1130485.5980999998</v>
      </c>
      <c r="DB15" s="890">
        <f t="shared" si="31"/>
        <v>1281765.6521999999</v>
      </c>
      <c r="DC15" s="840"/>
      <c r="DD15" s="841" t="e">
        <f t="shared" ref="DD15:DD78" si="45">N15/J15*100</f>
        <v>#DIV/0!</v>
      </c>
      <c r="DE15" s="840"/>
      <c r="DF15" s="840"/>
      <c r="DG15" s="840"/>
      <c r="DH15" s="1050"/>
      <c r="DI15" s="1050"/>
      <c r="DJ15" s="1050"/>
      <c r="DK15" s="945"/>
      <c r="DL15" s="975">
        <f t="shared" si="32"/>
        <v>0</v>
      </c>
      <c r="DM15" s="975">
        <f t="shared" si="33"/>
        <v>0</v>
      </c>
      <c r="DN15" s="975">
        <f t="shared" si="34"/>
        <v>0</v>
      </c>
      <c r="DO15" s="816"/>
      <c r="DP15" s="871"/>
      <c r="DQ15" s="871"/>
      <c r="DR15" s="871"/>
      <c r="DS15" s="871"/>
      <c r="DT15" s="871"/>
      <c r="DU15" s="871"/>
      <c r="DV15" s="871"/>
      <c r="DW15" s="871"/>
      <c r="DX15" s="871"/>
      <c r="DY15" s="871"/>
      <c r="DZ15" s="871"/>
      <c r="EA15" s="871"/>
      <c r="EB15" s="871"/>
      <c r="EC15" s="871"/>
      <c r="ED15" s="871"/>
      <c r="EE15" s="871"/>
      <c r="EF15" s="871"/>
      <c r="EG15" s="871"/>
      <c r="EH15" s="871"/>
      <c r="EI15" s="871"/>
      <c r="EJ15" s="871"/>
      <c r="EK15" s="871"/>
      <c r="EL15" s="871"/>
    </row>
    <row r="16" spans="1:142" s="869" customFormat="1" ht="79.5" hidden="1" customHeight="1">
      <c r="A16" s="6">
        <f t="shared" ref="A16:A79" si="46">A15+1</f>
        <v>3</v>
      </c>
      <c r="B16" s="881" t="s">
        <v>7</v>
      </c>
      <c r="C16" s="1394" t="s">
        <v>71</v>
      </c>
      <c r="D16" s="1262" t="s">
        <v>141</v>
      </c>
      <c r="E16" s="887">
        <v>4632024035</v>
      </c>
      <c r="F16" s="886" t="s">
        <v>8</v>
      </c>
      <c r="G16" s="1238" t="s">
        <v>983</v>
      </c>
      <c r="H16" s="1256">
        <v>3314.9639999999995</v>
      </c>
      <c r="I16" s="1257">
        <f>H16</f>
        <v>3314.9639999999995</v>
      </c>
      <c r="J16" s="891"/>
      <c r="K16" s="891"/>
      <c r="L16" s="1256">
        <v>3314.9639999999995</v>
      </c>
      <c r="M16" s="946"/>
      <c r="N16" s="1259">
        <f>3132.14*1.2</f>
        <v>3758.5679999999998</v>
      </c>
      <c r="O16" s="1260">
        <f>N16</f>
        <v>3758.5679999999998</v>
      </c>
      <c r="P16" s="891"/>
      <c r="Q16" s="891"/>
      <c r="R16" s="1260">
        <f>O16</f>
        <v>3758.5679999999998</v>
      </c>
      <c r="S16" s="946"/>
      <c r="T16" s="1307">
        <v>179.78700000000001</v>
      </c>
      <c r="U16" s="890"/>
      <c r="V16" s="890"/>
      <c r="W16" s="890"/>
      <c r="X16" s="890"/>
      <c r="Y16" s="890"/>
      <c r="Z16" s="949">
        <f t="shared" si="8"/>
        <v>179.78700000000001</v>
      </c>
      <c r="AA16" s="1308">
        <v>104.4</v>
      </c>
      <c r="AB16" s="890"/>
      <c r="AC16" s="890"/>
      <c r="AD16" s="890"/>
      <c r="AE16" s="890"/>
      <c r="AF16" s="890"/>
      <c r="AG16" s="951">
        <f>SUM(AA16:AD16)</f>
        <v>104.4</v>
      </c>
      <c r="AH16" s="1307">
        <f>Z16+AG16</f>
        <v>284.18700000000001</v>
      </c>
      <c r="AI16" s="890">
        <f t="shared" si="9"/>
        <v>284.18700000000001</v>
      </c>
      <c r="AJ16" s="890">
        <f t="shared" si="9"/>
        <v>0</v>
      </c>
      <c r="AK16" s="890">
        <f t="shared" si="9"/>
        <v>0</v>
      </c>
      <c r="AL16" s="890">
        <f t="shared" si="9"/>
        <v>0</v>
      </c>
      <c r="AM16" s="890">
        <f t="shared" si="9"/>
        <v>0</v>
      </c>
      <c r="AN16" s="890"/>
      <c r="AO16" s="890">
        <f t="shared" si="10"/>
        <v>284.18700000000001</v>
      </c>
      <c r="AP16" s="890">
        <f t="shared" si="11"/>
        <v>284.18700000000001</v>
      </c>
      <c r="AQ16" s="952">
        <f t="shared" si="12"/>
        <v>284.18700000000001</v>
      </c>
      <c r="AR16" s="973">
        <f t="shared" si="35"/>
        <v>0</v>
      </c>
      <c r="AS16" s="889">
        <f t="shared" si="13"/>
        <v>942069.67426799994</v>
      </c>
      <c r="AT16" s="890">
        <f t="shared" si="13"/>
        <v>0</v>
      </c>
      <c r="AU16" s="890">
        <f t="shared" si="13"/>
        <v>0</v>
      </c>
      <c r="AV16" s="890">
        <f t="shared" si="13"/>
        <v>0</v>
      </c>
      <c r="AW16" s="890">
        <f t="shared" si="13"/>
        <v>0</v>
      </c>
      <c r="AX16" s="890">
        <f>SUM(AS16:AW16)</f>
        <v>942069.67426799994</v>
      </c>
      <c r="AY16" s="890">
        <f>SUM(AS16:AV16)</f>
        <v>942069.67426799994</v>
      </c>
      <c r="AZ16" s="890">
        <f t="shared" si="14"/>
        <v>1068136.1642159999</v>
      </c>
      <c r="BA16" s="890">
        <f t="shared" si="14"/>
        <v>0</v>
      </c>
      <c r="BB16" s="890">
        <f t="shared" si="14"/>
        <v>0</v>
      </c>
      <c r="BC16" s="890">
        <f t="shared" si="14"/>
        <v>0</v>
      </c>
      <c r="BD16" s="890">
        <f t="shared" si="14"/>
        <v>0</v>
      </c>
      <c r="BE16" s="890">
        <f>SUM(AZ16:BD16)</f>
        <v>1068136.1642159999</v>
      </c>
      <c r="BF16" s="952">
        <f>SUM(AZ16:BC16)</f>
        <v>1068136.1642159999</v>
      </c>
      <c r="BG16" s="953">
        <f>(H16-J16)/1.2*U16/1000+(H16-K16)/1.2*V16/1000</f>
        <v>0</v>
      </c>
      <c r="BH16" s="954">
        <f>(O16-P16)*AB16/1000/1.2+(O16-Q16)/1.2*AC16/1000</f>
        <v>0</v>
      </c>
      <c r="BI16" s="955">
        <f t="shared" si="7"/>
        <v>0</v>
      </c>
      <c r="BJ16" s="890"/>
      <c r="BK16" s="1199"/>
      <c r="BL16" s="890">
        <f t="shared" si="15"/>
        <v>595987.43266799988</v>
      </c>
      <c r="BM16" s="890">
        <f t="shared" si="15"/>
        <v>0</v>
      </c>
      <c r="BN16" s="890">
        <f t="shared" si="15"/>
        <v>0</v>
      </c>
      <c r="BO16" s="890">
        <f t="shared" si="15"/>
        <v>0</v>
      </c>
      <c r="BP16" s="890">
        <f t="shared" si="15"/>
        <v>0</v>
      </c>
      <c r="BQ16" s="890">
        <f>BL16+BM16+BN16+BO16+BP16</f>
        <v>595987.43266799988</v>
      </c>
      <c r="BR16" s="890">
        <f>BQ16-BP16</f>
        <v>595987.43266799988</v>
      </c>
      <c r="BS16" s="890">
        <f t="shared" si="16"/>
        <v>392394.49920000002</v>
      </c>
      <c r="BT16" s="890">
        <f t="shared" si="16"/>
        <v>0</v>
      </c>
      <c r="BU16" s="890">
        <f t="shared" si="16"/>
        <v>0</v>
      </c>
      <c r="BV16" s="890">
        <f>R16*W16</f>
        <v>0</v>
      </c>
      <c r="BW16" s="890">
        <f t="shared" si="17"/>
        <v>0</v>
      </c>
      <c r="BX16" s="890">
        <f>BS16+BT16+BU16+BV16+BW16</f>
        <v>392394.49920000002</v>
      </c>
      <c r="BY16" s="890">
        <f>BX16-BW16</f>
        <v>392394.49920000002</v>
      </c>
      <c r="BZ16" s="945">
        <f t="shared" si="36"/>
        <v>0</v>
      </c>
      <c r="CA16" s="945">
        <f t="shared" si="36"/>
        <v>0</v>
      </c>
      <c r="CB16" s="945">
        <f>BZ16+CA16</f>
        <v>0</v>
      </c>
      <c r="CC16" s="945" t="e">
        <f t="shared" si="37"/>
        <v>#DIV/0!</v>
      </c>
      <c r="CD16" s="945" t="e">
        <f t="shared" si="37"/>
        <v>#DIV/0!</v>
      </c>
      <c r="CE16" s="945" t="e">
        <f t="shared" si="38"/>
        <v>#DIV/0!</v>
      </c>
      <c r="CF16" s="945" t="e">
        <f t="shared" si="18"/>
        <v>#DIV/0!</v>
      </c>
      <c r="CG16" s="945">
        <f t="shared" si="19"/>
        <v>0</v>
      </c>
      <c r="CH16" s="945" t="e">
        <f t="shared" si="39"/>
        <v>#DIV/0!</v>
      </c>
      <c r="CI16" s="945"/>
      <c r="CJ16" s="1312">
        <f>H16*Z16/1000</f>
        <v>595.98743266799988</v>
      </c>
      <c r="CK16" s="1312">
        <f t="shared" si="20"/>
        <v>392.39449920000004</v>
      </c>
      <c r="CL16" s="1312">
        <f t="shared" si="40"/>
        <v>988.38193186799992</v>
      </c>
      <c r="CM16" s="890">
        <f t="shared" si="41"/>
        <v>1068.136164216</v>
      </c>
      <c r="CN16" s="890">
        <f t="shared" si="42"/>
        <v>79.754232348000073</v>
      </c>
      <c r="CO16" s="890">
        <f t="shared" si="21"/>
        <v>988381.93186799996</v>
      </c>
      <c r="CP16" s="890">
        <f t="shared" si="22"/>
        <v>942069.67426799994</v>
      </c>
      <c r="CQ16" s="890">
        <f t="shared" si="23"/>
        <v>942069.67426799994</v>
      </c>
      <c r="CR16" s="890">
        <f t="shared" si="24"/>
        <v>595987.43266799988</v>
      </c>
      <c r="CS16" s="890">
        <f t="shared" si="25"/>
        <v>1068136.1642159999</v>
      </c>
      <c r="CT16" s="890">
        <f t="shared" si="26"/>
        <v>1068136.1642159999</v>
      </c>
      <c r="CU16" s="890">
        <f t="shared" si="27"/>
        <v>392394.49920000002</v>
      </c>
      <c r="CV16" s="890">
        <f t="shared" si="43"/>
        <v>2010205.8384839999</v>
      </c>
      <c r="CW16" s="978">
        <f t="shared" si="44"/>
        <v>7073.5319999999992</v>
      </c>
      <c r="CX16" s="890">
        <f t="shared" si="28"/>
        <v>0</v>
      </c>
      <c r="CY16" s="890">
        <f t="shared" si="29"/>
        <v>0</v>
      </c>
      <c r="CZ16" s="890"/>
      <c r="DA16" s="890">
        <f t="shared" si="30"/>
        <v>942069.67426799994</v>
      </c>
      <c r="DB16" s="890">
        <f t="shared" si="31"/>
        <v>1068136.1642159999</v>
      </c>
      <c r="DC16" s="840"/>
      <c r="DD16" s="841" t="e">
        <f t="shared" si="45"/>
        <v>#DIV/0!</v>
      </c>
      <c r="DE16" s="840"/>
      <c r="DF16" s="840"/>
      <c r="DG16" s="840"/>
      <c r="DH16" s="1050"/>
      <c r="DI16" s="1050"/>
      <c r="DJ16" s="1050"/>
      <c r="DK16" s="945"/>
      <c r="DL16" s="975">
        <f t="shared" si="32"/>
        <v>0</v>
      </c>
      <c r="DM16" s="975">
        <f t="shared" si="33"/>
        <v>0</v>
      </c>
      <c r="DN16" s="975">
        <f t="shared" si="34"/>
        <v>0</v>
      </c>
      <c r="DO16" s="816"/>
      <c r="DP16" s="871"/>
      <c r="DQ16" s="871"/>
      <c r="DR16" s="871"/>
      <c r="DS16" s="871"/>
      <c r="DT16" s="871"/>
      <c r="DU16" s="871"/>
      <c r="DV16" s="871"/>
      <c r="DW16" s="871"/>
      <c r="DX16" s="871"/>
      <c r="DY16" s="871"/>
      <c r="DZ16" s="871"/>
      <c r="EA16" s="871"/>
      <c r="EB16" s="871"/>
      <c r="EC16" s="871"/>
      <c r="ED16" s="871"/>
      <c r="EE16" s="871"/>
      <c r="EF16" s="871"/>
      <c r="EG16" s="871"/>
      <c r="EH16" s="871"/>
      <c r="EI16" s="871"/>
      <c r="EJ16" s="871"/>
      <c r="EK16" s="871"/>
      <c r="EL16" s="871"/>
    </row>
    <row r="17" spans="1:142" s="869" customFormat="1" ht="79.5" hidden="1" customHeight="1">
      <c r="A17" s="6">
        <f t="shared" si="46"/>
        <v>4</v>
      </c>
      <c r="B17" s="881" t="s">
        <v>7</v>
      </c>
      <c r="C17" s="1394" t="s">
        <v>72</v>
      </c>
      <c r="D17" s="1262" t="s">
        <v>141</v>
      </c>
      <c r="E17" s="887">
        <v>4632024035</v>
      </c>
      <c r="F17" s="886" t="s">
        <v>8</v>
      </c>
      <c r="G17" s="223" t="s">
        <v>983</v>
      </c>
      <c r="H17" s="1256">
        <v>3314.9639999999995</v>
      </c>
      <c r="I17" s="1257">
        <f>H17</f>
        <v>3314.9639999999995</v>
      </c>
      <c r="J17" s="891"/>
      <c r="K17" s="891"/>
      <c r="L17" s="1256">
        <v>3314.9639999999995</v>
      </c>
      <c r="M17" s="946"/>
      <c r="N17" s="1259">
        <f>3132.14*1.2</f>
        <v>3758.5679999999998</v>
      </c>
      <c r="O17" s="1260">
        <f>N17</f>
        <v>3758.5679999999998</v>
      </c>
      <c r="P17" s="891"/>
      <c r="Q17" s="891"/>
      <c r="R17" s="1260">
        <f>O17</f>
        <v>3758.5679999999998</v>
      </c>
      <c r="S17" s="946"/>
      <c r="T17" s="1307">
        <v>367.07799999999997</v>
      </c>
      <c r="U17" s="890"/>
      <c r="V17" s="890"/>
      <c r="W17" s="890"/>
      <c r="X17" s="890"/>
      <c r="Y17" s="890"/>
      <c r="Z17" s="949">
        <f t="shared" si="8"/>
        <v>367.07799999999997</v>
      </c>
      <c r="AA17" s="1308">
        <v>264.05</v>
      </c>
      <c r="AB17" s="890"/>
      <c r="AC17" s="890"/>
      <c r="AD17" s="890"/>
      <c r="AE17" s="890"/>
      <c r="AF17" s="890"/>
      <c r="AG17" s="951">
        <f>SUM(AA17:AD17)</f>
        <v>264.05</v>
      </c>
      <c r="AH17" s="1307">
        <f>Z17+AG17</f>
        <v>631.12799999999993</v>
      </c>
      <c r="AI17" s="890">
        <f t="shared" si="9"/>
        <v>631.12799999999993</v>
      </c>
      <c r="AJ17" s="890">
        <f t="shared" si="9"/>
        <v>0</v>
      </c>
      <c r="AK17" s="890">
        <f t="shared" si="9"/>
        <v>0</v>
      </c>
      <c r="AL17" s="890">
        <f t="shared" si="9"/>
        <v>0</v>
      </c>
      <c r="AM17" s="890">
        <f t="shared" si="9"/>
        <v>0</v>
      </c>
      <c r="AN17" s="890"/>
      <c r="AO17" s="890">
        <f t="shared" si="10"/>
        <v>631.12799999999993</v>
      </c>
      <c r="AP17" s="890">
        <f t="shared" si="11"/>
        <v>631.12799999999993</v>
      </c>
      <c r="AQ17" s="952">
        <f t="shared" si="12"/>
        <v>631.12799999999993</v>
      </c>
      <c r="AR17" s="973">
        <f t="shared" si="35"/>
        <v>0</v>
      </c>
      <c r="AS17" s="889">
        <f t="shared" si="13"/>
        <v>2092166.5993919994</v>
      </c>
      <c r="AT17" s="890">
        <f t="shared" si="13"/>
        <v>0</v>
      </c>
      <c r="AU17" s="890">
        <f t="shared" si="13"/>
        <v>0</v>
      </c>
      <c r="AV17" s="890">
        <f t="shared" si="13"/>
        <v>0</v>
      </c>
      <c r="AW17" s="890">
        <f t="shared" si="13"/>
        <v>0</v>
      </c>
      <c r="AX17" s="890">
        <f>SUM(AS17:AW17)</f>
        <v>2092166.5993919994</v>
      </c>
      <c r="AY17" s="890">
        <f>SUM(AS17:AV17)</f>
        <v>2092166.5993919994</v>
      </c>
      <c r="AZ17" s="890">
        <f t="shared" si="14"/>
        <v>2372137.5047039995</v>
      </c>
      <c r="BA17" s="890">
        <f t="shared" si="14"/>
        <v>0</v>
      </c>
      <c r="BB17" s="890">
        <f t="shared" si="14"/>
        <v>0</v>
      </c>
      <c r="BC17" s="890">
        <f t="shared" si="14"/>
        <v>0</v>
      </c>
      <c r="BD17" s="890">
        <f t="shared" si="14"/>
        <v>0</v>
      </c>
      <c r="BE17" s="890">
        <f>SUM(AZ17:BD17)</f>
        <v>2372137.5047039995</v>
      </c>
      <c r="BF17" s="952">
        <f>SUM(AZ17:BC17)</f>
        <v>2372137.5047039995</v>
      </c>
      <c r="BG17" s="953">
        <f>(H17-J17)/1.2*U17/1000+(H17-K17)/1.2*V17/1000</f>
        <v>0</v>
      </c>
      <c r="BH17" s="954">
        <f>(O17-P17)*AB17/1000/1.2+(O17-Q17)/1.2*AC17/1000</f>
        <v>0</v>
      </c>
      <c r="BI17" s="955">
        <f t="shared" si="7"/>
        <v>0</v>
      </c>
      <c r="BJ17" s="890"/>
      <c r="BK17" s="1199"/>
      <c r="BL17" s="890">
        <f t="shared" si="15"/>
        <v>1216850.3551919998</v>
      </c>
      <c r="BM17" s="890">
        <f t="shared" si="15"/>
        <v>0</v>
      </c>
      <c r="BN17" s="890">
        <f t="shared" si="15"/>
        <v>0</v>
      </c>
      <c r="BO17" s="890">
        <f t="shared" si="15"/>
        <v>0</v>
      </c>
      <c r="BP17" s="890">
        <f t="shared" si="15"/>
        <v>0</v>
      </c>
      <c r="BQ17" s="890">
        <f>BL17+BM17+BN17+BO17+BP17</f>
        <v>1216850.3551919998</v>
      </c>
      <c r="BR17" s="890">
        <f>BQ17-BP17</f>
        <v>1216850.3551919998</v>
      </c>
      <c r="BS17" s="890">
        <f t="shared" si="16"/>
        <v>992449.88040000002</v>
      </c>
      <c r="BT17" s="890">
        <f t="shared" si="16"/>
        <v>0</v>
      </c>
      <c r="BU17" s="890">
        <f t="shared" si="16"/>
        <v>0</v>
      </c>
      <c r="BV17" s="890">
        <f>R17*W17</f>
        <v>0</v>
      </c>
      <c r="BW17" s="890">
        <f t="shared" si="17"/>
        <v>0</v>
      </c>
      <c r="BX17" s="890">
        <f>BS17+BT17+BU17+BV17+BW17</f>
        <v>992449.88040000002</v>
      </c>
      <c r="BY17" s="890">
        <f>BX17-BW17</f>
        <v>992449.88040000002</v>
      </c>
      <c r="BZ17" s="945">
        <f t="shared" si="36"/>
        <v>0</v>
      </c>
      <c r="CA17" s="945">
        <f t="shared" si="36"/>
        <v>0</v>
      </c>
      <c r="CB17" s="945">
        <f>BZ17+CA17</f>
        <v>0</v>
      </c>
      <c r="CC17" s="945" t="e">
        <f t="shared" si="37"/>
        <v>#DIV/0!</v>
      </c>
      <c r="CD17" s="945" t="e">
        <f t="shared" si="37"/>
        <v>#DIV/0!</v>
      </c>
      <c r="CE17" s="945" t="e">
        <f t="shared" si="38"/>
        <v>#DIV/0!</v>
      </c>
      <c r="CF17" s="945" t="e">
        <f t="shared" si="18"/>
        <v>#DIV/0!</v>
      </c>
      <c r="CG17" s="945">
        <f t="shared" si="19"/>
        <v>0</v>
      </c>
      <c r="CH17" s="945" t="e">
        <f t="shared" si="39"/>
        <v>#DIV/0!</v>
      </c>
      <c r="CI17" s="945"/>
      <c r="CJ17" s="1312">
        <f>H17*Z17/1000</f>
        <v>1216.8503551919998</v>
      </c>
      <c r="CK17" s="1312">
        <f t="shared" si="20"/>
        <v>992.44988039999998</v>
      </c>
      <c r="CL17" s="1312">
        <f t="shared" si="40"/>
        <v>2209.3002355919998</v>
      </c>
      <c r="CM17" s="890">
        <f t="shared" si="41"/>
        <v>2372.1375047039996</v>
      </c>
      <c r="CN17" s="890">
        <f t="shared" si="42"/>
        <v>162.83726911199983</v>
      </c>
      <c r="CO17" s="890">
        <f t="shared" si="21"/>
        <v>2209300.2355919997</v>
      </c>
      <c r="CP17" s="890">
        <f t="shared" si="22"/>
        <v>2092166.5993919994</v>
      </c>
      <c r="CQ17" s="890">
        <f t="shared" si="23"/>
        <v>2092166.5993919994</v>
      </c>
      <c r="CR17" s="890">
        <f t="shared" si="24"/>
        <v>1216850.3551919998</v>
      </c>
      <c r="CS17" s="890">
        <f t="shared" si="25"/>
        <v>2372137.5047039995</v>
      </c>
      <c r="CT17" s="890">
        <f t="shared" si="26"/>
        <v>2372137.5047039995</v>
      </c>
      <c r="CU17" s="890">
        <f t="shared" si="27"/>
        <v>992449.88040000002</v>
      </c>
      <c r="CV17" s="890">
        <f t="shared" si="43"/>
        <v>4464304.1040959992</v>
      </c>
      <c r="CW17" s="978">
        <f t="shared" si="44"/>
        <v>7073.5319999999992</v>
      </c>
      <c r="CX17" s="890">
        <f t="shared" si="28"/>
        <v>0</v>
      </c>
      <c r="CY17" s="890">
        <f t="shared" si="29"/>
        <v>0</v>
      </c>
      <c r="CZ17" s="890"/>
      <c r="DA17" s="890">
        <f t="shared" si="30"/>
        <v>2092166.5993919994</v>
      </c>
      <c r="DB17" s="890">
        <f t="shared" si="31"/>
        <v>2372137.5047039995</v>
      </c>
      <c r="DC17" s="840"/>
      <c r="DD17" s="841" t="e">
        <f t="shared" si="45"/>
        <v>#DIV/0!</v>
      </c>
      <c r="DE17" s="840"/>
      <c r="DF17" s="840"/>
      <c r="DG17" s="840"/>
      <c r="DH17" s="1050"/>
      <c r="DI17" s="1050"/>
      <c r="DJ17" s="1050"/>
      <c r="DK17" s="945"/>
      <c r="DL17" s="975">
        <f t="shared" si="32"/>
        <v>0</v>
      </c>
      <c r="DM17" s="975">
        <f t="shared" si="33"/>
        <v>0</v>
      </c>
      <c r="DN17" s="975">
        <f t="shared" si="34"/>
        <v>0</v>
      </c>
      <c r="DO17" s="816"/>
      <c r="DP17" s="871"/>
      <c r="DQ17" s="871"/>
      <c r="DR17" s="871"/>
      <c r="DS17" s="871"/>
      <c r="DT17" s="871"/>
      <c r="DU17" s="871"/>
      <c r="DV17" s="871"/>
      <c r="DW17" s="871"/>
      <c r="DX17" s="871"/>
      <c r="DY17" s="871"/>
      <c r="DZ17" s="871"/>
      <c r="EA17" s="871"/>
      <c r="EB17" s="871"/>
      <c r="EC17" s="871"/>
      <c r="ED17" s="871"/>
      <c r="EE17" s="871"/>
      <c r="EF17" s="871"/>
      <c r="EG17" s="871"/>
      <c r="EH17" s="871"/>
      <c r="EI17" s="871"/>
      <c r="EJ17" s="871"/>
      <c r="EK17" s="871"/>
      <c r="EL17" s="871"/>
    </row>
    <row r="18" spans="1:142" s="50" customFormat="1" ht="76.5" hidden="1" customHeight="1">
      <c r="A18" s="6">
        <f t="shared" si="46"/>
        <v>5</v>
      </c>
      <c r="B18" s="909" t="s">
        <v>9</v>
      </c>
      <c r="C18" s="909" t="s">
        <v>73</v>
      </c>
      <c r="D18" s="1224" t="s">
        <v>933</v>
      </c>
      <c r="E18" s="910">
        <v>4603005599</v>
      </c>
      <c r="F18" s="909" t="s">
        <v>8</v>
      </c>
      <c r="G18" s="1364" t="s">
        <v>934</v>
      </c>
      <c r="H18" s="607">
        <v>3079.41</v>
      </c>
      <c r="I18" s="607">
        <v>3079.41</v>
      </c>
      <c r="J18" s="912">
        <v>2953.2</v>
      </c>
      <c r="K18" s="912">
        <v>0</v>
      </c>
      <c r="L18" s="912">
        <v>3079.41</v>
      </c>
      <c r="M18" s="913">
        <v>0</v>
      </c>
      <c r="N18" s="914">
        <v>3469.64</v>
      </c>
      <c r="O18" s="915">
        <v>3469.64</v>
      </c>
      <c r="P18" s="915">
        <v>3307.58</v>
      </c>
      <c r="Q18" s="915">
        <v>0</v>
      </c>
      <c r="R18" s="915">
        <v>3469.64</v>
      </c>
      <c r="S18" s="913">
        <v>0</v>
      </c>
      <c r="T18" s="916">
        <v>1077</v>
      </c>
      <c r="U18" s="917">
        <v>1388</v>
      </c>
      <c r="V18" s="917">
        <v>0</v>
      </c>
      <c r="W18" s="917">
        <v>170</v>
      </c>
      <c r="X18" s="917">
        <v>0</v>
      </c>
      <c r="Y18" s="917">
        <v>0</v>
      </c>
      <c r="Z18" s="898">
        <f t="shared" si="8"/>
        <v>2635</v>
      </c>
      <c r="AA18" s="918">
        <v>827.06</v>
      </c>
      <c r="AB18" s="917">
        <v>816.18</v>
      </c>
      <c r="AC18" s="917">
        <v>0</v>
      </c>
      <c r="AD18" s="917">
        <v>87.33</v>
      </c>
      <c r="AE18" s="917">
        <v>0</v>
      </c>
      <c r="AF18" s="917">
        <v>0</v>
      </c>
      <c r="AG18" s="900">
        <f>SUM(AA18:AD18)</f>
        <v>1730.5699999999997</v>
      </c>
      <c r="AH18" s="896">
        <f>Z18+AG18</f>
        <v>4365.57</v>
      </c>
      <c r="AI18" s="919">
        <f t="shared" si="9"/>
        <v>1904.06</v>
      </c>
      <c r="AJ18" s="919">
        <f t="shared" si="9"/>
        <v>2204.1799999999998</v>
      </c>
      <c r="AK18" s="919">
        <f t="shared" si="9"/>
        <v>0</v>
      </c>
      <c r="AL18" s="919">
        <f t="shared" si="9"/>
        <v>257.33</v>
      </c>
      <c r="AM18" s="897">
        <f t="shared" si="9"/>
        <v>0</v>
      </c>
      <c r="AN18" s="897"/>
      <c r="AO18" s="919">
        <f t="shared" si="10"/>
        <v>4365.57</v>
      </c>
      <c r="AP18" s="919">
        <f t="shared" si="11"/>
        <v>4365.57</v>
      </c>
      <c r="AQ18" s="920">
        <f t="shared" si="12"/>
        <v>4365.57</v>
      </c>
      <c r="AR18" s="902">
        <f t="shared" si="35"/>
        <v>0</v>
      </c>
      <c r="AS18" s="903">
        <f t="shared" si="13"/>
        <v>5863381.4046</v>
      </c>
      <c r="AT18" s="897">
        <f t="shared" si="13"/>
        <v>6509384.3759999992</v>
      </c>
      <c r="AU18" s="897">
        <f t="shared" si="13"/>
        <v>0</v>
      </c>
      <c r="AV18" s="897">
        <f t="shared" si="13"/>
        <v>792424.57529999991</v>
      </c>
      <c r="AW18" s="897">
        <f t="shared" si="13"/>
        <v>0</v>
      </c>
      <c r="AX18" s="897">
        <f t="shared" ref="AX18:AX69" si="47">SUM(AS18:AW18)</f>
        <v>13165190.355900001</v>
      </c>
      <c r="AY18" s="897">
        <f t="shared" ref="AY18:AY69" si="48">SUM(AS18:AV18)</f>
        <v>13165190.355900001</v>
      </c>
      <c r="AZ18" s="897">
        <f>O18*AI18</f>
        <v>6606402.7383999992</v>
      </c>
      <c r="BA18" s="897">
        <f>P18*AJ18</f>
        <v>7290501.6843999997</v>
      </c>
      <c r="BB18" s="897">
        <f t="shared" si="14"/>
        <v>0</v>
      </c>
      <c r="BC18" s="897">
        <f t="shared" si="14"/>
        <v>892842.4611999999</v>
      </c>
      <c r="BD18" s="897">
        <f t="shared" si="14"/>
        <v>0</v>
      </c>
      <c r="BE18" s="897">
        <f t="shared" ref="BE18:BE70" si="49">SUM(AZ18:BD18)</f>
        <v>14789746.884</v>
      </c>
      <c r="BF18" s="901">
        <f>SUM(AZ18:BC18)</f>
        <v>14789746.884</v>
      </c>
      <c r="BG18" s="1209">
        <f>(H18-J18)*U18/1000-0.00348</f>
        <v>175.17600000000004</v>
      </c>
      <c r="BH18" s="1210">
        <f>(N18-P18)*AB18/1000-0.00313</f>
        <v>132.26700079999995</v>
      </c>
      <c r="BI18" s="1211">
        <f>BG18+BH18</f>
        <v>307.44300079999999</v>
      </c>
      <c r="BJ18" s="922">
        <v>14118.69</v>
      </c>
      <c r="BK18" s="1195"/>
      <c r="BL18" s="897">
        <f>I18*T18</f>
        <v>3316524.57</v>
      </c>
      <c r="BM18" s="897">
        <f>J18*U18</f>
        <v>4099041.5999999996</v>
      </c>
      <c r="BN18" s="897">
        <f t="shared" si="15"/>
        <v>0</v>
      </c>
      <c r="BO18" s="897">
        <f>L18*W18</f>
        <v>523499.69999999995</v>
      </c>
      <c r="BP18" s="897">
        <f t="shared" si="15"/>
        <v>0</v>
      </c>
      <c r="BQ18" s="897">
        <f>BL18+BM18+BN18+BO18+BP18</f>
        <v>7939065.8700000001</v>
      </c>
      <c r="BR18" s="897">
        <f>BQ18-BP18</f>
        <v>7939065.8700000001</v>
      </c>
      <c r="BS18" s="897">
        <f>O18*AA18</f>
        <v>2869600.4583999999</v>
      </c>
      <c r="BT18" s="897">
        <f>P18*AB18</f>
        <v>2699580.6443999996</v>
      </c>
      <c r="BU18" s="897">
        <f t="shared" si="16"/>
        <v>0</v>
      </c>
      <c r="BV18" s="897">
        <f>R18*AD18</f>
        <v>303003.66119999997</v>
      </c>
      <c r="BW18" s="897">
        <f t="shared" si="17"/>
        <v>0</v>
      </c>
      <c r="BX18" s="897">
        <f>BS18+BT18+BU18+BV18+BW18</f>
        <v>5872184.7639999995</v>
      </c>
      <c r="BY18" s="897">
        <f>BX18-BW18</f>
        <v>5872184.7639999995</v>
      </c>
      <c r="BZ18" s="905">
        <f>BM18+BT18</f>
        <v>6798622.2443999993</v>
      </c>
      <c r="CA18" s="905">
        <f t="shared" si="36"/>
        <v>0</v>
      </c>
      <c r="CB18" s="905">
        <f>BZ18+CA18</f>
        <v>6798622.2443999993</v>
      </c>
      <c r="CC18" s="907">
        <f>BZ18/AJ18</f>
        <v>3084.4224357357384</v>
      </c>
      <c r="CD18" s="907" t="e">
        <f t="shared" si="37"/>
        <v>#DIV/0!</v>
      </c>
      <c r="CE18" s="907">
        <f t="shared" si="38"/>
        <v>3084.4224357357384</v>
      </c>
      <c r="CF18" s="907">
        <f t="shared" si="18"/>
        <v>3084.4224357357384</v>
      </c>
      <c r="CG18" s="923">
        <f t="shared" si="19"/>
        <v>7106071.8552000001</v>
      </c>
      <c r="CH18" s="923">
        <f t="shared" si="39"/>
        <v>3223.9072377029102</v>
      </c>
      <c r="CI18" s="924"/>
      <c r="CJ18" s="1208">
        <f>H18*Z18/1000</f>
        <v>8114.2453499999992</v>
      </c>
      <c r="CK18" s="1208">
        <f t="shared" si="20"/>
        <v>6004.4548947999992</v>
      </c>
      <c r="CL18" s="1208">
        <f t="shared" si="40"/>
        <v>14118.700244799998</v>
      </c>
      <c r="CM18" s="897">
        <f t="shared" si="41"/>
        <v>15146.956294799998</v>
      </c>
      <c r="CN18" s="897">
        <f t="shared" si="42"/>
        <v>1028.25605</v>
      </c>
      <c r="CO18" s="897">
        <f t="shared" si="21"/>
        <v>14118700.244799998</v>
      </c>
      <c r="CP18" s="897">
        <f t="shared" si="22"/>
        <v>13165190.355900001</v>
      </c>
      <c r="CQ18" s="897">
        <f t="shared" si="23"/>
        <v>13165190.355900001</v>
      </c>
      <c r="CR18" s="897">
        <f t="shared" si="24"/>
        <v>7939065.8700000001</v>
      </c>
      <c r="CS18" s="897">
        <f t="shared" si="25"/>
        <v>14789746.884</v>
      </c>
      <c r="CT18" s="897">
        <f t="shared" si="26"/>
        <v>14789746.884</v>
      </c>
      <c r="CU18" s="897">
        <f t="shared" si="27"/>
        <v>5872184.7639999995</v>
      </c>
      <c r="CV18" s="897">
        <f t="shared" si="43"/>
        <v>27954937.2399</v>
      </c>
      <c r="CW18" s="906">
        <f t="shared" si="44"/>
        <v>6403.5022322170989</v>
      </c>
      <c r="CX18" s="897">
        <f t="shared" si="28"/>
        <v>6509384.3759999992</v>
      </c>
      <c r="CY18" s="897">
        <f t="shared" si="29"/>
        <v>7290501.6843999997</v>
      </c>
      <c r="CZ18" s="897"/>
      <c r="DA18" s="897">
        <f t="shared" si="30"/>
        <v>13443379.913699999</v>
      </c>
      <c r="DB18" s="897">
        <f t="shared" si="31"/>
        <v>15146956.2948</v>
      </c>
      <c r="DC18" s="599"/>
      <c r="DD18" s="40">
        <f t="shared" si="45"/>
        <v>117.4874712176622</v>
      </c>
      <c r="DE18" s="599"/>
      <c r="DF18" s="599"/>
      <c r="DG18" s="599"/>
      <c r="DH18" s="1043">
        <v>4365.57</v>
      </c>
      <c r="DI18" s="1043">
        <v>2204.1799999999998</v>
      </c>
      <c r="DJ18" s="1043">
        <f>DH18-DI18</f>
        <v>2161.39</v>
      </c>
      <c r="DK18" s="924"/>
      <c r="DL18" s="908">
        <f t="shared" si="32"/>
        <v>0</v>
      </c>
      <c r="DM18" s="908">
        <f t="shared" si="33"/>
        <v>0</v>
      </c>
      <c r="DN18" s="908">
        <f t="shared" si="34"/>
        <v>0</v>
      </c>
      <c r="DO18" s="8"/>
      <c r="DP18" s="81"/>
      <c r="DQ18" s="81"/>
      <c r="DR18" s="81"/>
      <c r="DS18" s="81"/>
      <c r="DT18" s="81"/>
      <c r="DU18" s="81"/>
      <c r="DV18" s="81"/>
      <c r="DW18" s="81"/>
      <c r="DX18" s="81"/>
      <c r="DY18" s="81"/>
      <c r="DZ18" s="81"/>
      <c r="EA18" s="81"/>
      <c r="EB18" s="81"/>
      <c r="EC18" s="81"/>
      <c r="ED18" s="81"/>
      <c r="EE18" s="81"/>
      <c r="EF18" s="81"/>
      <c r="EG18" s="81"/>
      <c r="EH18" s="81"/>
      <c r="EI18" s="81"/>
      <c r="EJ18" s="81"/>
      <c r="EK18" s="81"/>
      <c r="EL18" s="81"/>
    </row>
    <row r="19" spans="1:142" s="50" customFormat="1" ht="73.5" hidden="1" customHeight="1">
      <c r="A19" s="6">
        <f t="shared" si="46"/>
        <v>6</v>
      </c>
      <c r="B19" s="909"/>
      <c r="C19" s="886" t="s">
        <v>167</v>
      </c>
      <c r="D19" s="886" t="s">
        <v>232</v>
      </c>
      <c r="E19" s="886">
        <v>4603004186</v>
      </c>
      <c r="F19" s="886" t="s">
        <v>8</v>
      </c>
      <c r="G19" s="1363" t="s">
        <v>968</v>
      </c>
      <c r="H19" s="38">
        <v>2541.2199999999998</v>
      </c>
      <c r="I19" s="38">
        <v>2541.2199999999998</v>
      </c>
      <c r="J19" s="891">
        <v>2541.2199999999998</v>
      </c>
      <c r="K19" s="891">
        <v>0</v>
      </c>
      <c r="L19" s="891">
        <v>2541.2199999999998</v>
      </c>
      <c r="M19" s="926">
        <v>0</v>
      </c>
      <c r="N19" s="927">
        <v>2798.28</v>
      </c>
      <c r="O19" s="928">
        <v>2798.28</v>
      </c>
      <c r="P19" s="928">
        <v>2798.28</v>
      </c>
      <c r="Q19" s="928"/>
      <c r="R19" s="928">
        <v>2798.28</v>
      </c>
      <c r="S19" s="926"/>
      <c r="T19" s="929">
        <v>2356.9499999999998</v>
      </c>
      <c r="U19" s="930">
        <v>1254</v>
      </c>
      <c r="V19" s="930">
        <v>0</v>
      </c>
      <c r="W19" s="930">
        <v>346.56</v>
      </c>
      <c r="X19" s="931">
        <v>0</v>
      </c>
      <c r="Y19" s="931">
        <v>0</v>
      </c>
      <c r="Z19" s="932">
        <f t="shared" si="8"/>
        <v>3957.5099999999998</v>
      </c>
      <c r="AA19" s="933">
        <v>1778.05</v>
      </c>
      <c r="AB19" s="930">
        <v>946</v>
      </c>
      <c r="AC19" s="930">
        <v>0</v>
      </c>
      <c r="AD19" s="930">
        <v>261.44</v>
      </c>
      <c r="AE19" s="931">
        <v>0</v>
      </c>
      <c r="AF19" s="931">
        <v>0</v>
      </c>
      <c r="AG19" s="934">
        <f t="shared" ref="AG19:AG75" si="50">SUM(AA19:AD19)</f>
        <v>2985.4900000000002</v>
      </c>
      <c r="AH19" s="935">
        <f t="shared" ref="AH19:AH82" si="51">Z19+AG19</f>
        <v>6943</v>
      </c>
      <c r="AI19" s="928">
        <f t="shared" si="9"/>
        <v>4135</v>
      </c>
      <c r="AJ19" s="928">
        <f t="shared" si="9"/>
        <v>2200</v>
      </c>
      <c r="AK19" s="931">
        <f t="shared" si="9"/>
        <v>0</v>
      </c>
      <c r="AL19" s="928">
        <f t="shared" si="9"/>
        <v>608</v>
      </c>
      <c r="AM19" s="931">
        <f t="shared" si="9"/>
        <v>0</v>
      </c>
      <c r="AN19" s="931">
        <v>0</v>
      </c>
      <c r="AO19" s="928">
        <f t="shared" si="10"/>
        <v>6943</v>
      </c>
      <c r="AP19" s="928">
        <f t="shared" si="11"/>
        <v>6943</v>
      </c>
      <c r="AQ19" s="926">
        <f t="shared" si="12"/>
        <v>6943</v>
      </c>
      <c r="AR19" s="936">
        <f t="shared" si="35"/>
        <v>0</v>
      </c>
      <c r="AS19" s="937">
        <f t="shared" si="13"/>
        <v>10507944.699999999</v>
      </c>
      <c r="AT19" s="931">
        <f t="shared" si="13"/>
        <v>5590684</v>
      </c>
      <c r="AU19" s="931">
        <f t="shared" si="13"/>
        <v>0</v>
      </c>
      <c r="AV19" s="931">
        <f t="shared" si="13"/>
        <v>1545061.7599999998</v>
      </c>
      <c r="AW19" s="931">
        <f t="shared" si="13"/>
        <v>0</v>
      </c>
      <c r="AX19" s="931">
        <f t="shared" si="47"/>
        <v>17643690.460000001</v>
      </c>
      <c r="AY19" s="931">
        <f t="shared" si="48"/>
        <v>17643690.460000001</v>
      </c>
      <c r="AZ19" s="931">
        <f t="shared" si="14"/>
        <v>11570887.800000001</v>
      </c>
      <c r="BA19" s="931">
        <f t="shared" si="14"/>
        <v>6156216</v>
      </c>
      <c r="BB19" s="931">
        <f t="shared" si="14"/>
        <v>0</v>
      </c>
      <c r="BC19" s="931">
        <f t="shared" si="14"/>
        <v>1701354.2400000002</v>
      </c>
      <c r="BD19" s="931">
        <f t="shared" si="14"/>
        <v>0</v>
      </c>
      <c r="BE19" s="931">
        <f t="shared" si="49"/>
        <v>19428458.039999999</v>
      </c>
      <c r="BF19" s="938">
        <f t="shared" ref="BF19:BF70" si="52">SUM(AZ19:BC19)</f>
        <v>19428458.039999999</v>
      </c>
      <c r="BG19" s="939">
        <v>0</v>
      </c>
      <c r="BH19" s="931">
        <v>0</v>
      </c>
      <c r="BI19" s="931">
        <f t="shared" si="7"/>
        <v>0</v>
      </c>
      <c r="BJ19" s="940">
        <v>18411.14</v>
      </c>
      <c r="BK19" s="1196">
        <v>20037.580000000002</v>
      </c>
      <c r="BL19" s="931">
        <f t="shared" ref="BL19:BP44" si="53">I19*T19</f>
        <v>5989528.4789999994</v>
      </c>
      <c r="BM19" s="931">
        <f t="shared" si="53"/>
        <v>3186689.88</v>
      </c>
      <c r="BN19" s="931">
        <f t="shared" si="15"/>
        <v>0</v>
      </c>
      <c r="BO19" s="931">
        <f t="shared" si="15"/>
        <v>880685.20319999999</v>
      </c>
      <c r="BP19" s="931">
        <f t="shared" si="15"/>
        <v>0</v>
      </c>
      <c r="BQ19" s="931">
        <f t="shared" ref="BQ19:BQ82" si="54">BL19+BM19+BN19+BO19+BP19</f>
        <v>10056903.562199999</v>
      </c>
      <c r="BR19" s="931">
        <f t="shared" ref="BR19:BR82" si="55">BQ19-BP19</f>
        <v>10056903.562199999</v>
      </c>
      <c r="BS19" s="931">
        <f t="shared" ref="BS19:BU44" si="56">O19*AA19</f>
        <v>4975481.7540000007</v>
      </c>
      <c r="BT19" s="931">
        <f t="shared" si="56"/>
        <v>2647172.8800000004</v>
      </c>
      <c r="BU19" s="931">
        <f t="shared" si="16"/>
        <v>0</v>
      </c>
      <c r="BV19" s="931">
        <f t="shared" ref="BV19:BV82" si="57">R19*W19</f>
        <v>969771.91680000012</v>
      </c>
      <c r="BW19" s="931">
        <f t="shared" si="17"/>
        <v>0</v>
      </c>
      <c r="BX19" s="931">
        <f t="shared" ref="BX19:BX82" si="58">BS19+BT19+BU19+BV19+BW19</f>
        <v>8592426.5508000012</v>
      </c>
      <c r="BY19" s="931">
        <f t="shared" ref="BY19:BY82" si="59">BX19-BW19</f>
        <v>8592426.5508000012</v>
      </c>
      <c r="BZ19" s="941">
        <f t="shared" ref="BZ19:CA74" si="60">BM19+BT19</f>
        <v>5833862.7599999998</v>
      </c>
      <c r="CA19" s="941">
        <f t="shared" si="36"/>
        <v>0</v>
      </c>
      <c r="CB19" s="941">
        <f t="shared" ref="CB19:CB82" si="61">BZ19+CA19</f>
        <v>5833862.7599999998</v>
      </c>
      <c r="CC19" s="936">
        <f t="shared" ref="CC19:CD74" si="62">BZ19/AJ19</f>
        <v>2651.7557999999999</v>
      </c>
      <c r="CD19" s="936" t="e">
        <f t="shared" si="37"/>
        <v>#DIV/0!</v>
      </c>
      <c r="CE19" s="936">
        <f t="shared" si="38"/>
        <v>2651.7557999999999</v>
      </c>
      <c r="CF19" s="942">
        <f t="shared" si="18"/>
        <v>2651.7557999999999</v>
      </c>
      <c r="CG19" s="943">
        <f t="shared" si="19"/>
        <v>5833862.7599999998</v>
      </c>
      <c r="CH19" s="943">
        <f t="shared" si="39"/>
        <v>2651.7557999999999</v>
      </c>
      <c r="CI19" s="941"/>
      <c r="CJ19" s="897">
        <f>N19*Z19/1000</f>
        <v>11074.221082800001</v>
      </c>
      <c r="CK19" s="897">
        <f t="shared" si="20"/>
        <v>8354.2369572000007</v>
      </c>
      <c r="CL19" s="944">
        <f t="shared" si="40"/>
        <v>19428.458040000001</v>
      </c>
      <c r="CM19" s="897">
        <f t="shared" si="41"/>
        <v>19428.458040000001</v>
      </c>
      <c r="CN19" s="897">
        <f t="shared" si="42"/>
        <v>0</v>
      </c>
      <c r="CO19" s="931">
        <f t="shared" si="21"/>
        <v>18411140.519400001</v>
      </c>
      <c r="CP19" s="931">
        <f t="shared" si="22"/>
        <v>17643690.460000001</v>
      </c>
      <c r="CQ19" s="931">
        <f t="shared" si="23"/>
        <v>17643690.460000001</v>
      </c>
      <c r="CR19" s="931">
        <f t="shared" si="24"/>
        <v>10056903.562199999</v>
      </c>
      <c r="CS19" s="931">
        <f t="shared" si="25"/>
        <v>19428458.039999999</v>
      </c>
      <c r="CT19" s="931">
        <f t="shared" si="26"/>
        <v>19428458.039999999</v>
      </c>
      <c r="CU19" s="931">
        <f t="shared" si="27"/>
        <v>8354236.9572000019</v>
      </c>
      <c r="CV19" s="931">
        <f t="shared" si="43"/>
        <v>37072148.5</v>
      </c>
      <c r="CW19" s="906">
        <f t="shared" si="44"/>
        <v>5339.5</v>
      </c>
      <c r="CX19" s="931">
        <f t="shared" si="28"/>
        <v>5590684</v>
      </c>
      <c r="CY19" s="931">
        <f t="shared" si="29"/>
        <v>6156216</v>
      </c>
      <c r="CZ19" s="931"/>
      <c r="DA19" s="931">
        <f t="shared" si="30"/>
        <v>17643690.460000001</v>
      </c>
      <c r="DB19" s="931">
        <f t="shared" si="31"/>
        <v>19428458.039999999</v>
      </c>
      <c r="DC19" s="870"/>
      <c r="DD19" s="40">
        <f t="shared" si="45"/>
        <v>110.11561376031986</v>
      </c>
      <c r="DE19" s="870"/>
      <c r="DF19" s="870"/>
      <c r="DG19" s="870"/>
      <c r="DH19" s="1226">
        <v>6943</v>
      </c>
      <c r="DI19" s="1226">
        <v>2200</v>
      </c>
      <c r="DJ19" s="1226">
        <f>DH19-DI19</f>
        <v>4743</v>
      </c>
      <c r="DK19" s="941"/>
      <c r="DL19" s="908">
        <f t="shared" si="32"/>
        <v>0</v>
      </c>
      <c r="DM19" s="908">
        <f t="shared" si="33"/>
        <v>0</v>
      </c>
      <c r="DN19" s="908">
        <f t="shared" si="34"/>
        <v>0</v>
      </c>
      <c r="DO19" s="81"/>
      <c r="DP19" s="81"/>
      <c r="DQ19" s="81"/>
      <c r="DR19" s="81"/>
      <c r="DS19" s="81"/>
      <c r="DT19" s="81"/>
      <c r="DU19" s="81"/>
      <c r="DV19" s="81"/>
      <c r="DW19" s="81"/>
      <c r="DX19" s="81"/>
      <c r="DY19" s="81"/>
      <c r="DZ19" s="81"/>
      <c r="EA19" s="81"/>
      <c r="EB19" s="81"/>
      <c r="EC19" s="81"/>
      <c r="ED19" s="81"/>
      <c r="EE19" s="81"/>
      <c r="EF19" s="81"/>
      <c r="EG19" s="81"/>
      <c r="EH19" s="81"/>
      <c r="EI19" s="81"/>
      <c r="EJ19" s="81"/>
      <c r="EK19" s="81"/>
      <c r="EL19" s="81"/>
    </row>
    <row r="20" spans="1:142" s="869" customFormat="1" ht="79.5" hidden="1" customHeight="1">
      <c r="A20" s="6">
        <f t="shared" si="46"/>
        <v>7</v>
      </c>
      <c r="B20" s="881" t="s">
        <v>7</v>
      </c>
      <c r="C20" s="1394" t="s">
        <v>132</v>
      </c>
      <c r="D20" s="1262" t="s">
        <v>142</v>
      </c>
      <c r="E20" s="887">
        <v>4632024035</v>
      </c>
      <c r="F20" s="886" t="s">
        <v>8</v>
      </c>
      <c r="G20" s="1238" t="s">
        <v>983</v>
      </c>
      <c r="H20" s="1256">
        <v>3314.9639999999995</v>
      </c>
      <c r="I20" s="1257">
        <f t="shared" ref="I20:I28" si="63">H20</f>
        <v>3314.9639999999995</v>
      </c>
      <c r="J20" s="891"/>
      <c r="K20" s="891"/>
      <c r="L20" s="1256">
        <v>3314.9639999999995</v>
      </c>
      <c r="M20" s="946"/>
      <c r="N20" s="1259">
        <f t="shared" ref="N20:N28" si="64">3132.14*1.2</f>
        <v>3758.5679999999998</v>
      </c>
      <c r="O20" s="1260">
        <f t="shared" ref="O20:O28" si="65">N20</f>
        <v>3758.5679999999998</v>
      </c>
      <c r="P20" s="891"/>
      <c r="Q20" s="891"/>
      <c r="R20" s="1260">
        <f t="shared" ref="R20:R28" si="66">O20</f>
        <v>3758.5679999999998</v>
      </c>
      <c r="S20" s="946"/>
      <c r="T20" s="1307">
        <v>463.24599999999998</v>
      </c>
      <c r="U20" s="890"/>
      <c r="V20" s="890"/>
      <c r="W20" s="890"/>
      <c r="X20" s="890"/>
      <c r="Y20" s="890"/>
      <c r="Z20" s="949">
        <f t="shared" si="8"/>
        <v>463.24599999999998</v>
      </c>
      <c r="AA20" s="1308">
        <v>275</v>
      </c>
      <c r="AB20" s="890"/>
      <c r="AC20" s="890"/>
      <c r="AD20" s="890"/>
      <c r="AE20" s="890"/>
      <c r="AF20" s="890"/>
      <c r="AG20" s="951">
        <f t="shared" si="50"/>
        <v>275</v>
      </c>
      <c r="AH20" s="1292">
        <f t="shared" si="51"/>
        <v>738.24599999999998</v>
      </c>
      <c r="AI20" s="890">
        <f t="shared" si="9"/>
        <v>738.24599999999998</v>
      </c>
      <c r="AJ20" s="890">
        <f t="shared" si="9"/>
        <v>0</v>
      </c>
      <c r="AK20" s="890">
        <f t="shared" si="9"/>
        <v>0</v>
      </c>
      <c r="AL20" s="890">
        <f t="shared" si="9"/>
        <v>0</v>
      </c>
      <c r="AM20" s="890">
        <f t="shared" si="9"/>
        <v>0</v>
      </c>
      <c r="AN20" s="890"/>
      <c r="AO20" s="890">
        <f t="shared" si="10"/>
        <v>738.24599999999998</v>
      </c>
      <c r="AP20" s="890">
        <f t="shared" si="11"/>
        <v>738.24599999999998</v>
      </c>
      <c r="AQ20" s="952">
        <f t="shared" si="12"/>
        <v>738.24599999999998</v>
      </c>
      <c r="AR20" s="973">
        <f t="shared" si="35"/>
        <v>0</v>
      </c>
      <c r="AS20" s="889">
        <f t="shared" si="13"/>
        <v>2447258.9131439994</v>
      </c>
      <c r="AT20" s="890">
        <f t="shared" si="13"/>
        <v>0</v>
      </c>
      <c r="AU20" s="890">
        <f t="shared" si="13"/>
        <v>0</v>
      </c>
      <c r="AV20" s="890">
        <f t="shared" si="13"/>
        <v>0</v>
      </c>
      <c r="AW20" s="890">
        <f t="shared" si="13"/>
        <v>0</v>
      </c>
      <c r="AX20" s="890">
        <f t="shared" si="47"/>
        <v>2447258.9131439994</v>
      </c>
      <c r="AY20" s="890">
        <f t="shared" si="48"/>
        <v>2447258.9131439994</v>
      </c>
      <c r="AZ20" s="890">
        <f t="shared" si="14"/>
        <v>2774747.7917279997</v>
      </c>
      <c r="BA20" s="890">
        <f t="shared" si="14"/>
        <v>0</v>
      </c>
      <c r="BB20" s="890">
        <f t="shared" si="14"/>
        <v>0</v>
      </c>
      <c r="BC20" s="890">
        <f t="shared" si="14"/>
        <v>0</v>
      </c>
      <c r="BD20" s="890">
        <f t="shared" si="14"/>
        <v>0</v>
      </c>
      <c r="BE20" s="890">
        <f t="shared" si="49"/>
        <v>2774747.7917279997</v>
      </c>
      <c r="BF20" s="952">
        <f t="shared" si="52"/>
        <v>2774747.7917279997</v>
      </c>
      <c r="BG20" s="953">
        <f t="shared" ref="BG20:BG28" si="67">(H20-J20)/1.2*U20/1000+(H20-K20)/1.2*V20/1000</f>
        <v>0</v>
      </c>
      <c r="BH20" s="954">
        <f t="shared" ref="BH20:BH28" si="68">(O20-P20)*AB20/1000/1.2+(O20-Q20)/1.2*AC20/1000</f>
        <v>0</v>
      </c>
      <c r="BI20" s="955">
        <f t="shared" si="7"/>
        <v>0</v>
      </c>
      <c r="BJ20" s="890"/>
      <c r="BK20" s="1199"/>
      <c r="BL20" s="890">
        <f t="shared" si="53"/>
        <v>1535643.8131439998</v>
      </c>
      <c r="BM20" s="890">
        <f t="shared" si="53"/>
        <v>0</v>
      </c>
      <c r="BN20" s="890">
        <f t="shared" si="15"/>
        <v>0</v>
      </c>
      <c r="BO20" s="890">
        <f t="shared" si="15"/>
        <v>0</v>
      </c>
      <c r="BP20" s="890">
        <f t="shared" si="15"/>
        <v>0</v>
      </c>
      <c r="BQ20" s="890">
        <f t="shared" si="54"/>
        <v>1535643.8131439998</v>
      </c>
      <c r="BR20" s="890">
        <f t="shared" si="55"/>
        <v>1535643.8131439998</v>
      </c>
      <c r="BS20" s="890">
        <f t="shared" si="56"/>
        <v>1033606.2</v>
      </c>
      <c r="BT20" s="890">
        <f t="shared" si="56"/>
        <v>0</v>
      </c>
      <c r="BU20" s="890">
        <f t="shared" si="16"/>
        <v>0</v>
      </c>
      <c r="BV20" s="890">
        <f t="shared" si="57"/>
        <v>0</v>
      </c>
      <c r="BW20" s="890">
        <f t="shared" si="17"/>
        <v>0</v>
      </c>
      <c r="BX20" s="890">
        <f t="shared" si="58"/>
        <v>1033606.2</v>
      </c>
      <c r="BY20" s="890">
        <f t="shared" si="59"/>
        <v>1033606.2</v>
      </c>
      <c r="BZ20" s="945">
        <f t="shared" si="60"/>
        <v>0</v>
      </c>
      <c r="CA20" s="945">
        <f t="shared" si="36"/>
        <v>0</v>
      </c>
      <c r="CB20" s="945">
        <f t="shared" si="61"/>
        <v>0</v>
      </c>
      <c r="CC20" s="973" t="e">
        <f t="shared" si="62"/>
        <v>#DIV/0!</v>
      </c>
      <c r="CD20" s="973" t="e">
        <f t="shared" si="37"/>
        <v>#DIV/0!</v>
      </c>
      <c r="CE20" s="973" t="e">
        <f t="shared" si="38"/>
        <v>#DIV/0!</v>
      </c>
      <c r="CF20" s="945" t="e">
        <f t="shared" si="18"/>
        <v>#DIV/0!</v>
      </c>
      <c r="CG20" s="977">
        <f t="shared" si="19"/>
        <v>0</v>
      </c>
      <c r="CH20" s="977" t="e">
        <f t="shared" si="39"/>
        <v>#DIV/0!</v>
      </c>
      <c r="CI20" s="945"/>
      <c r="CJ20" s="1312">
        <f t="shared" ref="CJ20:CJ28" si="69">H20*Z20/1000</f>
        <v>1535.6438131439998</v>
      </c>
      <c r="CK20" s="1312">
        <f t="shared" si="20"/>
        <v>1033.6061999999999</v>
      </c>
      <c r="CL20" s="1312">
        <f t="shared" si="40"/>
        <v>2569.2500131439997</v>
      </c>
      <c r="CM20" s="890">
        <f t="shared" si="41"/>
        <v>2774.7477917279998</v>
      </c>
      <c r="CN20" s="890">
        <f t="shared" si="42"/>
        <v>205.49777858400012</v>
      </c>
      <c r="CO20" s="890">
        <f t="shared" si="21"/>
        <v>2569250.0131439995</v>
      </c>
      <c r="CP20" s="890">
        <f t="shared" si="22"/>
        <v>2447258.9131439994</v>
      </c>
      <c r="CQ20" s="890">
        <f t="shared" si="23"/>
        <v>2447258.9131439994</v>
      </c>
      <c r="CR20" s="890">
        <f t="shared" si="24"/>
        <v>1535643.8131439998</v>
      </c>
      <c r="CS20" s="890">
        <f t="shared" si="25"/>
        <v>2774747.7917279997</v>
      </c>
      <c r="CT20" s="890">
        <f t="shared" si="26"/>
        <v>2774747.7917279997</v>
      </c>
      <c r="CU20" s="890">
        <f t="shared" si="27"/>
        <v>1033606.2</v>
      </c>
      <c r="CV20" s="890">
        <f t="shared" si="43"/>
        <v>5222006.7048719991</v>
      </c>
      <c r="CW20" s="978">
        <f t="shared" si="44"/>
        <v>7073.5319999999992</v>
      </c>
      <c r="CX20" s="890">
        <f t="shared" si="28"/>
        <v>0</v>
      </c>
      <c r="CY20" s="890">
        <f t="shared" si="29"/>
        <v>0</v>
      </c>
      <c r="CZ20" s="890"/>
      <c r="DA20" s="890">
        <f t="shared" si="30"/>
        <v>2447258.9131439994</v>
      </c>
      <c r="DB20" s="890">
        <f t="shared" si="31"/>
        <v>2774747.7917279997</v>
      </c>
      <c r="DC20" s="840"/>
      <c r="DD20" s="841" t="e">
        <f t="shared" si="45"/>
        <v>#DIV/0!</v>
      </c>
      <c r="DE20" s="840"/>
      <c r="DF20" s="840"/>
      <c r="DG20" s="840"/>
      <c r="DH20" s="1050"/>
      <c r="DI20" s="1050"/>
      <c r="DJ20" s="1050"/>
      <c r="DK20" s="945"/>
      <c r="DL20" s="975">
        <f t="shared" si="32"/>
        <v>0</v>
      </c>
      <c r="DM20" s="975">
        <f t="shared" si="33"/>
        <v>0</v>
      </c>
      <c r="DN20" s="975">
        <f t="shared" si="34"/>
        <v>0</v>
      </c>
      <c r="DO20" s="816"/>
      <c r="DP20" s="871"/>
      <c r="DQ20" s="871"/>
      <c r="DR20" s="871"/>
      <c r="DS20" s="871"/>
      <c r="DT20" s="871"/>
      <c r="DU20" s="871"/>
      <c r="DV20" s="871"/>
      <c r="DW20" s="871"/>
      <c r="DX20" s="871"/>
      <c r="DY20" s="871"/>
      <c r="DZ20" s="871"/>
      <c r="EA20" s="871"/>
      <c r="EB20" s="871"/>
      <c r="EC20" s="871"/>
      <c r="ED20" s="871"/>
      <c r="EE20" s="871"/>
      <c r="EF20" s="871"/>
      <c r="EG20" s="871"/>
      <c r="EH20" s="871"/>
      <c r="EI20" s="871"/>
      <c r="EJ20" s="871"/>
      <c r="EK20" s="871"/>
      <c r="EL20" s="871"/>
    </row>
    <row r="21" spans="1:142" s="869" customFormat="1" ht="79.5" hidden="1" customHeight="1">
      <c r="A21" s="6">
        <f t="shared" si="46"/>
        <v>8</v>
      </c>
      <c r="B21" s="881" t="s">
        <v>7</v>
      </c>
      <c r="C21" s="1394" t="s">
        <v>74</v>
      </c>
      <c r="D21" s="1262" t="s">
        <v>141</v>
      </c>
      <c r="E21" s="887">
        <v>4632024035</v>
      </c>
      <c r="F21" s="886" t="s">
        <v>8</v>
      </c>
      <c r="G21" s="1238" t="s">
        <v>983</v>
      </c>
      <c r="H21" s="1256">
        <v>3314.9639999999995</v>
      </c>
      <c r="I21" s="1257">
        <f t="shared" si="63"/>
        <v>3314.9639999999995</v>
      </c>
      <c r="J21" s="891"/>
      <c r="K21" s="891"/>
      <c r="L21" s="1256">
        <v>3314.9639999999995</v>
      </c>
      <c r="M21" s="946"/>
      <c r="N21" s="1259">
        <f t="shared" si="64"/>
        <v>3758.5679999999998</v>
      </c>
      <c r="O21" s="1260">
        <f t="shared" si="65"/>
        <v>3758.5679999999998</v>
      </c>
      <c r="P21" s="891"/>
      <c r="Q21" s="891"/>
      <c r="R21" s="1260">
        <f t="shared" si="66"/>
        <v>3758.5679999999998</v>
      </c>
      <c r="S21" s="946"/>
      <c r="T21" s="1308">
        <v>275.15599999999995</v>
      </c>
      <c r="U21" s="890"/>
      <c r="V21" s="890"/>
      <c r="W21" s="890"/>
      <c r="X21" s="890"/>
      <c r="Y21" s="890"/>
      <c r="Z21" s="949">
        <f t="shared" si="8"/>
        <v>275.15599999999995</v>
      </c>
      <c r="AA21" s="1308">
        <v>132.26300000000001</v>
      </c>
      <c r="AB21" s="890"/>
      <c r="AC21" s="890"/>
      <c r="AD21" s="890"/>
      <c r="AE21" s="890"/>
      <c r="AF21" s="890"/>
      <c r="AG21" s="951">
        <f t="shared" si="50"/>
        <v>132.26300000000001</v>
      </c>
      <c r="AH21" s="1292">
        <f t="shared" si="51"/>
        <v>407.41899999999998</v>
      </c>
      <c r="AI21" s="890">
        <f t="shared" si="9"/>
        <v>407.41899999999998</v>
      </c>
      <c r="AJ21" s="890">
        <f t="shared" si="9"/>
        <v>0</v>
      </c>
      <c r="AK21" s="890">
        <f t="shared" si="9"/>
        <v>0</v>
      </c>
      <c r="AL21" s="890">
        <f t="shared" si="9"/>
        <v>0</v>
      </c>
      <c r="AM21" s="890">
        <f t="shared" si="9"/>
        <v>0</v>
      </c>
      <c r="AN21" s="890"/>
      <c r="AO21" s="890">
        <f t="shared" si="10"/>
        <v>407.41899999999998</v>
      </c>
      <c r="AP21" s="890">
        <f t="shared" si="11"/>
        <v>407.41899999999998</v>
      </c>
      <c r="AQ21" s="952">
        <f t="shared" si="12"/>
        <v>407.41899999999998</v>
      </c>
      <c r="AR21" s="973">
        <f t="shared" si="35"/>
        <v>0</v>
      </c>
      <c r="AS21" s="889">
        <f t="shared" si="13"/>
        <v>1350579.3179159998</v>
      </c>
      <c r="AT21" s="890">
        <f t="shared" si="13"/>
        <v>0</v>
      </c>
      <c r="AU21" s="890">
        <f t="shared" si="13"/>
        <v>0</v>
      </c>
      <c r="AV21" s="890">
        <f t="shared" si="13"/>
        <v>0</v>
      </c>
      <c r="AW21" s="890">
        <f t="shared" si="13"/>
        <v>0</v>
      </c>
      <c r="AX21" s="890">
        <f t="shared" si="47"/>
        <v>1350579.3179159998</v>
      </c>
      <c r="AY21" s="890">
        <f t="shared" si="48"/>
        <v>1350579.3179159998</v>
      </c>
      <c r="AZ21" s="890">
        <f t="shared" si="14"/>
        <v>1531312.0159919998</v>
      </c>
      <c r="BA21" s="890">
        <f t="shared" si="14"/>
        <v>0</v>
      </c>
      <c r="BB21" s="890">
        <f t="shared" si="14"/>
        <v>0</v>
      </c>
      <c r="BC21" s="890">
        <f t="shared" si="14"/>
        <v>0</v>
      </c>
      <c r="BD21" s="890">
        <f t="shared" si="14"/>
        <v>0</v>
      </c>
      <c r="BE21" s="890">
        <f t="shared" si="49"/>
        <v>1531312.0159919998</v>
      </c>
      <c r="BF21" s="952">
        <f t="shared" si="52"/>
        <v>1531312.0159919998</v>
      </c>
      <c r="BG21" s="953">
        <f t="shared" si="67"/>
        <v>0</v>
      </c>
      <c r="BH21" s="954">
        <f t="shared" si="68"/>
        <v>0</v>
      </c>
      <c r="BI21" s="955">
        <f t="shared" si="7"/>
        <v>0</v>
      </c>
      <c r="BJ21" s="890"/>
      <c r="BK21" s="1199"/>
      <c r="BL21" s="890">
        <f t="shared" si="53"/>
        <v>912132.23438399972</v>
      </c>
      <c r="BM21" s="890">
        <f t="shared" si="53"/>
        <v>0</v>
      </c>
      <c r="BN21" s="890">
        <f t="shared" si="15"/>
        <v>0</v>
      </c>
      <c r="BO21" s="890">
        <f t="shared" si="15"/>
        <v>0</v>
      </c>
      <c r="BP21" s="890">
        <f t="shared" si="15"/>
        <v>0</v>
      </c>
      <c r="BQ21" s="890">
        <f t="shared" si="54"/>
        <v>912132.23438399972</v>
      </c>
      <c r="BR21" s="890">
        <f t="shared" si="55"/>
        <v>912132.23438399972</v>
      </c>
      <c r="BS21" s="890">
        <f t="shared" si="56"/>
        <v>497119.47938400001</v>
      </c>
      <c r="BT21" s="890">
        <f t="shared" si="56"/>
        <v>0</v>
      </c>
      <c r="BU21" s="890">
        <f t="shared" si="16"/>
        <v>0</v>
      </c>
      <c r="BV21" s="890">
        <f t="shared" si="57"/>
        <v>0</v>
      </c>
      <c r="BW21" s="890">
        <f t="shared" si="17"/>
        <v>0</v>
      </c>
      <c r="BX21" s="890">
        <f t="shared" si="58"/>
        <v>497119.47938400001</v>
      </c>
      <c r="BY21" s="890">
        <f t="shared" si="59"/>
        <v>497119.47938400001</v>
      </c>
      <c r="BZ21" s="945">
        <f t="shared" si="60"/>
        <v>0</v>
      </c>
      <c r="CA21" s="945">
        <f t="shared" si="36"/>
        <v>0</v>
      </c>
      <c r="CB21" s="945">
        <f t="shared" si="61"/>
        <v>0</v>
      </c>
      <c r="CC21" s="973" t="e">
        <f t="shared" si="62"/>
        <v>#DIV/0!</v>
      </c>
      <c r="CD21" s="973" t="e">
        <f t="shared" si="37"/>
        <v>#DIV/0!</v>
      </c>
      <c r="CE21" s="973" t="e">
        <f t="shared" si="38"/>
        <v>#DIV/0!</v>
      </c>
      <c r="CF21" s="945" t="e">
        <f t="shared" si="18"/>
        <v>#DIV/0!</v>
      </c>
      <c r="CG21" s="977">
        <f t="shared" si="19"/>
        <v>0</v>
      </c>
      <c r="CH21" s="977" t="e">
        <f t="shared" si="39"/>
        <v>#DIV/0!</v>
      </c>
      <c r="CI21" s="945"/>
      <c r="CJ21" s="1312">
        <f t="shared" si="69"/>
        <v>912.13223438399973</v>
      </c>
      <c r="CK21" s="1312">
        <f t="shared" si="20"/>
        <v>497.11947938399999</v>
      </c>
      <c r="CL21" s="1312">
        <f t="shared" si="40"/>
        <v>1409.2517137679997</v>
      </c>
      <c r="CM21" s="890">
        <f t="shared" si="41"/>
        <v>1531.3120159919997</v>
      </c>
      <c r="CN21" s="890">
        <f t="shared" si="42"/>
        <v>122.060302224</v>
      </c>
      <c r="CO21" s="890">
        <f t="shared" si="21"/>
        <v>1409251.7137679998</v>
      </c>
      <c r="CP21" s="890">
        <f t="shared" si="22"/>
        <v>1350579.3179159998</v>
      </c>
      <c r="CQ21" s="890">
        <f t="shared" si="23"/>
        <v>1350579.3179159998</v>
      </c>
      <c r="CR21" s="890">
        <f t="shared" si="24"/>
        <v>912132.23438399972</v>
      </c>
      <c r="CS21" s="890">
        <f t="shared" si="25"/>
        <v>1531312.0159919998</v>
      </c>
      <c r="CT21" s="890">
        <f t="shared" si="26"/>
        <v>1531312.0159919998</v>
      </c>
      <c r="CU21" s="890">
        <f t="shared" si="27"/>
        <v>497119.47938400001</v>
      </c>
      <c r="CV21" s="890">
        <f t="shared" si="43"/>
        <v>2881891.3339079996</v>
      </c>
      <c r="CW21" s="978">
        <f t="shared" si="44"/>
        <v>7073.5319999999992</v>
      </c>
      <c r="CX21" s="890">
        <f t="shared" si="28"/>
        <v>0</v>
      </c>
      <c r="CY21" s="890">
        <f t="shared" si="29"/>
        <v>0</v>
      </c>
      <c r="CZ21" s="890"/>
      <c r="DA21" s="890">
        <f t="shared" si="30"/>
        <v>1350579.3179159998</v>
      </c>
      <c r="DB21" s="890">
        <f t="shared" si="31"/>
        <v>1531312.0159919998</v>
      </c>
      <c r="DC21" s="840"/>
      <c r="DD21" s="841" t="e">
        <f t="shared" si="45"/>
        <v>#DIV/0!</v>
      </c>
      <c r="DE21" s="840"/>
      <c r="DF21" s="840"/>
      <c r="DG21" s="840"/>
      <c r="DH21" s="1050"/>
      <c r="DI21" s="1050"/>
      <c r="DJ21" s="1050"/>
      <c r="DK21" s="945"/>
      <c r="DL21" s="975">
        <f t="shared" si="32"/>
        <v>0</v>
      </c>
      <c r="DM21" s="975">
        <f t="shared" si="33"/>
        <v>0</v>
      </c>
      <c r="DN21" s="975">
        <f t="shared" si="34"/>
        <v>0</v>
      </c>
      <c r="DO21" s="816"/>
      <c r="DP21" s="871"/>
      <c r="DQ21" s="871"/>
      <c r="DR21" s="871"/>
      <c r="DS21" s="871"/>
      <c r="DT21" s="871"/>
      <c r="DU21" s="871"/>
      <c r="DV21" s="871"/>
      <c r="DW21" s="871"/>
      <c r="DX21" s="871"/>
      <c r="DY21" s="871"/>
      <c r="DZ21" s="871"/>
      <c r="EA21" s="871"/>
      <c r="EB21" s="871"/>
      <c r="EC21" s="871"/>
      <c r="ED21" s="871"/>
      <c r="EE21" s="871"/>
      <c r="EF21" s="871"/>
      <c r="EG21" s="871"/>
      <c r="EH21" s="871"/>
      <c r="EI21" s="871"/>
      <c r="EJ21" s="871"/>
      <c r="EK21" s="871"/>
      <c r="EL21" s="871"/>
    </row>
    <row r="22" spans="1:142" s="869" customFormat="1" ht="75.75" hidden="1" customHeight="1">
      <c r="A22" s="6">
        <f t="shared" si="46"/>
        <v>9</v>
      </c>
      <c r="B22" s="886" t="s">
        <v>11</v>
      </c>
      <c r="C22" s="1395" t="s">
        <v>75</v>
      </c>
      <c r="D22" s="1262" t="s">
        <v>142</v>
      </c>
      <c r="E22" s="887">
        <v>4632024035</v>
      </c>
      <c r="F22" s="886" t="s">
        <v>8</v>
      </c>
      <c r="G22" s="1238" t="s">
        <v>983</v>
      </c>
      <c r="H22" s="1256">
        <v>3314.9639999999995</v>
      </c>
      <c r="I22" s="1257">
        <f t="shared" si="63"/>
        <v>3314.9639999999995</v>
      </c>
      <c r="J22" s="1263">
        <v>2484</v>
      </c>
      <c r="K22" s="891"/>
      <c r="L22" s="1256">
        <v>3314.9639999999995</v>
      </c>
      <c r="M22" s="946"/>
      <c r="N22" s="1259">
        <f t="shared" si="64"/>
        <v>3758.5679999999998</v>
      </c>
      <c r="O22" s="1260">
        <f t="shared" si="65"/>
        <v>3758.5679999999998</v>
      </c>
      <c r="P22" s="1264">
        <v>2719.98</v>
      </c>
      <c r="Q22" s="891"/>
      <c r="R22" s="1260">
        <f t="shared" si="66"/>
        <v>3758.5679999999998</v>
      </c>
      <c r="S22" s="946"/>
      <c r="T22" s="1308">
        <v>3592.6419999999998</v>
      </c>
      <c r="U22" s="1292">
        <v>425.14700000000005</v>
      </c>
      <c r="V22" s="890"/>
      <c r="W22" s="890"/>
      <c r="X22" s="890"/>
      <c r="Y22" s="890"/>
      <c r="Z22" s="949">
        <f t="shared" si="8"/>
        <v>4017.7889999999998</v>
      </c>
      <c r="AA22" s="1308">
        <v>2260.248</v>
      </c>
      <c r="AB22" s="1292">
        <v>424.18200000000002</v>
      </c>
      <c r="AC22" s="890"/>
      <c r="AD22" s="890"/>
      <c r="AE22" s="890"/>
      <c r="AF22" s="890"/>
      <c r="AG22" s="951">
        <f t="shared" si="50"/>
        <v>2684.4300000000003</v>
      </c>
      <c r="AH22" s="947">
        <f t="shared" si="51"/>
        <v>6702.2190000000001</v>
      </c>
      <c r="AI22" s="890">
        <f t="shared" si="9"/>
        <v>5852.8899999999994</v>
      </c>
      <c r="AJ22" s="890">
        <f t="shared" si="9"/>
        <v>849.32900000000006</v>
      </c>
      <c r="AK22" s="890">
        <f t="shared" si="9"/>
        <v>0</v>
      </c>
      <c r="AL22" s="890">
        <f t="shared" si="9"/>
        <v>0</v>
      </c>
      <c r="AM22" s="890">
        <f t="shared" si="9"/>
        <v>0</v>
      </c>
      <c r="AN22" s="890"/>
      <c r="AO22" s="890">
        <f t="shared" si="10"/>
        <v>6702.2189999999991</v>
      </c>
      <c r="AP22" s="890">
        <f t="shared" si="11"/>
        <v>6702.2189999999991</v>
      </c>
      <c r="AQ22" s="952">
        <f t="shared" si="12"/>
        <v>6702.2189999999991</v>
      </c>
      <c r="AR22" s="973">
        <f t="shared" si="35"/>
        <v>0</v>
      </c>
      <c r="AS22" s="889">
        <f t="shared" si="13"/>
        <v>19402119.645959996</v>
      </c>
      <c r="AT22" s="890">
        <f t="shared" si="13"/>
        <v>2109733.236</v>
      </c>
      <c r="AU22" s="890">
        <f t="shared" si="13"/>
        <v>0</v>
      </c>
      <c r="AV22" s="890">
        <f t="shared" si="13"/>
        <v>0</v>
      </c>
      <c r="AW22" s="890">
        <f t="shared" si="13"/>
        <v>0</v>
      </c>
      <c r="AX22" s="890">
        <f t="shared" si="47"/>
        <v>21511852.881959997</v>
      </c>
      <c r="AY22" s="890">
        <f t="shared" si="48"/>
        <v>21511852.881959997</v>
      </c>
      <c r="AZ22" s="890">
        <f t="shared" si="14"/>
        <v>21998485.061519995</v>
      </c>
      <c r="BA22" s="890">
        <f t="shared" si="14"/>
        <v>2310157.8934200001</v>
      </c>
      <c r="BB22" s="890">
        <f t="shared" si="14"/>
        <v>0</v>
      </c>
      <c r="BC22" s="890">
        <f t="shared" si="14"/>
        <v>0</v>
      </c>
      <c r="BD22" s="890">
        <f t="shared" si="14"/>
        <v>0</v>
      </c>
      <c r="BE22" s="890">
        <f t="shared" si="49"/>
        <v>24308642.954939995</v>
      </c>
      <c r="BF22" s="952">
        <f t="shared" si="52"/>
        <v>24308642.954939995</v>
      </c>
      <c r="BG22" s="953">
        <f t="shared" si="67"/>
        <v>294.40154308999985</v>
      </c>
      <c r="BH22" s="954">
        <f t="shared" si="68"/>
        <v>367.12527917999995</v>
      </c>
      <c r="BI22" s="955">
        <f t="shared" si="7"/>
        <v>661.5268222699998</v>
      </c>
      <c r="BJ22" s="955"/>
      <c r="BK22" s="1197"/>
      <c r="BL22" s="890">
        <f t="shared" si="53"/>
        <v>11909478.894887997</v>
      </c>
      <c r="BM22" s="890">
        <f t="shared" si="53"/>
        <v>1056065.148</v>
      </c>
      <c r="BN22" s="890">
        <f t="shared" si="15"/>
        <v>0</v>
      </c>
      <c r="BO22" s="890">
        <f t="shared" si="15"/>
        <v>0</v>
      </c>
      <c r="BP22" s="890">
        <f t="shared" si="15"/>
        <v>0</v>
      </c>
      <c r="BQ22" s="890">
        <f t="shared" si="54"/>
        <v>12965544.042887997</v>
      </c>
      <c r="BR22" s="890">
        <f t="shared" si="55"/>
        <v>12965544.042887997</v>
      </c>
      <c r="BS22" s="890">
        <f t="shared" si="56"/>
        <v>8495295.8048640005</v>
      </c>
      <c r="BT22" s="890">
        <f t="shared" si="56"/>
        <v>1153766.55636</v>
      </c>
      <c r="BU22" s="890">
        <f t="shared" si="16"/>
        <v>0</v>
      </c>
      <c r="BV22" s="890">
        <f t="shared" si="57"/>
        <v>0</v>
      </c>
      <c r="BW22" s="890">
        <f t="shared" si="17"/>
        <v>0</v>
      </c>
      <c r="BX22" s="890">
        <f t="shared" si="58"/>
        <v>9649062.3612240013</v>
      </c>
      <c r="BY22" s="890">
        <f t="shared" si="59"/>
        <v>9649062.3612240013</v>
      </c>
      <c r="BZ22" s="945">
        <f t="shared" si="60"/>
        <v>2209831.7043599999</v>
      </c>
      <c r="CA22" s="945">
        <f t="shared" si="36"/>
        <v>0</v>
      </c>
      <c r="CB22" s="945">
        <f t="shared" si="61"/>
        <v>2209831.7043599999</v>
      </c>
      <c r="CC22" s="976">
        <f t="shared" si="62"/>
        <v>2601.8559408191641</v>
      </c>
      <c r="CD22" s="976" t="e">
        <f t="shared" si="37"/>
        <v>#DIV/0!</v>
      </c>
      <c r="CE22" s="976">
        <f t="shared" si="38"/>
        <v>2601.8559408191641</v>
      </c>
      <c r="CF22" s="976">
        <f t="shared" si="18"/>
        <v>2601.8559408191641</v>
      </c>
      <c r="CG22" s="977">
        <f t="shared" si="19"/>
        <v>3003663.8910839995</v>
      </c>
      <c r="CH22" s="977">
        <f t="shared" si="39"/>
        <v>3536.5139905548958</v>
      </c>
      <c r="CI22" s="945"/>
      <c r="CJ22" s="1312">
        <f t="shared" si="69"/>
        <v>13318.825894595997</v>
      </c>
      <c r="CK22" s="1312">
        <f t="shared" si="20"/>
        <v>10089.612696240001</v>
      </c>
      <c r="CL22" s="1312">
        <f t="shared" si="40"/>
        <v>23408.438590835998</v>
      </c>
      <c r="CM22" s="890">
        <f t="shared" si="41"/>
        <v>25190.745862391996</v>
      </c>
      <c r="CN22" s="890">
        <f t="shared" si="42"/>
        <v>1782.3072715559974</v>
      </c>
      <c r="CO22" s="890">
        <f t="shared" si="21"/>
        <v>23408438.590835996</v>
      </c>
      <c r="CP22" s="890">
        <f t="shared" si="22"/>
        <v>21511852.881959997</v>
      </c>
      <c r="CQ22" s="890">
        <f t="shared" si="23"/>
        <v>21511852.881959997</v>
      </c>
      <c r="CR22" s="890">
        <f t="shared" si="24"/>
        <v>12965544.042887997</v>
      </c>
      <c r="CS22" s="890">
        <f t="shared" si="25"/>
        <v>24308642.954939995</v>
      </c>
      <c r="CT22" s="890">
        <f t="shared" si="26"/>
        <v>24308642.954939995</v>
      </c>
      <c r="CU22" s="890">
        <f t="shared" si="27"/>
        <v>9649062.3612240013</v>
      </c>
      <c r="CV22" s="890">
        <f t="shared" si="43"/>
        <v>45820495.836899996</v>
      </c>
      <c r="CW22" s="978">
        <f t="shared" si="44"/>
        <v>6836.6157293427741</v>
      </c>
      <c r="CX22" s="890">
        <f t="shared" si="28"/>
        <v>2109733.236</v>
      </c>
      <c r="CY22" s="890">
        <f t="shared" si="29"/>
        <v>2310157.8934200001</v>
      </c>
      <c r="CZ22" s="890"/>
      <c r="DA22" s="890">
        <f t="shared" si="30"/>
        <v>22217614.705115996</v>
      </c>
      <c r="DB22" s="890">
        <f t="shared" si="31"/>
        <v>25190745.862391993</v>
      </c>
      <c r="DC22" s="840"/>
      <c r="DD22" s="841">
        <f t="shared" si="45"/>
        <v>151.3111111111111</v>
      </c>
      <c r="DE22" s="840"/>
      <c r="DF22" s="840"/>
      <c r="DG22" s="840"/>
      <c r="DH22" s="1050"/>
      <c r="DI22" s="1050"/>
      <c r="DJ22" s="1050"/>
      <c r="DK22" s="945"/>
      <c r="DL22" s="975">
        <f t="shared" si="32"/>
        <v>0</v>
      </c>
      <c r="DM22" s="975">
        <f t="shared" si="33"/>
        <v>0</v>
      </c>
      <c r="DN22" s="975">
        <f t="shared" si="34"/>
        <v>0</v>
      </c>
      <c r="DO22" s="816"/>
      <c r="DP22" s="871"/>
      <c r="DQ22" s="871"/>
      <c r="DR22" s="871"/>
      <c r="DS22" s="871"/>
      <c r="DT22" s="871"/>
      <c r="DU22" s="871"/>
      <c r="DV22" s="871"/>
      <c r="DW22" s="871"/>
      <c r="DX22" s="871"/>
      <c r="DY22" s="871"/>
      <c r="DZ22" s="871"/>
      <c r="EA22" s="871"/>
      <c r="EB22" s="871"/>
      <c r="EC22" s="871"/>
      <c r="ED22" s="871"/>
      <c r="EE22" s="871"/>
      <c r="EF22" s="871"/>
      <c r="EG22" s="871"/>
      <c r="EH22" s="871"/>
      <c r="EI22" s="871"/>
      <c r="EJ22" s="871"/>
      <c r="EK22" s="871"/>
      <c r="EL22" s="871"/>
    </row>
    <row r="23" spans="1:142" s="869" customFormat="1" ht="69.75" hidden="1" customHeight="1">
      <c r="A23" s="6">
        <f t="shared" si="46"/>
        <v>10</v>
      </c>
      <c r="B23" s="886" t="s">
        <v>11</v>
      </c>
      <c r="C23" s="1395" t="s">
        <v>76</v>
      </c>
      <c r="D23" s="1262" t="s">
        <v>141</v>
      </c>
      <c r="E23" s="887">
        <v>4632024035</v>
      </c>
      <c r="F23" s="886" t="s">
        <v>8</v>
      </c>
      <c r="G23" s="1238" t="s">
        <v>983</v>
      </c>
      <c r="H23" s="1256">
        <v>3314.9639999999995</v>
      </c>
      <c r="I23" s="1257">
        <f t="shared" si="63"/>
        <v>3314.9639999999995</v>
      </c>
      <c r="J23" s="891"/>
      <c r="K23" s="891"/>
      <c r="L23" s="1256">
        <v>3314.9639999999995</v>
      </c>
      <c r="M23" s="946"/>
      <c r="N23" s="1259">
        <f t="shared" si="64"/>
        <v>3758.5679999999998</v>
      </c>
      <c r="O23" s="1260">
        <f t="shared" si="65"/>
        <v>3758.5679999999998</v>
      </c>
      <c r="P23" s="891"/>
      <c r="Q23" s="891"/>
      <c r="R23" s="1260">
        <f t="shared" si="66"/>
        <v>3758.5679999999998</v>
      </c>
      <c r="S23" s="946"/>
      <c r="T23" s="1307">
        <v>203.75800000000032</v>
      </c>
      <c r="U23" s="1275"/>
      <c r="V23" s="890"/>
      <c r="W23" s="890"/>
      <c r="X23" s="890"/>
      <c r="Y23" s="890"/>
      <c r="Z23" s="949">
        <f t="shared" si="8"/>
        <v>203.75800000000032</v>
      </c>
      <c r="AA23" s="1308">
        <v>118.32</v>
      </c>
      <c r="AB23" s="890"/>
      <c r="AC23" s="890"/>
      <c r="AD23" s="890"/>
      <c r="AE23" s="890"/>
      <c r="AF23" s="890"/>
      <c r="AG23" s="951">
        <f t="shared" si="50"/>
        <v>118.32</v>
      </c>
      <c r="AH23" s="947">
        <f t="shared" si="51"/>
        <v>322.07800000000032</v>
      </c>
      <c r="AI23" s="890">
        <f t="shared" si="9"/>
        <v>322.07800000000032</v>
      </c>
      <c r="AJ23" s="890">
        <f t="shared" si="9"/>
        <v>0</v>
      </c>
      <c r="AK23" s="890">
        <f t="shared" si="9"/>
        <v>0</v>
      </c>
      <c r="AL23" s="890">
        <f t="shared" si="9"/>
        <v>0</v>
      </c>
      <c r="AM23" s="890">
        <f t="shared" si="9"/>
        <v>0</v>
      </c>
      <c r="AN23" s="890"/>
      <c r="AO23" s="890">
        <f t="shared" si="10"/>
        <v>322.07800000000032</v>
      </c>
      <c r="AP23" s="890">
        <f t="shared" si="11"/>
        <v>322.07800000000032</v>
      </c>
      <c r="AQ23" s="952">
        <f t="shared" si="12"/>
        <v>322.07800000000032</v>
      </c>
      <c r="AR23" s="973">
        <f t="shared" si="35"/>
        <v>0</v>
      </c>
      <c r="AS23" s="889">
        <f t="shared" si="13"/>
        <v>1067676.9751920009</v>
      </c>
      <c r="AT23" s="890">
        <f t="shared" si="13"/>
        <v>0</v>
      </c>
      <c r="AU23" s="890">
        <f t="shared" si="13"/>
        <v>0</v>
      </c>
      <c r="AV23" s="890">
        <f t="shared" si="13"/>
        <v>0</v>
      </c>
      <c r="AW23" s="890">
        <f t="shared" si="13"/>
        <v>0</v>
      </c>
      <c r="AX23" s="890">
        <f t="shared" si="47"/>
        <v>1067676.9751920009</v>
      </c>
      <c r="AY23" s="890">
        <f t="shared" si="48"/>
        <v>1067676.9751920009</v>
      </c>
      <c r="AZ23" s="890">
        <f t="shared" si="14"/>
        <v>1210552.0643040012</v>
      </c>
      <c r="BA23" s="890">
        <f t="shared" si="14"/>
        <v>0</v>
      </c>
      <c r="BB23" s="890">
        <f t="shared" si="14"/>
        <v>0</v>
      </c>
      <c r="BC23" s="890">
        <f t="shared" si="14"/>
        <v>0</v>
      </c>
      <c r="BD23" s="890">
        <f t="shared" si="14"/>
        <v>0</v>
      </c>
      <c r="BE23" s="890">
        <f t="shared" si="49"/>
        <v>1210552.0643040012</v>
      </c>
      <c r="BF23" s="952">
        <f t="shared" si="52"/>
        <v>1210552.0643040012</v>
      </c>
      <c r="BG23" s="953">
        <f t="shared" si="67"/>
        <v>0</v>
      </c>
      <c r="BH23" s="954">
        <f t="shared" si="68"/>
        <v>0</v>
      </c>
      <c r="BI23" s="955">
        <f t="shared" si="7"/>
        <v>0</v>
      </c>
      <c r="BJ23" s="890"/>
      <c r="BK23" s="1199"/>
      <c r="BL23" s="890">
        <f t="shared" si="53"/>
        <v>675450.43471200101</v>
      </c>
      <c r="BM23" s="890">
        <f t="shared" si="53"/>
        <v>0</v>
      </c>
      <c r="BN23" s="890">
        <f t="shared" si="15"/>
        <v>0</v>
      </c>
      <c r="BO23" s="890">
        <f t="shared" si="15"/>
        <v>0</v>
      </c>
      <c r="BP23" s="890">
        <f t="shared" si="15"/>
        <v>0</v>
      </c>
      <c r="BQ23" s="890">
        <f t="shared" si="54"/>
        <v>675450.43471200101</v>
      </c>
      <c r="BR23" s="890">
        <f t="shared" si="55"/>
        <v>675450.43471200101</v>
      </c>
      <c r="BS23" s="890">
        <f t="shared" si="56"/>
        <v>444713.76575999992</v>
      </c>
      <c r="BT23" s="890">
        <f t="shared" si="56"/>
        <v>0</v>
      </c>
      <c r="BU23" s="890">
        <f t="shared" si="16"/>
        <v>0</v>
      </c>
      <c r="BV23" s="890">
        <f t="shared" si="57"/>
        <v>0</v>
      </c>
      <c r="BW23" s="890">
        <f t="shared" si="17"/>
        <v>0</v>
      </c>
      <c r="BX23" s="890">
        <f t="shared" si="58"/>
        <v>444713.76575999992</v>
      </c>
      <c r="BY23" s="890">
        <f t="shared" si="59"/>
        <v>444713.76575999992</v>
      </c>
      <c r="BZ23" s="945">
        <f t="shared" si="60"/>
        <v>0</v>
      </c>
      <c r="CA23" s="945">
        <f t="shared" si="36"/>
        <v>0</v>
      </c>
      <c r="CB23" s="945">
        <f t="shared" si="61"/>
        <v>0</v>
      </c>
      <c r="CC23" s="976" t="e">
        <f t="shared" si="62"/>
        <v>#DIV/0!</v>
      </c>
      <c r="CD23" s="976" t="e">
        <f t="shared" si="37"/>
        <v>#DIV/0!</v>
      </c>
      <c r="CE23" s="976" t="e">
        <f t="shared" si="38"/>
        <v>#DIV/0!</v>
      </c>
      <c r="CF23" s="945" t="e">
        <f t="shared" si="18"/>
        <v>#DIV/0!</v>
      </c>
      <c r="CG23" s="977">
        <f t="shared" si="19"/>
        <v>0</v>
      </c>
      <c r="CH23" s="977" t="e">
        <f t="shared" si="39"/>
        <v>#DIV/0!</v>
      </c>
      <c r="CI23" s="945"/>
      <c r="CJ23" s="1312">
        <f t="shared" si="69"/>
        <v>675.45043471200097</v>
      </c>
      <c r="CK23" s="1312">
        <f t="shared" si="20"/>
        <v>444.71376575999994</v>
      </c>
      <c r="CL23" s="1312">
        <f t="shared" si="40"/>
        <v>1120.1642004720009</v>
      </c>
      <c r="CM23" s="890">
        <f t="shared" si="41"/>
        <v>1210.5520643040011</v>
      </c>
      <c r="CN23" s="890">
        <f t="shared" si="42"/>
        <v>90.387863832000221</v>
      </c>
      <c r="CO23" s="890">
        <f t="shared" si="21"/>
        <v>1120164.200472001</v>
      </c>
      <c r="CP23" s="890">
        <f t="shared" si="22"/>
        <v>1067676.9751920009</v>
      </c>
      <c r="CQ23" s="890">
        <f t="shared" si="23"/>
        <v>1067676.9751920009</v>
      </c>
      <c r="CR23" s="890">
        <f t="shared" si="24"/>
        <v>675450.43471200101</v>
      </c>
      <c r="CS23" s="890">
        <f t="shared" si="25"/>
        <v>1210552.0643040012</v>
      </c>
      <c r="CT23" s="890">
        <f t="shared" si="26"/>
        <v>1210552.0643040012</v>
      </c>
      <c r="CU23" s="890">
        <f t="shared" si="27"/>
        <v>444713.76575999992</v>
      </c>
      <c r="CV23" s="890">
        <f t="shared" si="43"/>
        <v>2278229.0394960018</v>
      </c>
      <c r="CW23" s="978">
        <f t="shared" si="44"/>
        <v>7073.5319999999983</v>
      </c>
      <c r="CX23" s="890">
        <f t="shared" si="28"/>
        <v>0</v>
      </c>
      <c r="CY23" s="890">
        <f t="shared" si="29"/>
        <v>0</v>
      </c>
      <c r="CZ23" s="890"/>
      <c r="DA23" s="890">
        <f t="shared" si="30"/>
        <v>1067676.9751920009</v>
      </c>
      <c r="DB23" s="890">
        <f t="shared" si="31"/>
        <v>1210552.0643040012</v>
      </c>
      <c r="DC23" s="840"/>
      <c r="DD23" s="841" t="e">
        <f t="shared" si="45"/>
        <v>#DIV/0!</v>
      </c>
      <c r="DE23" s="840"/>
      <c r="DF23" s="840"/>
      <c r="DG23" s="840"/>
      <c r="DH23" s="1050"/>
      <c r="DI23" s="1050"/>
      <c r="DJ23" s="1050"/>
      <c r="DK23" s="945"/>
      <c r="DL23" s="975">
        <f t="shared" si="32"/>
        <v>0</v>
      </c>
      <c r="DM23" s="975">
        <f t="shared" si="33"/>
        <v>0</v>
      </c>
      <c r="DN23" s="975">
        <f t="shared" si="34"/>
        <v>0</v>
      </c>
      <c r="DO23" s="816"/>
      <c r="DP23" s="871"/>
      <c r="DQ23" s="871"/>
      <c r="DR23" s="871"/>
      <c r="DS23" s="871"/>
      <c r="DT23" s="871"/>
      <c r="DU23" s="871"/>
      <c r="DV23" s="871"/>
      <c r="DW23" s="871"/>
      <c r="DX23" s="871"/>
      <c r="DY23" s="871"/>
      <c r="DZ23" s="871"/>
      <c r="EA23" s="871"/>
      <c r="EB23" s="871"/>
      <c r="EC23" s="871"/>
      <c r="ED23" s="871"/>
      <c r="EE23" s="871"/>
      <c r="EF23" s="871"/>
      <c r="EG23" s="871"/>
      <c r="EH23" s="871"/>
      <c r="EI23" s="871"/>
      <c r="EJ23" s="871"/>
      <c r="EK23" s="871"/>
      <c r="EL23" s="871"/>
    </row>
    <row r="24" spans="1:142" s="869" customFormat="1" ht="77.25" hidden="1" customHeight="1">
      <c r="A24" s="6">
        <f t="shared" si="46"/>
        <v>11</v>
      </c>
      <c r="B24" s="886" t="s">
        <v>11</v>
      </c>
      <c r="C24" s="1395" t="s">
        <v>77</v>
      </c>
      <c r="D24" s="1262" t="s">
        <v>141</v>
      </c>
      <c r="E24" s="887">
        <v>4632024035</v>
      </c>
      <c r="F24" s="886" t="s">
        <v>8</v>
      </c>
      <c r="G24" s="1238" t="s">
        <v>983</v>
      </c>
      <c r="H24" s="1256">
        <v>3314.9639999999995</v>
      </c>
      <c r="I24" s="1257">
        <f t="shared" si="63"/>
        <v>3314.9639999999995</v>
      </c>
      <c r="J24" s="891"/>
      <c r="K24" s="891"/>
      <c r="L24" s="1256">
        <v>3314.9639999999995</v>
      </c>
      <c r="M24" s="946"/>
      <c r="N24" s="1259">
        <f t="shared" si="64"/>
        <v>3758.5679999999998</v>
      </c>
      <c r="O24" s="1260">
        <f t="shared" si="65"/>
        <v>3758.5679999999998</v>
      </c>
      <c r="P24" s="891"/>
      <c r="Q24" s="891"/>
      <c r="R24" s="1260">
        <f t="shared" si="66"/>
        <v>3758.5679999999998</v>
      </c>
      <c r="S24" s="946"/>
      <c r="T24" s="1307">
        <v>239.71700000000035</v>
      </c>
      <c r="U24" s="1275"/>
      <c r="V24" s="890"/>
      <c r="W24" s="890"/>
      <c r="X24" s="890"/>
      <c r="Y24" s="890"/>
      <c r="Z24" s="949">
        <f t="shared" si="8"/>
        <v>239.71700000000035</v>
      </c>
      <c r="AA24" s="1308">
        <v>139.19999999999999</v>
      </c>
      <c r="AB24" s="890"/>
      <c r="AC24" s="890"/>
      <c r="AD24" s="890"/>
      <c r="AE24" s="890"/>
      <c r="AF24" s="890"/>
      <c r="AG24" s="951">
        <f t="shared" si="50"/>
        <v>139.19999999999999</v>
      </c>
      <c r="AH24" s="947">
        <f t="shared" si="51"/>
        <v>378.91700000000037</v>
      </c>
      <c r="AI24" s="890">
        <f t="shared" si="9"/>
        <v>378.91700000000037</v>
      </c>
      <c r="AJ24" s="890">
        <f t="shared" si="9"/>
        <v>0</v>
      </c>
      <c r="AK24" s="890">
        <f t="shared" si="9"/>
        <v>0</v>
      </c>
      <c r="AL24" s="890">
        <f t="shared" si="9"/>
        <v>0</v>
      </c>
      <c r="AM24" s="890">
        <f t="shared" si="9"/>
        <v>0</v>
      </c>
      <c r="AN24" s="890"/>
      <c r="AO24" s="890">
        <f t="shared" si="10"/>
        <v>378.91700000000037</v>
      </c>
      <c r="AP24" s="890">
        <f t="shared" si="11"/>
        <v>378.91700000000037</v>
      </c>
      <c r="AQ24" s="952">
        <f t="shared" si="12"/>
        <v>378.91700000000037</v>
      </c>
      <c r="AR24" s="973">
        <f t="shared" si="35"/>
        <v>0</v>
      </c>
      <c r="AS24" s="889">
        <f t="shared" si="13"/>
        <v>1256096.213988001</v>
      </c>
      <c r="AT24" s="890">
        <f t="shared" si="13"/>
        <v>0</v>
      </c>
      <c r="AU24" s="890">
        <f t="shared" si="13"/>
        <v>0</v>
      </c>
      <c r="AV24" s="890">
        <f t="shared" si="13"/>
        <v>0</v>
      </c>
      <c r="AW24" s="890">
        <f t="shared" si="13"/>
        <v>0</v>
      </c>
      <c r="AX24" s="890">
        <f t="shared" si="47"/>
        <v>1256096.213988001</v>
      </c>
      <c r="AY24" s="890">
        <f t="shared" si="48"/>
        <v>1256096.213988001</v>
      </c>
      <c r="AZ24" s="890">
        <f t="shared" si="14"/>
        <v>1424185.3108560012</v>
      </c>
      <c r="BA24" s="890">
        <f t="shared" si="14"/>
        <v>0</v>
      </c>
      <c r="BB24" s="890">
        <f t="shared" si="14"/>
        <v>0</v>
      </c>
      <c r="BC24" s="890">
        <f t="shared" si="14"/>
        <v>0</v>
      </c>
      <c r="BD24" s="890">
        <f t="shared" si="14"/>
        <v>0</v>
      </c>
      <c r="BE24" s="890">
        <f t="shared" si="49"/>
        <v>1424185.3108560012</v>
      </c>
      <c r="BF24" s="952">
        <f t="shared" si="52"/>
        <v>1424185.3108560012</v>
      </c>
      <c r="BG24" s="953">
        <f t="shared" si="67"/>
        <v>0</v>
      </c>
      <c r="BH24" s="954">
        <f t="shared" si="68"/>
        <v>0</v>
      </c>
      <c r="BI24" s="955">
        <f t="shared" si="7"/>
        <v>0</v>
      </c>
      <c r="BJ24" s="890"/>
      <c r="BK24" s="1199"/>
      <c r="BL24" s="890">
        <f t="shared" si="53"/>
        <v>794653.22518800106</v>
      </c>
      <c r="BM24" s="890">
        <f t="shared" si="53"/>
        <v>0</v>
      </c>
      <c r="BN24" s="890">
        <f t="shared" si="15"/>
        <v>0</v>
      </c>
      <c r="BO24" s="890">
        <f t="shared" si="15"/>
        <v>0</v>
      </c>
      <c r="BP24" s="890">
        <f t="shared" si="15"/>
        <v>0</v>
      </c>
      <c r="BQ24" s="890">
        <f t="shared" si="54"/>
        <v>794653.22518800106</v>
      </c>
      <c r="BR24" s="890">
        <f t="shared" si="55"/>
        <v>794653.22518800106</v>
      </c>
      <c r="BS24" s="890">
        <f t="shared" si="56"/>
        <v>523192.66559999995</v>
      </c>
      <c r="BT24" s="890">
        <f t="shared" si="56"/>
        <v>0</v>
      </c>
      <c r="BU24" s="890">
        <f t="shared" si="16"/>
        <v>0</v>
      </c>
      <c r="BV24" s="890">
        <f t="shared" si="57"/>
        <v>0</v>
      </c>
      <c r="BW24" s="890">
        <f t="shared" si="17"/>
        <v>0</v>
      </c>
      <c r="BX24" s="890">
        <f t="shared" si="58"/>
        <v>523192.66559999995</v>
      </c>
      <c r="BY24" s="890">
        <f t="shared" si="59"/>
        <v>523192.66559999995</v>
      </c>
      <c r="BZ24" s="945">
        <f t="shared" si="60"/>
        <v>0</v>
      </c>
      <c r="CA24" s="945">
        <f t="shared" si="36"/>
        <v>0</v>
      </c>
      <c r="CB24" s="945">
        <f t="shared" si="61"/>
        <v>0</v>
      </c>
      <c r="CC24" s="976" t="e">
        <f t="shared" si="62"/>
        <v>#DIV/0!</v>
      </c>
      <c r="CD24" s="976" t="e">
        <f t="shared" si="37"/>
        <v>#DIV/0!</v>
      </c>
      <c r="CE24" s="976" t="e">
        <f t="shared" si="38"/>
        <v>#DIV/0!</v>
      </c>
      <c r="CF24" s="945" t="e">
        <f t="shared" si="18"/>
        <v>#DIV/0!</v>
      </c>
      <c r="CG24" s="977">
        <f t="shared" si="19"/>
        <v>0</v>
      </c>
      <c r="CH24" s="977" t="e">
        <f t="shared" si="39"/>
        <v>#DIV/0!</v>
      </c>
      <c r="CI24" s="945"/>
      <c r="CJ24" s="1312">
        <f t="shared" si="69"/>
        <v>794.6532251880011</v>
      </c>
      <c r="CK24" s="1312">
        <f t="shared" si="20"/>
        <v>523.19266559999994</v>
      </c>
      <c r="CL24" s="1312">
        <f t="shared" si="40"/>
        <v>1317.845890788001</v>
      </c>
      <c r="CM24" s="890">
        <f t="shared" si="41"/>
        <v>1424.1853108560013</v>
      </c>
      <c r="CN24" s="890">
        <f t="shared" si="42"/>
        <v>106.33942006800021</v>
      </c>
      <c r="CO24" s="890">
        <f t="shared" si="21"/>
        <v>1317845.890788001</v>
      </c>
      <c r="CP24" s="890">
        <f t="shared" si="22"/>
        <v>1256096.213988001</v>
      </c>
      <c r="CQ24" s="890">
        <f t="shared" si="23"/>
        <v>1256096.213988001</v>
      </c>
      <c r="CR24" s="890">
        <f t="shared" si="24"/>
        <v>794653.22518800106</v>
      </c>
      <c r="CS24" s="890">
        <f t="shared" si="25"/>
        <v>1424185.3108560012</v>
      </c>
      <c r="CT24" s="890">
        <f t="shared" si="26"/>
        <v>1424185.3108560012</v>
      </c>
      <c r="CU24" s="890">
        <f t="shared" si="27"/>
        <v>523192.66559999995</v>
      </c>
      <c r="CV24" s="890">
        <f t="shared" si="43"/>
        <v>2680281.524844002</v>
      </c>
      <c r="CW24" s="978">
        <f t="shared" si="44"/>
        <v>7073.5319999999983</v>
      </c>
      <c r="CX24" s="890">
        <f t="shared" si="28"/>
        <v>0</v>
      </c>
      <c r="CY24" s="890">
        <f t="shared" si="29"/>
        <v>0</v>
      </c>
      <c r="CZ24" s="890"/>
      <c r="DA24" s="890">
        <f t="shared" si="30"/>
        <v>1256096.213988001</v>
      </c>
      <c r="DB24" s="890">
        <f t="shared" si="31"/>
        <v>1424185.3108560012</v>
      </c>
      <c r="DC24" s="840"/>
      <c r="DD24" s="841" t="e">
        <f t="shared" si="45"/>
        <v>#DIV/0!</v>
      </c>
      <c r="DE24" s="840"/>
      <c r="DF24" s="840"/>
      <c r="DG24" s="840"/>
      <c r="DH24" s="1050"/>
      <c r="DI24" s="1050"/>
      <c r="DJ24" s="1050"/>
      <c r="DK24" s="945"/>
      <c r="DL24" s="975">
        <f t="shared" si="32"/>
        <v>0</v>
      </c>
      <c r="DM24" s="975">
        <f t="shared" si="33"/>
        <v>0</v>
      </c>
      <c r="DN24" s="975">
        <f t="shared" si="34"/>
        <v>0</v>
      </c>
      <c r="DO24" s="816"/>
      <c r="DP24" s="871"/>
      <c r="DQ24" s="871"/>
      <c r="DR24" s="871"/>
      <c r="DS24" s="871"/>
      <c r="DT24" s="871"/>
      <c r="DU24" s="871"/>
      <c r="DV24" s="871"/>
      <c r="DW24" s="871"/>
      <c r="DX24" s="871"/>
      <c r="DY24" s="871"/>
      <c r="DZ24" s="871"/>
      <c r="EA24" s="871"/>
      <c r="EB24" s="871"/>
      <c r="EC24" s="871"/>
      <c r="ED24" s="871"/>
      <c r="EE24" s="871"/>
      <c r="EF24" s="871"/>
      <c r="EG24" s="871"/>
      <c r="EH24" s="871"/>
      <c r="EI24" s="871"/>
      <c r="EJ24" s="871"/>
      <c r="EK24" s="871"/>
      <c r="EL24" s="871"/>
    </row>
    <row r="25" spans="1:142" s="869" customFormat="1" ht="83.25" hidden="1" customHeight="1">
      <c r="A25" s="6">
        <f t="shared" si="46"/>
        <v>12</v>
      </c>
      <c r="B25" s="886" t="s">
        <v>11</v>
      </c>
      <c r="C25" s="1395" t="s">
        <v>78</v>
      </c>
      <c r="D25" s="1262" t="s">
        <v>141</v>
      </c>
      <c r="E25" s="887">
        <v>4632024035</v>
      </c>
      <c r="F25" s="886" t="s">
        <v>8</v>
      </c>
      <c r="G25" s="1238" t="s">
        <v>983</v>
      </c>
      <c r="H25" s="1256">
        <v>3314.9639999999995</v>
      </c>
      <c r="I25" s="1257">
        <f t="shared" si="63"/>
        <v>3314.9639999999995</v>
      </c>
      <c r="J25" s="891"/>
      <c r="K25" s="891"/>
      <c r="L25" s="1256">
        <v>3314.9639999999995</v>
      </c>
      <c r="M25" s="946"/>
      <c r="N25" s="1259">
        <f t="shared" si="64"/>
        <v>3758.5679999999998</v>
      </c>
      <c r="O25" s="1260">
        <f t="shared" si="65"/>
        <v>3758.5679999999998</v>
      </c>
      <c r="P25" s="891"/>
      <c r="Q25" s="891"/>
      <c r="R25" s="1260">
        <f t="shared" si="66"/>
        <v>3758.5679999999998</v>
      </c>
      <c r="S25" s="946"/>
      <c r="T25" s="1307">
        <v>155.8150000000002</v>
      </c>
      <c r="U25" s="1275"/>
      <c r="V25" s="890"/>
      <c r="W25" s="890"/>
      <c r="X25" s="890"/>
      <c r="Y25" s="890"/>
      <c r="Z25" s="949">
        <f t="shared" si="8"/>
        <v>155.8150000000002</v>
      </c>
      <c r="AA25" s="1308">
        <v>90.48</v>
      </c>
      <c r="AB25" s="890"/>
      <c r="AC25" s="890"/>
      <c r="AD25" s="890"/>
      <c r="AE25" s="890"/>
      <c r="AF25" s="890"/>
      <c r="AG25" s="951">
        <f t="shared" si="50"/>
        <v>90.48</v>
      </c>
      <c r="AH25" s="947">
        <f t="shared" si="51"/>
        <v>246.29500000000019</v>
      </c>
      <c r="AI25" s="890">
        <f t="shared" si="9"/>
        <v>246.29500000000019</v>
      </c>
      <c r="AJ25" s="890">
        <f t="shared" si="9"/>
        <v>0</v>
      </c>
      <c r="AK25" s="890">
        <f t="shared" si="9"/>
        <v>0</v>
      </c>
      <c r="AL25" s="890">
        <f t="shared" si="9"/>
        <v>0</v>
      </c>
      <c r="AM25" s="890">
        <f t="shared" si="9"/>
        <v>0</v>
      </c>
      <c r="AN25" s="890"/>
      <c r="AO25" s="890">
        <f t="shared" si="10"/>
        <v>246.29500000000019</v>
      </c>
      <c r="AP25" s="890">
        <f t="shared" si="11"/>
        <v>246.29500000000019</v>
      </c>
      <c r="AQ25" s="952">
        <f t="shared" si="12"/>
        <v>246.29500000000019</v>
      </c>
      <c r="AR25" s="973">
        <f t="shared" si="35"/>
        <v>0</v>
      </c>
      <c r="AS25" s="889">
        <f t="shared" si="13"/>
        <v>816459.05838000053</v>
      </c>
      <c r="AT25" s="890">
        <f t="shared" si="13"/>
        <v>0</v>
      </c>
      <c r="AU25" s="890">
        <f t="shared" si="13"/>
        <v>0</v>
      </c>
      <c r="AV25" s="890">
        <f t="shared" si="13"/>
        <v>0</v>
      </c>
      <c r="AW25" s="890">
        <f t="shared" si="13"/>
        <v>0</v>
      </c>
      <c r="AX25" s="890">
        <f t="shared" si="47"/>
        <v>816459.05838000053</v>
      </c>
      <c r="AY25" s="890">
        <f t="shared" si="48"/>
        <v>816459.05838000053</v>
      </c>
      <c r="AZ25" s="890">
        <f t="shared" si="14"/>
        <v>925716.50556000066</v>
      </c>
      <c r="BA25" s="890">
        <f t="shared" si="14"/>
        <v>0</v>
      </c>
      <c r="BB25" s="890">
        <f t="shared" si="14"/>
        <v>0</v>
      </c>
      <c r="BC25" s="890">
        <f t="shared" si="14"/>
        <v>0</v>
      </c>
      <c r="BD25" s="890">
        <f t="shared" si="14"/>
        <v>0</v>
      </c>
      <c r="BE25" s="890">
        <f t="shared" si="49"/>
        <v>925716.50556000066</v>
      </c>
      <c r="BF25" s="952">
        <f t="shared" si="52"/>
        <v>925716.50556000066</v>
      </c>
      <c r="BG25" s="953">
        <f t="shared" si="67"/>
        <v>0</v>
      </c>
      <c r="BH25" s="954">
        <f t="shared" si="68"/>
        <v>0</v>
      </c>
      <c r="BI25" s="955">
        <f t="shared" si="7"/>
        <v>0</v>
      </c>
      <c r="BJ25" s="890"/>
      <c r="BK25" s="1199"/>
      <c r="BL25" s="890">
        <f t="shared" si="53"/>
        <v>516521.11566000059</v>
      </c>
      <c r="BM25" s="890">
        <f t="shared" si="53"/>
        <v>0</v>
      </c>
      <c r="BN25" s="890">
        <f t="shared" si="15"/>
        <v>0</v>
      </c>
      <c r="BO25" s="890">
        <f t="shared" si="15"/>
        <v>0</v>
      </c>
      <c r="BP25" s="890">
        <f t="shared" si="15"/>
        <v>0</v>
      </c>
      <c r="BQ25" s="890">
        <f t="shared" si="54"/>
        <v>516521.11566000059</v>
      </c>
      <c r="BR25" s="890">
        <f t="shared" si="55"/>
        <v>516521.11566000059</v>
      </c>
      <c r="BS25" s="890">
        <f t="shared" si="56"/>
        <v>340075.23264</v>
      </c>
      <c r="BT25" s="890">
        <f t="shared" si="56"/>
        <v>0</v>
      </c>
      <c r="BU25" s="890">
        <f t="shared" si="16"/>
        <v>0</v>
      </c>
      <c r="BV25" s="890">
        <f t="shared" si="57"/>
        <v>0</v>
      </c>
      <c r="BW25" s="890">
        <f t="shared" si="17"/>
        <v>0</v>
      </c>
      <c r="BX25" s="890">
        <f t="shared" si="58"/>
        <v>340075.23264</v>
      </c>
      <c r="BY25" s="890">
        <f t="shared" si="59"/>
        <v>340075.23264</v>
      </c>
      <c r="BZ25" s="945">
        <f t="shared" si="60"/>
        <v>0</v>
      </c>
      <c r="CA25" s="945">
        <f t="shared" si="36"/>
        <v>0</v>
      </c>
      <c r="CB25" s="945">
        <f t="shared" si="61"/>
        <v>0</v>
      </c>
      <c r="CC25" s="976" t="e">
        <f t="shared" si="62"/>
        <v>#DIV/0!</v>
      </c>
      <c r="CD25" s="976" t="e">
        <f t="shared" si="37"/>
        <v>#DIV/0!</v>
      </c>
      <c r="CE25" s="976" t="e">
        <f t="shared" si="38"/>
        <v>#DIV/0!</v>
      </c>
      <c r="CF25" s="945" t="e">
        <f t="shared" si="18"/>
        <v>#DIV/0!</v>
      </c>
      <c r="CG25" s="977">
        <f t="shared" si="19"/>
        <v>0</v>
      </c>
      <c r="CH25" s="977" t="e">
        <f t="shared" si="39"/>
        <v>#DIV/0!</v>
      </c>
      <c r="CI25" s="945"/>
      <c r="CJ25" s="1312">
        <f t="shared" si="69"/>
        <v>516.52111566000065</v>
      </c>
      <c r="CK25" s="1312">
        <f t="shared" si="20"/>
        <v>340.07523264000002</v>
      </c>
      <c r="CL25" s="1312">
        <f t="shared" si="40"/>
        <v>856.59634830000073</v>
      </c>
      <c r="CM25" s="890">
        <f t="shared" si="41"/>
        <v>925.71650556000066</v>
      </c>
      <c r="CN25" s="890">
        <f t="shared" si="42"/>
        <v>69.120157259999928</v>
      </c>
      <c r="CO25" s="890">
        <f t="shared" si="21"/>
        <v>856596.34830000065</v>
      </c>
      <c r="CP25" s="890">
        <f t="shared" si="22"/>
        <v>816459.05838000053</v>
      </c>
      <c r="CQ25" s="890">
        <f t="shared" si="23"/>
        <v>816459.05838000053</v>
      </c>
      <c r="CR25" s="890">
        <f t="shared" si="24"/>
        <v>516521.11566000059</v>
      </c>
      <c r="CS25" s="890">
        <f t="shared" si="25"/>
        <v>925716.50556000066</v>
      </c>
      <c r="CT25" s="890">
        <f t="shared" si="26"/>
        <v>925716.50556000066</v>
      </c>
      <c r="CU25" s="890">
        <f t="shared" si="27"/>
        <v>340075.23264</v>
      </c>
      <c r="CV25" s="890">
        <f t="shared" si="43"/>
        <v>1742175.5639400012</v>
      </c>
      <c r="CW25" s="978">
        <f t="shared" si="44"/>
        <v>7073.5319999999992</v>
      </c>
      <c r="CX25" s="890">
        <f t="shared" si="28"/>
        <v>0</v>
      </c>
      <c r="CY25" s="890">
        <f t="shared" si="29"/>
        <v>0</v>
      </c>
      <c r="CZ25" s="890"/>
      <c r="DA25" s="890">
        <f t="shared" si="30"/>
        <v>816459.05838000053</v>
      </c>
      <c r="DB25" s="890">
        <f t="shared" si="31"/>
        <v>925716.50556000066</v>
      </c>
      <c r="DC25" s="840"/>
      <c r="DD25" s="841" t="e">
        <f t="shared" si="45"/>
        <v>#DIV/0!</v>
      </c>
      <c r="DE25" s="840"/>
      <c r="DF25" s="840"/>
      <c r="DG25" s="840"/>
      <c r="DH25" s="1050"/>
      <c r="DI25" s="1050"/>
      <c r="DJ25" s="1050"/>
      <c r="DK25" s="945"/>
      <c r="DL25" s="975">
        <f t="shared" si="32"/>
        <v>0</v>
      </c>
      <c r="DM25" s="975">
        <f t="shared" si="33"/>
        <v>0</v>
      </c>
      <c r="DN25" s="975">
        <f t="shared" si="34"/>
        <v>0</v>
      </c>
      <c r="DO25" s="816"/>
      <c r="DP25" s="871"/>
      <c r="DQ25" s="871"/>
      <c r="DR25" s="871"/>
      <c r="DS25" s="871"/>
      <c r="DT25" s="871"/>
      <c r="DU25" s="871"/>
      <c r="DV25" s="871"/>
      <c r="DW25" s="871"/>
      <c r="DX25" s="871"/>
      <c r="DY25" s="871"/>
      <c r="DZ25" s="871"/>
      <c r="EA25" s="871"/>
      <c r="EB25" s="871"/>
      <c r="EC25" s="871"/>
      <c r="ED25" s="871"/>
      <c r="EE25" s="871"/>
      <c r="EF25" s="871"/>
      <c r="EG25" s="871"/>
      <c r="EH25" s="871"/>
      <c r="EI25" s="871"/>
      <c r="EJ25" s="871"/>
      <c r="EK25" s="871"/>
      <c r="EL25" s="871"/>
    </row>
    <row r="26" spans="1:142" s="869" customFormat="1" ht="79.5" hidden="1" customHeight="1">
      <c r="A26" s="6">
        <f t="shared" si="46"/>
        <v>13</v>
      </c>
      <c r="B26" s="886" t="s">
        <v>11</v>
      </c>
      <c r="C26" s="1395" t="s">
        <v>79</v>
      </c>
      <c r="D26" s="1262" t="s">
        <v>141</v>
      </c>
      <c r="E26" s="887">
        <v>4632024035</v>
      </c>
      <c r="F26" s="886" t="s">
        <v>8</v>
      </c>
      <c r="G26" s="1238" t="s">
        <v>983</v>
      </c>
      <c r="H26" s="1256">
        <v>3314.9639999999995</v>
      </c>
      <c r="I26" s="1257">
        <f t="shared" si="63"/>
        <v>3314.9639999999995</v>
      </c>
      <c r="J26" s="891"/>
      <c r="K26" s="891"/>
      <c r="L26" s="1256">
        <v>3314.9639999999995</v>
      </c>
      <c r="M26" s="946"/>
      <c r="N26" s="1259">
        <f t="shared" si="64"/>
        <v>3758.5679999999998</v>
      </c>
      <c r="O26" s="1260">
        <f t="shared" si="65"/>
        <v>3758.5679999999998</v>
      </c>
      <c r="P26" s="891"/>
      <c r="Q26" s="891"/>
      <c r="R26" s="1260">
        <f t="shared" si="66"/>
        <v>3758.5679999999998</v>
      </c>
      <c r="S26" s="946"/>
      <c r="T26" s="1307">
        <v>179.78700000000026</v>
      </c>
      <c r="U26" s="1275"/>
      <c r="V26" s="890"/>
      <c r="W26" s="890"/>
      <c r="X26" s="890"/>
      <c r="Y26" s="890"/>
      <c r="Z26" s="949">
        <f t="shared" si="8"/>
        <v>179.78700000000026</v>
      </c>
      <c r="AA26" s="1308">
        <v>104.4</v>
      </c>
      <c r="AB26" s="890"/>
      <c r="AC26" s="890"/>
      <c r="AD26" s="890"/>
      <c r="AE26" s="890"/>
      <c r="AF26" s="890"/>
      <c r="AG26" s="951">
        <f t="shared" si="50"/>
        <v>104.4</v>
      </c>
      <c r="AH26" s="947">
        <f t="shared" si="51"/>
        <v>284.18700000000024</v>
      </c>
      <c r="AI26" s="890">
        <f t="shared" si="9"/>
        <v>284.18700000000024</v>
      </c>
      <c r="AJ26" s="890">
        <f t="shared" si="9"/>
        <v>0</v>
      </c>
      <c r="AK26" s="890">
        <f t="shared" si="9"/>
        <v>0</v>
      </c>
      <c r="AL26" s="890">
        <f t="shared" si="9"/>
        <v>0</v>
      </c>
      <c r="AM26" s="890">
        <f t="shared" si="9"/>
        <v>0</v>
      </c>
      <c r="AN26" s="890"/>
      <c r="AO26" s="890">
        <f t="shared" si="10"/>
        <v>284.18700000000024</v>
      </c>
      <c r="AP26" s="890">
        <f t="shared" si="11"/>
        <v>284.18700000000024</v>
      </c>
      <c r="AQ26" s="952">
        <f t="shared" si="12"/>
        <v>284.18700000000024</v>
      </c>
      <c r="AR26" s="973">
        <f t="shared" si="35"/>
        <v>0</v>
      </c>
      <c r="AS26" s="889">
        <f t="shared" si="13"/>
        <v>942069.67426800064</v>
      </c>
      <c r="AT26" s="890">
        <f t="shared" si="13"/>
        <v>0</v>
      </c>
      <c r="AU26" s="890">
        <f t="shared" si="13"/>
        <v>0</v>
      </c>
      <c r="AV26" s="890">
        <f t="shared" si="13"/>
        <v>0</v>
      </c>
      <c r="AW26" s="890">
        <f t="shared" si="13"/>
        <v>0</v>
      </c>
      <c r="AX26" s="890">
        <f t="shared" si="47"/>
        <v>942069.67426800064</v>
      </c>
      <c r="AY26" s="890">
        <f t="shared" si="48"/>
        <v>942069.67426800064</v>
      </c>
      <c r="AZ26" s="890">
        <f t="shared" si="14"/>
        <v>1068136.1642160008</v>
      </c>
      <c r="BA26" s="890">
        <f t="shared" si="14"/>
        <v>0</v>
      </c>
      <c r="BB26" s="890">
        <f t="shared" si="14"/>
        <v>0</v>
      </c>
      <c r="BC26" s="890">
        <f t="shared" si="14"/>
        <v>0</v>
      </c>
      <c r="BD26" s="890">
        <f t="shared" si="14"/>
        <v>0</v>
      </c>
      <c r="BE26" s="890">
        <f t="shared" si="49"/>
        <v>1068136.1642160008</v>
      </c>
      <c r="BF26" s="952">
        <f t="shared" si="52"/>
        <v>1068136.1642160008</v>
      </c>
      <c r="BG26" s="953">
        <f t="shared" si="67"/>
        <v>0</v>
      </c>
      <c r="BH26" s="954">
        <f t="shared" si="68"/>
        <v>0</v>
      </c>
      <c r="BI26" s="955">
        <f t="shared" si="7"/>
        <v>0</v>
      </c>
      <c r="BJ26" s="890"/>
      <c r="BK26" s="1199"/>
      <c r="BL26" s="890">
        <f t="shared" si="53"/>
        <v>595987.43266800081</v>
      </c>
      <c r="BM26" s="890">
        <f t="shared" si="53"/>
        <v>0</v>
      </c>
      <c r="BN26" s="890">
        <f t="shared" si="15"/>
        <v>0</v>
      </c>
      <c r="BO26" s="890">
        <f t="shared" si="15"/>
        <v>0</v>
      </c>
      <c r="BP26" s="890">
        <f t="shared" si="15"/>
        <v>0</v>
      </c>
      <c r="BQ26" s="890">
        <f t="shared" si="54"/>
        <v>595987.43266800081</v>
      </c>
      <c r="BR26" s="890">
        <f t="shared" si="55"/>
        <v>595987.43266800081</v>
      </c>
      <c r="BS26" s="890">
        <f t="shared" si="56"/>
        <v>392394.49920000002</v>
      </c>
      <c r="BT26" s="890">
        <f t="shared" si="56"/>
        <v>0</v>
      </c>
      <c r="BU26" s="890">
        <f t="shared" si="16"/>
        <v>0</v>
      </c>
      <c r="BV26" s="890">
        <f t="shared" si="57"/>
        <v>0</v>
      </c>
      <c r="BW26" s="890">
        <f t="shared" si="17"/>
        <v>0</v>
      </c>
      <c r="BX26" s="890">
        <f t="shared" si="58"/>
        <v>392394.49920000002</v>
      </c>
      <c r="BY26" s="890">
        <f t="shared" si="59"/>
        <v>392394.49920000002</v>
      </c>
      <c r="BZ26" s="945">
        <f t="shared" si="60"/>
        <v>0</v>
      </c>
      <c r="CA26" s="945">
        <f t="shared" si="36"/>
        <v>0</v>
      </c>
      <c r="CB26" s="945">
        <f t="shared" si="61"/>
        <v>0</v>
      </c>
      <c r="CC26" s="976" t="e">
        <f t="shared" si="62"/>
        <v>#DIV/0!</v>
      </c>
      <c r="CD26" s="976" t="e">
        <f t="shared" si="37"/>
        <v>#DIV/0!</v>
      </c>
      <c r="CE26" s="976" t="e">
        <f t="shared" si="38"/>
        <v>#DIV/0!</v>
      </c>
      <c r="CF26" s="945" t="e">
        <f t="shared" si="18"/>
        <v>#DIV/0!</v>
      </c>
      <c r="CG26" s="977">
        <f t="shared" si="19"/>
        <v>0</v>
      </c>
      <c r="CH26" s="977" t="e">
        <f t="shared" si="39"/>
        <v>#DIV/0!</v>
      </c>
      <c r="CI26" s="945"/>
      <c r="CJ26" s="1312">
        <f t="shared" si="69"/>
        <v>595.98743266800079</v>
      </c>
      <c r="CK26" s="1312">
        <f t="shared" si="20"/>
        <v>392.39449920000004</v>
      </c>
      <c r="CL26" s="1312">
        <f t="shared" si="40"/>
        <v>988.38193186800083</v>
      </c>
      <c r="CM26" s="890">
        <f t="shared" si="41"/>
        <v>1068.1361642160009</v>
      </c>
      <c r="CN26" s="890">
        <f t="shared" si="42"/>
        <v>79.754232348000073</v>
      </c>
      <c r="CO26" s="890">
        <f t="shared" si="21"/>
        <v>988381.93186800089</v>
      </c>
      <c r="CP26" s="890">
        <f t="shared" si="22"/>
        <v>942069.67426800064</v>
      </c>
      <c r="CQ26" s="890">
        <f t="shared" si="23"/>
        <v>942069.67426800064</v>
      </c>
      <c r="CR26" s="890">
        <f t="shared" si="24"/>
        <v>595987.43266800081</v>
      </c>
      <c r="CS26" s="890">
        <f t="shared" si="25"/>
        <v>1068136.1642160008</v>
      </c>
      <c r="CT26" s="890">
        <f t="shared" si="26"/>
        <v>1068136.1642160008</v>
      </c>
      <c r="CU26" s="890">
        <f t="shared" si="27"/>
        <v>392394.49920000002</v>
      </c>
      <c r="CV26" s="890">
        <f t="shared" si="43"/>
        <v>2010205.8384840013</v>
      </c>
      <c r="CW26" s="978">
        <f t="shared" si="44"/>
        <v>7073.5319999999983</v>
      </c>
      <c r="CX26" s="890">
        <f t="shared" si="28"/>
        <v>0</v>
      </c>
      <c r="CY26" s="890">
        <f t="shared" si="29"/>
        <v>0</v>
      </c>
      <c r="CZ26" s="890"/>
      <c r="DA26" s="890">
        <f t="shared" si="30"/>
        <v>942069.67426800064</v>
      </c>
      <c r="DB26" s="890">
        <f t="shared" si="31"/>
        <v>1068136.1642160008</v>
      </c>
      <c r="DC26" s="840"/>
      <c r="DD26" s="841" t="e">
        <f t="shared" si="45"/>
        <v>#DIV/0!</v>
      </c>
      <c r="DE26" s="840"/>
      <c r="DF26" s="840"/>
      <c r="DG26" s="840"/>
      <c r="DH26" s="1050"/>
      <c r="DI26" s="1050"/>
      <c r="DJ26" s="1050"/>
      <c r="DK26" s="945"/>
      <c r="DL26" s="975">
        <f t="shared" si="32"/>
        <v>0</v>
      </c>
      <c r="DM26" s="975">
        <f t="shared" si="33"/>
        <v>0</v>
      </c>
      <c r="DN26" s="975">
        <f t="shared" si="34"/>
        <v>0</v>
      </c>
      <c r="DO26" s="816"/>
      <c r="DP26" s="871"/>
      <c r="DQ26" s="871"/>
      <c r="DR26" s="871"/>
      <c r="DS26" s="871"/>
      <c r="DT26" s="871"/>
      <c r="DU26" s="871"/>
      <c r="DV26" s="871"/>
      <c r="DW26" s="871"/>
      <c r="DX26" s="871"/>
      <c r="DY26" s="871"/>
      <c r="DZ26" s="871"/>
      <c r="EA26" s="871"/>
      <c r="EB26" s="871"/>
      <c r="EC26" s="871"/>
      <c r="ED26" s="871"/>
      <c r="EE26" s="871"/>
      <c r="EF26" s="871"/>
      <c r="EG26" s="871"/>
      <c r="EH26" s="871"/>
      <c r="EI26" s="871"/>
      <c r="EJ26" s="871"/>
      <c r="EK26" s="871"/>
      <c r="EL26" s="871"/>
    </row>
    <row r="27" spans="1:142" s="869" customFormat="1" ht="75" hidden="1" customHeight="1">
      <c r="A27" s="6">
        <f t="shared" si="46"/>
        <v>14</v>
      </c>
      <c r="B27" s="886" t="s">
        <v>11</v>
      </c>
      <c r="C27" s="1395" t="s">
        <v>80</v>
      </c>
      <c r="D27" s="1262" t="s">
        <v>141</v>
      </c>
      <c r="E27" s="887">
        <v>4632024035</v>
      </c>
      <c r="F27" s="886" t="s">
        <v>8</v>
      </c>
      <c r="G27" s="1238" t="s">
        <v>983</v>
      </c>
      <c r="H27" s="1256">
        <v>3314.9639999999995</v>
      </c>
      <c r="I27" s="1257">
        <f t="shared" si="63"/>
        <v>3314.9639999999995</v>
      </c>
      <c r="J27" s="891"/>
      <c r="K27" s="891"/>
      <c r="L27" s="1256">
        <v>3314.9639999999995</v>
      </c>
      <c r="M27" s="946"/>
      <c r="N27" s="1259">
        <f t="shared" si="64"/>
        <v>3758.5679999999998</v>
      </c>
      <c r="O27" s="1260">
        <f t="shared" si="65"/>
        <v>3758.5679999999998</v>
      </c>
      <c r="P27" s="891"/>
      <c r="Q27" s="891"/>
      <c r="R27" s="1260">
        <f t="shared" si="66"/>
        <v>3758.5679999999998</v>
      </c>
      <c r="S27" s="946"/>
      <c r="T27" s="1307">
        <v>151.48999999999998</v>
      </c>
      <c r="U27" s="1275"/>
      <c r="V27" s="890"/>
      <c r="W27" s="890"/>
      <c r="X27" s="890"/>
      <c r="Y27" s="890"/>
      <c r="Z27" s="949">
        <f t="shared" si="8"/>
        <v>151.48999999999998</v>
      </c>
      <c r="AA27" s="1308">
        <v>104.4</v>
      </c>
      <c r="AB27" s="890"/>
      <c r="AC27" s="890"/>
      <c r="AD27" s="890"/>
      <c r="AE27" s="890"/>
      <c r="AF27" s="890"/>
      <c r="AG27" s="951">
        <f t="shared" si="50"/>
        <v>104.4</v>
      </c>
      <c r="AH27" s="947">
        <f t="shared" si="51"/>
        <v>255.89</v>
      </c>
      <c r="AI27" s="890">
        <f t="shared" si="9"/>
        <v>255.89</v>
      </c>
      <c r="AJ27" s="890">
        <f t="shared" si="9"/>
        <v>0</v>
      </c>
      <c r="AK27" s="890">
        <f t="shared" si="9"/>
        <v>0</v>
      </c>
      <c r="AL27" s="890">
        <f t="shared" si="9"/>
        <v>0</v>
      </c>
      <c r="AM27" s="890">
        <f t="shared" si="9"/>
        <v>0</v>
      </c>
      <c r="AN27" s="890"/>
      <c r="AO27" s="890">
        <f t="shared" si="10"/>
        <v>255.89</v>
      </c>
      <c r="AP27" s="890">
        <f t="shared" si="11"/>
        <v>255.89</v>
      </c>
      <c r="AQ27" s="952">
        <f t="shared" si="12"/>
        <v>255.89</v>
      </c>
      <c r="AR27" s="973">
        <f t="shared" si="35"/>
        <v>0</v>
      </c>
      <c r="AS27" s="889">
        <f t="shared" si="13"/>
        <v>848266.13795999985</v>
      </c>
      <c r="AT27" s="890">
        <f t="shared" si="13"/>
        <v>0</v>
      </c>
      <c r="AU27" s="890">
        <f t="shared" si="13"/>
        <v>0</v>
      </c>
      <c r="AV27" s="890">
        <f t="shared" si="13"/>
        <v>0</v>
      </c>
      <c r="AW27" s="890">
        <f t="shared" si="13"/>
        <v>0</v>
      </c>
      <c r="AX27" s="890">
        <f t="shared" si="47"/>
        <v>848266.13795999985</v>
      </c>
      <c r="AY27" s="890">
        <f t="shared" si="48"/>
        <v>848266.13795999985</v>
      </c>
      <c r="AZ27" s="890">
        <f t="shared" si="14"/>
        <v>961779.96551999985</v>
      </c>
      <c r="BA27" s="890">
        <f t="shared" si="14"/>
        <v>0</v>
      </c>
      <c r="BB27" s="890">
        <f t="shared" si="14"/>
        <v>0</v>
      </c>
      <c r="BC27" s="890">
        <f t="shared" si="14"/>
        <v>0</v>
      </c>
      <c r="BD27" s="890">
        <f t="shared" si="14"/>
        <v>0</v>
      </c>
      <c r="BE27" s="890">
        <f t="shared" si="49"/>
        <v>961779.96551999985</v>
      </c>
      <c r="BF27" s="952">
        <f t="shared" si="52"/>
        <v>961779.96551999985</v>
      </c>
      <c r="BG27" s="953">
        <f t="shared" si="67"/>
        <v>0</v>
      </c>
      <c r="BH27" s="954">
        <f t="shared" si="68"/>
        <v>0</v>
      </c>
      <c r="BI27" s="955">
        <f t="shared" si="7"/>
        <v>0</v>
      </c>
      <c r="BJ27" s="890"/>
      <c r="BK27" s="1199"/>
      <c r="BL27" s="890">
        <f t="shared" si="53"/>
        <v>502183.89635999984</v>
      </c>
      <c r="BM27" s="890">
        <f t="shared" si="53"/>
        <v>0</v>
      </c>
      <c r="BN27" s="890">
        <f t="shared" si="15"/>
        <v>0</v>
      </c>
      <c r="BO27" s="890">
        <f t="shared" si="15"/>
        <v>0</v>
      </c>
      <c r="BP27" s="890">
        <f t="shared" si="15"/>
        <v>0</v>
      </c>
      <c r="BQ27" s="890">
        <f t="shared" si="54"/>
        <v>502183.89635999984</v>
      </c>
      <c r="BR27" s="890">
        <f t="shared" si="55"/>
        <v>502183.89635999984</v>
      </c>
      <c r="BS27" s="890">
        <f t="shared" si="56"/>
        <v>392394.49920000002</v>
      </c>
      <c r="BT27" s="890">
        <f t="shared" si="56"/>
        <v>0</v>
      </c>
      <c r="BU27" s="890">
        <f t="shared" si="16"/>
        <v>0</v>
      </c>
      <c r="BV27" s="890">
        <f t="shared" si="57"/>
        <v>0</v>
      </c>
      <c r="BW27" s="890">
        <f t="shared" si="17"/>
        <v>0</v>
      </c>
      <c r="BX27" s="890">
        <f t="shared" si="58"/>
        <v>392394.49920000002</v>
      </c>
      <c r="BY27" s="890">
        <f t="shared" si="59"/>
        <v>392394.49920000002</v>
      </c>
      <c r="BZ27" s="945">
        <f t="shared" si="60"/>
        <v>0</v>
      </c>
      <c r="CA27" s="945">
        <f t="shared" si="36"/>
        <v>0</v>
      </c>
      <c r="CB27" s="945">
        <f t="shared" si="61"/>
        <v>0</v>
      </c>
      <c r="CC27" s="976" t="e">
        <f t="shared" si="62"/>
        <v>#DIV/0!</v>
      </c>
      <c r="CD27" s="976" t="e">
        <f t="shared" si="37"/>
        <v>#DIV/0!</v>
      </c>
      <c r="CE27" s="976" t="e">
        <f t="shared" si="38"/>
        <v>#DIV/0!</v>
      </c>
      <c r="CF27" s="945" t="e">
        <f t="shared" si="18"/>
        <v>#DIV/0!</v>
      </c>
      <c r="CG27" s="977">
        <f t="shared" si="19"/>
        <v>0</v>
      </c>
      <c r="CH27" s="977" t="e">
        <f t="shared" si="39"/>
        <v>#DIV/0!</v>
      </c>
      <c r="CI27" s="945"/>
      <c r="CJ27" s="1312">
        <f t="shared" si="69"/>
        <v>502.18389635999984</v>
      </c>
      <c r="CK27" s="1312">
        <f t="shared" si="20"/>
        <v>392.39449920000004</v>
      </c>
      <c r="CL27" s="1312">
        <f t="shared" si="40"/>
        <v>894.57839555999988</v>
      </c>
      <c r="CM27" s="890">
        <f t="shared" si="41"/>
        <v>961.77996551999991</v>
      </c>
      <c r="CN27" s="890">
        <f t="shared" si="42"/>
        <v>67.201569960000029</v>
      </c>
      <c r="CO27" s="890">
        <f t="shared" si="21"/>
        <v>894578.39555999986</v>
      </c>
      <c r="CP27" s="890">
        <f t="shared" si="22"/>
        <v>848266.13795999985</v>
      </c>
      <c r="CQ27" s="890">
        <f t="shared" si="23"/>
        <v>848266.13795999985</v>
      </c>
      <c r="CR27" s="890">
        <f t="shared" si="24"/>
        <v>502183.89635999984</v>
      </c>
      <c r="CS27" s="890">
        <f t="shared" si="25"/>
        <v>961779.96551999985</v>
      </c>
      <c r="CT27" s="890">
        <f t="shared" si="26"/>
        <v>961779.96551999985</v>
      </c>
      <c r="CU27" s="890">
        <f t="shared" si="27"/>
        <v>392394.49920000002</v>
      </c>
      <c r="CV27" s="890">
        <f t="shared" si="43"/>
        <v>1810046.1034799996</v>
      </c>
      <c r="CW27" s="978">
        <f t="shared" si="44"/>
        <v>7073.5319999999983</v>
      </c>
      <c r="CX27" s="890">
        <f t="shared" si="28"/>
        <v>0</v>
      </c>
      <c r="CY27" s="890">
        <f t="shared" si="29"/>
        <v>0</v>
      </c>
      <c r="CZ27" s="890"/>
      <c r="DA27" s="890">
        <f t="shared" si="30"/>
        <v>848266.13795999985</v>
      </c>
      <c r="DB27" s="890">
        <f t="shared" si="31"/>
        <v>961779.96551999985</v>
      </c>
      <c r="DC27" s="840"/>
      <c r="DD27" s="841" t="e">
        <f t="shared" si="45"/>
        <v>#DIV/0!</v>
      </c>
      <c r="DE27" s="840"/>
      <c r="DF27" s="840"/>
      <c r="DG27" s="840"/>
      <c r="DH27" s="1050"/>
      <c r="DI27" s="1050"/>
      <c r="DJ27" s="1050"/>
      <c r="DK27" s="945"/>
      <c r="DL27" s="975">
        <f t="shared" si="32"/>
        <v>0</v>
      </c>
      <c r="DM27" s="975">
        <f t="shared" si="33"/>
        <v>0</v>
      </c>
      <c r="DN27" s="975">
        <f t="shared" si="34"/>
        <v>0</v>
      </c>
      <c r="DO27" s="816"/>
      <c r="DP27" s="871"/>
      <c r="DQ27" s="871"/>
      <c r="DR27" s="871"/>
      <c r="DS27" s="871"/>
      <c r="DT27" s="871"/>
      <c r="DU27" s="871"/>
      <c r="DV27" s="871"/>
      <c r="DW27" s="871"/>
      <c r="DX27" s="871"/>
      <c r="DY27" s="871"/>
      <c r="DZ27" s="871"/>
      <c r="EA27" s="871"/>
      <c r="EB27" s="871"/>
      <c r="EC27" s="871"/>
      <c r="ED27" s="871"/>
      <c r="EE27" s="871"/>
      <c r="EF27" s="871"/>
      <c r="EG27" s="871"/>
      <c r="EH27" s="871"/>
      <c r="EI27" s="871"/>
      <c r="EJ27" s="871"/>
      <c r="EK27" s="871"/>
      <c r="EL27" s="871"/>
    </row>
    <row r="28" spans="1:142" s="869" customFormat="1" ht="78.75" hidden="1" customHeight="1">
      <c r="A28" s="6">
        <f t="shared" si="46"/>
        <v>15</v>
      </c>
      <c r="B28" s="956" t="s">
        <v>12</v>
      </c>
      <c r="C28" s="1396" t="s">
        <v>81</v>
      </c>
      <c r="D28" s="1262" t="s">
        <v>141</v>
      </c>
      <c r="E28" s="887">
        <v>4632024035</v>
      </c>
      <c r="F28" s="886" t="s">
        <v>8</v>
      </c>
      <c r="G28" s="1238" t="s">
        <v>983</v>
      </c>
      <c r="H28" s="1256">
        <v>3314.9639999999995</v>
      </c>
      <c r="I28" s="1257">
        <f t="shared" si="63"/>
        <v>3314.9639999999995</v>
      </c>
      <c r="J28" s="1263">
        <v>2484</v>
      </c>
      <c r="K28" s="891"/>
      <c r="L28" s="1256">
        <v>3314.9639999999995</v>
      </c>
      <c r="M28" s="946"/>
      <c r="N28" s="1259">
        <f t="shared" si="64"/>
        <v>3758.5679999999998</v>
      </c>
      <c r="O28" s="1260">
        <f t="shared" si="65"/>
        <v>3758.5679999999998</v>
      </c>
      <c r="P28" s="1264">
        <v>2719.98</v>
      </c>
      <c r="Q28" s="891"/>
      <c r="R28" s="1260">
        <f t="shared" si="66"/>
        <v>3758.5679999999998</v>
      </c>
      <c r="S28" s="946"/>
      <c r="T28" s="1307">
        <v>4174.4989999999998</v>
      </c>
      <c r="U28" s="1292">
        <v>5080.3180000000002</v>
      </c>
      <c r="V28" s="948"/>
      <c r="W28" s="948"/>
      <c r="X28" s="948"/>
      <c r="Y28" s="948"/>
      <c r="Z28" s="949">
        <f t="shared" si="8"/>
        <v>9254.8169999999991</v>
      </c>
      <c r="AA28" s="1308">
        <v>2661.5439999999999</v>
      </c>
      <c r="AB28" s="1292">
        <v>4294.5959999999995</v>
      </c>
      <c r="AC28" s="890"/>
      <c r="AD28" s="890"/>
      <c r="AE28" s="890"/>
      <c r="AF28" s="890"/>
      <c r="AG28" s="951">
        <f t="shared" si="50"/>
        <v>6956.1399999999994</v>
      </c>
      <c r="AH28" s="947">
        <f t="shared" si="51"/>
        <v>16210.956999999999</v>
      </c>
      <c r="AI28" s="890">
        <f t="shared" si="9"/>
        <v>6836.0429999999997</v>
      </c>
      <c r="AJ28" s="890">
        <f t="shared" si="9"/>
        <v>9374.9140000000007</v>
      </c>
      <c r="AK28" s="890">
        <f t="shared" si="9"/>
        <v>0</v>
      </c>
      <c r="AL28" s="890">
        <f t="shared" si="9"/>
        <v>0</v>
      </c>
      <c r="AM28" s="890">
        <f t="shared" si="9"/>
        <v>0</v>
      </c>
      <c r="AN28" s="890"/>
      <c r="AO28" s="890">
        <f t="shared" ref="AO28:AO90" si="70">SUM(AI28:AN28)</f>
        <v>16210.957</v>
      </c>
      <c r="AP28" s="890">
        <f t="shared" ref="AP28:AP90" si="71">SUM(AI28:AM28)</f>
        <v>16210.957</v>
      </c>
      <c r="AQ28" s="952">
        <f t="shared" ref="AQ28:AQ70" si="72">SUM(AI28:AL28)</f>
        <v>16210.957</v>
      </c>
      <c r="AR28" s="973">
        <f t="shared" si="35"/>
        <v>0</v>
      </c>
      <c r="AS28" s="889">
        <f t="shared" si="13"/>
        <v>22661236.447451994</v>
      </c>
      <c r="AT28" s="890">
        <f t="shared" si="13"/>
        <v>23287286.376000002</v>
      </c>
      <c r="AU28" s="890">
        <f t="shared" si="13"/>
        <v>0</v>
      </c>
      <c r="AV28" s="890">
        <f t="shared" si="13"/>
        <v>0</v>
      </c>
      <c r="AW28" s="890">
        <f t="shared" si="13"/>
        <v>0</v>
      </c>
      <c r="AX28" s="890">
        <f t="shared" si="47"/>
        <v>45948522.823451996</v>
      </c>
      <c r="AY28" s="890">
        <f t="shared" si="48"/>
        <v>45948522.823451996</v>
      </c>
      <c r="AZ28" s="890">
        <f t="shared" si="14"/>
        <v>25693732.466423996</v>
      </c>
      <c r="BA28" s="890">
        <f t="shared" si="14"/>
        <v>25499578.581720002</v>
      </c>
      <c r="BB28" s="890">
        <f t="shared" si="14"/>
        <v>0</v>
      </c>
      <c r="BC28" s="890">
        <f t="shared" si="14"/>
        <v>0</v>
      </c>
      <c r="BD28" s="890">
        <f t="shared" si="14"/>
        <v>0</v>
      </c>
      <c r="BE28" s="890">
        <f t="shared" si="49"/>
        <v>51193311.048143998</v>
      </c>
      <c r="BF28" s="952">
        <f t="shared" si="52"/>
        <v>51193311.048143998</v>
      </c>
      <c r="BG28" s="953">
        <f t="shared" si="67"/>
        <v>3517.9678054599981</v>
      </c>
      <c r="BH28" s="954">
        <f t="shared" si="68"/>
        <v>3716.9298920399997</v>
      </c>
      <c r="BI28" s="955">
        <f t="shared" si="7"/>
        <v>7234.8976974999978</v>
      </c>
      <c r="BJ28" s="955"/>
      <c r="BK28" s="1197"/>
      <c r="BL28" s="890">
        <f t="shared" si="53"/>
        <v>13838313.903035996</v>
      </c>
      <c r="BM28" s="890">
        <f t="shared" si="53"/>
        <v>12619509.912</v>
      </c>
      <c r="BN28" s="890">
        <f t="shared" si="15"/>
        <v>0</v>
      </c>
      <c r="BO28" s="890">
        <f t="shared" si="15"/>
        <v>0</v>
      </c>
      <c r="BP28" s="890">
        <f t="shared" si="15"/>
        <v>0</v>
      </c>
      <c r="BQ28" s="890">
        <f t="shared" si="54"/>
        <v>26457823.815035999</v>
      </c>
      <c r="BR28" s="890">
        <f t="shared" si="55"/>
        <v>26457823.815035999</v>
      </c>
      <c r="BS28" s="890">
        <f t="shared" si="56"/>
        <v>10003594.108991999</v>
      </c>
      <c r="BT28" s="890">
        <f t="shared" si="56"/>
        <v>11681215.228079999</v>
      </c>
      <c r="BU28" s="890">
        <f t="shared" si="16"/>
        <v>0</v>
      </c>
      <c r="BV28" s="890">
        <f t="shared" si="57"/>
        <v>0</v>
      </c>
      <c r="BW28" s="890">
        <f t="shared" si="17"/>
        <v>0</v>
      </c>
      <c r="BX28" s="890">
        <f t="shared" si="58"/>
        <v>21684809.337072</v>
      </c>
      <c r="BY28" s="890">
        <f t="shared" si="59"/>
        <v>21684809.337072</v>
      </c>
      <c r="BZ28" s="945">
        <f t="shared" si="60"/>
        <v>24300725.140079997</v>
      </c>
      <c r="CA28" s="945">
        <f t="shared" si="36"/>
        <v>0</v>
      </c>
      <c r="CB28" s="945">
        <f t="shared" si="61"/>
        <v>24300725.140079997</v>
      </c>
      <c r="CC28" s="976">
        <f t="shared" si="62"/>
        <v>2592.1011264828667</v>
      </c>
      <c r="CD28" s="976" t="e">
        <f t="shared" si="37"/>
        <v>#DIV/0!</v>
      </c>
      <c r="CE28" s="976">
        <f t="shared" si="38"/>
        <v>2592.1011264828667</v>
      </c>
      <c r="CF28" s="976">
        <f t="shared" si="18"/>
        <v>2592.1011264828667</v>
      </c>
      <c r="CG28" s="977">
        <f t="shared" si="19"/>
        <v>32982602.377079997</v>
      </c>
      <c r="CH28" s="977">
        <f t="shared" si="39"/>
        <v>3518.1765269612069</v>
      </c>
      <c r="CI28" s="945"/>
      <c r="CJ28" s="1312">
        <f t="shared" si="69"/>
        <v>30679.385181587993</v>
      </c>
      <c r="CK28" s="1312">
        <f t="shared" si="20"/>
        <v>26145.125207519995</v>
      </c>
      <c r="CL28" s="1312">
        <f t="shared" si="40"/>
        <v>56824.510389107993</v>
      </c>
      <c r="CM28" s="890">
        <f t="shared" si="41"/>
        <v>60929.984229575988</v>
      </c>
      <c r="CN28" s="890">
        <f t="shared" si="42"/>
        <v>4105.4738404679956</v>
      </c>
      <c r="CO28" s="890">
        <f t="shared" si="21"/>
        <v>56824510.389107987</v>
      </c>
      <c r="CP28" s="890">
        <f t="shared" si="22"/>
        <v>45948522.823451996</v>
      </c>
      <c r="CQ28" s="890">
        <f t="shared" si="23"/>
        <v>45948522.823451996</v>
      </c>
      <c r="CR28" s="890">
        <f t="shared" si="24"/>
        <v>26457823.815035999</v>
      </c>
      <c r="CS28" s="890">
        <f t="shared" si="25"/>
        <v>51193311.048143998</v>
      </c>
      <c r="CT28" s="890">
        <f t="shared" si="26"/>
        <v>51193311.048143998</v>
      </c>
      <c r="CU28" s="890">
        <f t="shared" si="27"/>
        <v>21684809.337072</v>
      </c>
      <c r="CV28" s="890">
        <f t="shared" si="43"/>
        <v>97141833.871595994</v>
      </c>
      <c r="CW28" s="978">
        <f t="shared" si="44"/>
        <v>5992.3565198276701</v>
      </c>
      <c r="CX28" s="890">
        <f t="shared" si="28"/>
        <v>23287286.376000002</v>
      </c>
      <c r="CY28" s="890">
        <f t="shared" si="29"/>
        <v>25499578.581720002</v>
      </c>
      <c r="CZ28" s="890"/>
      <c r="DA28" s="890">
        <f t="shared" si="30"/>
        <v>53738738.86054799</v>
      </c>
      <c r="DB28" s="890">
        <f t="shared" si="31"/>
        <v>60929984.229575999</v>
      </c>
      <c r="DC28" s="840"/>
      <c r="DD28" s="841">
        <f t="shared" si="45"/>
        <v>151.3111111111111</v>
      </c>
      <c r="DE28" s="840"/>
      <c r="DF28" s="840"/>
      <c r="DG28" s="840"/>
      <c r="DH28" s="1050"/>
      <c r="DI28" s="1050"/>
      <c r="DJ28" s="1050"/>
      <c r="DK28" s="945"/>
      <c r="DL28" s="975">
        <f t="shared" si="32"/>
        <v>0</v>
      </c>
      <c r="DM28" s="975">
        <f t="shared" si="33"/>
        <v>0</v>
      </c>
      <c r="DN28" s="975">
        <f t="shared" si="34"/>
        <v>0</v>
      </c>
      <c r="DO28" s="816"/>
      <c r="DP28" s="871"/>
      <c r="DQ28" s="871"/>
      <c r="DR28" s="871"/>
      <c r="DS28" s="871"/>
      <c r="DT28" s="871"/>
      <c r="DU28" s="871"/>
      <c r="DV28" s="871"/>
      <c r="DW28" s="871"/>
      <c r="DX28" s="871"/>
      <c r="DY28" s="871"/>
      <c r="DZ28" s="871"/>
      <c r="EA28" s="871"/>
      <c r="EB28" s="871"/>
      <c r="EC28" s="871"/>
      <c r="ED28" s="871"/>
      <c r="EE28" s="871"/>
      <c r="EF28" s="871"/>
      <c r="EG28" s="871"/>
      <c r="EH28" s="871"/>
      <c r="EI28" s="871"/>
      <c r="EJ28" s="871"/>
      <c r="EK28" s="871"/>
      <c r="EL28" s="871"/>
    </row>
    <row r="29" spans="1:142" s="50" customFormat="1" ht="80.25" hidden="1" customHeight="1">
      <c r="A29" s="6">
        <f t="shared" si="46"/>
        <v>16</v>
      </c>
      <c r="B29" s="886" t="s">
        <v>13</v>
      </c>
      <c r="C29" s="1336" t="s">
        <v>83</v>
      </c>
      <c r="D29" s="1336" t="s">
        <v>82</v>
      </c>
      <c r="E29" s="958">
        <v>4633037132</v>
      </c>
      <c r="F29" s="957" t="s">
        <v>8</v>
      </c>
      <c r="G29" s="888" t="s">
        <v>924</v>
      </c>
      <c r="H29" s="1313">
        <v>2889.53</v>
      </c>
      <c r="I29" s="1316">
        <v>2889.53</v>
      </c>
      <c r="J29" s="1318">
        <v>2449.06</v>
      </c>
      <c r="K29" s="1264">
        <v>1982.98</v>
      </c>
      <c r="L29" s="891"/>
      <c r="M29" s="892"/>
      <c r="N29" s="1319">
        <v>3438.24</v>
      </c>
      <c r="O29" s="1264">
        <v>3438.24</v>
      </c>
      <c r="P29" s="1318">
        <v>2801.48</v>
      </c>
      <c r="Q29" s="1264">
        <v>2268.33</v>
      </c>
      <c r="R29" s="895"/>
      <c r="S29" s="892"/>
      <c r="T29" s="1321">
        <v>848.80000000000007</v>
      </c>
      <c r="U29" s="1320">
        <v>4138.1589999999997</v>
      </c>
      <c r="V29" s="1320">
        <v>558.25109999999995</v>
      </c>
      <c r="W29" s="1320"/>
      <c r="X29" s="1320"/>
      <c r="Y29" s="1320"/>
      <c r="Z29" s="1322">
        <f t="shared" si="8"/>
        <v>5545.2101000000002</v>
      </c>
      <c r="AA29" s="1323">
        <v>637.06000000000006</v>
      </c>
      <c r="AB29" s="1320">
        <v>3103.6190000000001</v>
      </c>
      <c r="AC29" s="1320">
        <v>434.07787819999993</v>
      </c>
      <c r="AD29" s="1320"/>
      <c r="AE29" s="1320"/>
      <c r="AF29" s="1320"/>
      <c r="AG29" s="1324">
        <f t="shared" si="50"/>
        <v>4174.7568781999998</v>
      </c>
      <c r="AH29" s="896">
        <f t="shared" si="51"/>
        <v>9719.9669782000001</v>
      </c>
      <c r="AI29" s="897">
        <f t="shared" si="9"/>
        <v>1485.8600000000001</v>
      </c>
      <c r="AJ29" s="897">
        <f t="shared" si="9"/>
        <v>7241.7780000000002</v>
      </c>
      <c r="AK29" s="897">
        <f t="shared" si="9"/>
        <v>992.32897819999994</v>
      </c>
      <c r="AL29" s="897">
        <f t="shared" si="9"/>
        <v>0</v>
      </c>
      <c r="AM29" s="897">
        <f t="shared" si="9"/>
        <v>0</v>
      </c>
      <c r="AN29" s="897"/>
      <c r="AO29" s="897">
        <f t="shared" si="70"/>
        <v>9719.9669782000001</v>
      </c>
      <c r="AP29" s="897">
        <f t="shared" si="71"/>
        <v>9719.9669782000001</v>
      </c>
      <c r="AQ29" s="901">
        <f t="shared" si="72"/>
        <v>9719.9669782000001</v>
      </c>
      <c r="AR29" s="902">
        <f t="shared" si="35"/>
        <v>0</v>
      </c>
      <c r="AS29" s="903">
        <f t="shared" si="13"/>
        <v>4293437.0458000004</v>
      </c>
      <c r="AT29" s="897">
        <f t="shared" si="13"/>
        <v>17735548.828680001</v>
      </c>
      <c r="AU29" s="897">
        <f t="shared" si="13"/>
        <v>1967768.5171910359</v>
      </c>
      <c r="AV29" s="908">
        <f t="shared" si="13"/>
        <v>0</v>
      </c>
      <c r="AW29" s="908">
        <f t="shared" si="13"/>
        <v>0</v>
      </c>
      <c r="AX29" s="897">
        <f t="shared" si="47"/>
        <v>23996754.391671039</v>
      </c>
      <c r="AY29" s="897">
        <f t="shared" si="48"/>
        <v>23996754.391671039</v>
      </c>
      <c r="AZ29" s="897">
        <f t="shared" si="14"/>
        <v>5108743.2864000006</v>
      </c>
      <c r="BA29" s="897">
        <f t="shared" si="14"/>
        <v>20287696.23144</v>
      </c>
      <c r="BB29" s="897">
        <f t="shared" si="14"/>
        <v>2250929.5911204056</v>
      </c>
      <c r="BC29" s="897">
        <f t="shared" si="14"/>
        <v>0</v>
      </c>
      <c r="BD29" s="897">
        <f t="shared" si="14"/>
        <v>0</v>
      </c>
      <c r="BE29" s="897">
        <f t="shared" si="49"/>
        <v>27647369.108960409</v>
      </c>
      <c r="BF29" s="901">
        <f t="shared" si="52"/>
        <v>27647369.108960409</v>
      </c>
      <c r="BG29" s="1293">
        <f>(H29-J29)*U29/1000+(H29-K29)*V29/1000</f>
        <v>2328.817429435001</v>
      </c>
      <c r="BH29" s="1294">
        <f>(N29-P29)*AB29/1000+(N29-Q29)*AC29/1000</f>
        <v>2484.0924849249609</v>
      </c>
      <c r="BI29" s="1296">
        <f>BG29+BH29+0.0727996472733139</f>
        <v>4812.9827140072348</v>
      </c>
      <c r="BJ29" s="962">
        <v>57012.317550545107</v>
      </c>
      <c r="BK29" s="1197"/>
      <c r="BL29" s="897">
        <f t="shared" si="53"/>
        <v>2452633.0640000002</v>
      </c>
      <c r="BM29" s="897">
        <f t="shared" si="53"/>
        <v>10134599.680539999</v>
      </c>
      <c r="BN29" s="897">
        <f t="shared" si="15"/>
        <v>1107000.7662779998</v>
      </c>
      <c r="BO29" s="897">
        <f t="shared" si="15"/>
        <v>0</v>
      </c>
      <c r="BP29" s="897">
        <f t="shared" si="15"/>
        <v>0</v>
      </c>
      <c r="BQ29" s="897">
        <f t="shared" si="54"/>
        <v>13694233.510817999</v>
      </c>
      <c r="BR29" s="897">
        <f t="shared" si="55"/>
        <v>13694233.510817999</v>
      </c>
      <c r="BS29" s="897">
        <f t="shared" si="56"/>
        <v>2190365.1743999999</v>
      </c>
      <c r="BT29" s="897">
        <f t="shared" si="56"/>
        <v>8694726.5561200008</v>
      </c>
      <c r="BU29" s="897">
        <f t="shared" si="16"/>
        <v>984631.87345740583</v>
      </c>
      <c r="BV29" s="897">
        <f t="shared" si="57"/>
        <v>0</v>
      </c>
      <c r="BW29" s="897">
        <f t="shared" si="17"/>
        <v>0</v>
      </c>
      <c r="BX29" s="897">
        <f t="shared" si="58"/>
        <v>11869723.603977406</v>
      </c>
      <c r="BY29" s="897">
        <f t="shared" si="59"/>
        <v>11869723.603977406</v>
      </c>
      <c r="BZ29" s="905">
        <f t="shared" si="60"/>
        <v>18829326.23666</v>
      </c>
      <c r="CA29" s="905">
        <f t="shared" si="36"/>
        <v>2091632.6397354058</v>
      </c>
      <c r="CB29" s="905">
        <f t="shared" si="61"/>
        <v>20920958.876395404</v>
      </c>
      <c r="CC29" s="907">
        <f t="shared" si="62"/>
        <v>2600.0971359050222</v>
      </c>
      <c r="CD29" s="907">
        <f t="shared" si="37"/>
        <v>2107.8016320045886</v>
      </c>
      <c r="CE29" s="907">
        <f t="shared" si="38"/>
        <v>2540.7684077683416</v>
      </c>
      <c r="CF29" s="907">
        <f t="shared" si="18"/>
        <v>2540.7684077683416</v>
      </c>
      <c r="CG29" s="923">
        <f t="shared" si="19"/>
        <v>25733868.790755365</v>
      </c>
      <c r="CH29" s="923">
        <f t="shared" si="39"/>
        <v>3125.2774416079869</v>
      </c>
      <c r="CI29" s="907"/>
      <c r="CJ29" s="897">
        <f>N29*Z29/1000</f>
        <v>19065.763174224001</v>
      </c>
      <c r="CK29" s="897">
        <f t="shared" si="20"/>
        <v>14353.816088902367</v>
      </c>
      <c r="CL29" s="897">
        <f>CJ29+CK29+0.0890459272777662</f>
        <v>33419.668309053646</v>
      </c>
      <c r="CM29" s="897">
        <f t="shared" si="41"/>
        <v>33419.579263126368</v>
      </c>
      <c r="CN29" s="897">
        <f t="shared" si="42"/>
        <v>-8.9045927277766168E-2</v>
      </c>
      <c r="CO29" s="897">
        <f t="shared" si="21"/>
        <v>30376867.02915537</v>
      </c>
      <c r="CP29" s="897">
        <f t="shared" si="22"/>
        <v>23996754.391671039</v>
      </c>
      <c r="CQ29" s="897">
        <f t="shared" si="23"/>
        <v>24459259.08183049</v>
      </c>
      <c r="CR29" s="897">
        <f t="shared" si="24"/>
        <v>13694233.510817999</v>
      </c>
      <c r="CS29" s="897">
        <f t="shared" si="25"/>
        <v>27647369.108960409</v>
      </c>
      <c r="CT29" s="897">
        <f t="shared" si="26"/>
        <v>28176429.303687736</v>
      </c>
      <c r="CU29" s="897">
        <f t="shared" si="27"/>
        <v>11869723.603977406</v>
      </c>
      <c r="CV29" s="897">
        <f t="shared" si="43"/>
        <v>51644123.500631452</v>
      </c>
      <c r="CW29" s="906">
        <f t="shared" si="44"/>
        <v>5313.1994806627636</v>
      </c>
      <c r="CX29" s="897">
        <f t="shared" si="28"/>
        <v>19703317.345871039</v>
      </c>
      <c r="CY29" s="897">
        <f t="shared" si="29"/>
        <v>22538625.822560407</v>
      </c>
      <c r="CZ29" s="897"/>
      <c r="DA29" s="897">
        <f t="shared" si="30"/>
        <v>28086136.182518248</v>
      </c>
      <c r="DB29" s="897">
        <f t="shared" si="31"/>
        <v>33419579.26312637</v>
      </c>
      <c r="DC29" s="40"/>
      <c r="DD29" s="40">
        <f t="shared" si="45"/>
        <v>140.39019052207786</v>
      </c>
      <c r="DE29" s="40"/>
      <c r="DF29" s="40"/>
      <c r="DG29" s="40"/>
      <c r="DH29" s="1043">
        <v>9772.3045312928407</v>
      </c>
      <c r="DI29" s="1043">
        <v>8444.3777042718102</v>
      </c>
      <c r="DJ29" s="1043">
        <f>DH29-DI29</f>
        <v>1327.9268270210305</v>
      </c>
      <c r="DK29" s="907"/>
      <c r="DL29" s="908">
        <f t="shared" si="32"/>
        <v>0</v>
      </c>
      <c r="DM29" s="908">
        <f t="shared" si="33"/>
        <v>0</v>
      </c>
      <c r="DN29" s="908">
        <f t="shared" si="34"/>
        <v>0</v>
      </c>
      <c r="DO29" s="9"/>
      <c r="DP29" s="81"/>
      <c r="DQ29" s="81"/>
      <c r="DR29" s="81"/>
      <c r="DS29" s="81"/>
      <c r="DT29" s="81"/>
      <c r="DU29" s="81"/>
      <c r="DV29" s="81"/>
      <c r="DW29" s="81"/>
      <c r="DX29" s="81"/>
      <c r="DY29" s="81"/>
      <c r="DZ29" s="81"/>
      <c r="EA29" s="81"/>
      <c r="EB29" s="81"/>
      <c r="EC29" s="81"/>
      <c r="ED29" s="81"/>
      <c r="EE29" s="81"/>
      <c r="EF29" s="81"/>
      <c r="EG29" s="81"/>
      <c r="EH29" s="81"/>
      <c r="EI29" s="81"/>
      <c r="EJ29" s="81"/>
      <c r="EK29" s="81"/>
      <c r="EL29" s="81"/>
    </row>
    <row r="30" spans="1:142" s="50" customFormat="1" ht="75" hidden="1" customHeight="1">
      <c r="A30" s="6">
        <f t="shared" si="46"/>
        <v>17</v>
      </c>
      <c r="B30" s="886" t="s">
        <v>13</v>
      </c>
      <c r="C30" s="1337" t="s">
        <v>84</v>
      </c>
      <c r="D30" s="1337" t="s">
        <v>82</v>
      </c>
      <c r="E30" s="963" t="s">
        <v>231</v>
      </c>
      <c r="F30" s="963" t="s">
        <v>8</v>
      </c>
      <c r="G30" s="888" t="s">
        <v>924</v>
      </c>
      <c r="H30" s="1314">
        <v>2889.53</v>
      </c>
      <c r="I30" s="1264">
        <v>2889.53</v>
      </c>
      <c r="J30" s="1318">
        <v>2449.06</v>
      </c>
      <c r="K30" s="1318">
        <v>2449.06</v>
      </c>
      <c r="L30" s="912"/>
      <c r="M30" s="913"/>
      <c r="N30" s="1319">
        <v>3438.24</v>
      </c>
      <c r="O30" s="1264">
        <v>3438.24</v>
      </c>
      <c r="P30" s="1318">
        <v>2801.48</v>
      </c>
      <c r="Q30" s="1318">
        <v>2801.48</v>
      </c>
      <c r="R30" s="915"/>
      <c r="S30" s="913"/>
      <c r="T30" s="1326">
        <v>422.89</v>
      </c>
      <c r="U30" s="1325">
        <v>1479.03</v>
      </c>
      <c r="V30" s="1325">
        <v>45.148350399999991</v>
      </c>
      <c r="W30" s="1325"/>
      <c r="X30" s="1325"/>
      <c r="Y30" s="1325"/>
      <c r="Z30" s="1322">
        <f t="shared" si="8"/>
        <v>1947.0683504000001</v>
      </c>
      <c r="AA30" s="1327">
        <v>317.33</v>
      </c>
      <c r="AB30" s="1325">
        <v>1109.27</v>
      </c>
      <c r="AC30" s="1325">
        <v>22.039474800000001</v>
      </c>
      <c r="AD30" s="917"/>
      <c r="AE30" s="917"/>
      <c r="AF30" s="917"/>
      <c r="AG30" s="900">
        <f t="shared" si="50"/>
        <v>1448.6394748</v>
      </c>
      <c r="AH30" s="896">
        <f t="shared" si="51"/>
        <v>3395.7078252000001</v>
      </c>
      <c r="AI30" s="897">
        <f t="shared" ref="AI30:AM84" si="73">T30+AA30</f>
        <v>740.22</v>
      </c>
      <c r="AJ30" s="897">
        <f t="shared" si="73"/>
        <v>2588.3000000000002</v>
      </c>
      <c r="AK30" s="897">
        <f t="shared" si="73"/>
        <v>67.187825199999992</v>
      </c>
      <c r="AL30" s="897">
        <f t="shared" si="73"/>
        <v>0</v>
      </c>
      <c r="AM30" s="897">
        <f t="shared" si="73"/>
        <v>0</v>
      </c>
      <c r="AN30" s="897"/>
      <c r="AO30" s="897">
        <f t="shared" si="70"/>
        <v>3395.7078252000006</v>
      </c>
      <c r="AP30" s="897">
        <f t="shared" si="71"/>
        <v>3395.7078252000006</v>
      </c>
      <c r="AQ30" s="901">
        <f t="shared" si="72"/>
        <v>3395.7078252000006</v>
      </c>
      <c r="AR30" s="902">
        <f t="shared" si="35"/>
        <v>0</v>
      </c>
      <c r="AS30" s="903">
        <f t="shared" ref="AS30:AW56" si="74">I30*AI30</f>
        <v>2138887.8966000001</v>
      </c>
      <c r="AT30" s="897">
        <f t="shared" si="74"/>
        <v>6338901.9980000006</v>
      </c>
      <c r="AU30" s="897">
        <f t="shared" si="74"/>
        <v>164547.01518431198</v>
      </c>
      <c r="AV30" s="908">
        <f t="shared" si="74"/>
        <v>0</v>
      </c>
      <c r="AW30" s="908">
        <f t="shared" si="74"/>
        <v>0</v>
      </c>
      <c r="AX30" s="897">
        <f t="shared" si="47"/>
        <v>8642336.9097843114</v>
      </c>
      <c r="AY30" s="897">
        <f t="shared" si="48"/>
        <v>8642336.9097843114</v>
      </c>
      <c r="AZ30" s="897">
        <f t="shared" ref="AZ30:BD56" si="75">O30*AI30</f>
        <v>2545054.0128000001</v>
      </c>
      <c r="BA30" s="897">
        <f t="shared" si="75"/>
        <v>7251070.6840000004</v>
      </c>
      <c r="BB30" s="897">
        <f t="shared" si="75"/>
        <v>188225.34854129597</v>
      </c>
      <c r="BC30" s="897">
        <f t="shared" si="75"/>
        <v>0</v>
      </c>
      <c r="BD30" s="897">
        <f t="shared" si="75"/>
        <v>0</v>
      </c>
      <c r="BE30" s="897">
        <f t="shared" si="49"/>
        <v>9984350.0453412961</v>
      </c>
      <c r="BF30" s="901">
        <f t="shared" si="52"/>
        <v>9984350.0453412961</v>
      </c>
      <c r="BG30" s="1293">
        <f>(H30-J30)*U30/1000+(H30-K30)*V30/1000</f>
        <v>671.35483800068835</v>
      </c>
      <c r="BH30" s="1294">
        <f>(N30-P30)*AB30/1000+(N30-Q30)*AC30/1000</f>
        <v>720.37262117364764</v>
      </c>
      <c r="BI30" s="1296">
        <f>BG30+BH30</f>
        <v>1391.727459174336</v>
      </c>
      <c r="BJ30" s="955"/>
      <c r="BK30" s="1197"/>
      <c r="BL30" s="897">
        <f t="shared" si="53"/>
        <v>1221953.3417</v>
      </c>
      <c r="BM30" s="897">
        <f t="shared" si="53"/>
        <v>3622233.2117999997</v>
      </c>
      <c r="BN30" s="897">
        <f t="shared" si="53"/>
        <v>110571.01903062398</v>
      </c>
      <c r="BO30" s="897">
        <f t="shared" si="53"/>
        <v>0</v>
      </c>
      <c r="BP30" s="897">
        <f t="shared" si="53"/>
        <v>0</v>
      </c>
      <c r="BQ30" s="897">
        <f t="shared" si="54"/>
        <v>4954757.5725306235</v>
      </c>
      <c r="BR30" s="897">
        <f t="shared" si="55"/>
        <v>4954757.5725306235</v>
      </c>
      <c r="BS30" s="897">
        <f t="shared" si="56"/>
        <v>1091056.6991999999</v>
      </c>
      <c r="BT30" s="897">
        <f t="shared" si="56"/>
        <v>3107597.7196</v>
      </c>
      <c r="BU30" s="897">
        <f t="shared" si="56"/>
        <v>61743.147862704005</v>
      </c>
      <c r="BV30" s="897">
        <f t="shared" si="57"/>
        <v>0</v>
      </c>
      <c r="BW30" s="897">
        <f t="shared" si="17"/>
        <v>0</v>
      </c>
      <c r="BX30" s="897">
        <f t="shared" si="58"/>
        <v>4260397.5666627046</v>
      </c>
      <c r="BY30" s="897">
        <f t="shared" si="59"/>
        <v>4260397.5666627046</v>
      </c>
      <c r="BZ30" s="905">
        <f t="shared" si="60"/>
        <v>6729830.9313999992</v>
      </c>
      <c r="CA30" s="905">
        <f t="shared" si="36"/>
        <v>172314.16689332799</v>
      </c>
      <c r="CB30" s="905">
        <f t="shared" si="61"/>
        <v>6902145.0982933268</v>
      </c>
      <c r="CC30" s="907">
        <f t="shared" si="62"/>
        <v>2600.0969483444728</v>
      </c>
      <c r="CD30" s="907">
        <f t="shared" si="37"/>
        <v>2564.6635589170405</v>
      </c>
      <c r="CE30" s="907">
        <f t="shared" si="38"/>
        <v>2599.2004304419984</v>
      </c>
      <c r="CF30" s="907">
        <f t="shared" si="18"/>
        <v>2599.2004304419988</v>
      </c>
      <c r="CG30" s="923">
        <f t="shared" si="19"/>
        <v>8293872.5574676646</v>
      </c>
      <c r="CH30" s="923">
        <f t="shared" si="39"/>
        <v>3123.2952675439228</v>
      </c>
      <c r="CI30" s="964"/>
      <c r="CJ30" s="897">
        <f>N30*Z30/1000</f>
        <v>6694.4882850792956</v>
      </c>
      <c r="CK30" s="897">
        <f t="shared" si="20"/>
        <v>4980.7701878363514</v>
      </c>
      <c r="CL30" s="897">
        <f t="shared" ref="CL30:CL35" si="76">CJ30+CK30</f>
        <v>11675.258472915648</v>
      </c>
      <c r="CM30" s="897">
        <f t="shared" si="41"/>
        <v>11675.258472915648</v>
      </c>
      <c r="CN30" s="897">
        <f t="shared" si="42"/>
        <v>0</v>
      </c>
      <c r="CO30" s="897">
        <f t="shared" si="21"/>
        <v>10606882.598367665</v>
      </c>
      <c r="CP30" s="897">
        <f t="shared" si="22"/>
        <v>8642336.9097843114</v>
      </c>
      <c r="CQ30" s="897">
        <f t="shared" si="23"/>
        <v>8642336.9097843133</v>
      </c>
      <c r="CR30" s="897">
        <f t="shared" si="24"/>
        <v>4954757.5725306235</v>
      </c>
      <c r="CS30" s="897">
        <f t="shared" si="25"/>
        <v>9984350.0453412961</v>
      </c>
      <c r="CT30" s="897">
        <f t="shared" si="26"/>
        <v>9984350.045341298</v>
      </c>
      <c r="CU30" s="897">
        <f t="shared" si="27"/>
        <v>4260397.5666627046</v>
      </c>
      <c r="CV30" s="897">
        <f t="shared" si="43"/>
        <v>18626686.955125608</v>
      </c>
      <c r="CW30" s="906">
        <f t="shared" si="44"/>
        <v>5485.3620847160291</v>
      </c>
      <c r="CX30" s="897">
        <f t="shared" si="28"/>
        <v>6503449.0131843127</v>
      </c>
      <c r="CY30" s="897">
        <f t="shared" si="29"/>
        <v>7439296.0325412964</v>
      </c>
      <c r="CZ30" s="897"/>
      <c r="DA30" s="897">
        <f t="shared" si="30"/>
        <v>9811999.6321501564</v>
      </c>
      <c r="DB30" s="897">
        <f t="shared" si="31"/>
        <v>11675258.472915649</v>
      </c>
      <c r="DC30" s="1130"/>
      <c r="DD30" s="40">
        <f t="shared" si="45"/>
        <v>140.39019052207786</v>
      </c>
      <c r="DE30" s="1130"/>
      <c r="DF30" s="1130"/>
      <c r="DG30" s="1130"/>
      <c r="DH30" s="1043">
        <v>3424.8225545326604</v>
      </c>
      <c r="DI30" s="1043">
        <v>2674.8400116339062</v>
      </c>
      <c r="DJ30" s="1043">
        <f>DH30-DI30</f>
        <v>749.98254289875422</v>
      </c>
      <c r="DK30" s="964"/>
      <c r="DL30" s="908">
        <f t="shared" si="32"/>
        <v>0</v>
      </c>
      <c r="DM30" s="908">
        <f t="shared" si="33"/>
        <v>0</v>
      </c>
      <c r="DN30" s="908">
        <f t="shared" si="34"/>
        <v>0</v>
      </c>
      <c r="DO30" s="868"/>
      <c r="DP30" s="81"/>
      <c r="DQ30" s="81"/>
      <c r="DR30" s="81"/>
      <c r="DS30" s="81"/>
      <c r="DT30" s="81"/>
      <c r="DU30" s="81"/>
      <c r="DV30" s="81"/>
      <c r="DW30" s="81"/>
      <c r="DX30" s="81"/>
      <c r="DY30" s="81"/>
      <c r="DZ30" s="81"/>
      <c r="EA30" s="81"/>
      <c r="EB30" s="81"/>
      <c r="EC30" s="81"/>
      <c r="ED30" s="81"/>
      <c r="EE30" s="81"/>
      <c r="EF30" s="81"/>
      <c r="EG30" s="81"/>
      <c r="EH30" s="81"/>
      <c r="EI30" s="81"/>
      <c r="EJ30" s="81"/>
      <c r="EK30" s="81"/>
      <c r="EL30" s="81"/>
    </row>
    <row r="31" spans="1:142" s="50" customFormat="1" ht="79.5" hidden="1" customHeight="1">
      <c r="A31" s="6">
        <f t="shared" si="46"/>
        <v>18</v>
      </c>
      <c r="B31" s="886" t="s">
        <v>13</v>
      </c>
      <c r="C31" s="1337" t="s">
        <v>85</v>
      </c>
      <c r="D31" s="1337" t="s">
        <v>82</v>
      </c>
      <c r="E31" s="963" t="s">
        <v>231</v>
      </c>
      <c r="F31" s="963" t="s">
        <v>8</v>
      </c>
      <c r="G31" s="888" t="s">
        <v>924</v>
      </c>
      <c r="H31" s="1314">
        <v>2889.53</v>
      </c>
      <c r="I31" s="1264">
        <v>2889.53</v>
      </c>
      <c r="J31" s="1318">
        <v>2731.28</v>
      </c>
      <c r="K31" s="1318"/>
      <c r="L31" s="1318"/>
      <c r="M31" s="1328"/>
      <c r="N31" s="1319">
        <v>3438.24</v>
      </c>
      <c r="O31" s="1264">
        <v>3438.24</v>
      </c>
      <c r="P31" s="1318">
        <v>2801.48</v>
      </c>
      <c r="Q31" s="1329"/>
      <c r="R31" s="1329"/>
      <c r="S31" s="1328"/>
      <c r="T31" s="1326">
        <v>14.884</v>
      </c>
      <c r="U31" s="1325">
        <v>1194.6890000000001</v>
      </c>
      <c r="V31" s="1325"/>
      <c r="W31" s="1325"/>
      <c r="X31" s="1325"/>
      <c r="Y31" s="1325"/>
      <c r="Z31" s="1322">
        <f t="shared" si="8"/>
        <v>1209.5730000000001</v>
      </c>
      <c r="AA31" s="1327">
        <v>11.163</v>
      </c>
      <c r="AB31" s="1325">
        <v>896.01700000000005</v>
      </c>
      <c r="AC31" s="1325"/>
      <c r="AD31" s="1325"/>
      <c r="AE31" s="1325"/>
      <c r="AF31" s="1325"/>
      <c r="AG31" s="1324">
        <f t="shared" si="50"/>
        <v>907.18000000000006</v>
      </c>
      <c r="AH31" s="1330">
        <f t="shared" si="51"/>
        <v>2116.7530000000002</v>
      </c>
      <c r="AI31" s="1331">
        <f t="shared" si="73"/>
        <v>26.047000000000001</v>
      </c>
      <c r="AJ31" s="1331">
        <f t="shared" si="73"/>
        <v>2090.7060000000001</v>
      </c>
      <c r="AK31" s="1331">
        <f t="shared" si="73"/>
        <v>0</v>
      </c>
      <c r="AL31" s="1331">
        <f t="shared" si="73"/>
        <v>0</v>
      </c>
      <c r="AM31" s="1331">
        <f t="shared" si="73"/>
        <v>0</v>
      </c>
      <c r="AN31" s="1331"/>
      <c r="AO31" s="1331">
        <f t="shared" si="70"/>
        <v>2116.7530000000002</v>
      </c>
      <c r="AP31" s="1331">
        <f t="shared" si="71"/>
        <v>2116.7530000000002</v>
      </c>
      <c r="AQ31" s="1332">
        <f t="shared" si="72"/>
        <v>2116.7530000000002</v>
      </c>
      <c r="AR31" s="1333">
        <f t="shared" si="35"/>
        <v>0</v>
      </c>
      <c r="AS31" s="1334">
        <f t="shared" si="74"/>
        <v>75263.587910000002</v>
      </c>
      <c r="AT31" s="1331">
        <f t="shared" si="74"/>
        <v>5710303.4836800005</v>
      </c>
      <c r="AU31" s="1331">
        <f t="shared" si="74"/>
        <v>0</v>
      </c>
      <c r="AV31" s="1335">
        <f t="shared" si="74"/>
        <v>0</v>
      </c>
      <c r="AW31" s="1335">
        <f t="shared" si="74"/>
        <v>0</v>
      </c>
      <c r="AX31" s="1331">
        <f t="shared" si="47"/>
        <v>5785567.0715900008</v>
      </c>
      <c r="AY31" s="1331">
        <f t="shared" si="48"/>
        <v>5785567.0715900008</v>
      </c>
      <c r="AZ31" s="1331">
        <f t="shared" si="75"/>
        <v>89555.837279999992</v>
      </c>
      <c r="BA31" s="1331">
        <f t="shared" si="75"/>
        <v>5857071.0448799999</v>
      </c>
      <c r="BB31" s="1331">
        <f t="shared" si="75"/>
        <v>0</v>
      </c>
      <c r="BC31" s="1331">
        <f t="shared" si="75"/>
        <v>0</v>
      </c>
      <c r="BD31" s="1331">
        <f t="shared" si="75"/>
        <v>0</v>
      </c>
      <c r="BE31" s="1331">
        <f t="shared" si="49"/>
        <v>5946626.8821599996</v>
      </c>
      <c r="BF31" s="1332">
        <f t="shared" si="52"/>
        <v>5946626.8821599996</v>
      </c>
      <c r="BG31" s="1293">
        <f>(H31-J31)*U31/1000+(H31-K31)*V31/1000</f>
        <v>189.05953425000001</v>
      </c>
      <c r="BH31" s="1294">
        <f>(N31-P31)*AB31/1000+(N31-Q31)*AC31/1000</f>
        <v>570.5477849199998</v>
      </c>
      <c r="BI31" s="1296">
        <f>BG31+BH31</f>
        <v>759.60731916999976</v>
      </c>
      <c r="BJ31" s="955"/>
      <c r="BK31" s="1197"/>
      <c r="BL31" s="897">
        <f t="shared" si="53"/>
        <v>43007.764520000004</v>
      </c>
      <c r="BM31" s="897">
        <f t="shared" si="53"/>
        <v>3263030.1719200006</v>
      </c>
      <c r="BN31" s="897">
        <f t="shared" si="53"/>
        <v>0</v>
      </c>
      <c r="BO31" s="897">
        <f t="shared" si="53"/>
        <v>0</v>
      </c>
      <c r="BP31" s="897">
        <f t="shared" si="53"/>
        <v>0</v>
      </c>
      <c r="BQ31" s="897">
        <f t="shared" si="54"/>
        <v>3306037.9364400008</v>
      </c>
      <c r="BR31" s="897">
        <f t="shared" si="55"/>
        <v>3306037.9364400008</v>
      </c>
      <c r="BS31" s="897">
        <f t="shared" si="56"/>
        <v>38381.073120000001</v>
      </c>
      <c r="BT31" s="897">
        <f t="shared" si="56"/>
        <v>2510173.7051600004</v>
      </c>
      <c r="BU31" s="897">
        <f t="shared" si="56"/>
        <v>0</v>
      </c>
      <c r="BV31" s="897">
        <f t="shared" si="57"/>
        <v>0</v>
      </c>
      <c r="BW31" s="897">
        <f t="shared" si="17"/>
        <v>0</v>
      </c>
      <c r="BX31" s="897">
        <f t="shared" si="58"/>
        <v>2548554.7782800002</v>
      </c>
      <c r="BY31" s="897">
        <f t="shared" si="59"/>
        <v>2548554.7782800002</v>
      </c>
      <c r="BZ31" s="905">
        <f t="shared" si="60"/>
        <v>5773203.8770800009</v>
      </c>
      <c r="CA31" s="905">
        <f t="shared" si="60"/>
        <v>0</v>
      </c>
      <c r="CB31" s="905">
        <f t="shared" si="61"/>
        <v>5773203.8770800009</v>
      </c>
      <c r="CC31" s="907">
        <f t="shared" si="62"/>
        <v>2761.3657190824538</v>
      </c>
      <c r="CD31" s="907" t="e">
        <f t="shared" si="62"/>
        <v>#DIV/0!</v>
      </c>
      <c r="CE31" s="907">
        <f t="shared" si="38"/>
        <v>2761.3657190824538</v>
      </c>
      <c r="CF31" s="907">
        <f t="shared" si="18"/>
        <v>2761.3657190824538</v>
      </c>
      <c r="CG31" s="923">
        <f t="shared" si="19"/>
        <v>6532811.196250001</v>
      </c>
      <c r="CH31" s="923">
        <f t="shared" si="39"/>
        <v>3124.6914660645739</v>
      </c>
      <c r="CI31" s="964"/>
      <c r="CJ31" s="897">
        <f>N31*Z31/1000</f>
        <v>4158.8022715199995</v>
      </c>
      <c r="CK31" s="897">
        <f t="shared" si="20"/>
        <v>3119.1025632000001</v>
      </c>
      <c r="CL31" s="897">
        <f t="shared" si="76"/>
        <v>7277.9048347199996</v>
      </c>
      <c r="CM31" s="897">
        <f t="shared" si="41"/>
        <v>7277.9048347199996</v>
      </c>
      <c r="CN31" s="897">
        <f t="shared" si="42"/>
        <v>0</v>
      </c>
      <c r="CO31" s="897">
        <f t="shared" si="21"/>
        <v>6614200.0338900005</v>
      </c>
      <c r="CP31" s="897">
        <f t="shared" si="22"/>
        <v>5785567.0715900008</v>
      </c>
      <c r="CQ31" s="897">
        <f t="shared" si="23"/>
        <v>5785567.0715900008</v>
      </c>
      <c r="CR31" s="897">
        <f t="shared" si="24"/>
        <v>3306037.9364400008</v>
      </c>
      <c r="CS31" s="897">
        <f t="shared" si="25"/>
        <v>5946626.8821599996</v>
      </c>
      <c r="CT31" s="897">
        <f t="shared" si="26"/>
        <v>5946626.8821599996</v>
      </c>
      <c r="CU31" s="897">
        <f t="shared" si="27"/>
        <v>2548554.7782800002</v>
      </c>
      <c r="CV31" s="897">
        <f t="shared" si="43"/>
        <v>11732193.953749999</v>
      </c>
      <c r="CW31" s="906">
        <f t="shared" si="44"/>
        <v>5542.5427311311232</v>
      </c>
      <c r="CX31" s="897">
        <f t="shared" si="28"/>
        <v>5710303.4836800005</v>
      </c>
      <c r="CY31" s="897">
        <f t="shared" si="29"/>
        <v>5857071.0448799999</v>
      </c>
      <c r="CZ31" s="897"/>
      <c r="DA31" s="897">
        <f t="shared" si="30"/>
        <v>6116421.2960900012</v>
      </c>
      <c r="DB31" s="897">
        <f t="shared" si="31"/>
        <v>7277904.8347199997</v>
      </c>
      <c r="DC31" s="1130"/>
      <c r="DD31" s="40">
        <f t="shared" si="45"/>
        <v>125.88383468556866</v>
      </c>
      <c r="DE31" s="1130"/>
      <c r="DF31" s="1130"/>
      <c r="DG31" s="1130"/>
      <c r="DH31" s="1043">
        <v>2123.0289027607564</v>
      </c>
      <c r="DI31" s="1043">
        <v>2096.9808966315286</v>
      </c>
      <c r="DJ31" s="1043">
        <f>DH31-DI31</f>
        <v>26.048006129227815</v>
      </c>
      <c r="DK31" s="964"/>
      <c r="DL31" s="908">
        <f t="shared" si="32"/>
        <v>0</v>
      </c>
      <c r="DM31" s="908">
        <f t="shared" si="33"/>
        <v>0</v>
      </c>
      <c r="DN31" s="908">
        <f t="shared" si="34"/>
        <v>0</v>
      </c>
      <c r="DO31" s="868"/>
      <c r="DP31" s="81"/>
      <c r="DQ31" s="81"/>
      <c r="DR31" s="81"/>
      <c r="DS31" s="81"/>
      <c r="DT31" s="81"/>
      <c r="DU31" s="81"/>
      <c r="DV31" s="81"/>
      <c r="DW31" s="81"/>
      <c r="DX31" s="81"/>
      <c r="DY31" s="81"/>
      <c r="DZ31" s="81"/>
      <c r="EA31" s="81"/>
      <c r="EB31" s="81"/>
      <c r="EC31" s="81"/>
      <c r="ED31" s="81"/>
      <c r="EE31" s="81"/>
      <c r="EF31" s="81"/>
      <c r="EG31" s="81"/>
      <c r="EH31" s="81"/>
      <c r="EI31" s="81"/>
      <c r="EJ31" s="81"/>
      <c r="EK31" s="81"/>
      <c r="EL31" s="81"/>
    </row>
    <row r="32" spans="1:142" s="50" customFormat="1" ht="81" hidden="1" customHeight="1">
      <c r="A32" s="6">
        <f t="shared" si="46"/>
        <v>19</v>
      </c>
      <c r="B32" s="886" t="s">
        <v>13</v>
      </c>
      <c r="C32" s="1337" t="s">
        <v>86</v>
      </c>
      <c r="D32" s="1337" t="s">
        <v>82</v>
      </c>
      <c r="E32" s="963" t="s">
        <v>231</v>
      </c>
      <c r="F32" s="963" t="s">
        <v>8</v>
      </c>
      <c r="G32" s="888" t="s">
        <v>924</v>
      </c>
      <c r="H32" s="1315">
        <v>2889.53</v>
      </c>
      <c r="I32" s="1317">
        <v>2889.53</v>
      </c>
      <c r="J32" s="1318">
        <v>2449.06</v>
      </c>
      <c r="K32" s="1318">
        <v>2449.06</v>
      </c>
      <c r="L32" s="912"/>
      <c r="M32" s="913"/>
      <c r="N32" s="1319">
        <v>3438.24</v>
      </c>
      <c r="O32" s="1264">
        <v>3438.24</v>
      </c>
      <c r="P32" s="1318">
        <v>2801.48</v>
      </c>
      <c r="Q32" s="1318">
        <v>2801.48</v>
      </c>
      <c r="R32" s="915"/>
      <c r="S32" s="913"/>
      <c r="T32" s="1326">
        <v>915.4</v>
      </c>
      <c r="U32" s="1325">
        <v>1553.8910000000001</v>
      </c>
      <c r="V32" s="1325">
        <v>195.74280399999998</v>
      </c>
      <c r="W32" s="917"/>
      <c r="X32" s="917"/>
      <c r="Y32" s="917"/>
      <c r="Z32" s="898">
        <f t="shared" si="8"/>
        <v>2665.0338040000001</v>
      </c>
      <c r="AA32" s="1327">
        <v>561.34</v>
      </c>
      <c r="AB32" s="1325">
        <v>1165.42</v>
      </c>
      <c r="AC32" s="1325">
        <v>110.747996</v>
      </c>
      <c r="AD32" s="917"/>
      <c r="AE32" s="917"/>
      <c r="AF32" s="917"/>
      <c r="AG32" s="900">
        <f t="shared" si="50"/>
        <v>1837.5079960000003</v>
      </c>
      <c r="AH32" s="896">
        <f t="shared" si="51"/>
        <v>4502.5418000000009</v>
      </c>
      <c r="AI32" s="897">
        <f t="shared" si="73"/>
        <v>1476.74</v>
      </c>
      <c r="AJ32" s="897">
        <f t="shared" si="73"/>
        <v>2719.3110000000001</v>
      </c>
      <c r="AK32" s="897">
        <f t="shared" si="73"/>
        <v>306.49079999999998</v>
      </c>
      <c r="AL32" s="897">
        <f t="shared" si="73"/>
        <v>0</v>
      </c>
      <c r="AM32" s="897">
        <f t="shared" si="73"/>
        <v>0</v>
      </c>
      <c r="AN32" s="897"/>
      <c r="AO32" s="897">
        <f t="shared" si="70"/>
        <v>4502.5418</v>
      </c>
      <c r="AP32" s="897">
        <f t="shared" si="71"/>
        <v>4502.5418</v>
      </c>
      <c r="AQ32" s="965">
        <f t="shared" si="72"/>
        <v>4502.5418</v>
      </c>
      <c r="AR32" s="902">
        <f t="shared" si="35"/>
        <v>0</v>
      </c>
      <c r="AS32" s="903">
        <f t="shared" si="74"/>
        <v>4267084.5322000002</v>
      </c>
      <c r="AT32" s="897">
        <f t="shared" si="74"/>
        <v>6659755.7976600006</v>
      </c>
      <c r="AU32" s="897">
        <f t="shared" si="74"/>
        <v>750614.35864799994</v>
      </c>
      <c r="AV32" s="897">
        <f t="shared" si="74"/>
        <v>0</v>
      </c>
      <c r="AW32" s="897">
        <f t="shared" si="74"/>
        <v>0</v>
      </c>
      <c r="AX32" s="897">
        <f t="shared" si="47"/>
        <v>11677454.688508002</v>
      </c>
      <c r="AY32" s="897">
        <f t="shared" si="48"/>
        <v>11677454.688508002</v>
      </c>
      <c r="AZ32" s="897">
        <f t="shared" si="75"/>
        <v>5077386.5375999995</v>
      </c>
      <c r="BA32" s="897">
        <f t="shared" si="75"/>
        <v>7618095.3802800002</v>
      </c>
      <c r="BB32" s="897">
        <f t="shared" si="75"/>
        <v>858627.84638399992</v>
      </c>
      <c r="BC32" s="897">
        <f t="shared" si="75"/>
        <v>0</v>
      </c>
      <c r="BD32" s="897">
        <f t="shared" si="75"/>
        <v>0</v>
      </c>
      <c r="BE32" s="897">
        <f t="shared" si="49"/>
        <v>13554109.764263999</v>
      </c>
      <c r="BF32" s="901">
        <f t="shared" si="52"/>
        <v>13554109.764263999</v>
      </c>
      <c r="BG32" s="1293">
        <f>(H32-J32)*U32/1000+(H32-K32)*V32/1000</f>
        <v>770.66120164788038</v>
      </c>
      <c r="BH32" s="1294">
        <f>(N32-P32)*AB32/1000+(N32-Q32)*AC32/1000</f>
        <v>812.61273313295987</v>
      </c>
      <c r="BI32" s="1296">
        <f>BG32+BH32</f>
        <v>1583.2739347808401</v>
      </c>
      <c r="BJ32" s="955"/>
      <c r="BK32" s="1197"/>
      <c r="BL32" s="897">
        <f t="shared" si="53"/>
        <v>2645075.7620000001</v>
      </c>
      <c r="BM32" s="897">
        <f t="shared" si="53"/>
        <v>3805572.2924600001</v>
      </c>
      <c r="BN32" s="897">
        <f t="shared" si="53"/>
        <v>479385.87156423996</v>
      </c>
      <c r="BO32" s="897">
        <f t="shared" si="53"/>
        <v>0</v>
      </c>
      <c r="BP32" s="897">
        <f t="shared" si="53"/>
        <v>0</v>
      </c>
      <c r="BQ32" s="897">
        <f t="shared" si="54"/>
        <v>6930033.9260242404</v>
      </c>
      <c r="BR32" s="897">
        <f t="shared" si="55"/>
        <v>6930033.9260242404</v>
      </c>
      <c r="BS32" s="897">
        <f t="shared" si="56"/>
        <v>1930021.6416</v>
      </c>
      <c r="BT32" s="897">
        <f t="shared" si="56"/>
        <v>3264900.8216000004</v>
      </c>
      <c r="BU32" s="897">
        <f t="shared" si="56"/>
        <v>310258.29583408003</v>
      </c>
      <c r="BV32" s="897">
        <f t="shared" si="57"/>
        <v>0</v>
      </c>
      <c r="BW32" s="897">
        <f t="shared" si="17"/>
        <v>0</v>
      </c>
      <c r="BX32" s="897">
        <f t="shared" si="58"/>
        <v>5505180.7590340804</v>
      </c>
      <c r="BY32" s="897">
        <f t="shared" si="59"/>
        <v>5505180.7590340804</v>
      </c>
      <c r="BZ32" s="905">
        <f t="shared" si="60"/>
        <v>7070473.1140600005</v>
      </c>
      <c r="CA32" s="905">
        <f t="shared" si="60"/>
        <v>789644.16739832005</v>
      </c>
      <c r="CB32" s="905">
        <f t="shared" si="61"/>
        <v>7860117.2814583201</v>
      </c>
      <c r="CC32" s="907">
        <f t="shared" si="62"/>
        <v>2600.0972724561479</v>
      </c>
      <c r="CD32" s="907">
        <f t="shared" si="62"/>
        <v>2576.4041445887451</v>
      </c>
      <c r="CE32" s="907">
        <f t="shared" si="38"/>
        <v>2597.6973380934337</v>
      </c>
      <c r="CF32" s="907">
        <f t="shared" si="18"/>
        <v>2597.6973380934337</v>
      </c>
      <c r="CG32" s="923">
        <f t="shared" si="19"/>
        <v>9443391.2162391618</v>
      </c>
      <c r="CH32" s="923">
        <f t="shared" si="39"/>
        <v>3120.9549866217812</v>
      </c>
      <c r="CI32" s="964"/>
      <c r="CJ32" s="897">
        <f>N32*Z32/1000</f>
        <v>9163.0258262649604</v>
      </c>
      <c r="CK32" s="897">
        <f t="shared" si="20"/>
        <v>6317.7934921670403</v>
      </c>
      <c r="CL32" s="897">
        <f t="shared" si="76"/>
        <v>15480.819318432001</v>
      </c>
      <c r="CM32" s="897">
        <f t="shared" si="41"/>
        <v>15480.819318432001</v>
      </c>
      <c r="CN32" s="897">
        <f t="shared" si="42"/>
        <v>0</v>
      </c>
      <c r="CO32" s="897">
        <f t="shared" si="21"/>
        <v>14018488.619839162</v>
      </c>
      <c r="CP32" s="897">
        <f t="shared" si="22"/>
        <v>11677454.688508002</v>
      </c>
      <c r="CQ32" s="897">
        <f t="shared" si="23"/>
        <v>11677454.688508</v>
      </c>
      <c r="CR32" s="897">
        <f t="shared" si="24"/>
        <v>6930033.9260242404</v>
      </c>
      <c r="CS32" s="897">
        <f t="shared" si="25"/>
        <v>13554109.764263999</v>
      </c>
      <c r="CT32" s="897">
        <f t="shared" si="26"/>
        <v>13554109.764264001</v>
      </c>
      <c r="CU32" s="897">
        <f t="shared" si="27"/>
        <v>5505180.7590340804</v>
      </c>
      <c r="CV32" s="897">
        <f t="shared" si="43"/>
        <v>25231564.452771999</v>
      </c>
      <c r="CW32" s="906">
        <f t="shared" si="44"/>
        <v>5603.8490198518521</v>
      </c>
      <c r="CX32" s="897">
        <f t="shared" si="28"/>
        <v>7410370.1563080009</v>
      </c>
      <c r="CY32" s="897">
        <f t="shared" si="29"/>
        <v>8476723.2266639993</v>
      </c>
      <c r="CZ32" s="897"/>
      <c r="DA32" s="897">
        <f t="shared" si="30"/>
        <v>13010229.607354</v>
      </c>
      <c r="DB32" s="897">
        <f t="shared" si="31"/>
        <v>15480819.318432</v>
      </c>
      <c r="DC32" s="1130"/>
      <c r="DD32" s="40">
        <f t="shared" si="45"/>
        <v>140.39019052207786</v>
      </c>
      <c r="DE32" s="1130"/>
      <c r="DF32" s="1130"/>
      <c r="DG32" s="1130"/>
      <c r="DH32" s="1043">
        <v>4690.5378951697967</v>
      </c>
      <c r="DI32" s="1043">
        <v>3097.7923313449865</v>
      </c>
      <c r="DJ32" s="1043">
        <f>DH32-DI32</f>
        <v>1592.7455638248102</v>
      </c>
      <c r="DK32" s="964"/>
      <c r="DL32" s="908">
        <f t="shared" si="32"/>
        <v>0</v>
      </c>
      <c r="DM32" s="908">
        <f t="shared" si="33"/>
        <v>0</v>
      </c>
      <c r="DN32" s="908">
        <f t="shared" si="34"/>
        <v>0</v>
      </c>
      <c r="DO32" s="868"/>
      <c r="DP32" s="81"/>
      <c r="DQ32" s="81"/>
      <c r="DR32" s="81"/>
      <c r="DS32" s="81"/>
      <c r="DT32" s="81"/>
      <c r="DU32" s="81"/>
      <c r="DV32" s="81"/>
      <c r="DW32" s="81"/>
      <c r="DX32" s="81"/>
      <c r="DY32" s="81"/>
      <c r="DZ32" s="81"/>
      <c r="EA32" s="81"/>
      <c r="EB32" s="81"/>
      <c r="EC32" s="81"/>
      <c r="ED32" s="81"/>
      <c r="EE32" s="81"/>
      <c r="EF32" s="81"/>
      <c r="EG32" s="81"/>
      <c r="EH32" s="81"/>
      <c r="EI32" s="81"/>
      <c r="EJ32" s="81"/>
      <c r="EK32" s="81"/>
      <c r="EL32" s="81"/>
    </row>
    <row r="33" spans="1:155" s="869" customFormat="1" ht="79.5" hidden="1" customHeight="1">
      <c r="A33" s="6">
        <f t="shared" si="46"/>
        <v>20</v>
      </c>
      <c r="B33" s="886" t="s">
        <v>13</v>
      </c>
      <c r="C33" s="1395" t="s">
        <v>55</v>
      </c>
      <c r="D33" s="1262" t="s">
        <v>141</v>
      </c>
      <c r="E33" s="887">
        <v>4632024035</v>
      </c>
      <c r="F33" s="886" t="s">
        <v>8</v>
      </c>
      <c r="G33" s="1238" t="s">
        <v>983</v>
      </c>
      <c r="H33" s="1256">
        <v>3314.9639999999995</v>
      </c>
      <c r="I33" s="1257">
        <f>H33</f>
        <v>3314.9639999999995</v>
      </c>
      <c r="J33" s="1263">
        <v>1779.86</v>
      </c>
      <c r="K33" s="1263">
        <v>1779.86</v>
      </c>
      <c r="L33" s="1256">
        <v>3314.9639999999995</v>
      </c>
      <c r="M33" s="946"/>
      <c r="N33" s="1259">
        <f>3132.14*1.2</f>
        <v>3758.5679999999998</v>
      </c>
      <c r="O33" s="1260">
        <f>N33</f>
        <v>3758.5679999999998</v>
      </c>
      <c r="P33" s="1264">
        <v>2035.98</v>
      </c>
      <c r="Q33" s="1264">
        <v>2035.98</v>
      </c>
      <c r="R33" s="1260">
        <f>O33</f>
        <v>3758.5679999999998</v>
      </c>
      <c r="S33" s="946"/>
      <c r="T33" s="1307">
        <v>707.95700000000011</v>
      </c>
      <c r="U33" s="1292">
        <v>4678.34</v>
      </c>
      <c r="V33" s="1292">
        <v>892.58</v>
      </c>
      <c r="W33" s="948"/>
      <c r="X33" s="948"/>
      <c r="Y33" s="948"/>
      <c r="Z33" s="1397">
        <f>SUM(T33:W33)</f>
        <v>6278.8770000000004</v>
      </c>
      <c r="AA33" s="1308">
        <v>463.63</v>
      </c>
      <c r="AB33" s="1292">
        <v>3504.23</v>
      </c>
      <c r="AC33" s="1292">
        <v>892.58</v>
      </c>
      <c r="AD33" s="890"/>
      <c r="AE33" s="890"/>
      <c r="AF33" s="890"/>
      <c r="AG33" s="951">
        <f>SUM(AA33:AD33)</f>
        <v>4860.4400000000005</v>
      </c>
      <c r="AH33" s="947">
        <f t="shared" si="51"/>
        <v>11139.317000000001</v>
      </c>
      <c r="AI33" s="890">
        <f t="shared" si="73"/>
        <v>1171.587</v>
      </c>
      <c r="AJ33" s="890">
        <f t="shared" si="73"/>
        <v>8182.57</v>
      </c>
      <c r="AK33" s="890">
        <f t="shared" si="73"/>
        <v>1785.16</v>
      </c>
      <c r="AL33" s="890">
        <f t="shared" si="73"/>
        <v>0</v>
      </c>
      <c r="AM33" s="890">
        <f t="shared" si="73"/>
        <v>0</v>
      </c>
      <c r="AN33" s="890"/>
      <c r="AO33" s="890">
        <f t="shared" si="70"/>
        <v>11139.316999999999</v>
      </c>
      <c r="AP33" s="890">
        <f t="shared" si="71"/>
        <v>11139.316999999999</v>
      </c>
      <c r="AQ33" s="1035">
        <f t="shared" si="72"/>
        <v>11139.316999999999</v>
      </c>
      <c r="AR33" s="973">
        <f t="shared" si="35"/>
        <v>0</v>
      </c>
      <c r="AS33" s="889">
        <f t="shared" si="74"/>
        <v>3883768.7278679996</v>
      </c>
      <c r="AT33" s="890">
        <f t="shared" si="74"/>
        <v>14563829.040199999</v>
      </c>
      <c r="AU33" s="890">
        <f t="shared" si="74"/>
        <v>3177334.8775999998</v>
      </c>
      <c r="AV33" s="890">
        <f t="shared" si="74"/>
        <v>0</v>
      </c>
      <c r="AW33" s="890">
        <f t="shared" si="74"/>
        <v>0</v>
      </c>
      <c r="AX33" s="890">
        <f t="shared" si="47"/>
        <v>21624932.645667996</v>
      </c>
      <c r="AY33" s="890">
        <f t="shared" si="48"/>
        <v>21624932.645667996</v>
      </c>
      <c r="AZ33" s="890">
        <f>O33*AI33</f>
        <v>4403489.407416</v>
      </c>
      <c r="BA33" s="890">
        <f t="shared" si="75"/>
        <v>16659548.8686</v>
      </c>
      <c r="BB33" s="890">
        <f t="shared" si="75"/>
        <v>3634550.0568000004</v>
      </c>
      <c r="BC33" s="890">
        <f t="shared" si="75"/>
        <v>0</v>
      </c>
      <c r="BD33" s="890">
        <f t="shared" si="75"/>
        <v>0</v>
      </c>
      <c r="BE33" s="890">
        <f t="shared" si="49"/>
        <v>24697588.332816001</v>
      </c>
      <c r="BF33" s="952">
        <f t="shared" si="52"/>
        <v>24697588.332816001</v>
      </c>
      <c r="BG33" s="953">
        <f>(H33-J33)/1.2*U33/1000+(H33-K33)/1.2*V33/1000</f>
        <v>7126.6179797333325</v>
      </c>
      <c r="BH33" s="954">
        <f>(O33-P33)*AB33/1000/1.2+(O33-Q33)/1.2*AC33/1000</f>
        <v>6311.5767868999992</v>
      </c>
      <c r="BI33" s="955">
        <f>BG33+BH33</f>
        <v>13438.194766633333</v>
      </c>
      <c r="BJ33" s="955"/>
      <c r="BK33" s="1197"/>
      <c r="BL33" s="890">
        <f t="shared" si="53"/>
        <v>2346851.9685479999</v>
      </c>
      <c r="BM33" s="890">
        <f t="shared" si="53"/>
        <v>8326790.2324000001</v>
      </c>
      <c r="BN33" s="890">
        <f t="shared" si="53"/>
        <v>1588667.4387999999</v>
      </c>
      <c r="BO33" s="890">
        <f t="shared" si="53"/>
        <v>0</v>
      </c>
      <c r="BP33" s="890">
        <f t="shared" si="53"/>
        <v>0</v>
      </c>
      <c r="BQ33" s="890">
        <f t="shared" si="54"/>
        <v>12262309.639748</v>
      </c>
      <c r="BR33" s="890">
        <f t="shared" si="55"/>
        <v>12262309.639748</v>
      </c>
      <c r="BS33" s="890">
        <f>O33*AA33</f>
        <v>1742584.8818399999</v>
      </c>
      <c r="BT33" s="890">
        <f t="shared" si="56"/>
        <v>7134542.1954000005</v>
      </c>
      <c r="BU33" s="890">
        <f t="shared" si="56"/>
        <v>1817275.0284000002</v>
      </c>
      <c r="BV33" s="890">
        <f t="shared" si="57"/>
        <v>0</v>
      </c>
      <c r="BW33" s="890">
        <f t="shared" si="17"/>
        <v>0</v>
      </c>
      <c r="BX33" s="890">
        <f t="shared" si="58"/>
        <v>10694402.105640002</v>
      </c>
      <c r="BY33" s="890">
        <f t="shared" si="59"/>
        <v>10694402.105640002</v>
      </c>
      <c r="BZ33" s="945">
        <f t="shared" si="60"/>
        <v>15461332.4278</v>
      </c>
      <c r="CA33" s="945">
        <f t="shared" si="60"/>
        <v>3405942.4671999998</v>
      </c>
      <c r="CB33" s="945">
        <f t="shared" si="61"/>
        <v>18867274.895</v>
      </c>
      <c r="CC33" s="976">
        <f t="shared" si="62"/>
        <v>1889.5447796719125</v>
      </c>
      <c r="CD33" s="976">
        <f t="shared" si="62"/>
        <v>1907.9199999999998</v>
      </c>
      <c r="CE33" s="976">
        <f t="shared" si="38"/>
        <v>1892.8356702077606</v>
      </c>
      <c r="CF33" s="976">
        <f t="shared" si="18"/>
        <v>1892.8356702077606</v>
      </c>
      <c r="CG33" s="977">
        <f>I33*(U33+V33)+O33*(AB33+AC33)</f>
        <v>34993108.61496</v>
      </c>
      <c r="CH33" s="977">
        <f t="shared" si="39"/>
        <v>3510.6396957943284</v>
      </c>
      <c r="CI33" s="945"/>
      <c r="CJ33" s="1312">
        <f>H33*Z33/1000</f>
        <v>20814.251215427998</v>
      </c>
      <c r="CK33" s="1312">
        <f t="shared" si="20"/>
        <v>18268.29424992</v>
      </c>
      <c r="CL33" s="1312">
        <f t="shared" si="76"/>
        <v>39082.545465347997</v>
      </c>
      <c r="CM33" s="890">
        <f t="shared" si="41"/>
        <v>41867.880418056004</v>
      </c>
      <c r="CN33" s="890">
        <f t="shared" si="42"/>
        <v>2785.3349527080063</v>
      </c>
      <c r="CO33" s="966">
        <f>H33*Z33+N33*AG33</f>
        <v>39082545.465347998</v>
      </c>
      <c r="CP33" s="890">
        <f t="shared" si="22"/>
        <v>21624932.645667996</v>
      </c>
      <c r="CQ33" s="890">
        <f t="shared" si="23"/>
        <v>21624932.645667996</v>
      </c>
      <c r="CR33" s="890">
        <f t="shared" si="24"/>
        <v>12262309.639748</v>
      </c>
      <c r="CS33" s="890">
        <f>O33*AI33+P33*AJ33+Q33*AK33+R33*AL33</f>
        <v>24697588.332816001</v>
      </c>
      <c r="CT33" s="890">
        <f>O33*AI33+P33*(AJ33+AK33)+R33*AL33</f>
        <v>24697588.332816001</v>
      </c>
      <c r="CU33" s="890">
        <f>O33*AA33+P33*AB33+Q33*AC33+R33*AD33</f>
        <v>10694402.105640002</v>
      </c>
      <c r="CV33" s="890">
        <f t="shared" si="43"/>
        <v>46322520.978483997</v>
      </c>
      <c r="CW33" s="978">
        <f t="shared" si="44"/>
        <v>4158.4704859807825</v>
      </c>
      <c r="CX33" s="890">
        <f t="shared" si="28"/>
        <v>17741163.917799998</v>
      </c>
      <c r="CY33" s="890">
        <f t="shared" si="29"/>
        <v>20294098.9254</v>
      </c>
      <c r="CZ33" s="890"/>
      <c r="DA33" s="890">
        <f t="shared" si="30"/>
        <v>36926434.839587994</v>
      </c>
      <c r="DB33" s="890">
        <f>N33*AI33+N33*AJ33+N33*AK33+N33*AL33</f>
        <v>41867880.418055996</v>
      </c>
      <c r="DC33" s="840"/>
      <c r="DD33" s="841">
        <f>N33/J33*100</f>
        <v>211.17211466070364</v>
      </c>
      <c r="DE33" s="840"/>
      <c r="DF33" s="840"/>
      <c r="DG33" s="840"/>
      <c r="DH33" s="1134"/>
      <c r="DI33" s="1050"/>
      <c r="DJ33" s="1050"/>
      <c r="DK33" s="945"/>
      <c r="DL33" s="975">
        <f t="shared" si="32"/>
        <v>0</v>
      </c>
      <c r="DM33" s="975">
        <f t="shared" si="33"/>
        <v>0</v>
      </c>
      <c r="DN33" s="975">
        <f t="shared" si="34"/>
        <v>0</v>
      </c>
      <c r="DO33" s="871"/>
      <c r="DP33" s="871"/>
      <c r="DQ33" s="871"/>
      <c r="DR33" s="871"/>
      <c r="DS33" s="871"/>
      <c r="DT33" s="871"/>
      <c r="DU33" s="871"/>
      <c r="DV33" s="871"/>
      <c r="DW33" s="871"/>
      <c r="DX33" s="871"/>
      <c r="DY33" s="871"/>
      <c r="DZ33" s="871"/>
      <c r="EA33" s="871"/>
      <c r="EB33" s="871"/>
      <c r="EC33" s="871"/>
      <c r="ED33" s="871"/>
      <c r="EE33" s="871"/>
      <c r="EF33" s="871"/>
      <c r="EG33" s="871"/>
      <c r="EH33" s="871"/>
      <c r="EI33" s="871"/>
      <c r="EJ33" s="871"/>
      <c r="EK33" s="871"/>
      <c r="EL33" s="871"/>
    </row>
    <row r="34" spans="1:155" s="869" customFormat="1" ht="76.5" hidden="1" customHeight="1">
      <c r="A34" s="6">
        <f t="shared" si="46"/>
        <v>21</v>
      </c>
      <c r="B34" s="886" t="s">
        <v>14</v>
      </c>
      <c r="C34" s="1396" t="s">
        <v>87</v>
      </c>
      <c r="D34" s="1262" t="s">
        <v>142</v>
      </c>
      <c r="E34" s="887">
        <v>4632024035</v>
      </c>
      <c r="F34" s="886" t="s">
        <v>8</v>
      </c>
      <c r="G34" s="1238" t="s">
        <v>983</v>
      </c>
      <c r="H34" s="1256">
        <v>3314.9639999999995</v>
      </c>
      <c r="I34" s="1257">
        <f>H34</f>
        <v>3314.9639999999995</v>
      </c>
      <c r="J34" s="1263">
        <v>2484</v>
      </c>
      <c r="K34" s="891"/>
      <c r="L34" s="1256">
        <v>3314.9639999999995</v>
      </c>
      <c r="M34" s="946"/>
      <c r="N34" s="1259">
        <f>3132.14*1.2</f>
        <v>3758.5679999999998</v>
      </c>
      <c r="O34" s="1260">
        <f>N34</f>
        <v>3758.5679999999998</v>
      </c>
      <c r="P34" s="1264">
        <v>2719.98</v>
      </c>
      <c r="Q34" s="891"/>
      <c r="R34" s="1260">
        <f>O34</f>
        <v>3758.5679999999998</v>
      </c>
      <c r="S34" s="946"/>
      <c r="T34" s="1307">
        <v>1558.2</v>
      </c>
      <c r="U34" s="1366">
        <v>1196.144</v>
      </c>
      <c r="V34" s="1366">
        <v>0</v>
      </c>
      <c r="W34" s="890"/>
      <c r="X34" s="890"/>
      <c r="Y34" s="890"/>
      <c r="Z34" s="1397">
        <f t="shared" si="8"/>
        <v>2754.3440000000001</v>
      </c>
      <c r="AA34" s="1308">
        <v>904.8</v>
      </c>
      <c r="AB34" s="1292">
        <v>933.03899999999999</v>
      </c>
      <c r="AC34" s="1292">
        <v>0</v>
      </c>
      <c r="AD34" s="890"/>
      <c r="AE34" s="890"/>
      <c r="AF34" s="890"/>
      <c r="AG34" s="951">
        <f t="shared" si="50"/>
        <v>1837.8389999999999</v>
      </c>
      <c r="AH34" s="947">
        <f t="shared" si="51"/>
        <v>4592.183</v>
      </c>
      <c r="AI34" s="890">
        <f t="shared" si="73"/>
        <v>2463</v>
      </c>
      <c r="AJ34" s="890">
        <f t="shared" si="73"/>
        <v>2129.183</v>
      </c>
      <c r="AK34" s="890">
        <f t="shared" si="73"/>
        <v>0</v>
      </c>
      <c r="AL34" s="890">
        <f t="shared" si="73"/>
        <v>0</v>
      </c>
      <c r="AM34" s="890">
        <f t="shared" si="73"/>
        <v>0</v>
      </c>
      <c r="AN34" s="890"/>
      <c r="AO34" s="890">
        <f t="shared" si="70"/>
        <v>4592.183</v>
      </c>
      <c r="AP34" s="890">
        <f t="shared" si="71"/>
        <v>4592.183</v>
      </c>
      <c r="AQ34" s="952">
        <f t="shared" si="72"/>
        <v>4592.183</v>
      </c>
      <c r="AR34" s="973">
        <f t="shared" si="35"/>
        <v>0</v>
      </c>
      <c r="AS34" s="889">
        <f t="shared" si="74"/>
        <v>8164756.3319999985</v>
      </c>
      <c r="AT34" s="890">
        <f t="shared" si="74"/>
        <v>5288890.5719999997</v>
      </c>
      <c r="AU34" s="890">
        <f t="shared" si="74"/>
        <v>0</v>
      </c>
      <c r="AV34" s="890">
        <f t="shared" si="74"/>
        <v>0</v>
      </c>
      <c r="AW34" s="890">
        <f t="shared" si="74"/>
        <v>0</v>
      </c>
      <c r="AX34" s="890">
        <f t="shared" si="47"/>
        <v>13453646.903999999</v>
      </c>
      <c r="AY34" s="890">
        <f t="shared" si="48"/>
        <v>13453646.903999999</v>
      </c>
      <c r="AZ34" s="890">
        <f t="shared" si="75"/>
        <v>9257352.9839999992</v>
      </c>
      <c r="BA34" s="890">
        <f t="shared" si="75"/>
        <v>5791335.1763399998</v>
      </c>
      <c r="BB34" s="890">
        <f t="shared" si="75"/>
        <v>0</v>
      </c>
      <c r="BC34" s="890">
        <f t="shared" si="75"/>
        <v>0</v>
      </c>
      <c r="BD34" s="890">
        <f t="shared" si="75"/>
        <v>0</v>
      </c>
      <c r="BE34" s="890">
        <f t="shared" si="49"/>
        <v>15048688.16034</v>
      </c>
      <c r="BF34" s="952">
        <f t="shared" si="52"/>
        <v>15048688.16034</v>
      </c>
      <c r="BG34" s="953">
        <f>(H34-J34)/1.2*U34/1000+(H34-K34)/1.2*V34/1000</f>
        <v>828.29383567999946</v>
      </c>
      <c r="BH34" s="954">
        <f>(O34-P34)*AB34/1000/1.2+(O34-Q34)/1.2*AC34/1000</f>
        <v>807.53592410999988</v>
      </c>
      <c r="BI34" s="955">
        <f>BG34+BH34</f>
        <v>1635.8297597899993</v>
      </c>
      <c r="BJ34" s="955"/>
      <c r="BK34" s="1197"/>
      <c r="BL34" s="890">
        <f t="shared" si="53"/>
        <v>5165376.9047999997</v>
      </c>
      <c r="BM34" s="890">
        <f t="shared" si="53"/>
        <v>2971221.696</v>
      </c>
      <c r="BN34" s="890">
        <f t="shared" si="53"/>
        <v>0</v>
      </c>
      <c r="BO34" s="890">
        <f t="shared" si="53"/>
        <v>0</v>
      </c>
      <c r="BP34" s="890">
        <f t="shared" si="53"/>
        <v>0</v>
      </c>
      <c r="BQ34" s="890">
        <f t="shared" si="54"/>
        <v>8136598.6008000001</v>
      </c>
      <c r="BR34" s="890">
        <f t="shared" si="55"/>
        <v>8136598.6008000001</v>
      </c>
      <c r="BS34" s="890">
        <f t="shared" si="56"/>
        <v>3400752.3263999997</v>
      </c>
      <c r="BT34" s="890">
        <f t="shared" si="56"/>
        <v>2537847.41922</v>
      </c>
      <c r="BU34" s="890">
        <f t="shared" si="56"/>
        <v>0</v>
      </c>
      <c r="BV34" s="890">
        <f t="shared" si="57"/>
        <v>0</v>
      </c>
      <c r="BW34" s="890">
        <f t="shared" si="17"/>
        <v>0</v>
      </c>
      <c r="BX34" s="890">
        <f t="shared" si="58"/>
        <v>5938599.7456199992</v>
      </c>
      <c r="BY34" s="890">
        <f t="shared" si="59"/>
        <v>5938599.7456199992</v>
      </c>
      <c r="BZ34" s="945">
        <f t="shared" si="60"/>
        <v>5509069.11522</v>
      </c>
      <c r="CA34" s="945">
        <f t="shared" si="60"/>
        <v>0</v>
      </c>
      <c r="CB34" s="945">
        <f t="shared" si="61"/>
        <v>5509069.11522</v>
      </c>
      <c r="CC34" s="976">
        <f t="shared" si="62"/>
        <v>2587.4098728103691</v>
      </c>
      <c r="CD34" s="976" t="e">
        <f t="shared" si="62"/>
        <v>#DIV/0!</v>
      </c>
      <c r="CE34" s="976">
        <f t="shared" si="38"/>
        <v>2587.4098728103691</v>
      </c>
      <c r="CF34" s="976">
        <f t="shared" si="18"/>
        <v>2587.4098728103691</v>
      </c>
      <c r="CG34" s="977">
        <f t="shared" si="19"/>
        <v>7472064.8269679993</v>
      </c>
      <c r="CH34" s="977">
        <f t="shared" si="39"/>
        <v>3509.3577334442361</v>
      </c>
      <c r="CI34" s="945"/>
      <c r="CJ34" s="1312">
        <f>H34*Z34/1000</f>
        <v>9130.551203615998</v>
      </c>
      <c r="CK34" s="1312">
        <f t="shared" si="20"/>
        <v>6907.6428545519993</v>
      </c>
      <c r="CL34" s="1312">
        <f t="shared" si="76"/>
        <v>16038.194058167997</v>
      </c>
      <c r="CM34" s="890">
        <f t="shared" si="41"/>
        <v>17260.032073943999</v>
      </c>
      <c r="CN34" s="890">
        <f t="shared" si="42"/>
        <v>1221.8380157760021</v>
      </c>
      <c r="CO34" s="890">
        <f t="shared" si="21"/>
        <v>16038194.058167998</v>
      </c>
      <c r="CP34" s="890">
        <f t="shared" si="22"/>
        <v>13453646.903999999</v>
      </c>
      <c r="CQ34" s="890">
        <f t="shared" si="23"/>
        <v>13453646.903999999</v>
      </c>
      <c r="CR34" s="890">
        <f t="shared" si="24"/>
        <v>8136598.6008000001</v>
      </c>
      <c r="CS34" s="890">
        <f t="shared" si="25"/>
        <v>15048688.16034</v>
      </c>
      <c r="CT34" s="890">
        <f t="shared" si="26"/>
        <v>15048688.16034</v>
      </c>
      <c r="CU34" s="890">
        <f t="shared" si="27"/>
        <v>5938599.7456199992</v>
      </c>
      <c r="CV34" s="890">
        <f t="shared" si="43"/>
        <v>28502335.064339999</v>
      </c>
      <c r="CW34" s="978">
        <f t="shared" si="44"/>
        <v>6206.7071508996914</v>
      </c>
      <c r="CX34" s="890">
        <f t="shared" si="28"/>
        <v>5288890.5719999997</v>
      </c>
      <c r="CY34" s="890">
        <f t="shared" si="29"/>
        <v>5791335.1763399998</v>
      </c>
      <c r="CZ34" s="890"/>
      <c r="DA34" s="890">
        <f t="shared" si="30"/>
        <v>15222921.326411996</v>
      </c>
      <c r="DB34" s="890">
        <f t="shared" si="31"/>
        <v>17260032.073943999</v>
      </c>
      <c r="DC34" s="840"/>
      <c r="DD34" s="841">
        <f t="shared" si="45"/>
        <v>151.3111111111111</v>
      </c>
      <c r="DE34" s="840"/>
      <c r="DF34" s="840"/>
      <c r="DG34" s="840"/>
      <c r="DH34" s="1050"/>
      <c r="DI34" s="1050"/>
      <c r="DJ34" s="1050"/>
      <c r="DK34" s="945"/>
      <c r="DL34" s="975">
        <f t="shared" si="32"/>
        <v>0</v>
      </c>
      <c r="DM34" s="975">
        <f t="shared" si="33"/>
        <v>0</v>
      </c>
      <c r="DN34" s="975">
        <f t="shared" si="34"/>
        <v>0</v>
      </c>
      <c r="DO34" s="816"/>
      <c r="DP34" s="871"/>
      <c r="DQ34" s="871"/>
      <c r="DR34" s="871"/>
      <c r="DS34" s="871"/>
      <c r="DT34" s="871"/>
      <c r="DU34" s="871"/>
      <c r="DV34" s="871"/>
      <c r="DW34" s="871"/>
      <c r="DX34" s="871"/>
      <c r="DY34" s="871"/>
      <c r="DZ34" s="871"/>
      <c r="EA34" s="871"/>
      <c r="EB34" s="871"/>
      <c r="EC34" s="871"/>
      <c r="ED34" s="871"/>
      <c r="EE34" s="871"/>
      <c r="EF34" s="871"/>
      <c r="EG34" s="871"/>
      <c r="EH34" s="871"/>
      <c r="EI34" s="871"/>
      <c r="EJ34" s="871"/>
      <c r="EK34" s="871"/>
      <c r="EL34" s="871"/>
    </row>
    <row r="35" spans="1:155" s="50" customFormat="1" ht="84" hidden="1" customHeight="1">
      <c r="A35" s="6">
        <f t="shared" si="46"/>
        <v>22</v>
      </c>
      <c r="B35" s="886"/>
      <c r="C35" s="1338" t="s">
        <v>60</v>
      </c>
      <c r="D35" s="1338" t="s">
        <v>136</v>
      </c>
      <c r="E35" s="887">
        <v>4607000231</v>
      </c>
      <c r="F35" s="886" t="s">
        <v>8</v>
      </c>
      <c r="G35" s="888" t="s">
        <v>987</v>
      </c>
      <c r="H35" s="1352">
        <v>2965.5</v>
      </c>
      <c r="I35" s="1353">
        <v>2965.5</v>
      </c>
      <c r="J35" s="1354">
        <v>2965.5</v>
      </c>
      <c r="K35" s="1354"/>
      <c r="L35" s="1354">
        <v>2965.5</v>
      </c>
      <c r="M35" s="1355"/>
      <c r="N35" s="1356">
        <v>3337.3</v>
      </c>
      <c r="O35" s="1354">
        <v>3337.3</v>
      </c>
      <c r="P35" s="1354">
        <v>3337.3</v>
      </c>
      <c r="Q35" s="1354"/>
      <c r="R35" s="1354">
        <v>3337.3</v>
      </c>
      <c r="S35" s="1355"/>
      <c r="T35" s="929">
        <v>1050</v>
      </c>
      <c r="U35" s="944">
        <v>313</v>
      </c>
      <c r="V35" s="931"/>
      <c r="W35" s="928">
        <v>95</v>
      </c>
      <c r="X35" s="928">
        <v>0</v>
      </c>
      <c r="Y35" s="928">
        <v>4723.8599999999997</v>
      </c>
      <c r="Z35" s="949">
        <f>SUM(T35:W35)</f>
        <v>1458</v>
      </c>
      <c r="AA35" s="939">
        <v>792.41300000000001</v>
      </c>
      <c r="AB35" s="928">
        <v>307</v>
      </c>
      <c r="AC35" s="931">
        <v>0</v>
      </c>
      <c r="AD35" s="928">
        <v>61</v>
      </c>
      <c r="AE35" s="931">
        <v>0</v>
      </c>
      <c r="AF35" s="928">
        <v>3149.24</v>
      </c>
      <c r="AG35" s="951">
        <f>SUM(AA35:AD35)</f>
        <v>1160.413</v>
      </c>
      <c r="AH35" s="947">
        <f>Z35+AG35</f>
        <v>2618.413</v>
      </c>
      <c r="AI35" s="971">
        <f>T35+AA35</f>
        <v>1842.413</v>
      </c>
      <c r="AJ35" s="890">
        <f>U35+AB35</f>
        <v>620</v>
      </c>
      <c r="AK35" s="890">
        <f t="shared" si="73"/>
        <v>0</v>
      </c>
      <c r="AL35" s="971">
        <f>W35+AD35</f>
        <v>156</v>
      </c>
      <c r="AM35" s="894">
        <f>X35+AE35</f>
        <v>0</v>
      </c>
      <c r="AN35" s="894">
        <f>Y35+AF35</f>
        <v>7873.0999999999995</v>
      </c>
      <c r="AO35" s="894">
        <f>SUM(AI35:AN35)</f>
        <v>10491.512999999999</v>
      </c>
      <c r="AP35" s="894">
        <f>SUM(AI35:AM35)</f>
        <v>2618.413</v>
      </c>
      <c r="AQ35" s="972">
        <f>SUM(AI35:AL35)</f>
        <v>2618.413</v>
      </c>
      <c r="AR35" s="973">
        <f t="shared" si="35"/>
        <v>0</v>
      </c>
      <c r="AS35" s="889">
        <f t="shared" si="74"/>
        <v>5463675.7515000002</v>
      </c>
      <c r="AT35" s="890">
        <f t="shared" si="74"/>
        <v>1838610</v>
      </c>
      <c r="AU35" s="890">
        <f t="shared" si="74"/>
        <v>0</v>
      </c>
      <c r="AV35" s="890">
        <f t="shared" si="74"/>
        <v>462618</v>
      </c>
      <c r="AW35" s="890">
        <f t="shared" si="74"/>
        <v>0</v>
      </c>
      <c r="AX35" s="890">
        <f t="shared" si="47"/>
        <v>7764903.7515000002</v>
      </c>
      <c r="AY35" s="890">
        <f t="shared" si="48"/>
        <v>7764903.7515000002</v>
      </c>
      <c r="AZ35" s="890">
        <f t="shared" si="75"/>
        <v>6148684.9049000004</v>
      </c>
      <c r="BA35" s="890">
        <f t="shared" si="75"/>
        <v>2069126</v>
      </c>
      <c r="BB35" s="890">
        <f t="shared" si="75"/>
        <v>0</v>
      </c>
      <c r="BC35" s="890">
        <f t="shared" si="75"/>
        <v>520618.80000000005</v>
      </c>
      <c r="BD35" s="890">
        <f t="shared" si="75"/>
        <v>0</v>
      </c>
      <c r="BE35" s="890">
        <f t="shared" si="49"/>
        <v>8738429.7049000002</v>
      </c>
      <c r="BF35" s="952">
        <f t="shared" si="52"/>
        <v>8738429.7049000002</v>
      </c>
      <c r="BG35" s="974"/>
      <c r="BH35" s="890"/>
      <c r="BI35" s="890">
        <f t="shared" si="7"/>
        <v>0</v>
      </c>
      <c r="BJ35" s="975">
        <v>7764.8952787105445</v>
      </c>
      <c r="BK35" s="1198"/>
      <c r="BL35" s="890">
        <f>I35*T35</f>
        <v>3113775</v>
      </c>
      <c r="BM35" s="890">
        <f>J35*U35</f>
        <v>928201.5</v>
      </c>
      <c r="BN35" s="890">
        <f t="shared" si="53"/>
        <v>0</v>
      </c>
      <c r="BO35" s="890">
        <f>L35*W35</f>
        <v>281722.5</v>
      </c>
      <c r="BP35" s="890">
        <f>M35*X35</f>
        <v>0</v>
      </c>
      <c r="BQ35" s="890">
        <f>BL35+BM35+BN35+BO35+BP35</f>
        <v>4323699</v>
      </c>
      <c r="BR35" s="890">
        <f>BQ35-BP35</f>
        <v>4323699</v>
      </c>
      <c r="BS35" s="890">
        <f t="shared" si="56"/>
        <v>2644519.9049</v>
      </c>
      <c r="BT35" s="890">
        <f t="shared" si="56"/>
        <v>1024551.1000000001</v>
      </c>
      <c r="BU35" s="890">
        <f t="shared" si="56"/>
        <v>0</v>
      </c>
      <c r="BV35" s="890">
        <f>R35*W35</f>
        <v>317043.5</v>
      </c>
      <c r="BW35" s="890">
        <f>S35*AE35</f>
        <v>0</v>
      </c>
      <c r="BX35" s="890">
        <f>BS35+BT35+BU35+BV35+BW35</f>
        <v>3986114.5049000001</v>
      </c>
      <c r="BY35" s="890">
        <f>BX35-BW35</f>
        <v>3986114.5049000001</v>
      </c>
      <c r="BZ35" s="945">
        <f>BM35+BT35</f>
        <v>1952752.6</v>
      </c>
      <c r="CA35" s="945">
        <f>BN35+BU35</f>
        <v>0</v>
      </c>
      <c r="CB35" s="945">
        <f>BZ35+CA35</f>
        <v>1952752.6</v>
      </c>
      <c r="CC35" s="976">
        <f>BZ35/AJ35</f>
        <v>3149.6009677419356</v>
      </c>
      <c r="CD35" s="976" t="e">
        <f>CA35/AK35</f>
        <v>#DIV/0!</v>
      </c>
      <c r="CE35" s="976">
        <f t="shared" si="38"/>
        <v>3149.6009677419356</v>
      </c>
      <c r="CF35" s="945">
        <f t="shared" si="18"/>
        <v>3149.6009677419356</v>
      </c>
      <c r="CG35" s="977">
        <f t="shared" si="19"/>
        <v>1952752.6</v>
      </c>
      <c r="CH35" s="977">
        <f t="shared" si="39"/>
        <v>3149.6009677419356</v>
      </c>
      <c r="CI35" s="945"/>
      <c r="CJ35" s="1312">
        <f>H35*Z35/1000</f>
        <v>4323.6989999999996</v>
      </c>
      <c r="CK35" s="1312">
        <f t="shared" si="20"/>
        <v>3872.6463049000004</v>
      </c>
      <c r="CL35" s="1312">
        <f t="shared" si="76"/>
        <v>8196.3453049</v>
      </c>
      <c r="CM35" s="897">
        <f t="shared" si="41"/>
        <v>8738.4297048999997</v>
      </c>
      <c r="CN35" s="897">
        <f t="shared" si="42"/>
        <v>542.08439999999973</v>
      </c>
      <c r="CO35" s="890">
        <f t="shared" si="21"/>
        <v>8196345.3048999999</v>
      </c>
      <c r="CP35" s="890">
        <f t="shared" si="22"/>
        <v>7764903.7515000002</v>
      </c>
      <c r="CQ35" s="890">
        <f t="shared" si="23"/>
        <v>7764903.7515000002</v>
      </c>
      <c r="CR35" s="890">
        <f t="shared" si="24"/>
        <v>4323699</v>
      </c>
      <c r="CS35" s="890">
        <f t="shared" si="25"/>
        <v>8738429.7049000002</v>
      </c>
      <c r="CT35" s="890">
        <f t="shared" si="26"/>
        <v>8738429.7049000002</v>
      </c>
      <c r="CU35" s="890">
        <f t="shared" si="27"/>
        <v>3872646.3048999999</v>
      </c>
      <c r="CV35" s="890">
        <f t="shared" si="43"/>
        <v>16503333.4564</v>
      </c>
      <c r="CW35" s="978">
        <f t="shared" si="44"/>
        <v>6302.8</v>
      </c>
      <c r="CX35" s="890">
        <f t="shared" si="28"/>
        <v>1838610</v>
      </c>
      <c r="CY35" s="890">
        <f t="shared" si="29"/>
        <v>2069126</v>
      </c>
      <c r="CZ35" s="890"/>
      <c r="DA35" s="890">
        <f t="shared" si="30"/>
        <v>7764903.7515000002</v>
      </c>
      <c r="DB35" s="890">
        <f t="shared" si="31"/>
        <v>8738429.7049000002</v>
      </c>
      <c r="DC35" s="1131"/>
      <c r="DD35" s="841">
        <f t="shared" si="45"/>
        <v>112.53751475299276</v>
      </c>
      <c r="DE35" s="1131"/>
      <c r="DF35" s="1131"/>
      <c r="DG35" s="1131"/>
      <c r="DH35" s="1050">
        <v>2699.88</v>
      </c>
      <c r="DI35" s="1050">
        <v>645.88</v>
      </c>
      <c r="DJ35" s="1050">
        <f>DH35-DI35</f>
        <v>2054</v>
      </c>
      <c r="DK35" s="979"/>
      <c r="DL35" s="975">
        <f t="shared" si="32"/>
        <v>0</v>
      </c>
      <c r="DM35" s="975">
        <f t="shared" si="33"/>
        <v>0</v>
      </c>
      <c r="DN35" s="975">
        <f t="shared" si="34"/>
        <v>0</v>
      </c>
      <c r="DO35" s="81"/>
      <c r="DP35" s="81"/>
      <c r="DQ35" s="81"/>
      <c r="DR35" s="81"/>
      <c r="DS35" s="81"/>
      <c r="DT35" s="81"/>
      <c r="DU35" s="81"/>
      <c r="DV35" s="81"/>
      <c r="DW35" s="81"/>
      <c r="DX35" s="81"/>
      <c r="DY35" s="81"/>
      <c r="DZ35" s="81"/>
      <c r="EA35" s="81"/>
      <c r="EB35" s="81"/>
      <c r="EC35" s="81"/>
      <c r="ED35" s="81"/>
      <c r="EE35" s="81"/>
      <c r="EF35" s="81"/>
      <c r="EG35" s="81"/>
      <c r="EH35" s="81"/>
      <c r="EI35" s="81"/>
      <c r="EJ35" s="81"/>
      <c r="EK35" s="81"/>
      <c r="EL35" s="81"/>
    </row>
    <row r="36" spans="1:155" s="50" customFormat="1" ht="70.5" hidden="1" customHeight="1">
      <c r="A36" s="6">
        <f t="shared" si="46"/>
        <v>23</v>
      </c>
      <c r="B36" s="886"/>
      <c r="C36" s="886"/>
      <c r="D36" s="956" t="s">
        <v>877</v>
      </c>
      <c r="E36" s="887">
        <v>4607005286</v>
      </c>
      <c r="F36" s="886" t="s">
        <v>165</v>
      </c>
      <c r="G36" s="888" t="s">
        <v>876</v>
      </c>
      <c r="H36" s="1241"/>
      <c r="I36" s="1242"/>
      <c r="J36" s="891"/>
      <c r="K36" s="891"/>
      <c r="L36" s="891"/>
      <c r="M36" s="892"/>
      <c r="N36" s="959"/>
      <c r="O36" s="891"/>
      <c r="P36" s="891"/>
      <c r="Q36" s="891"/>
      <c r="R36" s="891"/>
      <c r="S36" s="892"/>
      <c r="T36" s="980">
        <v>0</v>
      </c>
      <c r="U36" s="981"/>
      <c r="V36" s="981">
        <v>0</v>
      </c>
      <c r="W36" s="981"/>
      <c r="X36" s="981"/>
      <c r="Y36" s="981"/>
      <c r="Z36" s="898"/>
      <c r="AA36" s="982">
        <v>0</v>
      </c>
      <c r="AB36" s="981">
        <v>0</v>
      </c>
      <c r="AC36" s="981">
        <v>0</v>
      </c>
      <c r="AD36" s="981"/>
      <c r="AE36" s="981"/>
      <c r="AF36" s="981"/>
      <c r="AG36" s="900"/>
      <c r="AH36" s="896">
        <f>Z36+AG36</f>
        <v>0</v>
      </c>
      <c r="AI36" s="897">
        <f>T36+AA36</f>
        <v>0</v>
      </c>
      <c r="AJ36" s="897">
        <f>U36+AB36</f>
        <v>0</v>
      </c>
      <c r="AK36" s="897">
        <f>V36+AC36</f>
        <v>0</v>
      </c>
      <c r="AL36" s="897">
        <f>W36+AD36</f>
        <v>0</v>
      </c>
      <c r="AM36" s="897">
        <f>X36+AE36</f>
        <v>0</v>
      </c>
      <c r="AN36" s="897">
        <v>0</v>
      </c>
      <c r="AO36" s="897">
        <f>SUM(AI36:AN36)</f>
        <v>0</v>
      </c>
      <c r="AP36" s="897">
        <f>SUM(AI36:AM36)</f>
        <v>0</v>
      </c>
      <c r="AQ36" s="901">
        <f>SUM(AI36:AL36)</f>
        <v>0</v>
      </c>
      <c r="AR36" s="902">
        <f t="shared" si="35"/>
        <v>0</v>
      </c>
      <c r="AS36" s="903">
        <f t="shared" si="74"/>
        <v>0</v>
      </c>
      <c r="AT36" s="897">
        <f t="shared" si="74"/>
        <v>0</v>
      </c>
      <c r="AU36" s="897">
        <f t="shared" si="74"/>
        <v>0</v>
      </c>
      <c r="AV36" s="897">
        <f t="shared" si="74"/>
        <v>0</v>
      </c>
      <c r="AW36" s="897">
        <f t="shared" si="74"/>
        <v>0</v>
      </c>
      <c r="AX36" s="897">
        <f t="shared" si="47"/>
        <v>0</v>
      </c>
      <c r="AY36" s="897">
        <f t="shared" si="48"/>
        <v>0</v>
      </c>
      <c r="AZ36" s="897">
        <f t="shared" si="75"/>
        <v>0</v>
      </c>
      <c r="BA36" s="897">
        <f t="shared" si="75"/>
        <v>0</v>
      </c>
      <c r="BB36" s="897">
        <f t="shared" si="75"/>
        <v>0</v>
      </c>
      <c r="BC36" s="897">
        <f t="shared" si="75"/>
        <v>0</v>
      </c>
      <c r="BD36" s="897">
        <f t="shared" si="75"/>
        <v>0</v>
      </c>
      <c r="BE36" s="897">
        <f t="shared" si="49"/>
        <v>0</v>
      </c>
      <c r="BF36" s="901">
        <f t="shared" si="52"/>
        <v>0</v>
      </c>
      <c r="BG36" s="974"/>
      <c r="BH36" s="890"/>
      <c r="BI36" s="890"/>
      <c r="BJ36" s="890">
        <v>731.11</v>
      </c>
      <c r="BK36" s="1199"/>
      <c r="BL36" s="897">
        <f>I36*T36</f>
        <v>0</v>
      </c>
      <c r="BM36" s="897">
        <f>J36*U36</f>
        <v>0</v>
      </c>
      <c r="BN36" s="897">
        <f>K36*V36</f>
        <v>0</v>
      </c>
      <c r="BO36" s="897">
        <f>L36*W36</f>
        <v>0</v>
      </c>
      <c r="BP36" s="897">
        <f>M36*X36</f>
        <v>0</v>
      </c>
      <c r="BQ36" s="897">
        <f>BL36+BM36+BN36+BO36+BP36</f>
        <v>0</v>
      </c>
      <c r="BR36" s="897">
        <f>BQ36-BP36</f>
        <v>0</v>
      </c>
      <c r="BS36" s="897">
        <f t="shared" si="56"/>
        <v>0</v>
      </c>
      <c r="BT36" s="897">
        <f t="shared" si="56"/>
        <v>0</v>
      </c>
      <c r="BU36" s="897">
        <f t="shared" si="56"/>
        <v>0</v>
      </c>
      <c r="BV36" s="897">
        <f>R36*W36</f>
        <v>0</v>
      </c>
      <c r="BW36" s="897">
        <f>S36*AE36</f>
        <v>0</v>
      </c>
      <c r="BX36" s="897">
        <f>BS36+BT36+BU36+BV36+BW36</f>
        <v>0</v>
      </c>
      <c r="BY36" s="897">
        <f>BX36-BW36</f>
        <v>0</v>
      </c>
      <c r="BZ36" s="905">
        <f>BM36+BT36</f>
        <v>0</v>
      </c>
      <c r="CA36" s="905">
        <f>BN36+BU36</f>
        <v>0</v>
      </c>
      <c r="CB36" s="905">
        <f>BZ36+CA36</f>
        <v>0</v>
      </c>
      <c r="CC36" s="907" t="e">
        <f>BZ36/AJ36</f>
        <v>#DIV/0!</v>
      </c>
      <c r="CD36" s="907" t="e">
        <f>CA36/AK36</f>
        <v>#DIV/0!</v>
      </c>
      <c r="CE36" s="907" t="e">
        <f t="shared" si="38"/>
        <v>#DIV/0!</v>
      </c>
      <c r="CF36" s="905" t="e">
        <f t="shared" si="18"/>
        <v>#DIV/0!</v>
      </c>
      <c r="CG36" s="923">
        <f t="shared" si="19"/>
        <v>0</v>
      </c>
      <c r="CH36" s="923" t="e">
        <f t="shared" si="39"/>
        <v>#DIV/0!</v>
      </c>
      <c r="CI36" s="979"/>
      <c r="CJ36" s="897">
        <f>N36*Z36/1000</f>
        <v>0</v>
      </c>
      <c r="CK36" s="897">
        <f t="shared" si="20"/>
        <v>0</v>
      </c>
      <c r="CL36" s="897">
        <f t="shared" si="40"/>
        <v>0</v>
      </c>
      <c r="CM36" s="897">
        <f t="shared" si="41"/>
        <v>0</v>
      </c>
      <c r="CN36" s="897">
        <f t="shared" si="42"/>
        <v>0</v>
      </c>
      <c r="CO36" s="897">
        <f t="shared" si="21"/>
        <v>0</v>
      </c>
      <c r="CP36" s="897">
        <f t="shared" si="22"/>
        <v>0</v>
      </c>
      <c r="CQ36" s="897">
        <f t="shared" si="23"/>
        <v>0</v>
      </c>
      <c r="CR36" s="897">
        <f t="shared" si="24"/>
        <v>0</v>
      </c>
      <c r="CS36" s="897">
        <f t="shared" si="25"/>
        <v>0</v>
      </c>
      <c r="CT36" s="897">
        <f t="shared" si="26"/>
        <v>0</v>
      </c>
      <c r="CU36" s="897">
        <f t="shared" si="27"/>
        <v>0</v>
      </c>
      <c r="CV36" s="897">
        <f t="shared" si="43"/>
        <v>0</v>
      </c>
      <c r="CW36" s="906" t="e">
        <f t="shared" si="44"/>
        <v>#DIV/0!</v>
      </c>
      <c r="CX36" s="897">
        <f t="shared" si="28"/>
        <v>0</v>
      </c>
      <c r="CY36" s="897">
        <f t="shared" si="29"/>
        <v>0</v>
      </c>
      <c r="CZ36" s="897"/>
      <c r="DA36" s="897">
        <f t="shared" si="30"/>
        <v>0</v>
      </c>
      <c r="DB36" s="897">
        <f t="shared" si="31"/>
        <v>0</v>
      </c>
      <c r="DC36" s="1131"/>
      <c r="DD36" s="40" t="e">
        <f t="shared" si="45"/>
        <v>#DIV/0!</v>
      </c>
      <c r="DE36" s="1131"/>
      <c r="DF36" s="1131"/>
      <c r="DG36" s="1131"/>
      <c r="DH36" s="1043">
        <v>865.88</v>
      </c>
      <c r="DI36" s="1043">
        <v>0</v>
      </c>
      <c r="DJ36" s="1043">
        <f>DH36-DI36</f>
        <v>865.88</v>
      </c>
      <c r="DK36" s="979"/>
      <c r="DL36" s="908">
        <f t="shared" si="32"/>
        <v>0</v>
      </c>
      <c r="DM36" s="908">
        <f t="shared" si="33"/>
        <v>0</v>
      </c>
      <c r="DN36" s="908">
        <f t="shared" si="34"/>
        <v>0</v>
      </c>
      <c r="DO36" s="81"/>
      <c r="DP36" s="81"/>
      <c r="DQ36" s="81"/>
      <c r="DR36" s="81"/>
      <c r="DS36" s="81"/>
      <c r="DT36" s="81"/>
      <c r="DU36" s="81"/>
      <c r="DV36" s="81"/>
      <c r="DW36" s="81"/>
      <c r="DX36" s="81"/>
      <c r="DY36" s="81"/>
      <c r="DZ36" s="81"/>
      <c r="EA36" s="81"/>
      <c r="EB36" s="81"/>
      <c r="EC36" s="81"/>
      <c r="ED36" s="81"/>
      <c r="EE36" s="81"/>
      <c r="EF36" s="81"/>
      <c r="EG36" s="81"/>
      <c r="EH36" s="81"/>
      <c r="EI36" s="81"/>
      <c r="EJ36" s="81"/>
      <c r="EK36" s="81"/>
      <c r="EL36" s="81"/>
    </row>
    <row r="37" spans="1:155" s="869" customFormat="1" ht="82.5" hidden="1" customHeight="1">
      <c r="A37" s="6">
        <f t="shared" si="46"/>
        <v>24</v>
      </c>
      <c r="B37" s="886" t="s">
        <v>14</v>
      </c>
      <c r="C37" s="1395" t="s">
        <v>60</v>
      </c>
      <c r="D37" s="1262" t="s">
        <v>141</v>
      </c>
      <c r="E37" s="887">
        <v>4632024035</v>
      </c>
      <c r="F37" s="886" t="s">
        <v>8</v>
      </c>
      <c r="G37" s="1238" t="s">
        <v>983</v>
      </c>
      <c r="H37" s="1256">
        <v>3314.9639999999995</v>
      </c>
      <c r="I37" s="1257">
        <f t="shared" ref="I37:I42" si="77">H37</f>
        <v>3314.9639999999995</v>
      </c>
      <c r="J37" s="1263">
        <v>2950.21</v>
      </c>
      <c r="K37" s="891"/>
      <c r="L37" s="1256">
        <v>3314.9639999999995</v>
      </c>
      <c r="M37" s="946"/>
      <c r="N37" s="1259">
        <f t="shared" ref="N37:N42" si="78">3132.14*1.2</f>
        <v>3758.5679999999998</v>
      </c>
      <c r="O37" s="1260">
        <f t="shared" ref="O37:O42" si="79">N37</f>
        <v>3758.5679999999998</v>
      </c>
      <c r="P37" s="1264">
        <v>2979.71</v>
      </c>
      <c r="Q37" s="891"/>
      <c r="R37" s="1260">
        <f t="shared" ref="R37:R42" si="80">O37</f>
        <v>3758.5679999999998</v>
      </c>
      <c r="S37" s="946"/>
      <c r="T37" s="1307">
        <v>411.113</v>
      </c>
      <c r="U37" s="1292">
        <v>14.084</v>
      </c>
      <c r="V37" s="1292">
        <v>0</v>
      </c>
      <c r="W37" s="948"/>
      <c r="X37" s="948"/>
      <c r="Y37" s="948"/>
      <c r="Z37" s="1397">
        <f t="shared" si="8"/>
        <v>425.197</v>
      </c>
      <c r="AA37" s="1308">
        <v>238.72800000000001</v>
      </c>
      <c r="AB37" s="1292">
        <v>11.718399179855201</v>
      </c>
      <c r="AC37" s="1292">
        <v>0</v>
      </c>
      <c r="AD37" s="890"/>
      <c r="AE37" s="890"/>
      <c r="AF37" s="890"/>
      <c r="AG37" s="951">
        <f t="shared" si="50"/>
        <v>250.44639917985521</v>
      </c>
      <c r="AH37" s="947">
        <f t="shared" si="51"/>
        <v>675.64339917985524</v>
      </c>
      <c r="AI37" s="890">
        <f t="shared" si="73"/>
        <v>649.84100000000001</v>
      </c>
      <c r="AJ37" s="890">
        <f t="shared" si="73"/>
        <v>25.8023991798552</v>
      </c>
      <c r="AK37" s="890">
        <f t="shared" si="73"/>
        <v>0</v>
      </c>
      <c r="AL37" s="890">
        <f t="shared" si="73"/>
        <v>0</v>
      </c>
      <c r="AM37" s="890">
        <f t="shared" si="73"/>
        <v>0</v>
      </c>
      <c r="AN37" s="890"/>
      <c r="AO37" s="890">
        <f>SUM(AI37:AN37)</f>
        <v>675.64339917985524</v>
      </c>
      <c r="AP37" s="890">
        <f t="shared" si="71"/>
        <v>675.64339917985524</v>
      </c>
      <c r="AQ37" s="952">
        <f t="shared" si="72"/>
        <v>675.64339917985524</v>
      </c>
      <c r="AR37" s="973">
        <f t="shared" si="35"/>
        <v>0</v>
      </c>
      <c r="AS37" s="889">
        <f t="shared" si="74"/>
        <v>2154199.5207239995</v>
      </c>
      <c r="AT37" s="890">
        <f t="shared" si="74"/>
        <v>76122.496084400613</v>
      </c>
      <c r="AU37" s="890">
        <f t="shared" si="74"/>
        <v>0</v>
      </c>
      <c r="AV37" s="890">
        <f t="shared" si="74"/>
        <v>0</v>
      </c>
      <c r="AW37" s="890">
        <f t="shared" si="74"/>
        <v>0</v>
      </c>
      <c r="AX37" s="890">
        <f t="shared" si="47"/>
        <v>2230322.0168083999</v>
      </c>
      <c r="AY37" s="890">
        <f t="shared" si="48"/>
        <v>2230322.0168083999</v>
      </c>
      <c r="AZ37" s="890">
        <f t="shared" si="75"/>
        <v>2442471.5876879999</v>
      </c>
      <c r="BA37" s="890">
        <f t="shared" si="75"/>
        <v>76883.666860206344</v>
      </c>
      <c r="BB37" s="890">
        <f t="shared" si="75"/>
        <v>0</v>
      </c>
      <c r="BC37" s="890">
        <f t="shared" si="75"/>
        <v>0</v>
      </c>
      <c r="BD37" s="890">
        <f t="shared" si="75"/>
        <v>0</v>
      </c>
      <c r="BE37" s="890">
        <f t="shared" si="49"/>
        <v>2519355.2545482065</v>
      </c>
      <c r="BF37" s="952">
        <f t="shared" si="52"/>
        <v>2519355.2545482065</v>
      </c>
      <c r="BG37" s="953">
        <f t="shared" ref="BG37:BG42" si="81">(H37-J37)/1.2*U37/1000+(H37-K37)/1.2*V37/1000</f>
        <v>4.2809961133333276</v>
      </c>
      <c r="BH37" s="954">
        <f t="shared" ref="BH37:BH42" si="82">(O37-P37)*AB37/1000/1.2+(O37-Q37)/1.2*AC37/1000</f>
        <v>7.6058074570197167</v>
      </c>
      <c r="BI37" s="955">
        <f t="shared" ref="BI37:BI42" si="83">BG37+BH37</f>
        <v>11.886803570353045</v>
      </c>
      <c r="BJ37" s="890"/>
      <c r="BK37" s="1199"/>
      <c r="BL37" s="890">
        <f t="shared" si="53"/>
        <v>1362824.7949319999</v>
      </c>
      <c r="BM37" s="890">
        <f t="shared" si="53"/>
        <v>41550.757639999996</v>
      </c>
      <c r="BN37" s="890">
        <f t="shared" si="53"/>
        <v>0</v>
      </c>
      <c r="BO37" s="890">
        <f t="shared" si="53"/>
        <v>0</v>
      </c>
      <c r="BP37" s="890">
        <f t="shared" si="53"/>
        <v>0</v>
      </c>
      <c r="BQ37" s="890">
        <f t="shared" si="54"/>
        <v>1404375.5525719998</v>
      </c>
      <c r="BR37" s="890">
        <f t="shared" si="55"/>
        <v>1404375.5525719998</v>
      </c>
      <c r="BS37" s="890">
        <f t="shared" si="56"/>
        <v>897275.42150399997</v>
      </c>
      <c r="BT37" s="890">
        <f t="shared" si="56"/>
        <v>34917.431220206337</v>
      </c>
      <c r="BU37" s="890">
        <f t="shared" si="56"/>
        <v>0</v>
      </c>
      <c r="BV37" s="890">
        <f t="shared" si="57"/>
        <v>0</v>
      </c>
      <c r="BW37" s="890">
        <f t="shared" si="17"/>
        <v>0</v>
      </c>
      <c r="BX37" s="890">
        <f t="shared" si="58"/>
        <v>932192.85272420628</v>
      </c>
      <c r="BY37" s="890">
        <f t="shared" si="59"/>
        <v>932192.85272420628</v>
      </c>
      <c r="BZ37" s="945">
        <f t="shared" si="60"/>
        <v>76468.188860206341</v>
      </c>
      <c r="CA37" s="945">
        <f t="shared" si="60"/>
        <v>0</v>
      </c>
      <c r="CB37" s="945">
        <f t="shared" si="61"/>
        <v>76468.188860206341</v>
      </c>
      <c r="CC37" s="976">
        <f t="shared" si="62"/>
        <v>2963.6076989269905</v>
      </c>
      <c r="CD37" s="976" t="e">
        <f t="shared" si="62"/>
        <v>#DIV/0!</v>
      </c>
      <c r="CE37" s="976">
        <f t="shared" si="38"/>
        <v>2963.6076989269905</v>
      </c>
      <c r="CF37" s="976">
        <f t="shared" si="18"/>
        <v>2963.6076989269905</v>
      </c>
      <c r="CG37" s="977">
        <f t="shared" si="19"/>
        <v>90732.353144629989</v>
      </c>
      <c r="CH37" s="977">
        <f t="shared" si="39"/>
        <v>3516.4308757562276</v>
      </c>
      <c r="CI37" s="945"/>
      <c r="CJ37" s="1312">
        <f t="shared" ref="CJ37:CJ42" si="84">H37*Z37/1000</f>
        <v>1409.5127479079999</v>
      </c>
      <c r="CK37" s="1312">
        <f t="shared" si="20"/>
        <v>941.31982167262993</v>
      </c>
      <c r="CL37" s="1312">
        <f t="shared" si="40"/>
        <v>2350.8325695806298</v>
      </c>
      <c r="CM37" s="890">
        <f t="shared" si="41"/>
        <v>2539.45165956863</v>
      </c>
      <c r="CN37" s="890">
        <f t="shared" si="42"/>
        <v>188.61908998800027</v>
      </c>
      <c r="CO37" s="890">
        <f t="shared" si="21"/>
        <v>2350832.5695806299</v>
      </c>
      <c r="CP37" s="890">
        <f t="shared" si="22"/>
        <v>2230322.0168083999</v>
      </c>
      <c r="CQ37" s="890">
        <f t="shared" si="23"/>
        <v>2230322.0168083999</v>
      </c>
      <c r="CR37" s="890">
        <f t="shared" si="24"/>
        <v>1404375.5525719998</v>
      </c>
      <c r="CS37" s="890">
        <f t="shared" si="25"/>
        <v>2519355.2545482065</v>
      </c>
      <c r="CT37" s="890">
        <f t="shared" si="26"/>
        <v>2519355.2545482065</v>
      </c>
      <c r="CU37" s="890">
        <f t="shared" si="27"/>
        <v>932192.85272420628</v>
      </c>
      <c r="CV37" s="890">
        <f t="shared" si="43"/>
        <v>4749677.2713566069</v>
      </c>
      <c r="CW37" s="978">
        <f t="shared" si="44"/>
        <v>7029.8581724058995</v>
      </c>
      <c r="CX37" s="890">
        <f t="shared" si="28"/>
        <v>76122.496084400613</v>
      </c>
      <c r="CY37" s="890">
        <f t="shared" si="29"/>
        <v>76883.666860206344</v>
      </c>
      <c r="CZ37" s="890"/>
      <c r="DA37" s="890">
        <f t="shared" si="30"/>
        <v>2239733.5451188488</v>
      </c>
      <c r="DB37" s="890">
        <f t="shared" si="31"/>
        <v>2539451.6595686302</v>
      </c>
      <c r="DC37" s="840"/>
      <c r="DD37" s="841">
        <f t="shared" si="45"/>
        <v>127.40001559211038</v>
      </c>
      <c r="DE37" s="840"/>
      <c r="DF37" s="840"/>
      <c r="DG37" s="840"/>
      <c r="DH37" s="1050"/>
      <c r="DI37" s="1050"/>
      <c r="DJ37" s="1050"/>
      <c r="DK37" s="945"/>
      <c r="DL37" s="975">
        <f t="shared" si="32"/>
        <v>0</v>
      </c>
      <c r="DM37" s="975">
        <f t="shared" si="33"/>
        <v>0</v>
      </c>
      <c r="DN37" s="975">
        <f t="shared" si="34"/>
        <v>0</v>
      </c>
      <c r="DO37" s="816"/>
      <c r="DP37" s="871"/>
      <c r="DQ37" s="871"/>
      <c r="DR37" s="871"/>
      <c r="DS37" s="871"/>
      <c r="DT37" s="871"/>
      <c r="DU37" s="871"/>
      <c r="DV37" s="871"/>
      <c r="DW37" s="871"/>
      <c r="DX37" s="871"/>
      <c r="DY37" s="871"/>
      <c r="DZ37" s="871"/>
      <c r="EA37" s="871"/>
      <c r="EB37" s="871"/>
      <c r="EC37" s="871"/>
      <c r="ED37" s="871"/>
      <c r="EE37" s="871"/>
      <c r="EF37" s="871"/>
      <c r="EG37" s="871"/>
      <c r="EH37" s="871"/>
      <c r="EI37" s="871"/>
      <c r="EJ37" s="871"/>
      <c r="EK37" s="871"/>
      <c r="EL37" s="871"/>
    </row>
    <row r="38" spans="1:155" s="869" customFormat="1" ht="81" hidden="1" customHeight="1">
      <c r="A38" s="6">
        <f t="shared" si="46"/>
        <v>25</v>
      </c>
      <c r="B38" s="886" t="s">
        <v>14</v>
      </c>
      <c r="C38" s="1395" t="s">
        <v>88</v>
      </c>
      <c r="D38" s="1262" t="s">
        <v>141</v>
      </c>
      <c r="E38" s="887">
        <v>4632024035</v>
      </c>
      <c r="F38" s="886" t="s">
        <v>8</v>
      </c>
      <c r="G38" s="1238" t="s">
        <v>983</v>
      </c>
      <c r="H38" s="1256">
        <v>3314.9639999999995</v>
      </c>
      <c r="I38" s="1257">
        <f t="shared" si="77"/>
        <v>3314.9639999999995</v>
      </c>
      <c r="J38" s="1263">
        <v>2950.21</v>
      </c>
      <c r="K38" s="891"/>
      <c r="L38" s="1256">
        <v>3314.9639999999995</v>
      </c>
      <c r="M38" s="946"/>
      <c r="N38" s="1259">
        <f t="shared" si="78"/>
        <v>3758.5679999999998</v>
      </c>
      <c r="O38" s="1260">
        <f t="shared" si="79"/>
        <v>3758.5679999999998</v>
      </c>
      <c r="P38" s="1264">
        <v>2979.71</v>
      </c>
      <c r="Q38" s="891"/>
      <c r="R38" s="1260">
        <f t="shared" si="80"/>
        <v>3758.5679999999998</v>
      </c>
      <c r="S38" s="946"/>
      <c r="T38" s="1307">
        <v>853.98</v>
      </c>
      <c r="U38" s="1292">
        <v>3321.9900000000002</v>
      </c>
      <c r="V38" s="1366">
        <v>0</v>
      </c>
      <c r="W38" s="890"/>
      <c r="X38" s="890"/>
      <c r="Y38" s="890"/>
      <c r="Z38" s="1397">
        <f t="shared" si="8"/>
        <v>4175.97</v>
      </c>
      <c r="AA38" s="1308">
        <v>413.60199999999998</v>
      </c>
      <c r="AB38" s="1366">
        <v>1985.1136008201447</v>
      </c>
      <c r="AC38" s="1366">
        <v>0</v>
      </c>
      <c r="AD38" s="890"/>
      <c r="AE38" s="890"/>
      <c r="AF38" s="890"/>
      <c r="AG38" s="951">
        <f t="shared" si="50"/>
        <v>2398.7156008201446</v>
      </c>
      <c r="AH38" s="947">
        <f t="shared" si="51"/>
        <v>6574.6856008201448</v>
      </c>
      <c r="AI38" s="890">
        <f t="shared" si="73"/>
        <v>1267.5819999999999</v>
      </c>
      <c r="AJ38" s="890">
        <f t="shared" si="73"/>
        <v>5307.1036008201445</v>
      </c>
      <c r="AK38" s="890">
        <f t="shared" si="73"/>
        <v>0</v>
      </c>
      <c r="AL38" s="890">
        <f t="shared" si="73"/>
        <v>0</v>
      </c>
      <c r="AM38" s="890">
        <f t="shared" si="73"/>
        <v>0</v>
      </c>
      <c r="AN38" s="890"/>
      <c r="AO38" s="890">
        <f t="shared" si="70"/>
        <v>6574.6856008201448</v>
      </c>
      <c r="AP38" s="890">
        <f t="shared" si="71"/>
        <v>6574.6856008201448</v>
      </c>
      <c r="AQ38" s="952">
        <f t="shared" si="72"/>
        <v>6574.6856008201448</v>
      </c>
      <c r="AR38" s="973">
        <f t="shared" si="35"/>
        <v>0</v>
      </c>
      <c r="AS38" s="889">
        <f t="shared" si="74"/>
        <v>4201988.6970479991</v>
      </c>
      <c r="AT38" s="890">
        <f t="shared" si="74"/>
        <v>15657070.114175599</v>
      </c>
      <c r="AU38" s="890">
        <f t="shared" si="74"/>
        <v>0</v>
      </c>
      <c r="AV38" s="890">
        <f t="shared" si="74"/>
        <v>0</v>
      </c>
      <c r="AW38" s="890">
        <f t="shared" si="74"/>
        <v>0</v>
      </c>
      <c r="AX38" s="890">
        <f t="shared" si="47"/>
        <v>19859058.811223596</v>
      </c>
      <c r="AY38" s="890">
        <f t="shared" si="48"/>
        <v>19859058.811223596</v>
      </c>
      <c r="AZ38" s="890">
        <f t="shared" si="75"/>
        <v>4764293.1425759988</v>
      </c>
      <c r="BA38" s="890">
        <f t="shared" si="75"/>
        <v>15813629.670399792</v>
      </c>
      <c r="BB38" s="890">
        <f t="shared" si="75"/>
        <v>0</v>
      </c>
      <c r="BC38" s="890">
        <f t="shared" si="75"/>
        <v>0</v>
      </c>
      <c r="BD38" s="890">
        <f t="shared" si="75"/>
        <v>0</v>
      </c>
      <c r="BE38" s="890">
        <f t="shared" si="49"/>
        <v>20577922.81297579</v>
      </c>
      <c r="BF38" s="952">
        <f t="shared" si="52"/>
        <v>20577922.81297579</v>
      </c>
      <c r="BG38" s="953">
        <f t="shared" si="81"/>
        <v>1009.7576170499988</v>
      </c>
      <c r="BH38" s="954">
        <f t="shared" si="82"/>
        <v>1288.4346740896465</v>
      </c>
      <c r="BI38" s="955">
        <f t="shared" si="83"/>
        <v>2298.192291139645</v>
      </c>
      <c r="BJ38" s="955"/>
      <c r="BK38" s="1197"/>
      <c r="BL38" s="890">
        <f t="shared" si="53"/>
        <v>2830912.9567199997</v>
      </c>
      <c r="BM38" s="890">
        <f t="shared" si="53"/>
        <v>9800568.1179000009</v>
      </c>
      <c r="BN38" s="890">
        <f t="shared" si="53"/>
        <v>0</v>
      </c>
      <c r="BO38" s="890">
        <f t="shared" si="53"/>
        <v>0</v>
      </c>
      <c r="BP38" s="890">
        <f t="shared" si="53"/>
        <v>0</v>
      </c>
      <c r="BQ38" s="890">
        <f t="shared" si="54"/>
        <v>12631481.074620001</v>
      </c>
      <c r="BR38" s="890">
        <f t="shared" si="55"/>
        <v>12631481.074620001</v>
      </c>
      <c r="BS38" s="890">
        <f t="shared" si="56"/>
        <v>1554551.2419359998</v>
      </c>
      <c r="BT38" s="890">
        <f t="shared" si="56"/>
        <v>5915062.8474997934</v>
      </c>
      <c r="BU38" s="890">
        <f t="shared" si="56"/>
        <v>0</v>
      </c>
      <c r="BV38" s="890">
        <f t="shared" si="57"/>
        <v>0</v>
      </c>
      <c r="BW38" s="890">
        <f t="shared" si="17"/>
        <v>0</v>
      </c>
      <c r="BX38" s="890">
        <f t="shared" si="58"/>
        <v>7469614.0894357935</v>
      </c>
      <c r="BY38" s="890">
        <f t="shared" si="59"/>
        <v>7469614.0894357935</v>
      </c>
      <c r="BZ38" s="945">
        <f t="shared" si="60"/>
        <v>15715630.965399794</v>
      </c>
      <c r="CA38" s="945">
        <f t="shared" si="60"/>
        <v>0</v>
      </c>
      <c r="CB38" s="945">
        <f t="shared" si="61"/>
        <v>15715630.965399794</v>
      </c>
      <c r="CC38" s="976">
        <f t="shared" si="62"/>
        <v>2961.2444277460772</v>
      </c>
      <c r="CD38" s="976" t="e">
        <f t="shared" si="62"/>
        <v>#DIV/0!</v>
      </c>
      <c r="CE38" s="976">
        <f t="shared" si="38"/>
        <v>2961.2444277460772</v>
      </c>
      <c r="CF38" s="976">
        <f t="shared" si="18"/>
        <v>2961.2444277460772</v>
      </c>
      <c r="CG38" s="977">
        <f t="shared" si="19"/>
        <v>18473461.714767367</v>
      </c>
      <c r="CH38" s="977">
        <f t="shared" si="39"/>
        <v>3480.8933656227346</v>
      </c>
      <c r="CI38" s="945"/>
      <c r="CJ38" s="1312">
        <f t="shared" si="84"/>
        <v>13843.190215079998</v>
      </c>
      <c r="CK38" s="1312">
        <f t="shared" si="20"/>
        <v>9015.7356983433674</v>
      </c>
      <c r="CL38" s="1312">
        <f t="shared" si="40"/>
        <v>22858.925913423365</v>
      </c>
      <c r="CM38" s="890">
        <f t="shared" si="41"/>
        <v>24711.402909303368</v>
      </c>
      <c r="CN38" s="890">
        <f t="shared" si="42"/>
        <v>1852.4769958800025</v>
      </c>
      <c r="CO38" s="890">
        <f t="shared" si="21"/>
        <v>22858925.913423367</v>
      </c>
      <c r="CP38" s="890">
        <f t="shared" si="22"/>
        <v>19859058.811223596</v>
      </c>
      <c r="CQ38" s="890">
        <f t="shared" si="23"/>
        <v>19859058.811223596</v>
      </c>
      <c r="CR38" s="890">
        <f t="shared" si="24"/>
        <v>12631481.074620001</v>
      </c>
      <c r="CS38" s="890">
        <f t="shared" si="25"/>
        <v>20577922.81297579</v>
      </c>
      <c r="CT38" s="890">
        <f t="shared" si="26"/>
        <v>20577922.81297579</v>
      </c>
      <c r="CU38" s="890">
        <f t="shared" si="27"/>
        <v>7469614.0894357935</v>
      </c>
      <c r="CV38" s="890">
        <f t="shared" si="43"/>
        <v>40436981.62419939</v>
      </c>
      <c r="CW38" s="978">
        <f t="shared" si="44"/>
        <v>6150.4053698256184</v>
      </c>
      <c r="CX38" s="890">
        <f t="shared" si="28"/>
        <v>15657070.114175599</v>
      </c>
      <c r="CY38" s="890">
        <f t="shared" si="29"/>
        <v>15813629.670399792</v>
      </c>
      <c r="CZ38" s="890"/>
      <c r="DA38" s="890">
        <f t="shared" si="30"/>
        <v>21794846.078037143</v>
      </c>
      <c r="DB38" s="890">
        <f t="shared" si="31"/>
        <v>24711402.909303367</v>
      </c>
      <c r="DC38" s="840"/>
      <c r="DD38" s="841">
        <f t="shared" si="45"/>
        <v>127.40001559211038</v>
      </c>
      <c r="DE38" s="840"/>
      <c r="DF38" s="840"/>
      <c r="DG38" s="840"/>
      <c r="DH38" s="1050"/>
      <c r="DI38" s="1050"/>
      <c r="DJ38" s="1050"/>
      <c r="DK38" s="945"/>
      <c r="DL38" s="975">
        <f t="shared" si="32"/>
        <v>0</v>
      </c>
      <c r="DM38" s="975">
        <f t="shared" si="33"/>
        <v>0</v>
      </c>
      <c r="DN38" s="975">
        <f t="shared" si="34"/>
        <v>0</v>
      </c>
      <c r="DO38" s="816"/>
      <c r="DP38" s="871"/>
      <c r="DQ38" s="871"/>
      <c r="DR38" s="871"/>
      <c r="DS38" s="871"/>
      <c r="DT38" s="871"/>
      <c r="DU38" s="871"/>
      <c r="DV38" s="871"/>
      <c r="DW38" s="871"/>
      <c r="DX38" s="871"/>
      <c r="DY38" s="871"/>
      <c r="DZ38" s="871"/>
      <c r="EA38" s="871"/>
      <c r="EB38" s="871"/>
      <c r="EC38" s="871"/>
      <c r="ED38" s="871"/>
      <c r="EE38" s="871"/>
      <c r="EF38" s="871"/>
      <c r="EG38" s="871"/>
      <c r="EH38" s="871"/>
      <c r="EI38" s="871"/>
      <c r="EJ38" s="871"/>
      <c r="EK38" s="871"/>
      <c r="EL38" s="871"/>
    </row>
    <row r="39" spans="1:155" s="869" customFormat="1" ht="80.25" hidden="1" customHeight="1">
      <c r="A39" s="6">
        <f t="shared" si="46"/>
        <v>26</v>
      </c>
      <c r="B39" s="886" t="s">
        <v>14</v>
      </c>
      <c r="C39" s="1395" t="s">
        <v>89</v>
      </c>
      <c r="D39" s="1262" t="s">
        <v>141</v>
      </c>
      <c r="E39" s="887">
        <v>4632024035</v>
      </c>
      <c r="F39" s="886" t="s">
        <v>8</v>
      </c>
      <c r="G39" s="1238" t="s">
        <v>983</v>
      </c>
      <c r="H39" s="1256">
        <v>3314.9639999999995</v>
      </c>
      <c r="I39" s="1257">
        <f t="shared" si="77"/>
        <v>3314.9639999999995</v>
      </c>
      <c r="J39" s="891"/>
      <c r="K39" s="891"/>
      <c r="L39" s="1256">
        <v>3314.9639999999995</v>
      </c>
      <c r="M39" s="946"/>
      <c r="N39" s="1259">
        <f t="shared" si="78"/>
        <v>3758.5679999999998</v>
      </c>
      <c r="O39" s="1260">
        <f t="shared" si="79"/>
        <v>3758.5679999999998</v>
      </c>
      <c r="P39" s="891"/>
      <c r="Q39" s="891"/>
      <c r="R39" s="1260">
        <f t="shared" si="80"/>
        <v>3758.5679999999998</v>
      </c>
      <c r="S39" s="946"/>
      <c r="T39" s="1307">
        <v>213.34700000000001</v>
      </c>
      <c r="U39" s="1366">
        <v>0</v>
      </c>
      <c r="V39" s="1366">
        <v>0</v>
      </c>
      <c r="W39" s="890"/>
      <c r="X39" s="890"/>
      <c r="Y39" s="890"/>
      <c r="Z39" s="1397">
        <f t="shared" si="8"/>
        <v>213.34700000000001</v>
      </c>
      <c r="AA39" s="1308">
        <v>123.88800000000001</v>
      </c>
      <c r="AB39" s="1366">
        <v>0</v>
      </c>
      <c r="AC39" s="1366">
        <v>0</v>
      </c>
      <c r="AD39" s="890"/>
      <c r="AE39" s="890"/>
      <c r="AF39" s="890"/>
      <c r="AG39" s="951">
        <f t="shared" si="50"/>
        <v>123.88800000000001</v>
      </c>
      <c r="AH39" s="947">
        <f t="shared" si="51"/>
        <v>337.23500000000001</v>
      </c>
      <c r="AI39" s="890">
        <f t="shared" si="73"/>
        <v>337.23500000000001</v>
      </c>
      <c r="AJ39" s="890">
        <f t="shared" si="73"/>
        <v>0</v>
      </c>
      <c r="AK39" s="890">
        <f t="shared" si="73"/>
        <v>0</v>
      </c>
      <c r="AL39" s="890">
        <f t="shared" si="73"/>
        <v>0</v>
      </c>
      <c r="AM39" s="890">
        <f t="shared" si="73"/>
        <v>0</v>
      </c>
      <c r="AN39" s="890"/>
      <c r="AO39" s="890">
        <f t="shared" si="70"/>
        <v>337.23500000000001</v>
      </c>
      <c r="AP39" s="890">
        <f t="shared" si="71"/>
        <v>337.23500000000001</v>
      </c>
      <c r="AQ39" s="952">
        <f t="shared" si="72"/>
        <v>337.23500000000001</v>
      </c>
      <c r="AR39" s="973">
        <f t="shared" si="35"/>
        <v>0</v>
      </c>
      <c r="AS39" s="889">
        <f t="shared" si="74"/>
        <v>1117921.8845399998</v>
      </c>
      <c r="AT39" s="890">
        <f t="shared" si="74"/>
        <v>0</v>
      </c>
      <c r="AU39" s="890">
        <f t="shared" si="74"/>
        <v>0</v>
      </c>
      <c r="AV39" s="890">
        <f t="shared" si="74"/>
        <v>0</v>
      </c>
      <c r="AW39" s="890">
        <f t="shared" si="74"/>
        <v>0</v>
      </c>
      <c r="AX39" s="890">
        <f t="shared" si="47"/>
        <v>1117921.8845399998</v>
      </c>
      <c r="AY39" s="890">
        <f t="shared" si="48"/>
        <v>1117921.8845399998</v>
      </c>
      <c r="AZ39" s="890">
        <f t="shared" si="75"/>
        <v>1267520.6794799999</v>
      </c>
      <c r="BA39" s="890">
        <f t="shared" si="75"/>
        <v>0</v>
      </c>
      <c r="BB39" s="890">
        <f t="shared" si="75"/>
        <v>0</v>
      </c>
      <c r="BC39" s="890">
        <f t="shared" si="75"/>
        <v>0</v>
      </c>
      <c r="BD39" s="890">
        <f t="shared" si="75"/>
        <v>0</v>
      </c>
      <c r="BE39" s="890">
        <f t="shared" si="49"/>
        <v>1267520.6794799999</v>
      </c>
      <c r="BF39" s="952">
        <f t="shared" si="52"/>
        <v>1267520.6794799999</v>
      </c>
      <c r="BG39" s="953">
        <f t="shared" si="81"/>
        <v>0</v>
      </c>
      <c r="BH39" s="954">
        <f t="shared" si="82"/>
        <v>0</v>
      </c>
      <c r="BI39" s="955">
        <f t="shared" si="83"/>
        <v>0</v>
      </c>
      <c r="BJ39" s="890"/>
      <c r="BK39" s="1199"/>
      <c r="BL39" s="890">
        <f t="shared" si="53"/>
        <v>707237.62450799986</v>
      </c>
      <c r="BM39" s="890">
        <f t="shared" si="53"/>
        <v>0</v>
      </c>
      <c r="BN39" s="890">
        <f t="shared" si="53"/>
        <v>0</v>
      </c>
      <c r="BO39" s="890">
        <f t="shared" si="53"/>
        <v>0</v>
      </c>
      <c r="BP39" s="890">
        <f t="shared" si="53"/>
        <v>0</v>
      </c>
      <c r="BQ39" s="890">
        <f t="shared" si="54"/>
        <v>707237.62450799986</v>
      </c>
      <c r="BR39" s="890">
        <f t="shared" si="55"/>
        <v>707237.62450799986</v>
      </c>
      <c r="BS39" s="890">
        <f t="shared" si="56"/>
        <v>465641.47238399996</v>
      </c>
      <c r="BT39" s="890">
        <f t="shared" si="56"/>
        <v>0</v>
      </c>
      <c r="BU39" s="890">
        <f t="shared" si="56"/>
        <v>0</v>
      </c>
      <c r="BV39" s="890">
        <f t="shared" si="57"/>
        <v>0</v>
      </c>
      <c r="BW39" s="890">
        <f t="shared" si="17"/>
        <v>0</v>
      </c>
      <c r="BX39" s="890">
        <f t="shared" si="58"/>
        <v>465641.47238399996</v>
      </c>
      <c r="BY39" s="890">
        <f t="shared" si="59"/>
        <v>465641.47238399996</v>
      </c>
      <c r="BZ39" s="945">
        <f t="shared" si="60"/>
        <v>0</v>
      </c>
      <c r="CA39" s="945">
        <f t="shared" si="60"/>
        <v>0</v>
      </c>
      <c r="CB39" s="945">
        <f t="shared" si="61"/>
        <v>0</v>
      </c>
      <c r="CC39" s="976" t="e">
        <f t="shared" si="62"/>
        <v>#DIV/0!</v>
      </c>
      <c r="CD39" s="976" t="e">
        <f t="shared" si="62"/>
        <v>#DIV/0!</v>
      </c>
      <c r="CE39" s="976" t="e">
        <f t="shared" si="38"/>
        <v>#DIV/0!</v>
      </c>
      <c r="CF39" s="945" t="e">
        <f t="shared" si="18"/>
        <v>#DIV/0!</v>
      </c>
      <c r="CG39" s="977">
        <f t="shared" si="19"/>
        <v>0</v>
      </c>
      <c r="CH39" s="977" t="e">
        <f t="shared" si="39"/>
        <v>#DIV/0!</v>
      </c>
      <c r="CI39" s="945"/>
      <c r="CJ39" s="1312">
        <f t="shared" si="84"/>
        <v>707.23762450799984</v>
      </c>
      <c r="CK39" s="1312">
        <f t="shared" si="20"/>
        <v>465.64147238399994</v>
      </c>
      <c r="CL39" s="1312">
        <f t="shared" si="40"/>
        <v>1172.8790968919998</v>
      </c>
      <c r="CM39" s="890">
        <f t="shared" si="41"/>
        <v>1267.5206794799999</v>
      </c>
      <c r="CN39" s="890">
        <f t="shared" si="42"/>
        <v>94.641582588000119</v>
      </c>
      <c r="CO39" s="890">
        <f t="shared" si="21"/>
        <v>1172879.0968919997</v>
      </c>
      <c r="CP39" s="890">
        <f t="shared" si="22"/>
        <v>1117921.8845399998</v>
      </c>
      <c r="CQ39" s="890">
        <f t="shared" si="23"/>
        <v>1117921.8845399998</v>
      </c>
      <c r="CR39" s="890">
        <f t="shared" si="24"/>
        <v>707237.62450799986</v>
      </c>
      <c r="CS39" s="890">
        <f t="shared" si="25"/>
        <v>1267520.6794799999</v>
      </c>
      <c r="CT39" s="890">
        <f t="shared" si="26"/>
        <v>1267520.6794799999</v>
      </c>
      <c r="CU39" s="890">
        <f t="shared" si="27"/>
        <v>465641.47238399996</v>
      </c>
      <c r="CV39" s="890">
        <f t="shared" si="43"/>
        <v>2385442.5640199995</v>
      </c>
      <c r="CW39" s="978">
        <f t="shared" si="44"/>
        <v>7073.5319999999983</v>
      </c>
      <c r="CX39" s="890">
        <f t="shared" si="28"/>
        <v>0</v>
      </c>
      <c r="CY39" s="890">
        <f t="shared" si="29"/>
        <v>0</v>
      </c>
      <c r="CZ39" s="890"/>
      <c r="DA39" s="890">
        <f t="shared" si="30"/>
        <v>1117921.8845399998</v>
      </c>
      <c r="DB39" s="890">
        <f t="shared" si="31"/>
        <v>1267520.6794799999</v>
      </c>
      <c r="DC39" s="840"/>
      <c r="DD39" s="841" t="e">
        <f t="shared" si="45"/>
        <v>#DIV/0!</v>
      </c>
      <c r="DE39" s="840"/>
      <c r="DF39" s="840"/>
      <c r="DG39" s="840"/>
      <c r="DH39" s="1050"/>
      <c r="DI39" s="1050"/>
      <c r="DJ39" s="1050"/>
      <c r="DK39" s="945"/>
      <c r="DL39" s="975">
        <f t="shared" si="32"/>
        <v>0</v>
      </c>
      <c r="DM39" s="975">
        <f t="shared" si="33"/>
        <v>0</v>
      </c>
      <c r="DN39" s="975">
        <f t="shared" si="34"/>
        <v>0</v>
      </c>
      <c r="DO39" s="816"/>
      <c r="DP39" s="871"/>
      <c r="DQ39" s="871"/>
      <c r="DR39" s="871"/>
      <c r="DS39" s="871"/>
      <c r="DT39" s="871"/>
      <c r="DU39" s="871"/>
      <c r="DV39" s="871"/>
      <c r="DW39" s="871"/>
      <c r="DX39" s="871"/>
      <c r="DY39" s="871"/>
      <c r="DZ39" s="871"/>
      <c r="EA39" s="871"/>
      <c r="EB39" s="871"/>
      <c r="EC39" s="871"/>
      <c r="ED39" s="871"/>
      <c r="EE39" s="871"/>
      <c r="EF39" s="871"/>
      <c r="EG39" s="871"/>
      <c r="EH39" s="871"/>
      <c r="EI39" s="871"/>
      <c r="EJ39" s="871"/>
      <c r="EK39" s="871"/>
      <c r="EL39" s="871"/>
    </row>
    <row r="40" spans="1:155" s="869" customFormat="1" ht="86.25" hidden="1" customHeight="1">
      <c r="A40" s="6">
        <f t="shared" si="46"/>
        <v>27</v>
      </c>
      <c r="B40" s="1395" t="s">
        <v>15</v>
      </c>
      <c r="C40" s="1396" t="s">
        <v>168</v>
      </c>
      <c r="D40" s="1262" t="s">
        <v>141</v>
      </c>
      <c r="E40" s="887">
        <v>4632024035</v>
      </c>
      <c r="F40" s="886" t="s">
        <v>8</v>
      </c>
      <c r="G40" s="1238" t="s">
        <v>983</v>
      </c>
      <c r="H40" s="1256">
        <v>3314.9639999999995</v>
      </c>
      <c r="I40" s="1257">
        <f t="shared" si="77"/>
        <v>3314.9639999999995</v>
      </c>
      <c r="J40" s="1263">
        <v>2484</v>
      </c>
      <c r="K40" s="891"/>
      <c r="L40" s="1256">
        <v>3314.9639999999995</v>
      </c>
      <c r="M40" s="946"/>
      <c r="N40" s="1259">
        <f t="shared" si="78"/>
        <v>3758.5679999999998</v>
      </c>
      <c r="O40" s="1260">
        <f t="shared" si="79"/>
        <v>3758.5679999999998</v>
      </c>
      <c r="P40" s="1264">
        <v>2719.98</v>
      </c>
      <c r="Q40" s="891"/>
      <c r="R40" s="1260">
        <f t="shared" si="80"/>
        <v>3758.5679999999998</v>
      </c>
      <c r="S40" s="946"/>
      <c r="T40" s="1307">
        <v>1582.24</v>
      </c>
      <c r="U40" s="1292">
        <v>1090.9069999999999</v>
      </c>
      <c r="V40" s="1292">
        <v>0</v>
      </c>
      <c r="W40" s="948"/>
      <c r="X40" s="948"/>
      <c r="Y40" s="948"/>
      <c r="Z40" s="1397">
        <f t="shared" si="8"/>
        <v>2673.1469999999999</v>
      </c>
      <c r="AA40" s="1308">
        <v>918.6</v>
      </c>
      <c r="AB40" s="1292">
        <v>886.2</v>
      </c>
      <c r="AC40" s="1366">
        <v>0</v>
      </c>
      <c r="AD40" s="890"/>
      <c r="AE40" s="890"/>
      <c r="AF40" s="890"/>
      <c r="AG40" s="951">
        <f t="shared" si="50"/>
        <v>1804.8000000000002</v>
      </c>
      <c r="AH40" s="947">
        <f t="shared" si="51"/>
        <v>4477.9470000000001</v>
      </c>
      <c r="AI40" s="890">
        <f t="shared" si="73"/>
        <v>2500.84</v>
      </c>
      <c r="AJ40" s="890">
        <f t="shared" si="73"/>
        <v>1977.107</v>
      </c>
      <c r="AK40" s="890">
        <f t="shared" si="73"/>
        <v>0</v>
      </c>
      <c r="AL40" s="890">
        <f t="shared" si="73"/>
        <v>0</v>
      </c>
      <c r="AM40" s="890">
        <f t="shared" si="73"/>
        <v>0</v>
      </c>
      <c r="AN40" s="890"/>
      <c r="AO40" s="890">
        <f t="shared" si="70"/>
        <v>4477.9470000000001</v>
      </c>
      <c r="AP40" s="890">
        <f t="shared" si="71"/>
        <v>4477.9470000000001</v>
      </c>
      <c r="AQ40" s="952">
        <f t="shared" si="72"/>
        <v>4477.9470000000001</v>
      </c>
      <c r="AR40" s="973">
        <f t="shared" si="35"/>
        <v>0</v>
      </c>
      <c r="AS40" s="889">
        <f t="shared" si="74"/>
        <v>8290194.5697599994</v>
      </c>
      <c r="AT40" s="890">
        <f t="shared" si="74"/>
        <v>4911133.7879999997</v>
      </c>
      <c r="AU40" s="890">
        <f t="shared" si="74"/>
        <v>0</v>
      </c>
      <c r="AV40" s="890">
        <f t="shared" si="74"/>
        <v>0</v>
      </c>
      <c r="AW40" s="890">
        <f t="shared" si="74"/>
        <v>0</v>
      </c>
      <c r="AX40" s="890">
        <f t="shared" si="47"/>
        <v>13201328.357759999</v>
      </c>
      <c r="AY40" s="890">
        <f t="shared" si="48"/>
        <v>13201328.357759999</v>
      </c>
      <c r="AZ40" s="890">
        <f t="shared" si="75"/>
        <v>9399577.1971199997</v>
      </c>
      <c r="BA40" s="890">
        <f t="shared" si="75"/>
        <v>5377691.4978599995</v>
      </c>
      <c r="BB40" s="890">
        <f t="shared" si="75"/>
        <v>0</v>
      </c>
      <c r="BC40" s="890">
        <f t="shared" si="75"/>
        <v>0</v>
      </c>
      <c r="BD40" s="890">
        <f t="shared" si="75"/>
        <v>0</v>
      </c>
      <c r="BE40" s="890">
        <f t="shared" si="49"/>
        <v>14777268.694979999</v>
      </c>
      <c r="BF40" s="952">
        <f t="shared" si="52"/>
        <v>14777268.694979999</v>
      </c>
      <c r="BG40" s="953">
        <f t="shared" si="81"/>
        <v>755.42037028999948</v>
      </c>
      <c r="BH40" s="954">
        <f t="shared" si="82"/>
        <v>766.99723799999992</v>
      </c>
      <c r="BI40" s="955">
        <f t="shared" si="83"/>
        <v>1522.4176082899994</v>
      </c>
      <c r="BJ40" s="955"/>
      <c r="BK40" s="1197"/>
      <c r="BL40" s="890">
        <f t="shared" si="53"/>
        <v>5245068.6393599994</v>
      </c>
      <c r="BM40" s="890">
        <f t="shared" si="53"/>
        <v>2709812.9879999999</v>
      </c>
      <c r="BN40" s="890">
        <f t="shared" si="53"/>
        <v>0</v>
      </c>
      <c r="BO40" s="890">
        <f t="shared" si="53"/>
        <v>0</v>
      </c>
      <c r="BP40" s="890">
        <f t="shared" si="53"/>
        <v>0</v>
      </c>
      <c r="BQ40" s="890">
        <f t="shared" si="54"/>
        <v>7954881.6273599993</v>
      </c>
      <c r="BR40" s="890">
        <f t="shared" si="55"/>
        <v>7954881.6273599993</v>
      </c>
      <c r="BS40" s="890">
        <f t="shared" si="56"/>
        <v>3452620.5647999998</v>
      </c>
      <c r="BT40" s="890">
        <f t="shared" si="56"/>
        <v>2410446.2760000001</v>
      </c>
      <c r="BU40" s="890">
        <f t="shared" si="56"/>
        <v>0</v>
      </c>
      <c r="BV40" s="890">
        <f t="shared" si="57"/>
        <v>0</v>
      </c>
      <c r="BW40" s="890">
        <f t="shared" si="17"/>
        <v>0</v>
      </c>
      <c r="BX40" s="890">
        <f t="shared" si="58"/>
        <v>5863066.8408000004</v>
      </c>
      <c r="BY40" s="890">
        <f t="shared" si="59"/>
        <v>5863066.8408000004</v>
      </c>
      <c r="BZ40" s="945">
        <f t="shared" si="60"/>
        <v>5120259.2640000004</v>
      </c>
      <c r="CA40" s="945">
        <f t="shared" si="60"/>
        <v>0</v>
      </c>
      <c r="CB40" s="945">
        <f t="shared" si="61"/>
        <v>5120259.2640000004</v>
      </c>
      <c r="CC40" s="976">
        <f t="shared" si="62"/>
        <v>2589.7734740709534</v>
      </c>
      <c r="CD40" s="976" t="e">
        <f t="shared" si="62"/>
        <v>#DIV/0!</v>
      </c>
      <c r="CE40" s="976">
        <f t="shared" si="38"/>
        <v>2589.7734740709534</v>
      </c>
      <c r="CF40" s="976">
        <f t="shared" si="18"/>
        <v>2589.7734740709534</v>
      </c>
      <c r="CG40" s="977">
        <f t="shared" si="19"/>
        <v>6947160.3939479999</v>
      </c>
      <c r="CH40" s="977">
        <f t="shared" si="39"/>
        <v>3513.8009191955721</v>
      </c>
      <c r="CI40" s="945"/>
      <c r="CJ40" s="1312">
        <f t="shared" si="84"/>
        <v>8861.3860717079988</v>
      </c>
      <c r="CK40" s="1312">
        <f t="shared" si="20"/>
        <v>6783.4635263999999</v>
      </c>
      <c r="CL40" s="1312">
        <f t="shared" si="40"/>
        <v>15644.849598107998</v>
      </c>
      <c r="CM40" s="890">
        <f t="shared" si="41"/>
        <v>16830.668299895999</v>
      </c>
      <c r="CN40" s="890">
        <f t="shared" si="42"/>
        <v>1185.8187017880009</v>
      </c>
      <c r="CO40" s="890">
        <f t="shared" si="21"/>
        <v>15644849.598107999</v>
      </c>
      <c r="CP40" s="890">
        <f t="shared" si="22"/>
        <v>13201328.357759999</v>
      </c>
      <c r="CQ40" s="890">
        <f t="shared" si="23"/>
        <v>13201328.357759999</v>
      </c>
      <c r="CR40" s="890">
        <f t="shared" si="24"/>
        <v>7954881.6273599993</v>
      </c>
      <c r="CS40" s="890">
        <f t="shared" si="25"/>
        <v>14777268.694979999</v>
      </c>
      <c r="CT40" s="890">
        <f t="shared" si="26"/>
        <v>14777268.694979999</v>
      </c>
      <c r="CU40" s="890">
        <f t="shared" si="27"/>
        <v>5863066.8408000004</v>
      </c>
      <c r="CV40" s="890">
        <f t="shared" si="43"/>
        <v>27978597.05274</v>
      </c>
      <c r="CW40" s="978">
        <f t="shared" si="44"/>
        <v>6248.0857975183717</v>
      </c>
      <c r="CX40" s="890">
        <f t="shared" si="28"/>
        <v>4911133.7879999997</v>
      </c>
      <c r="CY40" s="890">
        <f t="shared" si="29"/>
        <v>5377691.4978599995</v>
      </c>
      <c r="CZ40" s="890"/>
      <c r="DA40" s="890">
        <f t="shared" si="30"/>
        <v>14844233.098907998</v>
      </c>
      <c r="DB40" s="890">
        <f t="shared" si="31"/>
        <v>16830668.299895998</v>
      </c>
      <c r="DC40" s="840"/>
      <c r="DD40" s="841">
        <f t="shared" si="45"/>
        <v>151.3111111111111</v>
      </c>
      <c r="DE40" s="840"/>
      <c r="DF40" s="840"/>
      <c r="DG40" s="840"/>
      <c r="DH40" s="1050"/>
      <c r="DI40" s="1050"/>
      <c r="DJ40" s="1050"/>
      <c r="DK40" s="945"/>
      <c r="DL40" s="975">
        <f t="shared" si="32"/>
        <v>0</v>
      </c>
      <c r="DM40" s="975">
        <f t="shared" si="33"/>
        <v>0</v>
      </c>
      <c r="DN40" s="975">
        <f t="shared" si="34"/>
        <v>0</v>
      </c>
      <c r="DO40" s="816"/>
      <c r="DP40" s="871"/>
      <c r="DQ40" s="871"/>
      <c r="DR40" s="871"/>
      <c r="DS40" s="871"/>
      <c r="DT40" s="871"/>
      <c r="DU40" s="871"/>
      <c r="DV40" s="871"/>
      <c r="DW40" s="871"/>
      <c r="DX40" s="871"/>
      <c r="DY40" s="871"/>
      <c r="DZ40" s="871"/>
      <c r="EA40" s="871"/>
      <c r="EB40" s="871"/>
      <c r="EC40" s="871"/>
      <c r="ED40" s="871"/>
      <c r="EE40" s="871"/>
      <c r="EF40" s="871"/>
      <c r="EG40" s="871"/>
      <c r="EH40" s="871"/>
      <c r="EI40" s="871"/>
      <c r="EJ40" s="871"/>
      <c r="EK40" s="871"/>
      <c r="EL40" s="871"/>
    </row>
    <row r="41" spans="1:155" s="869" customFormat="1" ht="75.75" hidden="1" customHeight="1">
      <c r="A41" s="6">
        <f t="shared" si="46"/>
        <v>28</v>
      </c>
      <c r="B41" s="1395" t="s">
        <v>15</v>
      </c>
      <c r="C41" s="1395" t="s">
        <v>90</v>
      </c>
      <c r="D41" s="1262" t="s">
        <v>143</v>
      </c>
      <c r="E41" s="887">
        <v>4632024035</v>
      </c>
      <c r="F41" s="886" t="s">
        <v>8</v>
      </c>
      <c r="G41" s="1238" t="s">
        <v>983</v>
      </c>
      <c r="H41" s="1256">
        <v>3314.9639999999995</v>
      </c>
      <c r="I41" s="1257">
        <f t="shared" si="77"/>
        <v>3314.9639999999995</v>
      </c>
      <c r="J41" s="1263">
        <v>2950.21</v>
      </c>
      <c r="K41" s="891"/>
      <c r="L41" s="1256">
        <v>3314.9639999999995</v>
      </c>
      <c r="M41" s="946"/>
      <c r="N41" s="1259">
        <f t="shared" si="78"/>
        <v>3758.5679999999998</v>
      </c>
      <c r="O41" s="1260">
        <f t="shared" si="79"/>
        <v>3758.5679999999998</v>
      </c>
      <c r="P41" s="1264">
        <v>2979.71</v>
      </c>
      <c r="Q41" s="891"/>
      <c r="R41" s="1260">
        <f t="shared" si="80"/>
        <v>3758.5679999999998</v>
      </c>
      <c r="S41" s="946"/>
      <c r="T41" s="1307">
        <v>467</v>
      </c>
      <c r="U41" s="1292">
        <v>264.32899999999995</v>
      </c>
      <c r="V41" s="1292">
        <v>0</v>
      </c>
      <c r="W41" s="948"/>
      <c r="X41" s="948"/>
      <c r="Y41" s="948"/>
      <c r="Z41" s="1397">
        <f t="shared" si="8"/>
        <v>731.32899999999995</v>
      </c>
      <c r="AA41" s="1308">
        <v>340</v>
      </c>
      <c r="AB41" s="1292">
        <v>237.4</v>
      </c>
      <c r="AC41" s="1366">
        <v>0</v>
      </c>
      <c r="AD41" s="890"/>
      <c r="AE41" s="890"/>
      <c r="AF41" s="890"/>
      <c r="AG41" s="951">
        <f t="shared" si="50"/>
        <v>577.4</v>
      </c>
      <c r="AH41" s="947">
        <f t="shared" si="51"/>
        <v>1308.7289999999998</v>
      </c>
      <c r="AI41" s="890">
        <f t="shared" si="73"/>
        <v>807</v>
      </c>
      <c r="AJ41" s="890">
        <f t="shared" si="73"/>
        <v>501.72899999999993</v>
      </c>
      <c r="AK41" s="890">
        <f t="shared" si="73"/>
        <v>0</v>
      </c>
      <c r="AL41" s="890">
        <f t="shared" si="73"/>
        <v>0</v>
      </c>
      <c r="AM41" s="890">
        <f t="shared" si="73"/>
        <v>0</v>
      </c>
      <c r="AN41" s="890"/>
      <c r="AO41" s="890">
        <f t="shared" si="70"/>
        <v>1308.7289999999998</v>
      </c>
      <c r="AP41" s="890">
        <f t="shared" si="71"/>
        <v>1308.7289999999998</v>
      </c>
      <c r="AQ41" s="952">
        <f t="shared" si="72"/>
        <v>1308.7289999999998</v>
      </c>
      <c r="AR41" s="973">
        <f t="shared" si="35"/>
        <v>0</v>
      </c>
      <c r="AS41" s="889">
        <f t="shared" si="74"/>
        <v>2675175.9479999994</v>
      </c>
      <c r="AT41" s="890">
        <f t="shared" si="74"/>
        <v>1480205.9130899997</v>
      </c>
      <c r="AU41" s="890">
        <f t="shared" si="74"/>
        <v>0</v>
      </c>
      <c r="AV41" s="890">
        <f t="shared" si="74"/>
        <v>0</v>
      </c>
      <c r="AW41" s="890">
        <f t="shared" si="74"/>
        <v>0</v>
      </c>
      <c r="AX41" s="890">
        <f t="shared" si="47"/>
        <v>4155381.8610899989</v>
      </c>
      <c r="AY41" s="890">
        <f t="shared" si="48"/>
        <v>4155381.8610899989</v>
      </c>
      <c r="AZ41" s="890">
        <f t="shared" si="75"/>
        <v>3033164.3759999997</v>
      </c>
      <c r="BA41" s="890">
        <f t="shared" si="75"/>
        <v>1495006.9185899999</v>
      </c>
      <c r="BB41" s="890">
        <f t="shared" si="75"/>
        <v>0</v>
      </c>
      <c r="BC41" s="890">
        <f t="shared" si="75"/>
        <v>0</v>
      </c>
      <c r="BD41" s="890">
        <f t="shared" si="75"/>
        <v>0</v>
      </c>
      <c r="BE41" s="890">
        <f t="shared" si="49"/>
        <v>4528171.2945900001</v>
      </c>
      <c r="BF41" s="952">
        <f t="shared" si="52"/>
        <v>4528171.2945900001</v>
      </c>
      <c r="BG41" s="953">
        <f t="shared" si="81"/>
        <v>80.345883388333206</v>
      </c>
      <c r="BH41" s="954">
        <f t="shared" si="82"/>
        <v>154.08407433333329</v>
      </c>
      <c r="BI41" s="955">
        <f t="shared" si="83"/>
        <v>234.42995772166648</v>
      </c>
      <c r="BJ41" s="955"/>
      <c r="BK41" s="1197"/>
      <c r="BL41" s="890">
        <f t="shared" si="53"/>
        <v>1548088.1879999998</v>
      </c>
      <c r="BM41" s="890">
        <f t="shared" si="53"/>
        <v>779826.05908999988</v>
      </c>
      <c r="BN41" s="890">
        <f t="shared" si="53"/>
        <v>0</v>
      </c>
      <c r="BO41" s="890">
        <f t="shared" si="53"/>
        <v>0</v>
      </c>
      <c r="BP41" s="890">
        <f t="shared" si="53"/>
        <v>0</v>
      </c>
      <c r="BQ41" s="890">
        <f t="shared" si="54"/>
        <v>2327914.2470899997</v>
      </c>
      <c r="BR41" s="890">
        <f t="shared" si="55"/>
        <v>2327914.2470899997</v>
      </c>
      <c r="BS41" s="890">
        <f t="shared" si="56"/>
        <v>1277913.1199999999</v>
      </c>
      <c r="BT41" s="890">
        <f t="shared" si="56"/>
        <v>707383.15399999998</v>
      </c>
      <c r="BU41" s="890">
        <f t="shared" si="56"/>
        <v>0</v>
      </c>
      <c r="BV41" s="890">
        <f t="shared" si="57"/>
        <v>0</v>
      </c>
      <c r="BW41" s="890">
        <f t="shared" si="17"/>
        <v>0</v>
      </c>
      <c r="BX41" s="890">
        <f t="shared" si="58"/>
        <v>1985296.2739999997</v>
      </c>
      <c r="BY41" s="890">
        <f t="shared" si="59"/>
        <v>1985296.2739999997</v>
      </c>
      <c r="BZ41" s="945">
        <f t="shared" si="60"/>
        <v>1487209.2130899997</v>
      </c>
      <c r="CA41" s="945">
        <f t="shared" si="60"/>
        <v>0</v>
      </c>
      <c r="CB41" s="945">
        <f t="shared" si="61"/>
        <v>1487209.2130899997</v>
      </c>
      <c r="CC41" s="976">
        <f t="shared" si="62"/>
        <v>2964.1683320876409</v>
      </c>
      <c r="CD41" s="976" t="e">
        <f t="shared" si="62"/>
        <v>#DIV/0!</v>
      </c>
      <c r="CE41" s="976">
        <f t="shared" si="38"/>
        <v>2964.1683320876409</v>
      </c>
      <c r="CF41" s="976">
        <f t="shared" si="18"/>
        <v>2964.1683320876409</v>
      </c>
      <c r="CG41" s="977">
        <f t="shared" si="19"/>
        <v>1768525.1623559997</v>
      </c>
      <c r="CH41" s="977">
        <f t="shared" si="39"/>
        <v>3524.8613541493514</v>
      </c>
      <c r="CI41" s="945"/>
      <c r="CJ41" s="1312">
        <f t="shared" si="84"/>
        <v>2424.3293071559992</v>
      </c>
      <c r="CK41" s="1312">
        <f t="shared" si="20"/>
        <v>2170.1971632</v>
      </c>
      <c r="CL41" s="1312">
        <f t="shared" si="40"/>
        <v>4594.5264703559988</v>
      </c>
      <c r="CM41" s="890">
        <f t="shared" si="41"/>
        <v>4918.9469400719991</v>
      </c>
      <c r="CN41" s="890">
        <f t="shared" si="42"/>
        <v>324.4204697160003</v>
      </c>
      <c r="CO41" s="890">
        <f t="shared" si="21"/>
        <v>4594526.4703559987</v>
      </c>
      <c r="CP41" s="890">
        <f t="shared" si="22"/>
        <v>4155381.8610899989</v>
      </c>
      <c r="CQ41" s="890">
        <f t="shared" si="23"/>
        <v>4155381.8610899989</v>
      </c>
      <c r="CR41" s="890">
        <f t="shared" si="24"/>
        <v>2327914.2470899997</v>
      </c>
      <c r="CS41" s="890">
        <f t="shared" si="25"/>
        <v>4528171.2945900001</v>
      </c>
      <c r="CT41" s="890">
        <f t="shared" si="26"/>
        <v>4528171.2945900001</v>
      </c>
      <c r="CU41" s="890">
        <f t="shared" si="27"/>
        <v>1985296.2739999997</v>
      </c>
      <c r="CV41" s="890">
        <f t="shared" si="43"/>
        <v>8683553.1556799989</v>
      </c>
      <c r="CW41" s="978">
        <f t="shared" si="44"/>
        <v>6635.1041015213996</v>
      </c>
      <c r="CX41" s="890">
        <f t="shared" si="28"/>
        <v>1480205.9130899997</v>
      </c>
      <c r="CY41" s="890">
        <f t="shared" si="29"/>
        <v>1495006.9185899999</v>
      </c>
      <c r="CZ41" s="890"/>
      <c r="DA41" s="890">
        <f t="shared" si="30"/>
        <v>4338389.5207559988</v>
      </c>
      <c r="DB41" s="890">
        <f t="shared" si="31"/>
        <v>4918946.9400719991</v>
      </c>
      <c r="DC41" s="840"/>
      <c r="DD41" s="841">
        <f t="shared" si="45"/>
        <v>127.40001559211038</v>
      </c>
      <c r="DE41" s="840"/>
      <c r="DF41" s="840"/>
      <c r="DG41" s="840"/>
      <c r="DH41" s="1050"/>
      <c r="DI41" s="1050"/>
      <c r="DJ41" s="1050"/>
      <c r="DK41" s="945"/>
      <c r="DL41" s="975">
        <f t="shared" si="32"/>
        <v>0</v>
      </c>
      <c r="DM41" s="975">
        <f t="shared" si="33"/>
        <v>0</v>
      </c>
      <c r="DN41" s="975">
        <f t="shared" si="34"/>
        <v>0</v>
      </c>
      <c r="DO41" s="816"/>
      <c r="DP41" s="871"/>
      <c r="DQ41" s="871"/>
      <c r="DR41" s="871"/>
      <c r="DS41" s="871"/>
      <c r="DT41" s="871"/>
      <c r="DU41" s="871"/>
      <c r="DV41" s="871"/>
      <c r="DW41" s="871"/>
      <c r="DX41" s="871"/>
      <c r="DY41" s="871"/>
      <c r="DZ41" s="871"/>
      <c r="EA41" s="871"/>
      <c r="EB41" s="871"/>
      <c r="EC41" s="871"/>
      <c r="ED41" s="871"/>
      <c r="EE41" s="871"/>
      <c r="EF41" s="871"/>
      <c r="EG41" s="871"/>
      <c r="EH41" s="871"/>
      <c r="EI41" s="871"/>
      <c r="EJ41" s="871"/>
      <c r="EK41" s="871"/>
      <c r="EL41" s="871"/>
    </row>
    <row r="42" spans="1:155" s="869" customFormat="1" ht="83.25" hidden="1" customHeight="1">
      <c r="A42" s="6">
        <f t="shared" si="46"/>
        <v>29</v>
      </c>
      <c r="B42" s="1395" t="s">
        <v>15</v>
      </c>
      <c r="C42" s="1395" t="s">
        <v>91</v>
      </c>
      <c r="D42" s="1262" t="s">
        <v>144</v>
      </c>
      <c r="E42" s="887">
        <v>4632024035</v>
      </c>
      <c r="F42" s="886" t="s">
        <v>8</v>
      </c>
      <c r="G42" s="1238" t="s">
        <v>983</v>
      </c>
      <c r="H42" s="1256">
        <v>3314.9639999999995</v>
      </c>
      <c r="I42" s="1257">
        <f t="shared" si="77"/>
        <v>3314.9639999999995</v>
      </c>
      <c r="J42" s="891"/>
      <c r="K42" s="891"/>
      <c r="L42" s="1256">
        <v>3314.9639999999995</v>
      </c>
      <c r="M42" s="946"/>
      <c r="N42" s="1259">
        <f t="shared" si="78"/>
        <v>3758.5679999999998</v>
      </c>
      <c r="O42" s="1260">
        <f t="shared" si="79"/>
        <v>3758.5679999999998</v>
      </c>
      <c r="P42" s="891"/>
      <c r="Q42" s="891"/>
      <c r="R42" s="1260">
        <f t="shared" si="80"/>
        <v>3758.5679999999998</v>
      </c>
      <c r="S42" s="946"/>
      <c r="T42" s="1307">
        <v>530.92399999999998</v>
      </c>
      <c r="U42" s="1366">
        <v>0</v>
      </c>
      <c r="V42" s="1366">
        <v>0</v>
      </c>
      <c r="W42" s="890"/>
      <c r="X42" s="890"/>
      <c r="Y42" s="890"/>
      <c r="Z42" s="1397">
        <f t="shared" si="8"/>
        <v>530.92399999999998</v>
      </c>
      <c r="AA42" s="1308">
        <v>371.26200000000006</v>
      </c>
      <c r="AB42" s="1366">
        <v>0</v>
      </c>
      <c r="AC42" s="1366">
        <v>0</v>
      </c>
      <c r="AD42" s="890"/>
      <c r="AE42" s="890"/>
      <c r="AF42" s="890"/>
      <c r="AG42" s="951">
        <f t="shared" si="50"/>
        <v>371.26200000000006</v>
      </c>
      <c r="AH42" s="947">
        <f t="shared" si="51"/>
        <v>902.18600000000004</v>
      </c>
      <c r="AI42" s="890">
        <f t="shared" si="73"/>
        <v>902.18600000000004</v>
      </c>
      <c r="AJ42" s="890">
        <f t="shared" si="73"/>
        <v>0</v>
      </c>
      <c r="AK42" s="890">
        <f t="shared" si="73"/>
        <v>0</v>
      </c>
      <c r="AL42" s="890">
        <f t="shared" si="73"/>
        <v>0</v>
      </c>
      <c r="AM42" s="890">
        <f t="shared" si="73"/>
        <v>0</v>
      </c>
      <c r="AN42" s="890"/>
      <c r="AO42" s="890">
        <f t="shared" si="70"/>
        <v>902.18600000000004</v>
      </c>
      <c r="AP42" s="890">
        <f t="shared" si="71"/>
        <v>902.18600000000004</v>
      </c>
      <c r="AQ42" s="952">
        <f t="shared" si="72"/>
        <v>902.18600000000004</v>
      </c>
      <c r="AR42" s="973">
        <f t="shared" si="35"/>
        <v>0</v>
      </c>
      <c r="AS42" s="889">
        <f t="shared" si="74"/>
        <v>2990714.1113039996</v>
      </c>
      <c r="AT42" s="890">
        <f t="shared" si="74"/>
        <v>0</v>
      </c>
      <c r="AU42" s="890">
        <f t="shared" si="74"/>
        <v>0</v>
      </c>
      <c r="AV42" s="890">
        <f t="shared" si="74"/>
        <v>0</v>
      </c>
      <c r="AW42" s="890">
        <f t="shared" si="74"/>
        <v>0</v>
      </c>
      <c r="AX42" s="890">
        <f t="shared" si="47"/>
        <v>2990714.1113039996</v>
      </c>
      <c r="AY42" s="890">
        <f t="shared" si="48"/>
        <v>2990714.1113039996</v>
      </c>
      <c r="AZ42" s="890">
        <f t="shared" si="75"/>
        <v>3390927.4296479998</v>
      </c>
      <c r="BA42" s="890">
        <f t="shared" si="75"/>
        <v>0</v>
      </c>
      <c r="BB42" s="890">
        <f t="shared" si="75"/>
        <v>0</v>
      </c>
      <c r="BC42" s="890">
        <f t="shared" si="75"/>
        <v>0</v>
      </c>
      <c r="BD42" s="890">
        <f t="shared" si="75"/>
        <v>0</v>
      </c>
      <c r="BE42" s="890">
        <f t="shared" si="49"/>
        <v>3390927.4296479998</v>
      </c>
      <c r="BF42" s="952">
        <f t="shared" si="52"/>
        <v>3390927.4296479998</v>
      </c>
      <c r="BG42" s="953">
        <f t="shared" si="81"/>
        <v>0</v>
      </c>
      <c r="BH42" s="954">
        <f t="shared" si="82"/>
        <v>0</v>
      </c>
      <c r="BI42" s="955">
        <f t="shared" si="83"/>
        <v>0</v>
      </c>
      <c r="BJ42" s="890"/>
      <c r="BK42" s="1199"/>
      <c r="BL42" s="890">
        <f t="shared" si="53"/>
        <v>1759993.9467359995</v>
      </c>
      <c r="BM42" s="890">
        <f t="shared" si="53"/>
        <v>0</v>
      </c>
      <c r="BN42" s="890">
        <f t="shared" si="53"/>
        <v>0</v>
      </c>
      <c r="BO42" s="890">
        <f t="shared" si="53"/>
        <v>0</v>
      </c>
      <c r="BP42" s="890">
        <f t="shared" si="53"/>
        <v>0</v>
      </c>
      <c r="BQ42" s="890">
        <f t="shared" si="54"/>
        <v>1759993.9467359995</v>
      </c>
      <c r="BR42" s="890">
        <f t="shared" si="55"/>
        <v>1759993.9467359995</v>
      </c>
      <c r="BS42" s="890">
        <f t="shared" si="56"/>
        <v>1395413.4728160002</v>
      </c>
      <c r="BT42" s="890">
        <f t="shared" si="56"/>
        <v>0</v>
      </c>
      <c r="BU42" s="890">
        <f t="shared" si="56"/>
        <v>0</v>
      </c>
      <c r="BV42" s="890">
        <f t="shared" si="57"/>
        <v>0</v>
      </c>
      <c r="BW42" s="890">
        <f t="shared" si="17"/>
        <v>0</v>
      </c>
      <c r="BX42" s="890">
        <f t="shared" si="58"/>
        <v>1395413.4728160002</v>
      </c>
      <c r="BY42" s="890">
        <f t="shared" si="59"/>
        <v>1395413.4728160002</v>
      </c>
      <c r="BZ42" s="945">
        <f t="shared" si="60"/>
        <v>0</v>
      </c>
      <c r="CA42" s="945">
        <f t="shared" si="60"/>
        <v>0</v>
      </c>
      <c r="CB42" s="945">
        <f t="shared" si="61"/>
        <v>0</v>
      </c>
      <c r="CC42" s="976" t="e">
        <f t="shared" si="62"/>
        <v>#DIV/0!</v>
      </c>
      <c r="CD42" s="976" t="e">
        <f t="shared" si="62"/>
        <v>#DIV/0!</v>
      </c>
      <c r="CE42" s="976" t="e">
        <f t="shared" si="38"/>
        <v>#DIV/0!</v>
      </c>
      <c r="CF42" s="945" t="e">
        <f t="shared" si="18"/>
        <v>#DIV/0!</v>
      </c>
      <c r="CG42" s="977">
        <f t="shared" si="19"/>
        <v>0</v>
      </c>
      <c r="CH42" s="977" t="e">
        <f t="shared" si="39"/>
        <v>#DIV/0!</v>
      </c>
      <c r="CI42" s="945"/>
      <c r="CJ42" s="1312">
        <f t="shared" si="84"/>
        <v>1759.9939467359995</v>
      </c>
      <c r="CK42" s="1312">
        <f t="shared" si="20"/>
        <v>1395.4134728160002</v>
      </c>
      <c r="CL42" s="1312">
        <f t="shared" si="40"/>
        <v>3155.4074195519997</v>
      </c>
      <c r="CM42" s="890">
        <f t="shared" si="41"/>
        <v>3390.9274296479998</v>
      </c>
      <c r="CN42" s="890">
        <f t="shared" si="42"/>
        <v>235.52001009600008</v>
      </c>
      <c r="CO42" s="890">
        <f t="shared" si="21"/>
        <v>3155407.4195519998</v>
      </c>
      <c r="CP42" s="890">
        <f t="shared" si="22"/>
        <v>2990714.1113039996</v>
      </c>
      <c r="CQ42" s="890">
        <f t="shared" si="23"/>
        <v>2990714.1113039996</v>
      </c>
      <c r="CR42" s="890">
        <f t="shared" si="24"/>
        <v>1759993.9467359995</v>
      </c>
      <c r="CS42" s="890">
        <f t="shared" si="25"/>
        <v>3390927.4296479998</v>
      </c>
      <c r="CT42" s="890">
        <f t="shared" si="26"/>
        <v>3390927.4296479998</v>
      </c>
      <c r="CU42" s="890">
        <f t="shared" si="27"/>
        <v>1395413.4728160002</v>
      </c>
      <c r="CV42" s="890">
        <f t="shared" si="43"/>
        <v>6381641.5409519989</v>
      </c>
      <c r="CW42" s="978">
        <f t="shared" si="44"/>
        <v>7073.5319999999983</v>
      </c>
      <c r="CX42" s="890">
        <f t="shared" si="28"/>
        <v>0</v>
      </c>
      <c r="CY42" s="890">
        <f t="shared" si="29"/>
        <v>0</v>
      </c>
      <c r="CZ42" s="890"/>
      <c r="DA42" s="890">
        <f t="shared" si="30"/>
        <v>2990714.1113039996</v>
      </c>
      <c r="DB42" s="890">
        <f t="shared" si="31"/>
        <v>3390927.4296479998</v>
      </c>
      <c r="DC42" s="840"/>
      <c r="DD42" s="841" t="e">
        <f t="shared" si="45"/>
        <v>#DIV/0!</v>
      </c>
      <c r="DE42" s="840"/>
      <c r="DF42" s="840"/>
      <c r="DG42" s="840"/>
      <c r="DH42" s="1050"/>
      <c r="DI42" s="1050"/>
      <c r="DJ42" s="1050"/>
      <c r="DK42" s="945"/>
      <c r="DL42" s="975">
        <f t="shared" si="32"/>
        <v>0</v>
      </c>
      <c r="DM42" s="975">
        <f t="shared" si="33"/>
        <v>0</v>
      </c>
      <c r="DN42" s="975">
        <f t="shared" si="34"/>
        <v>0</v>
      </c>
      <c r="DO42" s="816"/>
      <c r="DP42" s="871"/>
      <c r="DQ42" s="871"/>
      <c r="DR42" s="871"/>
      <c r="DS42" s="871"/>
      <c r="DT42" s="871"/>
      <c r="DU42" s="871"/>
      <c r="DV42" s="871"/>
      <c r="DW42" s="871"/>
      <c r="DX42" s="871"/>
      <c r="DY42" s="871"/>
      <c r="DZ42" s="871"/>
      <c r="EA42" s="871"/>
      <c r="EB42" s="871"/>
      <c r="EC42" s="871"/>
      <c r="ED42" s="871"/>
      <c r="EE42" s="871"/>
      <c r="EF42" s="871"/>
      <c r="EG42" s="871"/>
      <c r="EH42" s="871"/>
      <c r="EI42" s="871"/>
      <c r="EJ42" s="871"/>
      <c r="EK42" s="871"/>
      <c r="EL42" s="871"/>
    </row>
    <row r="43" spans="1:155" s="50" customFormat="1" ht="129" hidden="1" customHeight="1">
      <c r="A43" s="6">
        <f t="shared" si="46"/>
        <v>30</v>
      </c>
      <c r="B43" s="886"/>
      <c r="C43" s="886" t="s">
        <v>181</v>
      </c>
      <c r="D43" s="983" t="s">
        <v>261</v>
      </c>
      <c r="E43" s="887">
        <v>7708503727</v>
      </c>
      <c r="F43" s="886" t="s">
        <v>8</v>
      </c>
      <c r="G43" s="888" t="s">
        <v>948</v>
      </c>
      <c r="H43" s="1251">
        <v>3009.7679999999996</v>
      </c>
      <c r="I43" s="1252">
        <v>3009.7679999999996</v>
      </c>
      <c r="J43" s="891">
        <v>0</v>
      </c>
      <c r="K43" s="891">
        <v>0</v>
      </c>
      <c r="L43" s="891">
        <v>3009.7679999999996</v>
      </c>
      <c r="M43" s="946">
        <v>0</v>
      </c>
      <c r="N43" s="959">
        <v>3009.7679999999996</v>
      </c>
      <c r="O43" s="891">
        <v>3009.7679999999996</v>
      </c>
      <c r="P43" s="891"/>
      <c r="Q43" s="891"/>
      <c r="R43" s="891">
        <v>3009.7679999999996</v>
      </c>
      <c r="S43" s="946"/>
      <c r="T43" s="889">
        <v>1.883</v>
      </c>
      <c r="U43" s="890">
        <v>0</v>
      </c>
      <c r="V43" s="890">
        <v>0</v>
      </c>
      <c r="W43" s="890">
        <v>287.63200000000001</v>
      </c>
      <c r="X43" s="890">
        <v>0</v>
      </c>
      <c r="Y43" s="890">
        <v>0</v>
      </c>
      <c r="Z43" s="949">
        <f>SUM(T43:Y43)</f>
        <v>289.51499999999999</v>
      </c>
      <c r="AA43" s="974">
        <v>2.2759999999999998</v>
      </c>
      <c r="AB43" s="890">
        <v>0</v>
      </c>
      <c r="AC43" s="890">
        <v>0</v>
      </c>
      <c r="AD43" s="890">
        <v>224.44800000000004</v>
      </c>
      <c r="AE43" s="890">
        <v>0</v>
      </c>
      <c r="AF43" s="890">
        <v>0</v>
      </c>
      <c r="AG43" s="951">
        <f t="shared" si="50"/>
        <v>226.72400000000005</v>
      </c>
      <c r="AH43" s="947">
        <f t="shared" si="51"/>
        <v>516.23900000000003</v>
      </c>
      <c r="AI43" s="890">
        <f t="shared" si="73"/>
        <v>4.1589999999999998</v>
      </c>
      <c r="AJ43" s="890">
        <f t="shared" si="73"/>
        <v>0</v>
      </c>
      <c r="AK43" s="890">
        <f t="shared" si="73"/>
        <v>0</v>
      </c>
      <c r="AL43" s="890">
        <f t="shared" si="73"/>
        <v>512.08000000000004</v>
      </c>
      <c r="AM43" s="890">
        <f t="shared" si="73"/>
        <v>0</v>
      </c>
      <c r="AN43" s="890"/>
      <c r="AO43" s="890">
        <f t="shared" si="70"/>
        <v>516.23900000000003</v>
      </c>
      <c r="AP43" s="890">
        <f>SUM(AI43:AM43)</f>
        <v>516.23900000000003</v>
      </c>
      <c r="AQ43" s="952">
        <f t="shared" si="72"/>
        <v>516.23900000000003</v>
      </c>
      <c r="AR43" s="902">
        <f t="shared" si="35"/>
        <v>0</v>
      </c>
      <c r="AS43" s="903">
        <f>I43*AI43</f>
        <v>12517.625111999998</v>
      </c>
      <c r="AT43" s="897">
        <f t="shared" si="74"/>
        <v>0</v>
      </c>
      <c r="AU43" s="897">
        <f t="shared" si="74"/>
        <v>0</v>
      </c>
      <c r="AV43" s="897">
        <f>L43*AL43</f>
        <v>1541241.9974399998</v>
      </c>
      <c r="AW43" s="897">
        <f t="shared" si="74"/>
        <v>0</v>
      </c>
      <c r="AX43" s="897">
        <f t="shared" si="47"/>
        <v>1553759.6225519998</v>
      </c>
      <c r="AY43" s="897">
        <f>SUM(AS43:AV43)</f>
        <v>1553759.6225519998</v>
      </c>
      <c r="AZ43" s="897">
        <f t="shared" si="75"/>
        <v>12517.625111999998</v>
      </c>
      <c r="BA43" s="897">
        <f t="shared" si="75"/>
        <v>0</v>
      </c>
      <c r="BB43" s="897">
        <f t="shared" si="75"/>
        <v>0</v>
      </c>
      <c r="BC43" s="897">
        <f>R43*AL43</f>
        <v>1541241.9974399998</v>
      </c>
      <c r="BD43" s="897">
        <f t="shared" si="75"/>
        <v>0</v>
      </c>
      <c r="BE43" s="897">
        <f t="shared" si="49"/>
        <v>1553759.6225519998</v>
      </c>
      <c r="BF43" s="901">
        <f t="shared" si="52"/>
        <v>1553759.6225519998</v>
      </c>
      <c r="BG43" s="904">
        <v>0</v>
      </c>
      <c r="BH43" s="897">
        <v>0</v>
      </c>
      <c r="BI43" s="897">
        <v>0</v>
      </c>
      <c r="BJ43" s="919">
        <v>1294.8021892208574</v>
      </c>
      <c r="BK43" s="1194">
        <v>2019.873</v>
      </c>
      <c r="BL43" s="897">
        <f>I43*T43</f>
        <v>5667.3931439999997</v>
      </c>
      <c r="BM43" s="897">
        <f t="shared" si="53"/>
        <v>0</v>
      </c>
      <c r="BN43" s="897">
        <f t="shared" si="53"/>
        <v>0</v>
      </c>
      <c r="BO43" s="897">
        <f>L43*W43</f>
        <v>865705.58937599987</v>
      </c>
      <c r="BP43" s="897">
        <f t="shared" si="53"/>
        <v>0</v>
      </c>
      <c r="BQ43" s="897">
        <f>BL43+BM43+BN43+BO43+BP43</f>
        <v>871372.98251999984</v>
      </c>
      <c r="BR43" s="897">
        <f t="shared" si="55"/>
        <v>871372.98251999984</v>
      </c>
      <c r="BS43" s="897">
        <f>O43*AA43</f>
        <v>6850.2319679999982</v>
      </c>
      <c r="BT43" s="897">
        <f t="shared" si="56"/>
        <v>0</v>
      </c>
      <c r="BU43" s="897">
        <f t="shared" si="56"/>
        <v>0</v>
      </c>
      <c r="BV43" s="897">
        <f>R43*AD43</f>
        <v>675536.40806399996</v>
      </c>
      <c r="BW43" s="897">
        <f t="shared" si="17"/>
        <v>0</v>
      </c>
      <c r="BX43" s="897">
        <f>BS43+BT43+BU43+BV43+BW43</f>
        <v>682386.64003199991</v>
      </c>
      <c r="BY43" s="897">
        <f>BX43-BW43</f>
        <v>682386.64003199991</v>
      </c>
      <c r="BZ43" s="905">
        <f t="shared" si="60"/>
        <v>0</v>
      </c>
      <c r="CA43" s="905">
        <f t="shared" si="60"/>
        <v>0</v>
      </c>
      <c r="CB43" s="905">
        <f t="shared" si="61"/>
        <v>0</v>
      </c>
      <c r="CC43" s="907" t="e">
        <f t="shared" si="62"/>
        <v>#DIV/0!</v>
      </c>
      <c r="CD43" s="907" t="e">
        <f t="shared" si="62"/>
        <v>#DIV/0!</v>
      </c>
      <c r="CE43" s="907" t="e">
        <f t="shared" si="38"/>
        <v>#DIV/0!</v>
      </c>
      <c r="CF43" s="905" t="e">
        <f t="shared" si="18"/>
        <v>#DIV/0!</v>
      </c>
      <c r="CG43" s="923">
        <f t="shared" si="19"/>
        <v>0</v>
      </c>
      <c r="CH43" s="923" t="e">
        <f t="shared" si="39"/>
        <v>#DIV/0!</v>
      </c>
      <c r="CI43" s="979"/>
      <c r="CJ43" s="897">
        <f>N43*Z43/1000</f>
        <v>871.37298251999982</v>
      </c>
      <c r="CK43" s="897">
        <f t="shared" si="20"/>
        <v>682.38664003200006</v>
      </c>
      <c r="CL43" s="897">
        <f t="shared" si="40"/>
        <v>1553.7596225519999</v>
      </c>
      <c r="CM43" s="897">
        <f t="shared" si="41"/>
        <v>1553.7596225519999</v>
      </c>
      <c r="CN43" s="897">
        <f t="shared" si="42"/>
        <v>0</v>
      </c>
      <c r="CO43" s="897">
        <f t="shared" si="21"/>
        <v>1553759.622552</v>
      </c>
      <c r="CP43" s="897">
        <f t="shared" si="22"/>
        <v>1553759.6225519998</v>
      </c>
      <c r="CQ43" s="897">
        <f t="shared" si="23"/>
        <v>1553759.6225519998</v>
      </c>
      <c r="CR43" s="897">
        <f t="shared" si="24"/>
        <v>871372.98251999984</v>
      </c>
      <c r="CS43" s="897">
        <f t="shared" si="25"/>
        <v>1553759.6225519998</v>
      </c>
      <c r="CT43" s="897">
        <f t="shared" si="26"/>
        <v>1553759.6225519998</v>
      </c>
      <c r="CU43" s="897">
        <f t="shared" si="27"/>
        <v>682386.64003199991</v>
      </c>
      <c r="CV43" s="897">
        <f t="shared" si="43"/>
        <v>3107519.2451039995</v>
      </c>
      <c r="CW43" s="906">
        <f t="shared" si="44"/>
        <v>6019.5359999999982</v>
      </c>
      <c r="CX43" s="897">
        <f t="shared" si="28"/>
        <v>0</v>
      </c>
      <c r="CY43" s="897">
        <f t="shared" si="29"/>
        <v>0</v>
      </c>
      <c r="CZ43" s="897"/>
      <c r="DA43" s="897">
        <f t="shared" si="30"/>
        <v>1553759.6225519998</v>
      </c>
      <c r="DB43" s="897">
        <f t="shared" si="31"/>
        <v>1553759.6225519998</v>
      </c>
      <c r="DC43" s="1131"/>
      <c r="DD43" s="40" t="e">
        <f t="shared" si="45"/>
        <v>#DIV/0!</v>
      </c>
      <c r="DE43" s="1131"/>
      <c r="DF43" s="1131"/>
      <c r="DG43" s="1131"/>
      <c r="DH43" s="1043">
        <v>415.84</v>
      </c>
      <c r="DI43" s="1043">
        <v>0</v>
      </c>
      <c r="DJ43" s="1043">
        <f>DH43-DI43</f>
        <v>415.84</v>
      </c>
      <c r="DK43" s="979"/>
      <c r="DL43" s="908">
        <f t="shared" si="32"/>
        <v>0</v>
      </c>
      <c r="DM43" s="908">
        <f t="shared" si="33"/>
        <v>0</v>
      </c>
      <c r="DN43" s="908">
        <f t="shared" si="34"/>
        <v>0</v>
      </c>
      <c r="DO43" s="81"/>
      <c r="DP43" s="81"/>
      <c r="DQ43" s="81"/>
      <c r="DR43" s="81"/>
      <c r="DS43" s="81"/>
      <c r="DT43" s="81"/>
      <c r="DU43" s="81"/>
      <c r="DV43" s="81"/>
      <c r="DW43" s="81"/>
      <c r="DX43" s="81"/>
      <c r="DY43" s="81"/>
      <c r="DZ43" s="81"/>
      <c r="EA43" s="81"/>
      <c r="EB43" s="81"/>
      <c r="EC43" s="81"/>
      <c r="ED43" s="81"/>
      <c r="EE43" s="81"/>
      <c r="EF43" s="81"/>
      <c r="EG43" s="81"/>
      <c r="EH43" s="81"/>
      <c r="EI43" s="81"/>
      <c r="EJ43" s="81"/>
      <c r="EK43" s="81"/>
      <c r="EL43" s="81"/>
    </row>
    <row r="44" spans="1:155" s="869" customFormat="1" ht="87.75" hidden="1" customHeight="1">
      <c r="A44" s="6">
        <f t="shared" si="46"/>
        <v>31</v>
      </c>
      <c r="B44" s="1396" t="s">
        <v>16</v>
      </c>
      <c r="C44" s="1396" t="s">
        <v>92</v>
      </c>
      <c r="D44" s="1262" t="s">
        <v>142</v>
      </c>
      <c r="E44" s="887">
        <v>4632024035</v>
      </c>
      <c r="F44" s="886" t="s">
        <v>8</v>
      </c>
      <c r="G44" s="1238" t="s">
        <v>983</v>
      </c>
      <c r="H44" s="1256">
        <v>3314.9639999999995</v>
      </c>
      <c r="I44" s="1257">
        <f>H44</f>
        <v>3314.9639999999995</v>
      </c>
      <c r="J44" s="1263">
        <v>2484</v>
      </c>
      <c r="K44" s="891"/>
      <c r="L44" s="1256">
        <v>3314.9639999999995</v>
      </c>
      <c r="M44" s="946"/>
      <c r="N44" s="1259">
        <f>3132.14*1.2</f>
        <v>3758.5679999999998</v>
      </c>
      <c r="O44" s="1260">
        <f>N44</f>
        <v>3758.5679999999998</v>
      </c>
      <c r="P44" s="1264">
        <v>2719.98</v>
      </c>
      <c r="Q44" s="891"/>
      <c r="R44" s="1260">
        <f>O44</f>
        <v>3758.5679999999998</v>
      </c>
      <c r="S44" s="946"/>
      <c r="T44" s="1307">
        <v>245.37800000000004</v>
      </c>
      <c r="U44" s="1366"/>
      <c r="V44" s="1366"/>
      <c r="W44" s="948"/>
      <c r="X44" s="948"/>
      <c r="Y44" s="948"/>
      <c r="Z44" s="1397">
        <f t="shared" si="8"/>
        <v>245.37800000000004</v>
      </c>
      <c r="AA44" s="1308">
        <v>257.52</v>
      </c>
      <c r="AB44" s="1292"/>
      <c r="AC44" s="1366"/>
      <c r="AD44" s="890"/>
      <c r="AE44" s="890"/>
      <c r="AF44" s="890"/>
      <c r="AG44" s="951">
        <f t="shared" si="50"/>
        <v>257.52</v>
      </c>
      <c r="AH44" s="947">
        <f t="shared" si="51"/>
        <v>502.89800000000002</v>
      </c>
      <c r="AI44" s="890">
        <f t="shared" si="73"/>
        <v>502.89800000000002</v>
      </c>
      <c r="AJ44" s="890">
        <f t="shared" si="73"/>
        <v>0</v>
      </c>
      <c r="AK44" s="890">
        <f t="shared" si="73"/>
        <v>0</v>
      </c>
      <c r="AL44" s="890">
        <f t="shared" si="73"/>
        <v>0</v>
      </c>
      <c r="AM44" s="890">
        <f t="shared" si="73"/>
        <v>0</v>
      </c>
      <c r="AN44" s="890"/>
      <c r="AO44" s="890">
        <f t="shared" si="70"/>
        <v>502.89800000000002</v>
      </c>
      <c r="AP44" s="890">
        <f t="shared" si="71"/>
        <v>502.89800000000002</v>
      </c>
      <c r="AQ44" s="952">
        <f t="shared" si="72"/>
        <v>502.89800000000002</v>
      </c>
      <c r="AR44" s="973">
        <f t="shared" si="35"/>
        <v>0</v>
      </c>
      <c r="AS44" s="889">
        <f t="shared" si="74"/>
        <v>1667088.7656719999</v>
      </c>
      <c r="AT44" s="890">
        <f t="shared" si="74"/>
        <v>0</v>
      </c>
      <c r="AU44" s="890">
        <f t="shared" si="74"/>
        <v>0</v>
      </c>
      <c r="AV44" s="890">
        <f t="shared" si="74"/>
        <v>0</v>
      </c>
      <c r="AW44" s="890">
        <f t="shared" si="74"/>
        <v>0</v>
      </c>
      <c r="AX44" s="890">
        <f t="shared" si="47"/>
        <v>1667088.7656719999</v>
      </c>
      <c r="AY44" s="890">
        <f t="shared" si="48"/>
        <v>1667088.7656719999</v>
      </c>
      <c r="AZ44" s="890">
        <f t="shared" si="75"/>
        <v>1890176.3300639999</v>
      </c>
      <c r="BA44" s="890">
        <f t="shared" si="75"/>
        <v>0</v>
      </c>
      <c r="BB44" s="890">
        <f t="shared" si="75"/>
        <v>0</v>
      </c>
      <c r="BC44" s="890">
        <f t="shared" si="75"/>
        <v>0</v>
      </c>
      <c r="BD44" s="890">
        <f t="shared" si="75"/>
        <v>0</v>
      </c>
      <c r="BE44" s="890">
        <f t="shared" si="49"/>
        <v>1890176.3300639999</v>
      </c>
      <c r="BF44" s="952">
        <f t="shared" si="52"/>
        <v>1890176.3300639999</v>
      </c>
      <c r="BG44" s="953">
        <f>(H44-J44)/1.2*U44/1000+(H44-K44)/1.2*V44/1000</f>
        <v>0</v>
      </c>
      <c r="BH44" s="954">
        <f>(O44-P44)*AB44/1000/1.2+(O44-Q44)/1.2*AC44/1000</f>
        <v>0</v>
      </c>
      <c r="BI44" s="955">
        <f>BG44+BH44</f>
        <v>0</v>
      </c>
      <c r="BJ44" s="955"/>
      <c r="BK44" s="1197"/>
      <c r="BL44" s="890">
        <f t="shared" si="53"/>
        <v>813419.23639199999</v>
      </c>
      <c r="BM44" s="890">
        <f t="shared" si="53"/>
        <v>0</v>
      </c>
      <c r="BN44" s="890">
        <f t="shared" si="53"/>
        <v>0</v>
      </c>
      <c r="BO44" s="890">
        <f t="shared" si="53"/>
        <v>0</v>
      </c>
      <c r="BP44" s="890">
        <f t="shared" si="53"/>
        <v>0</v>
      </c>
      <c r="BQ44" s="890">
        <f t="shared" si="54"/>
        <v>813419.23639199999</v>
      </c>
      <c r="BR44" s="890">
        <f t="shared" si="55"/>
        <v>813419.23639199999</v>
      </c>
      <c r="BS44" s="890">
        <f t="shared" si="56"/>
        <v>967906.43135999981</v>
      </c>
      <c r="BT44" s="890">
        <f t="shared" si="56"/>
        <v>0</v>
      </c>
      <c r="BU44" s="890">
        <f t="shared" si="56"/>
        <v>0</v>
      </c>
      <c r="BV44" s="890">
        <f t="shared" si="57"/>
        <v>0</v>
      </c>
      <c r="BW44" s="890">
        <f t="shared" si="17"/>
        <v>0</v>
      </c>
      <c r="BX44" s="890">
        <f t="shared" si="58"/>
        <v>967906.43135999981</v>
      </c>
      <c r="BY44" s="890">
        <f t="shared" si="59"/>
        <v>967906.43135999981</v>
      </c>
      <c r="BZ44" s="945">
        <f t="shared" si="60"/>
        <v>0</v>
      </c>
      <c r="CA44" s="945">
        <f t="shared" si="60"/>
        <v>0</v>
      </c>
      <c r="CB44" s="945">
        <f t="shared" si="61"/>
        <v>0</v>
      </c>
      <c r="CC44" s="976" t="e">
        <f t="shared" si="62"/>
        <v>#DIV/0!</v>
      </c>
      <c r="CD44" s="976" t="e">
        <f t="shared" si="62"/>
        <v>#DIV/0!</v>
      </c>
      <c r="CE44" s="976" t="e">
        <f t="shared" si="38"/>
        <v>#DIV/0!</v>
      </c>
      <c r="CF44" s="976" t="e">
        <f t="shared" si="18"/>
        <v>#DIV/0!</v>
      </c>
      <c r="CG44" s="977">
        <f t="shared" si="19"/>
        <v>0</v>
      </c>
      <c r="CH44" s="977" t="e">
        <f t="shared" si="39"/>
        <v>#DIV/0!</v>
      </c>
      <c r="CI44" s="945"/>
      <c r="CJ44" s="1312">
        <f>H44*Z44/1000</f>
        <v>813.41923639200002</v>
      </c>
      <c r="CK44" s="1312">
        <f t="shared" si="20"/>
        <v>967.90643135999983</v>
      </c>
      <c r="CL44" s="1312">
        <f>CJ44+CK44</f>
        <v>1781.3256677519998</v>
      </c>
      <c r="CM44" s="890">
        <f t="shared" si="41"/>
        <v>1890.1763300639998</v>
      </c>
      <c r="CN44" s="890">
        <f t="shared" si="42"/>
        <v>108.85066231199994</v>
      </c>
      <c r="CO44" s="890">
        <f t="shared" si="21"/>
        <v>1781325.6677519998</v>
      </c>
      <c r="CP44" s="890">
        <f t="shared" si="22"/>
        <v>1667088.7656719999</v>
      </c>
      <c r="CQ44" s="890">
        <f t="shared" si="23"/>
        <v>1667088.7656719999</v>
      </c>
      <c r="CR44" s="890">
        <f t="shared" si="24"/>
        <v>813419.23639199999</v>
      </c>
      <c r="CS44" s="890">
        <f t="shared" si="25"/>
        <v>1890176.3300639999</v>
      </c>
      <c r="CT44" s="890">
        <f t="shared" si="26"/>
        <v>1890176.3300639999</v>
      </c>
      <c r="CU44" s="890">
        <f t="shared" si="27"/>
        <v>967906.43135999981</v>
      </c>
      <c r="CV44" s="890">
        <f t="shared" si="43"/>
        <v>3557265.0957359998</v>
      </c>
      <c r="CW44" s="978">
        <f t="shared" si="44"/>
        <v>7073.5319999999992</v>
      </c>
      <c r="CX44" s="890">
        <f t="shared" si="28"/>
        <v>0</v>
      </c>
      <c r="CY44" s="890">
        <f t="shared" si="29"/>
        <v>0</v>
      </c>
      <c r="CZ44" s="890"/>
      <c r="DA44" s="890">
        <f t="shared" si="30"/>
        <v>1667088.7656719999</v>
      </c>
      <c r="DB44" s="890">
        <f t="shared" si="31"/>
        <v>1890176.3300639999</v>
      </c>
      <c r="DC44" s="840"/>
      <c r="DD44" s="841">
        <f t="shared" si="45"/>
        <v>151.3111111111111</v>
      </c>
      <c r="DE44" s="840"/>
      <c r="DF44" s="840"/>
      <c r="DG44" s="840"/>
      <c r="DH44" s="1050"/>
      <c r="DI44" s="1050"/>
      <c r="DJ44" s="1050"/>
      <c r="DK44" s="945"/>
      <c r="DL44" s="975">
        <f t="shared" si="32"/>
        <v>0</v>
      </c>
      <c r="DM44" s="975">
        <f t="shared" si="33"/>
        <v>0</v>
      </c>
      <c r="DN44" s="975">
        <f t="shared" si="34"/>
        <v>0</v>
      </c>
      <c r="DO44" s="816"/>
      <c r="DP44" s="871"/>
      <c r="DQ44" s="871"/>
      <c r="DR44" s="871"/>
      <c r="DS44" s="871"/>
      <c r="DT44" s="871"/>
      <c r="DU44" s="871"/>
      <c r="DV44" s="871"/>
      <c r="DW44" s="871"/>
      <c r="DX44" s="871"/>
      <c r="DY44" s="871"/>
      <c r="DZ44" s="871"/>
      <c r="EA44" s="871"/>
      <c r="EB44" s="871"/>
      <c r="EC44" s="871"/>
      <c r="ED44" s="871"/>
      <c r="EE44" s="871"/>
      <c r="EF44" s="871"/>
      <c r="EG44" s="871"/>
      <c r="EH44" s="871"/>
      <c r="EI44" s="871"/>
      <c r="EJ44" s="871"/>
      <c r="EK44" s="871"/>
      <c r="EL44" s="871"/>
    </row>
    <row r="45" spans="1:155" s="50" customFormat="1" ht="72.75" hidden="1" customHeight="1">
      <c r="A45" s="6">
        <f t="shared" si="46"/>
        <v>32</v>
      </c>
      <c r="B45" s="956" t="s">
        <v>17</v>
      </c>
      <c r="C45" s="956" t="s">
        <v>57</v>
      </c>
      <c r="D45" s="886" t="s">
        <v>278</v>
      </c>
      <c r="E45" s="886">
        <v>4610006900</v>
      </c>
      <c r="F45" s="886" t="s">
        <v>8</v>
      </c>
      <c r="G45" s="888" t="s">
        <v>865</v>
      </c>
      <c r="H45" s="1249"/>
      <c r="I45" s="1250"/>
      <c r="J45" s="891"/>
      <c r="K45" s="891"/>
      <c r="L45" s="891"/>
      <c r="M45" s="892"/>
      <c r="N45" s="984"/>
      <c r="O45" s="895"/>
      <c r="P45" s="895"/>
      <c r="Q45" s="895"/>
      <c r="R45" s="895"/>
      <c r="S45" s="892"/>
      <c r="T45" s="980"/>
      <c r="U45" s="981"/>
      <c r="V45" s="981"/>
      <c r="W45" s="981"/>
      <c r="X45" s="981"/>
      <c r="Y45" s="981"/>
      <c r="Z45" s="898"/>
      <c r="AA45" s="982"/>
      <c r="AB45" s="981"/>
      <c r="AC45" s="981"/>
      <c r="AD45" s="985"/>
      <c r="AE45" s="981"/>
      <c r="AF45" s="981"/>
      <c r="AG45" s="900"/>
      <c r="AH45" s="896">
        <f t="shared" si="51"/>
        <v>0</v>
      </c>
      <c r="AI45" s="897">
        <f t="shared" si="73"/>
        <v>0</v>
      </c>
      <c r="AJ45" s="897">
        <f t="shared" si="73"/>
        <v>0</v>
      </c>
      <c r="AK45" s="897">
        <f t="shared" si="73"/>
        <v>0</v>
      </c>
      <c r="AL45" s="897">
        <f t="shared" si="73"/>
        <v>0</v>
      </c>
      <c r="AM45" s="897">
        <f t="shared" si="73"/>
        <v>0</v>
      </c>
      <c r="AN45" s="897"/>
      <c r="AO45" s="897">
        <f t="shared" si="70"/>
        <v>0</v>
      </c>
      <c r="AP45" s="897">
        <f t="shared" si="71"/>
        <v>0</v>
      </c>
      <c r="AQ45" s="986">
        <f t="shared" si="72"/>
        <v>0</v>
      </c>
      <c r="AR45" s="902">
        <f t="shared" si="35"/>
        <v>0</v>
      </c>
      <c r="AS45" s="903">
        <f t="shared" si="74"/>
        <v>0</v>
      </c>
      <c r="AT45" s="897">
        <f t="shared" si="74"/>
        <v>0</v>
      </c>
      <c r="AU45" s="897">
        <f t="shared" si="74"/>
        <v>0</v>
      </c>
      <c r="AV45" s="897">
        <f t="shared" si="74"/>
        <v>0</v>
      </c>
      <c r="AW45" s="897">
        <f t="shared" si="74"/>
        <v>0</v>
      </c>
      <c r="AX45" s="897">
        <f t="shared" si="47"/>
        <v>0</v>
      </c>
      <c r="AY45" s="897">
        <f t="shared" si="48"/>
        <v>0</v>
      </c>
      <c r="AZ45" s="897">
        <f t="shared" si="75"/>
        <v>0</v>
      </c>
      <c r="BA45" s="897">
        <f t="shared" si="75"/>
        <v>0</v>
      </c>
      <c r="BB45" s="897">
        <f t="shared" si="75"/>
        <v>0</v>
      </c>
      <c r="BC45" s="897">
        <f t="shared" si="75"/>
        <v>0</v>
      </c>
      <c r="BD45" s="897">
        <f t="shared" si="75"/>
        <v>0</v>
      </c>
      <c r="BE45" s="897">
        <f t="shared" si="49"/>
        <v>0</v>
      </c>
      <c r="BF45" s="901">
        <f t="shared" si="52"/>
        <v>0</v>
      </c>
      <c r="BG45" s="904">
        <v>670.43</v>
      </c>
      <c r="BH45" s="897">
        <v>3185.78</v>
      </c>
      <c r="BI45" s="922">
        <f t="shared" si="7"/>
        <v>3856.21</v>
      </c>
      <c r="BJ45" s="897">
        <v>9863.1299999999992</v>
      </c>
      <c r="BK45" s="1194"/>
      <c r="BL45" s="897">
        <f t="shared" ref="BL45:BP74" si="85">I45*T45</f>
        <v>0</v>
      </c>
      <c r="BM45" s="897">
        <f t="shared" si="85"/>
        <v>0</v>
      </c>
      <c r="BN45" s="897">
        <f t="shared" si="85"/>
        <v>0</v>
      </c>
      <c r="BO45" s="897">
        <f t="shared" si="85"/>
        <v>0</v>
      </c>
      <c r="BP45" s="897">
        <f t="shared" si="85"/>
        <v>0</v>
      </c>
      <c r="BQ45" s="897">
        <f t="shared" si="54"/>
        <v>0</v>
      </c>
      <c r="BR45" s="897">
        <f t="shared" si="55"/>
        <v>0</v>
      </c>
      <c r="BS45" s="897">
        <f t="shared" ref="BS45:BU74" si="86">O45*AA45</f>
        <v>0</v>
      </c>
      <c r="BT45" s="897">
        <f t="shared" si="86"/>
        <v>0</v>
      </c>
      <c r="BU45" s="897">
        <f t="shared" si="86"/>
        <v>0</v>
      </c>
      <c r="BV45" s="897">
        <f t="shared" si="57"/>
        <v>0</v>
      </c>
      <c r="BW45" s="897">
        <f t="shared" si="17"/>
        <v>0</v>
      </c>
      <c r="BX45" s="897">
        <f t="shared" si="58"/>
        <v>0</v>
      </c>
      <c r="BY45" s="897">
        <f t="shared" si="59"/>
        <v>0</v>
      </c>
      <c r="BZ45" s="905">
        <f t="shared" si="60"/>
        <v>0</v>
      </c>
      <c r="CA45" s="905">
        <f t="shared" si="60"/>
        <v>0</v>
      </c>
      <c r="CB45" s="905">
        <f t="shared" si="61"/>
        <v>0</v>
      </c>
      <c r="CC45" s="907" t="e">
        <f t="shared" si="62"/>
        <v>#DIV/0!</v>
      </c>
      <c r="CD45" s="907" t="e">
        <f t="shared" si="62"/>
        <v>#DIV/0!</v>
      </c>
      <c r="CE45" s="907" t="e">
        <f t="shared" si="38"/>
        <v>#DIV/0!</v>
      </c>
      <c r="CF45" s="907" t="e">
        <f t="shared" si="18"/>
        <v>#DIV/0!</v>
      </c>
      <c r="CG45" s="923">
        <f t="shared" si="19"/>
        <v>0</v>
      </c>
      <c r="CH45" s="923" t="e">
        <f t="shared" si="39"/>
        <v>#DIV/0!</v>
      </c>
      <c r="CI45" s="979"/>
      <c r="CJ45" s="897">
        <f>N45*Z45/1000</f>
        <v>0</v>
      </c>
      <c r="CK45" s="897">
        <f t="shared" si="20"/>
        <v>0</v>
      </c>
      <c r="CL45" s="897">
        <f t="shared" si="40"/>
        <v>0</v>
      </c>
      <c r="CM45" s="897">
        <f t="shared" si="41"/>
        <v>0</v>
      </c>
      <c r="CN45" s="897">
        <f t="shared" si="42"/>
        <v>0</v>
      </c>
      <c r="CO45" s="897">
        <f t="shared" si="21"/>
        <v>0</v>
      </c>
      <c r="CP45" s="897">
        <f t="shared" si="22"/>
        <v>0</v>
      </c>
      <c r="CQ45" s="897">
        <f t="shared" si="23"/>
        <v>0</v>
      </c>
      <c r="CR45" s="897">
        <f t="shared" si="24"/>
        <v>0</v>
      </c>
      <c r="CS45" s="897">
        <f t="shared" si="25"/>
        <v>0</v>
      </c>
      <c r="CT45" s="897">
        <f t="shared" si="26"/>
        <v>0</v>
      </c>
      <c r="CU45" s="897">
        <f t="shared" si="27"/>
        <v>0</v>
      </c>
      <c r="CV45" s="897">
        <f t="shared" si="43"/>
        <v>0</v>
      </c>
      <c r="CW45" s="906" t="e">
        <f t="shared" si="44"/>
        <v>#DIV/0!</v>
      </c>
      <c r="CX45" s="897">
        <f t="shared" si="28"/>
        <v>0</v>
      </c>
      <c r="CY45" s="897">
        <f t="shared" si="29"/>
        <v>0</v>
      </c>
      <c r="CZ45" s="897"/>
      <c r="DA45" s="897">
        <f t="shared" si="30"/>
        <v>0</v>
      </c>
      <c r="DB45" s="897">
        <f t="shared" si="31"/>
        <v>0</v>
      </c>
      <c r="DC45" s="1131"/>
      <c r="DD45" s="40" t="e">
        <f t="shared" si="45"/>
        <v>#DIV/0!</v>
      </c>
      <c r="DE45" s="1131"/>
      <c r="DF45" s="1131"/>
      <c r="DG45" s="1131"/>
      <c r="DH45" s="1043">
        <v>2982.3739999999998</v>
      </c>
      <c r="DI45" s="1043">
        <v>2100.2200000000003</v>
      </c>
      <c r="DJ45" s="1043">
        <f>DH45-DI45</f>
        <v>882.15399999999954</v>
      </c>
      <c r="DK45" s="979"/>
      <c r="DL45" s="908">
        <f t="shared" si="32"/>
        <v>0</v>
      </c>
      <c r="DM45" s="908">
        <f t="shared" si="33"/>
        <v>0</v>
      </c>
      <c r="DN45" s="908">
        <f t="shared" si="34"/>
        <v>0</v>
      </c>
      <c r="DO45" s="81"/>
      <c r="DP45" s="81"/>
      <c r="DQ45" s="81"/>
      <c r="DR45" s="81"/>
      <c r="DS45" s="81"/>
      <c r="DT45" s="81"/>
      <c r="DU45" s="81"/>
      <c r="DV45" s="81"/>
      <c r="DW45" s="81"/>
      <c r="DX45" s="81"/>
      <c r="DY45" s="81"/>
      <c r="DZ45" s="81"/>
      <c r="EA45" s="81"/>
      <c r="EB45" s="81"/>
      <c r="EC45" s="81"/>
      <c r="ED45" s="81"/>
      <c r="EE45" s="81"/>
      <c r="EF45" s="81"/>
      <c r="EG45" s="81"/>
      <c r="EH45" s="81"/>
      <c r="EI45" s="81"/>
      <c r="EJ45" s="81"/>
      <c r="EK45" s="81"/>
      <c r="EL45" s="81"/>
    </row>
    <row r="46" spans="1:155" s="50" customFormat="1" ht="70.5" hidden="1" customHeight="1">
      <c r="A46" s="6">
        <f t="shared" si="46"/>
        <v>33</v>
      </c>
      <c r="B46" s="1219" t="s">
        <v>18</v>
      </c>
      <c r="C46" s="1219" t="s">
        <v>93</v>
      </c>
      <c r="D46" s="1219" t="s">
        <v>275</v>
      </c>
      <c r="E46" s="1219">
        <v>4611016308</v>
      </c>
      <c r="F46" s="1219" t="s">
        <v>8</v>
      </c>
      <c r="G46" s="1222" t="s">
        <v>964</v>
      </c>
      <c r="H46" s="925">
        <v>2954.172</v>
      </c>
      <c r="I46" s="891">
        <v>2954.172</v>
      </c>
      <c r="J46" s="891">
        <v>1858.8959999999997</v>
      </c>
      <c r="K46" s="891">
        <v>1858.8959999999997</v>
      </c>
      <c r="L46" s="891">
        <v>2954.172</v>
      </c>
      <c r="M46" s="946">
        <v>0</v>
      </c>
      <c r="N46" s="959">
        <f>2666.04*1.2</f>
        <v>3199.248</v>
      </c>
      <c r="O46" s="891">
        <f>N46</f>
        <v>3199.248</v>
      </c>
      <c r="P46" s="891">
        <f>1772.15*1.2</f>
        <v>2126.58</v>
      </c>
      <c r="Q46" s="891">
        <f>P46</f>
        <v>2126.58</v>
      </c>
      <c r="R46" s="891">
        <f>O46</f>
        <v>3199.248</v>
      </c>
      <c r="S46" s="946">
        <v>0</v>
      </c>
      <c r="T46" s="889">
        <v>10032.875666666667</v>
      </c>
      <c r="U46" s="890">
        <v>8442.5949999999993</v>
      </c>
      <c r="V46" s="948">
        <v>2291.0963333333334</v>
      </c>
      <c r="W46" s="890">
        <v>332.96766666666667</v>
      </c>
      <c r="X46" s="890">
        <v>0</v>
      </c>
      <c r="Y46" s="890">
        <v>0</v>
      </c>
      <c r="Z46" s="949">
        <f>SUM(T46:W46)</f>
        <v>21099.53466666667</v>
      </c>
      <c r="AA46" s="974">
        <v>6833.2309999999998</v>
      </c>
      <c r="AB46" s="890">
        <v>5682.1549999999997</v>
      </c>
      <c r="AC46" s="1052">
        <v>1959.9143333333334</v>
      </c>
      <c r="AD46" s="890">
        <v>196.57966666666667</v>
      </c>
      <c r="AE46" s="890">
        <v>0</v>
      </c>
      <c r="AF46" s="890">
        <v>0</v>
      </c>
      <c r="AG46" s="951">
        <f>SUM(AA46:AD46)</f>
        <v>14671.88</v>
      </c>
      <c r="AH46" s="1004">
        <f>Z46+AG46</f>
        <v>35771.414666666671</v>
      </c>
      <c r="AI46" s="894">
        <f>T46+AA46</f>
        <v>16866.106666666667</v>
      </c>
      <c r="AJ46" s="894">
        <f>U46+AB46</f>
        <v>14124.75</v>
      </c>
      <c r="AK46" s="894">
        <f>V46+AC46</f>
        <v>4251.010666666667</v>
      </c>
      <c r="AL46" s="894">
        <f t="shared" si="73"/>
        <v>529.54733333333331</v>
      </c>
      <c r="AM46" s="894">
        <f t="shared" si="73"/>
        <v>0</v>
      </c>
      <c r="AN46" s="894">
        <v>0</v>
      </c>
      <c r="AO46" s="894">
        <f>SUM(AI46:AN46)</f>
        <v>35771.414666666671</v>
      </c>
      <c r="AP46" s="894">
        <f>SUM(AI46:AM46)</f>
        <v>35771.414666666671</v>
      </c>
      <c r="AQ46" s="972">
        <f>SUM(AI46:AL46)</f>
        <v>35771.414666666671</v>
      </c>
      <c r="AR46" s="973">
        <f>AQ46-AH46</f>
        <v>0</v>
      </c>
      <c r="AS46" s="889">
        <f>I46*AI46</f>
        <v>49825380.063680001</v>
      </c>
      <c r="AT46" s="890">
        <f t="shared" si="74"/>
        <v>26256441.275999997</v>
      </c>
      <c r="AU46" s="890">
        <f t="shared" si="74"/>
        <v>7902186.7242239993</v>
      </c>
      <c r="AV46" s="890">
        <f t="shared" si="74"/>
        <v>1564373.904808</v>
      </c>
      <c r="AW46" s="890">
        <f t="shared" si="74"/>
        <v>0</v>
      </c>
      <c r="AX46" s="975">
        <f t="shared" si="47"/>
        <v>85548381.968712002</v>
      </c>
      <c r="AY46" s="975">
        <f t="shared" si="48"/>
        <v>85548381.968712002</v>
      </c>
      <c r="AZ46" s="975">
        <f t="shared" si="75"/>
        <v>53958858.021119997</v>
      </c>
      <c r="BA46" s="975">
        <f t="shared" si="75"/>
        <v>30037410.855</v>
      </c>
      <c r="BB46" s="975">
        <f t="shared" si="75"/>
        <v>9040114.2635200005</v>
      </c>
      <c r="BC46" s="975">
        <f t="shared" si="75"/>
        <v>1694153.2470720001</v>
      </c>
      <c r="BD46" s="975">
        <f t="shared" si="75"/>
        <v>0</v>
      </c>
      <c r="BE46" s="975">
        <f t="shared" si="49"/>
        <v>94730536.386712</v>
      </c>
      <c r="BF46" s="1035">
        <f t="shared" si="52"/>
        <v>94730536.386712</v>
      </c>
      <c r="BG46" s="953">
        <v>9796.9294924374499</v>
      </c>
      <c r="BH46" s="954">
        <v>6831.2209405287422</v>
      </c>
      <c r="BI46" s="955">
        <f>BG46+BH46</f>
        <v>16628.150432966191</v>
      </c>
      <c r="BJ46" s="890">
        <v>91058.825078751834</v>
      </c>
      <c r="BK46" s="1199">
        <v>114518.11862476318</v>
      </c>
      <c r="BL46" s="890">
        <f>I46*T46</f>
        <v>29638840.373948</v>
      </c>
      <c r="BM46" s="890">
        <f>J46*U46</f>
        <v>15693906.075119996</v>
      </c>
      <c r="BN46" s="890">
        <f>K46*V46</f>
        <v>4258909.8096479997</v>
      </c>
      <c r="BO46" s="890">
        <f>L46*W46</f>
        <v>983643.75777200004</v>
      </c>
      <c r="BP46" s="890">
        <f t="shared" si="85"/>
        <v>0</v>
      </c>
      <c r="BQ46" s="890">
        <f>BL46+BM46+BN46+BO46+BP46</f>
        <v>50575300.016487993</v>
      </c>
      <c r="BR46" s="890">
        <f>BQ46-BP46</f>
        <v>50575300.016487993</v>
      </c>
      <c r="BS46" s="890">
        <f t="shared" si="86"/>
        <v>21861200.610287998</v>
      </c>
      <c r="BT46" s="890">
        <f t="shared" si="86"/>
        <v>12083557.1799</v>
      </c>
      <c r="BU46" s="890">
        <f t="shared" si="86"/>
        <v>4167914.62298</v>
      </c>
      <c r="BV46" s="890">
        <f t="shared" si="57"/>
        <v>1065246.1416480001</v>
      </c>
      <c r="BW46" s="890">
        <f t="shared" si="17"/>
        <v>0</v>
      </c>
      <c r="BX46" s="890">
        <f t="shared" si="58"/>
        <v>39177918.554816</v>
      </c>
      <c r="BY46" s="890">
        <f>BX46-BW46</f>
        <v>39177918.554816</v>
      </c>
      <c r="BZ46" s="945">
        <f>BM46+BT46</f>
        <v>27777463.255019996</v>
      </c>
      <c r="CA46" s="945">
        <f>BN46+BU46</f>
        <v>8426824.4326280002</v>
      </c>
      <c r="CB46" s="945">
        <f>BZ46+CA46</f>
        <v>36204287.687647998</v>
      </c>
      <c r="CC46" s="976">
        <f t="shared" si="62"/>
        <v>1966.5808778930598</v>
      </c>
      <c r="CD46" s="976">
        <f t="shared" si="62"/>
        <v>1982.3108181555569</v>
      </c>
      <c r="CE46" s="976">
        <f t="shared" si="38"/>
        <v>1970.2198099108891</v>
      </c>
      <c r="CF46" s="976">
        <f t="shared" si="18"/>
        <v>1970.2198099108896</v>
      </c>
      <c r="CG46" s="977">
        <f t="shared" si="19"/>
        <v>56158045.42410399</v>
      </c>
      <c r="CH46" s="977">
        <f t="shared" si="39"/>
        <v>3056.0936465598279</v>
      </c>
      <c r="CI46" s="945"/>
      <c r="CJ46" s="890">
        <f>N46*Z46/1000</f>
        <v>67502.644083264007</v>
      </c>
      <c r="CK46" s="890">
        <f t="shared" si="20"/>
        <v>46938.982746239999</v>
      </c>
      <c r="CL46" s="890">
        <f t="shared" si="40"/>
        <v>114441.62682950401</v>
      </c>
      <c r="CM46" s="890">
        <f t="shared" si="41"/>
        <v>114441.62682950401</v>
      </c>
      <c r="CN46" s="890">
        <f t="shared" si="42"/>
        <v>0</v>
      </c>
      <c r="CO46" s="890">
        <f t="shared" si="21"/>
        <v>109270637.27153601</v>
      </c>
      <c r="CP46" s="890">
        <f t="shared" si="22"/>
        <v>85548381.968712002</v>
      </c>
      <c r="CQ46" s="890">
        <f t="shared" si="23"/>
        <v>85548381.968712002</v>
      </c>
      <c r="CR46" s="890">
        <f t="shared" si="24"/>
        <v>50575300.016487993</v>
      </c>
      <c r="CS46" s="890">
        <f t="shared" si="25"/>
        <v>94730536.386712</v>
      </c>
      <c r="CT46" s="890">
        <f t="shared" si="26"/>
        <v>94730536.386712</v>
      </c>
      <c r="CU46" s="890">
        <f t="shared" si="27"/>
        <v>38741579.518592</v>
      </c>
      <c r="CV46" s="890">
        <f t="shared" si="43"/>
        <v>180278918.35542399</v>
      </c>
      <c r="CW46" s="978">
        <f t="shared" si="44"/>
        <v>5039.7480791671223</v>
      </c>
      <c r="CX46" s="890">
        <f t="shared" si="28"/>
        <v>34158628.000223994</v>
      </c>
      <c r="CY46" s="890">
        <f t="shared" si="29"/>
        <v>39077525.118519999</v>
      </c>
      <c r="CZ46" s="890"/>
      <c r="DA46" s="890">
        <f t="shared" si="30"/>
        <v>105674911.608656</v>
      </c>
      <c r="DB46" s="890">
        <f t="shared" si="31"/>
        <v>114441626.829504</v>
      </c>
      <c r="DC46" s="840"/>
      <c r="DD46" s="841">
        <f t="shared" si="45"/>
        <v>172.1047331319235</v>
      </c>
      <c r="DE46" s="840"/>
      <c r="DF46" s="840"/>
      <c r="DG46" s="840"/>
      <c r="DH46" s="1220">
        <f>AQ46</f>
        <v>35771.414666666671</v>
      </c>
      <c r="DI46" s="1220">
        <f>AJ46+AK46</f>
        <v>18375.760666666669</v>
      </c>
      <c r="DJ46" s="1220">
        <f>DH46-DI46</f>
        <v>17395.654000000002</v>
      </c>
      <c r="DK46" s="945"/>
      <c r="DL46" s="975">
        <f t="shared" si="32"/>
        <v>0</v>
      </c>
      <c r="DM46" s="975">
        <f t="shared" si="33"/>
        <v>0</v>
      </c>
      <c r="DN46" s="975">
        <f t="shared" si="34"/>
        <v>0</v>
      </c>
      <c r="DO46" s="816"/>
      <c r="DP46" s="871"/>
      <c r="DQ46" s="871"/>
      <c r="DR46" s="871"/>
      <c r="DS46" s="871"/>
      <c r="DT46" s="871"/>
      <c r="DU46" s="871"/>
      <c r="DV46" s="871"/>
      <c r="DW46" s="871"/>
      <c r="DX46" s="871"/>
      <c r="DY46" s="871"/>
      <c r="DZ46" s="871"/>
      <c r="EA46" s="871"/>
      <c r="EB46" s="871"/>
      <c r="EC46" s="871"/>
      <c r="ED46" s="871"/>
      <c r="EE46" s="871"/>
      <c r="EF46" s="871"/>
      <c r="EG46" s="871"/>
      <c r="EH46" s="871"/>
      <c r="EI46" s="871"/>
      <c r="EJ46" s="871"/>
      <c r="EK46" s="871"/>
      <c r="EL46" s="871"/>
      <c r="EM46" s="869"/>
      <c r="EN46" s="869"/>
      <c r="EO46" s="869"/>
      <c r="EP46" s="869"/>
      <c r="EQ46" s="869"/>
      <c r="ER46" s="869"/>
      <c r="ES46" s="869"/>
      <c r="ET46" s="869"/>
      <c r="EU46" s="869"/>
      <c r="EV46" s="869"/>
      <c r="EW46" s="869"/>
      <c r="EX46" s="869"/>
      <c r="EY46" s="869"/>
    </row>
    <row r="47" spans="1:155" s="50" customFormat="1" ht="77.25" hidden="1" customHeight="1">
      <c r="A47" s="6">
        <f t="shared" si="46"/>
        <v>34</v>
      </c>
      <c r="B47" s="886" t="s">
        <v>18</v>
      </c>
      <c r="C47" s="886"/>
      <c r="D47" s="1219" t="s">
        <v>979</v>
      </c>
      <c r="E47" s="1237">
        <v>6829012680</v>
      </c>
      <c r="F47" s="1219" t="s">
        <v>8</v>
      </c>
      <c r="G47" s="1222" t="s">
        <v>982</v>
      </c>
      <c r="H47" s="925">
        <v>2326.752</v>
      </c>
      <c r="I47" s="891">
        <v>2326.752</v>
      </c>
      <c r="J47" s="891">
        <v>2231.2199999999998</v>
      </c>
      <c r="K47" s="891">
        <v>2231.2199999999998</v>
      </c>
      <c r="L47" s="891">
        <v>2326.752</v>
      </c>
      <c r="M47" s="946">
        <v>0</v>
      </c>
      <c r="N47" s="927">
        <f>2165.81*1.2</f>
        <v>2598.9719999999998</v>
      </c>
      <c r="O47" s="928">
        <f>N47</f>
        <v>2598.9719999999998</v>
      </c>
      <c r="P47" s="928">
        <v>2403.02</v>
      </c>
      <c r="Q47" s="928">
        <f>P47</f>
        <v>2403.02</v>
      </c>
      <c r="R47" s="928">
        <f>O47</f>
        <v>2598.9719999999998</v>
      </c>
      <c r="S47" s="926">
        <v>0</v>
      </c>
      <c r="T47" s="988">
        <v>645.19999999999993</v>
      </c>
      <c r="U47" s="987">
        <v>96.2</v>
      </c>
      <c r="V47" s="897">
        <v>0</v>
      </c>
      <c r="W47" s="897"/>
      <c r="X47" s="897"/>
      <c r="Y47" s="897"/>
      <c r="Z47" s="898">
        <f t="shared" si="8"/>
        <v>741.4</v>
      </c>
      <c r="AA47" s="989">
        <v>321</v>
      </c>
      <c r="AB47" s="987">
        <v>140.4</v>
      </c>
      <c r="AC47" s="897">
        <v>0</v>
      </c>
      <c r="AD47" s="897"/>
      <c r="AE47" s="897">
        <v>0</v>
      </c>
      <c r="AF47" s="897"/>
      <c r="AG47" s="900">
        <f t="shared" si="50"/>
        <v>461.4</v>
      </c>
      <c r="AH47" s="896">
        <f t="shared" si="51"/>
        <v>1202.8</v>
      </c>
      <c r="AI47" s="897">
        <f t="shared" si="73"/>
        <v>966.19999999999993</v>
      </c>
      <c r="AJ47" s="897">
        <f t="shared" si="73"/>
        <v>236.60000000000002</v>
      </c>
      <c r="AK47" s="897">
        <f t="shared" si="73"/>
        <v>0</v>
      </c>
      <c r="AL47" s="897">
        <f t="shared" si="73"/>
        <v>0</v>
      </c>
      <c r="AM47" s="897">
        <f t="shared" si="73"/>
        <v>0</v>
      </c>
      <c r="AN47" s="897"/>
      <c r="AO47" s="897">
        <f t="shared" si="70"/>
        <v>1202.8</v>
      </c>
      <c r="AP47" s="897">
        <f t="shared" si="71"/>
        <v>1202.8</v>
      </c>
      <c r="AQ47" s="901">
        <f t="shared" si="72"/>
        <v>1202.8</v>
      </c>
      <c r="AR47" s="902">
        <f t="shared" si="35"/>
        <v>0</v>
      </c>
      <c r="AS47" s="903">
        <f t="shared" si="74"/>
        <v>2248107.7823999999</v>
      </c>
      <c r="AT47" s="897">
        <f t="shared" si="74"/>
        <v>527906.652</v>
      </c>
      <c r="AU47" s="897">
        <f t="shared" si="74"/>
        <v>0</v>
      </c>
      <c r="AV47" s="897">
        <f t="shared" si="74"/>
        <v>0</v>
      </c>
      <c r="AW47" s="897">
        <f t="shared" si="74"/>
        <v>0</v>
      </c>
      <c r="AX47" s="897">
        <f t="shared" si="47"/>
        <v>2776014.4343999997</v>
      </c>
      <c r="AY47" s="897">
        <f t="shared" si="48"/>
        <v>2776014.4343999997</v>
      </c>
      <c r="AZ47" s="897">
        <f t="shared" si="75"/>
        <v>2511126.7463999996</v>
      </c>
      <c r="BA47" s="897">
        <f t="shared" si="75"/>
        <v>568554.53200000001</v>
      </c>
      <c r="BB47" s="897">
        <f t="shared" si="75"/>
        <v>0</v>
      </c>
      <c r="BC47" s="897">
        <f t="shared" si="75"/>
        <v>0</v>
      </c>
      <c r="BD47" s="897">
        <f t="shared" si="75"/>
        <v>0</v>
      </c>
      <c r="BE47" s="897">
        <f t="shared" si="49"/>
        <v>3079681.2783999997</v>
      </c>
      <c r="BF47" s="901">
        <f t="shared" si="52"/>
        <v>3079681.2783999997</v>
      </c>
      <c r="BG47" s="904"/>
      <c r="BH47" s="922"/>
      <c r="BI47" s="922">
        <v>12.817210000000021</v>
      </c>
      <c r="BJ47" s="897"/>
      <c r="BK47" s="1194"/>
      <c r="BL47" s="897">
        <f t="shared" si="85"/>
        <v>1501220.3903999999</v>
      </c>
      <c r="BM47" s="897">
        <f t="shared" si="85"/>
        <v>214643.364</v>
      </c>
      <c r="BN47" s="897">
        <f t="shared" si="85"/>
        <v>0</v>
      </c>
      <c r="BO47" s="897">
        <f t="shared" si="85"/>
        <v>0</v>
      </c>
      <c r="BP47" s="897">
        <f t="shared" si="85"/>
        <v>0</v>
      </c>
      <c r="BQ47" s="897">
        <f t="shared" si="54"/>
        <v>1715863.7544</v>
      </c>
      <c r="BR47" s="897">
        <f t="shared" si="55"/>
        <v>1715863.7544</v>
      </c>
      <c r="BS47" s="897">
        <f t="shared" si="86"/>
        <v>834270.01199999987</v>
      </c>
      <c r="BT47" s="897">
        <f t="shared" si="86"/>
        <v>337384.00800000003</v>
      </c>
      <c r="BU47" s="897">
        <f t="shared" si="86"/>
        <v>0</v>
      </c>
      <c r="BV47" s="897">
        <f t="shared" si="57"/>
        <v>0</v>
      </c>
      <c r="BW47" s="897">
        <f t="shared" si="17"/>
        <v>0</v>
      </c>
      <c r="BX47" s="897">
        <f t="shared" si="58"/>
        <v>1171654.02</v>
      </c>
      <c r="BY47" s="897">
        <f t="shared" si="59"/>
        <v>1171654.02</v>
      </c>
      <c r="BZ47" s="905">
        <f t="shared" si="60"/>
        <v>552027.37199999997</v>
      </c>
      <c r="CA47" s="905">
        <f t="shared" si="60"/>
        <v>0</v>
      </c>
      <c r="CB47" s="905">
        <f t="shared" si="61"/>
        <v>552027.37199999997</v>
      </c>
      <c r="CC47" s="907">
        <f t="shared" si="62"/>
        <v>2333.1672527472524</v>
      </c>
      <c r="CD47" s="907" t="e">
        <f t="shared" si="62"/>
        <v>#DIV/0!</v>
      </c>
      <c r="CE47" s="907">
        <f t="shared" si="38"/>
        <v>2333.1672527472524</v>
      </c>
      <c r="CF47" s="907">
        <f t="shared" si="18"/>
        <v>2333.1672527472524</v>
      </c>
      <c r="CG47" s="923">
        <f t="shared" si="19"/>
        <v>588729.21120000002</v>
      </c>
      <c r="CH47" s="923">
        <f t="shared" si="39"/>
        <v>2488.2891428571429</v>
      </c>
      <c r="CI47" s="905"/>
      <c r="CJ47" s="897">
        <f>N47*Z47/1000</f>
        <v>1926.8778407999996</v>
      </c>
      <c r="CK47" s="897">
        <f t="shared" si="20"/>
        <v>1199.1656807999998</v>
      </c>
      <c r="CL47" s="897">
        <f t="shared" si="40"/>
        <v>3126.0435215999996</v>
      </c>
      <c r="CM47" s="897">
        <f t="shared" si="41"/>
        <v>3126.0435215999996</v>
      </c>
      <c r="CN47" s="897">
        <f t="shared" si="42"/>
        <v>0</v>
      </c>
      <c r="CO47" s="897">
        <f t="shared" si="21"/>
        <v>2924219.6135999998</v>
      </c>
      <c r="CP47" s="897">
        <f t="shared" si="22"/>
        <v>2776014.4343999997</v>
      </c>
      <c r="CQ47" s="897">
        <f t="shared" si="23"/>
        <v>2776014.4343999997</v>
      </c>
      <c r="CR47" s="897">
        <f t="shared" si="24"/>
        <v>1715863.7544</v>
      </c>
      <c r="CS47" s="897">
        <f t="shared" si="25"/>
        <v>3079681.2783999997</v>
      </c>
      <c r="CT47" s="897">
        <f t="shared" si="26"/>
        <v>3079681.2783999997</v>
      </c>
      <c r="CU47" s="897">
        <f t="shared" si="27"/>
        <v>1171654.02</v>
      </c>
      <c r="CV47" s="897">
        <f t="shared" si="43"/>
        <v>5855695.7127999999</v>
      </c>
      <c r="CW47" s="906">
        <f t="shared" si="44"/>
        <v>4868.3868579980044</v>
      </c>
      <c r="CX47" s="897">
        <f t="shared" si="28"/>
        <v>527906.652</v>
      </c>
      <c r="CY47" s="897">
        <f t="shared" si="29"/>
        <v>568554.53200000001</v>
      </c>
      <c r="CZ47" s="897"/>
      <c r="DA47" s="897">
        <f t="shared" si="30"/>
        <v>2798617.3056000001</v>
      </c>
      <c r="DB47" s="897">
        <f t="shared" si="31"/>
        <v>3126043.5215999996</v>
      </c>
      <c r="DC47" s="27"/>
      <c r="DD47" s="40">
        <f t="shared" si="45"/>
        <v>116.48210396106167</v>
      </c>
      <c r="DE47" s="27"/>
      <c r="DF47" s="27"/>
      <c r="DG47" s="27"/>
      <c r="DH47" s="1235">
        <f>AH47</f>
        <v>1202.8</v>
      </c>
      <c r="DI47" s="1137">
        <f>AJ47+AK47</f>
        <v>236.60000000000002</v>
      </c>
      <c r="DJ47" s="1236">
        <f>DH47-DI47</f>
        <v>966.19999999999993</v>
      </c>
      <c r="DK47" s="905"/>
      <c r="DL47" s="908">
        <f t="shared" si="32"/>
        <v>0</v>
      </c>
      <c r="DM47" s="908">
        <f t="shared" si="33"/>
        <v>0</v>
      </c>
      <c r="DN47" s="908">
        <f t="shared" si="34"/>
        <v>0</v>
      </c>
      <c r="DO47" s="6"/>
      <c r="DP47" s="81"/>
      <c r="DQ47" s="81"/>
      <c r="DR47" s="81"/>
      <c r="DS47" s="81"/>
      <c r="DT47" s="81"/>
      <c r="DU47" s="81"/>
      <c r="DV47" s="81"/>
      <c r="DW47" s="81"/>
      <c r="DX47" s="81"/>
      <c r="DY47" s="81"/>
      <c r="DZ47" s="81"/>
      <c r="EA47" s="81"/>
      <c r="EB47" s="81"/>
      <c r="EC47" s="81"/>
      <c r="ED47" s="81"/>
      <c r="EE47" s="81"/>
      <c r="EF47" s="81"/>
      <c r="EG47" s="81"/>
      <c r="EH47" s="81"/>
      <c r="EI47" s="81"/>
      <c r="EJ47" s="81"/>
      <c r="EK47" s="81"/>
      <c r="EL47" s="81"/>
    </row>
    <row r="48" spans="1:155" s="50" customFormat="1" ht="70.5" hidden="1" customHeight="1">
      <c r="A48" s="6">
        <f t="shared" si="46"/>
        <v>35</v>
      </c>
      <c r="B48" s="1338" t="s">
        <v>18</v>
      </c>
      <c r="C48" s="1338"/>
      <c r="D48" s="1338" t="s">
        <v>152</v>
      </c>
      <c r="E48" s="886">
        <v>7729314745</v>
      </c>
      <c r="F48" s="886" t="s">
        <v>8</v>
      </c>
      <c r="G48" s="1348" t="s">
        <v>986</v>
      </c>
      <c r="H48" s="1339">
        <v>3272.424</v>
      </c>
      <c r="I48" s="1264">
        <v>3272.424</v>
      </c>
      <c r="J48" s="1264">
        <v>1180.98</v>
      </c>
      <c r="K48" s="1264"/>
      <c r="L48" s="1264"/>
      <c r="M48" s="1350"/>
      <c r="N48" s="1319">
        <f>2731.07*1.2</f>
        <v>3277.2840000000001</v>
      </c>
      <c r="O48" s="1264">
        <f>2731.07*1.2</f>
        <v>3277.2840000000001</v>
      </c>
      <c r="P48" s="1264">
        <v>1350.92</v>
      </c>
      <c r="Q48" s="1349"/>
      <c r="R48" s="1264">
        <f>2731.07*1.2</f>
        <v>3277.2840000000001</v>
      </c>
      <c r="S48" s="1350"/>
      <c r="T48" s="1321">
        <v>738.82804341138979</v>
      </c>
      <c r="U48" s="1320">
        <v>1114.82565</v>
      </c>
      <c r="V48" s="1320"/>
      <c r="W48" s="1320"/>
      <c r="X48" s="1320"/>
      <c r="Y48" s="1320"/>
      <c r="Z48" s="1351">
        <f t="shared" si="8"/>
        <v>1853.6536934113897</v>
      </c>
      <c r="AA48" s="1323">
        <v>493.50536227425982</v>
      </c>
      <c r="AB48" s="1320">
        <v>905.00338499999975</v>
      </c>
      <c r="AC48" s="919"/>
      <c r="AD48" s="897"/>
      <c r="AE48" s="897"/>
      <c r="AF48" s="897"/>
      <c r="AG48" s="900">
        <f t="shared" si="50"/>
        <v>1398.5087472742596</v>
      </c>
      <c r="AH48" s="896">
        <f t="shared" si="51"/>
        <v>3252.162440685649</v>
      </c>
      <c r="AI48" s="897">
        <f t="shared" si="73"/>
        <v>1232.3334056856497</v>
      </c>
      <c r="AJ48" s="897">
        <f t="shared" si="73"/>
        <v>2019.8290349999997</v>
      </c>
      <c r="AK48" s="897">
        <f t="shared" si="73"/>
        <v>0</v>
      </c>
      <c r="AL48" s="897">
        <f t="shared" si="73"/>
        <v>0</v>
      </c>
      <c r="AM48" s="897">
        <f t="shared" si="73"/>
        <v>0</v>
      </c>
      <c r="AN48" s="897"/>
      <c r="AO48" s="897">
        <f t="shared" si="70"/>
        <v>3252.1624406856495</v>
      </c>
      <c r="AP48" s="897">
        <f t="shared" si="71"/>
        <v>3252.1624406856495</v>
      </c>
      <c r="AQ48" s="965">
        <f t="shared" si="72"/>
        <v>3252.1624406856495</v>
      </c>
      <c r="AR48" s="902">
        <f t="shared" si="35"/>
        <v>0</v>
      </c>
      <c r="AS48" s="903">
        <f t="shared" si="74"/>
        <v>4032717.4127674564</v>
      </c>
      <c r="AT48" s="897">
        <f t="shared" si="74"/>
        <v>2385377.6937542995</v>
      </c>
      <c r="AU48" s="897">
        <f t="shared" si="74"/>
        <v>0</v>
      </c>
      <c r="AV48" s="897">
        <f t="shared" si="74"/>
        <v>0</v>
      </c>
      <c r="AW48" s="897">
        <f t="shared" si="74"/>
        <v>0</v>
      </c>
      <c r="AX48" s="897">
        <f t="shared" si="47"/>
        <v>6418095.1065217555</v>
      </c>
      <c r="AY48" s="897">
        <f t="shared" si="48"/>
        <v>6418095.1065217555</v>
      </c>
      <c r="AZ48" s="897">
        <f t="shared" si="75"/>
        <v>4038706.553119089</v>
      </c>
      <c r="BA48" s="897">
        <f t="shared" si="75"/>
        <v>2728627.4399621999</v>
      </c>
      <c r="BB48" s="897">
        <f t="shared" si="75"/>
        <v>0</v>
      </c>
      <c r="BC48" s="897">
        <f t="shared" si="75"/>
        <v>0</v>
      </c>
      <c r="BD48" s="897">
        <f t="shared" si="75"/>
        <v>0</v>
      </c>
      <c r="BE48" s="897">
        <f t="shared" si="49"/>
        <v>6767333.9930812884</v>
      </c>
      <c r="BF48" s="901">
        <f t="shared" si="52"/>
        <v>6767333.9930812884</v>
      </c>
      <c r="BG48" s="1304">
        <f>(H48-J48)/1.2*U48/1000+(H48-K48)/1.2*V48/1000</f>
        <v>1942.9961806155002</v>
      </c>
      <c r="BH48" s="1305">
        <f>(O48-P48)*AB48/1000/1.2+(O48-Q48)/1.2*AC48/1000</f>
        <v>1452.8049506184495</v>
      </c>
      <c r="BI48" s="1306">
        <f>BG48+BH48</f>
        <v>3395.8011312339495</v>
      </c>
      <c r="BJ48" s="897"/>
      <c r="BK48" s="1194"/>
      <c r="BL48" s="897">
        <f t="shared" si="85"/>
        <v>2417758.6211324739</v>
      </c>
      <c r="BM48" s="897">
        <f t="shared" si="85"/>
        <v>1316586.796137</v>
      </c>
      <c r="BN48" s="897">
        <f t="shared" si="85"/>
        <v>0</v>
      </c>
      <c r="BO48" s="897">
        <f t="shared" si="85"/>
        <v>0</v>
      </c>
      <c r="BP48" s="897">
        <f t="shared" si="85"/>
        <v>0</v>
      </c>
      <c r="BQ48" s="897">
        <f t="shared" si="54"/>
        <v>3734345.4172694739</v>
      </c>
      <c r="BR48" s="897">
        <f t="shared" si="55"/>
        <v>3734345.4172694739</v>
      </c>
      <c r="BS48" s="897">
        <f t="shared" si="86"/>
        <v>1617357.2276956353</v>
      </c>
      <c r="BT48" s="897">
        <f t="shared" si="86"/>
        <v>1222587.1728641996</v>
      </c>
      <c r="BU48" s="897">
        <f t="shared" si="86"/>
        <v>0</v>
      </c>
      <c r="BV48" s="897">
        <f t="shared" si="57"/>
        <v>0</v>
      </c>
      <c r="BW48" s="897">
        <f t="shared" si="17"/>
        <v>0</v>
      </c>
      <c r="BX48" s="897">
        <f t="shared" si="58"/>
        <v>2839944.4005598351</v>
      </c>
      <c r="BY48" s="897">
        <f t="shared" si="59"/>
        <v>2839944.4005598351</v>
      </c>
      <c r="BZ48" s="905">
        <f t="shared" si="60"/>
        <v>2539173.9690011996</v>
      </c>
      <c r="CA48" s="905">
        <f t="shared" si="60"/>
        <v>0</v>
      </c>
      <c r="CB48" s="905">
        <f t="shared" si="61"/>
        <v>2539173.9690011996</v>
      </c>
      <c r="CC48" s="907">
        <f t="shared" si="62"/>
        <v>1257.1232143918558</v>
      </c>
      <c r="CD48" s="907" t="e">
        <f t="shared" si="62"/>
        <v>#DIV/0!</v>
      </c>
      <c r="CE48" s="907">
        <f t="shared" si="38"/>
        <v>1257.1232143918558</v>
      </c>
      <c r="CF48" s="907">
        <f t="shared" si="18"/>
        <v>1257.1232143918558</v>
      </c>
      <c r="CG48" s="923">
        <f t="shared" si="19"/>
        <v>6614135.3264819393</v>
      </c>
      <c r="CH48" s="923">
        <f t="shared" si="39"/>
        <v>3274.6015686827377</v>
      </c>
      <c r="CI48" s="905"/>
      <c r="CJ48" s="894">
        <f>N48*Z48/1000</f>
        <v>6074.9495909580528</v>
      </c>
      <c r="CK48" s="894">
        <f t="shared" si="20"/>
        <v>4583.3103413019744</v>
      </c>
      <c r="CL48" s="894">
        <f>CJ48+CK48</f>
        <v>10658.259932260027</v>
      </c>
      <c r="CM48" s="897">
        <f t="shared" si="41"/>
        <v>10658.259932260027</v>
      </c>
      <c r="CN48" s="897">
        <f t="shared" si="42"/>
        <v>0</v>
      </c>
      <c r="CO48" s="897">
        <f t="shared" si="21"/>
        <v>10649251.175310049</v>
      </c>
      <c r="CP48" s="897">
        <f t="shared" si="22"/>
        <v>6418095.1065217555</v>
      </c>
      <c r="CQ48" s="897">
        <f t="shared" si="23"/>
        <v>6418095.1065217555</v>
      </c>
      <c r="CR48" s="897">
        <f t="shared" si="24"/>
        <v>3734345.4172694739</v>
      </c>
      <c r="CS48" s="897">
        <f t="shared" si="25"/>
        <v>6767333.9930812884</v>
      </c>
      <c r="CT48" s="897">
        <f t="shared" si="26"/>
        <v>6767333.9930812884</v>
      </c>
      <c r="CU48" s="897">
        <f t="shared" si="27"/>
        <v>2839944.4005598351</v>
      </c>
      <c r="CV48" s="897">
        <f t="shared" si="43"/>
        <v>13185429.099603044</v>
      </c>
      <c r="CW48" s="906">
        <f t="shared" si="44"/>
        <v>4054.3574744757148</v>
      </c>
      <c r="CX48" s="897">
        <f t="shared" si="28"/>
        <v>2385377.6937542995</v>
      </c>
      <c r="CY48" s="897">
        <f t="shared" si="29"/>
        <v>2728627.4399621999</v>
      </c>
      <c r="CZ48" s="897"/>
      <c r="DA48" s="897">
        <f t="shared" si="30"/>
        <v>10642454.422798296</v>
      </c>
      <c r="DB48" s="897">
        <f t="shared" si="31"/>
        <v>10658259.932260029</v>
      </c>
      <c r="DC48" s="27"/>
      <c r="DD48" s="40">
        <f t="shared" si="45"/>
        <v>277.50546156581822</v>
      </c>
      <c r="DE48" s="27"/>
      <c r="DF48" s="27"/>
      <c r="DG48" s="27"/>
      <c r="DH48" s="1135">
        <v>3337.7641328</v>
      </c>
      <c r="DI48" s="1043">
        <v>2042.9011518</v>
      </c>
      <c r="DJ48" s="1043">
        <f>DH48-DI48</f>
        <v>1294.862981</v>
      </c>
      <c r="DK48" s="905"/>
      <c r="DL48" s="908">
        <f t="shared" si="32"/>
        <v>0</v>
      </c>
      <c r="DM48" s="908">
        <f t="shared" si="33"/>
        <v>0</v>
      </c>
      <c r="DN48" s="908">
        <f t="shared" si="34"/>
        <v>0</v>
      </c>
      <c r="DO48" s="6"/>
      <c r="DP48" s="81"/>
      <c r="DQ48" s="81"/>
      <c r="DR48" s="81"/>
      <c r="DS48" s="81"/>
      <c r="DT48" s="81"/>
      <c r="DU48" s="81"/>
      <c r="DV48" s="81"/>
      <c r="DW48" s="81"/>
      <c r="DX48" s="81"/>
      <c r="DY48" s="81"/>
      <c r="DZ48" s="81"/>
      <c r="EA48" s="81"/>
      <c r="EB48" s="81"/>
      <c r="EC48" s="81"/>
      <c r="ED48" s="81"/>
      <c r="EE48" s="81"/>
      <c r="EF48" s="81"/>
      <c r="EG48" s="81"/>
      <c r="EH48" s="81"/>
      <c r="EI48" s="81"/>
      <c r="EJ48" s="81"/>
      <c r="EK48" s="81"/>
      <c r="EL48" s="81"/>
    </row>
    <row r="49" spans="1:142" s="50" customFormat="1" ht="69.75" hidden="1" customHeight="1">
      <c r="A49" s="6">
        <f t="shared" si="46"/>
        <v>36</v>
      </c>
      <c r="B49" s="1338" t="s">
        <v>18</v>
      </c>
      <c r="C49" s="1338"/>
      <c r="D49" s="1338" t="s">
        <v>153</v>
      </c>
      <c r="E49" s="886">
        <v>7729314745</v>
      </c>
      <c r="F49" s="886" t="s">
        <v>8</v>
      </c>
      <c r="G49" s="1348" t="s">
        <v>986</v>
      </c>
      <c r="H49" s="1339">
        <v>2535.7679999999996</v>
      </c>
      <c r="I49" s="1264">
        <v>2535.7679999999996</v>
      </c>
      <c r="J49" s="1264">
        <v>1702.81</v>
      </c>
      <c r="K49" s="1264">
        <v>1457.23</v>
      </c>
      <c r="L49" s="1264"/>
      <c r="M49" s="1350"/>
      <c r="N49" s="1319">
        <f>2348.11 *1.2</f>
        <v>2817.732</v>
      </c>
      <c r="O49" s="1264">
        <f>2348.11 *1.2</f>
        <v>2817.732</v>
      </c>
      <c r="P49" s="1264">
        <f>1947.84</f>
        <v>1947.84</v>
      </c>
      <c r="Q49" s="1264">
        <v>1666.93</v>
      </c>
      <c r="R49" s="1264">
        <f>2348.11 *1.2</f>
        <v>2817.732</v>
      </c>
      <c r="S49" s="1350"/>
      <c r="T49" s="1321">
        <f>2575.33436831511+923.724917582997</f>
        <v>3499.0592858981072</v>
      </c>
      <c r="U49" s="919">
        <v>3431.3680429999986</v>
      </c>
      <c r="V49" s="1320">
        <v>919.71281599999986</v>
      </c>
      <c r="W49" s="919"/>
      <c r="X49" s="919"/>
      <c r="Y49" s="919"/>
      <c r="Z49" s="920">
        <f t="shared" si="8"/>
        <v>7850.140144898106</v>
      </c>
      <c r="AA49" s="1323">
        <f>1748.14208915007+939.681528440389</f>
        <v>2687.823617590459</v>
      </c>
      <c r="AB49" s="919">
        <v>2419.4968762200042</v>
      </c>
      <c r="AC49" s="919">
        <v>855.21097368999892</v>
      </c>
      <c r="AD49" s="897"/>
      <c r="AE49" s="897"/>
      <c r="AF49" s="897"/>
      <c r="AG49" s="900">
        <f t="shared" si="50"/>
        <v>5962.531467500462</v>
      </c>
      <c r="AH49" s="896">
        <f t="shared" si="51"/>
        <v>13812.671612398568</v>
      </c>
      <c r="AI49" s="897">
        <f t="shared" si="73"/>
        <v>6186.8829034885657</v>
      </c>
      <c r="AJ49" s="897">
        <f t="shared" si="73"/>
        <v>5850.8649192200028</v>
      </c>
      <c r="AK49" s="897">
        <f t="shared" si="73"/>
        <v>1774.9237896899988</v>
      </c>
      <c r="AL49" s="897">
        <f t="shared" si="73"/>
        <v>0</v>
      </c>
      <c r="AM49" s="897">
        <f t="shared" si="73"/>
        <v>0</v>
      </c>
      <c r="AN49" s="897"/>
      <c r="AO49" s="897">
        <f t="shared" si="70"/>
        <v>13812.671612398568</v>
      </c>
      <c r="AP49" s="897">
        <f t="shared" si="71"/>
        <v>13812.671612398568</v>
      </c>
      <c r="AQ49" s="965">
        <f t="shared" si="72"/>
        <v>13812.671612398568</v>
      </c>
      <c r="AR49" s="902">
        <f t="shared" si="35"/>
        <v>0</v>
      </c>
      <c r="AS49" s="903">
        <f t="shared" si="74"/>
        <v>15688499.686413391</v>
      </c>
      <c r="AT49" s="897">
        <f t="shared" si="74"/>
        <v>9962911.2930970117</v>
      </c>
      <c r="AU49" s="897">
        <f t="shared" si="74"/>
        <v>2586472.1940499567</v>
      </c>
      <c r="AV49" s="897">
        <f t="shared" si="74"/>
        <v>0</v>
      </c>
      <c r="AW49" s="897">
        <f t="shared" si="74"/>
        <v>0</v>
      </c>
      <c r="AX49" s="897">
        <f t="shared" si="47"/>
        <v>28237883.173560362</v>
      </c>
      <c r="AY49" s="897">
        <f t="shared" si="48"/>
        <v>28237883.173560362</v>
      </c>
      <c r="AZ49" s="897">
        <f t="shared" si="75"/>
        <v>17432977.937412642</v>
      </c>
      <c r="BA49" s="897">
        <f t="shared" si="75"/>
        <v>11396548.724253491</v>
      </c>
      <c r="BB49" s="897">
        <f t="shared" si="75"/>
        <v>2958673.7127479496</v>
      </c>
      <c r="BC49" s="897">
        <f t="shared" si="75"/>
        <v>0</v>
      </c>
      <c r="BD49" s="897">
        <f t="shared" si="75"/>
        <v>0</v>
      </c>
      <c r="BE49" s="897">
        <f t="shared" si="49"/>
        <v>31788200.374414083</v>
      </c>
      <c r="BF49" s="901">
        <f t="shared" si="52"/>
        <v>31788200.374414083</v>
      </c>
      <c r="BG49" s="1304">
        <f>(H49-J49)/1.2*U49/1000+(H49-K49)/1.2*V49/1000</f>
        <v>3208.4422362534997</v>
      </c>
      <c r="BH49" s="1305">
        <f>(O49-P49)*AB49/1000/1.2+(O49-Q49)/1.2*AC49/1000</f>
        <v>2574.0662296609753</v>
      </c>
      <c r="BI49" s="1306">
        <f>BG49+BH49</f>
        <v>5782.508465914475</v>
      </c>
      <c r="BJ49" s="897"/>
      <c r="BK49" s="1194"/>
      <c r="BL49" s="897">
        <f t="shared" si="85"/>
        <v>8872802.5672832709</v>
      </c>
      <c r="BM49" s="897">
        <f t="shared" si="85"/>
        <v>5842967.8173008272</v>
      </c>
      <c r="BN49" s="897">
        <f t="shared" si="85"/>
        <v>1340233.1068596798</v>
      </c>
      <c r="BO49" s="897">
        <f t="shared" si="85"/>
        <v>0</v>
      </c>
      <c r="BP49" s="897">
        <f t="shared" si="85"/>
        <v>0</v>
      </c>
      <c r="BQ49" s="897">
        <f t="shared" si="54"/>
        <v>16056003.491443779</v>
      </c>
      <c r="BR49" s="897">
        <f t="shared" si="55"/>
        <v>16056003.491443779</v>
      </c>
      <c r="BS49" s="897">
        <f t="shared" si="86"/>
        <v>7573566.6176403994</v>
      </c>
      <c r="BT49" s="897">
        <f t="shared" si="86"/>
        <v>4712792.7953763725</v>
      </c>
      <c r="BU49" s="897">
        <f t="shared" si="86"/>
        <v>1425576.8283730699</v>
      </c>
      <c r="BV49" s="897">
        <f t="shared" si="57"/>
        <v>0</v>
      </c>
      <c r="BW49" s="897">
        <f t="shared" si="17"/>
        <v>0</v>
      </c>
      <c r="BX49" s="897">
        <f t="shared" si="58"/>
        <v>13711936.241389841</v>
      </c>
      <c r="BY49" s="897">
        <f t="shared" si="59"/>
        <v>13711936.241389841</v>
      </c>
      <c r="BZ49" s="905">
        <f t="shared" si="60"/>
        <v>10555760.6126772</v>
      </c>
      <c r="CA49" s="905">
        <f t="shared" si="60"/>
        <v>2765809.9352327497</v>
      </c>
      <c r="CB49" s="905">
        <f t="shared" si="61"/>
        <v>13321570.547909949</v>
      </c>
      <c r="CC49" s="907">
        <f t="shared" si="62"/>
        <v>1804.1367829227584</v>
      </c>
      <c r="CD49" s="907">
        <f t="shared" si="62"/>
        <v>1558.2696853231175</v>
      </c>
      <c r="CE49" s="907">
        <f t="shared" si="38"/>
        <v>1746.9105238052261</v>
      </c>
      <c r="CF49" s="907">
        <f t="shared" si="18"/>
        <v>1746.9105238052259</v>
      </c>
      <c r="CG49" s="923">
        <f t="shared" si="19"/>
        <v>20260580.707007319</v>
      </c>
      <c r="CH49" s="923">
        <f t="shared" si="39"/>
        <v>2656.8505213545686</v>
      </c>
      <c r="CI49" s="905"/>
      <c r="CJ49" s="894">
        <f>N49*Z49/1000</f>
        <v>22119.591090764032</v>
      </c>
      <c r="CK49" s="894">
        <f t="shared" si="20"/>
        <v>16800.815716983012</v>
      </c>
      <c r="CL49" s="894">
        <f>CJ49+CK49+0.0161466775825829</f>
        <v>38920.422954424626</v>
      </c>
      <c r="CM49" s="897">
        <f t="shared" si="41"/>
        <v>38920.406807747044</v>
      </c>
      <c r="CN49" s="897">
        <f t="shared" si="42"/>
        <v>-1.6146677582582925E-2</v>
      </c>
      <c r="CO49" s="897">
        <f t="shared" si="21"/>
        <v>36706949.89193099</v>
      </c>
      <c r="CP49" s="897">
        <f t="shared" si="22"/>
        <v>28237883.173560362</v>
      </c>
      <c r="CQ49" s="897">
        <f t="shared" si="23"/>
        <v>28673768.95783243</v>
      </c>
      <c r="CR49" s="897">
        <f t="shared" si="24"/>
        <v>16056003.491443779</v>
      </c>
      <c r="CS49" s="897">
        <f t="shared" si="25"/>
        <v>31788200.374414083</v>
      </c>
      <c r="CT49" s="897">
        <f t="shared" si="26"/>
        <v>32286794.216175899</v>
      </c>
      <c r="CU49" s="897">
        <f t="shared" si="27"/>
        <v>13711936.241389841</v>
      </c>
      <c r="CV49" s="897">
        <f t="shared" si="43"/>
        <v>60026083.547974445</v>
      </c>
      <c r="CW49" s="906">
        <f t="shared" si="44"/>
        <v>4345.7258112249383</v>
      </c>
      <c r="CX49" s="897">
        <f t="shared" si="28"/>
        <v>12549383.487146968</v>
      </c>
      <c r="CY49" s="897">
        <f t="shared" si="29"/>
        <v>14355222.437001441</v>
      </c>
      <c r="CZ49" s="897"/>
      <c r="DA49" s="897">
        <f t="shared" si="30"/>
        <v>35025730.66922868</v>
      </c>
      <c r="DB49" s="897">
        <f t="shared" si="31"/>
        <v>38920406.807747036</v>
      </c>
      <c r="DC49" s="27"/>
      <c r="DD49" s="40">
        <f t="shared" si="45"/>
        <v>165.47542004099108</v>
      </c>
      <c r="DE49" s="27"/>
      <c r="DF49" s="27"/>
      <c r="DG49" s="27"/>
      <c r="DH49" s="1043">
        <v>13680.072040621932</v>
      </c>
      <c r="DI49" s="1043">
        <v>7199.2479353999997</v>
      </c>
      <c r="DJ49" s="1043">
        <f>DH49-DI49</f>
        <v>6480.8241052219319</v>
      </c>
      <c r="DK49" s="905"/>
      <c r="DL49" s="908">
        <f t="shared" si="32"/>
        <v>0</v>
      </c>
      <c r="DM49" s="908">
        <f t="shared" si="33"/>
        <v>0</v>
      </c>
      <c r="DN49" s="908">
        <f t="shared" si="34"/>
        <v>0</v>
      </c>
      <c r="DO49" s="6"/>
      <c r="DP49" s="81"/>
      <c r="DQ49" s="81"/>
      <c r="DR49" s="81"/>
      <c r="DS49" s="81"/>
      <c r="DT49" s="81"/>
      <c r="DU49" s="81"/>
      <c r="DV49" s="81"/>
      <c r="DW49" s="81"/>
      <c r="DX49" s="81"/>
      <c r="DY49" s="81"/>
      <c r="DZ49" s="81"/>
      <c r="EA49" s="81"/>
      <c r="EB49" s="81"/>
      <c r="EC49" s="81"/>
      <c r="ED49" s="81"/>
      <c r="EE49" s="81"/>
      <c r="EF49" s="81"/>
      <c r="EG49" s="81"/>
      <c r="EH49" s="81"/>
      <c r="EI49" s="81"/>
      <c r="EJ49" s="81"/>
      <c r="EK49" s="81"/>
      <c r="EL49" s="81"/>
    </row>
    <row r="50" spans="1:142" s="50" customFormat="1" ht="69.75" hidden="1" customHeight="1">
      <c r="A50" s="6">
        <f t="shared" si="46"/>
        <v>37</v>
      </c>
      <c r="B50" s="1338" t="s">
        <v>18</v>
      </c>
      <c r="C50" s="1338"/>
      <c r="D50" s="1338" t="s">
        <v>988</v>
      </c>
      <c r="E50" s="886">
        <v>461109152080</v>
      </c>
      <c r="F50" s="886" t="s">
        <v>8</v>
      </c>
      <c r="G50" s="1348" t="s">
        <v>989</v>
      </c>
      <c r="H50" s="1357">
        <v>2186.11</v>
      </c>
      <c r="I50" s="1317">
        <v>2186.11</v>
      </c>
      <c r="J50" s="1264">
        <v>2186.11</v>
      </c>
      <c r="K50" s="1264">
        <v>2186.11</v>
      </c>
      <c r="L50" s="1264">
        <v>2186.11</v>
      </c>
      <c r="M50" s="1350"/>
      <c r="N50" s="1319">
        <v>2437.5100000000002</v>
      </c>
      <c r="O50" s="1319">
        <v>2437.5100000000002</v>
      </c>
      <c r="P50" s="1319">
        <v>2437.5100000000002</v>
      </c>
      <c r="Q50" s="1319">
        <v>2437.5100000000002</v>
      </c>
      <c r="R50" s="1264">
        <v>2186.11</v>
      </c>
      <c r="S50" s="1350"/>
      <c r="T50" s="1358">
        <v>593.94000000000005</v>
      </c>
      <c r="U50" s="894">
        <v>335.64672165642082</v>
      </c>
      <c r="V50" s="1359">
        <v>11.383278343579221</v>
      </c>
      <c r="W50" s="894"/>
      <c r="X50" s="894"/>
      <c r="Y50" s="894"/>
      <c r="Z50" s="920">
        <f t="shared" si="8"/>
        <v>940.97000000000014</v>
      </c>
      <c r="AA50" s="1360">
        <v>481.44990000000007</v>
      </c>
      <c r="AB50" s="894">
        <v>327.28626215148432</v>
      </c>
      <c r="AC50" s="894">
        <v>11.099737848515687</v>
      </c>
      <c r="AD50" s="897"/>
      <c r="AE50" s="897"/>
      <c r="AF50" s="897"/>
      <c r="AG50" s="900">
        <f t="shared" si="50"/>
        <v>819.83590000000015</v>
      </c>
      <c r="AH50" s="896">
        <f t="shared" si="51"/>
        <v>1760.8059000000003</v>
      </c>
      <c r="AI50" s="897">
        <f t="shared" si="73"/>
        <v>1075.3899000000001</v>
      </c>
      <c r="AJ50" s="897">
        <f t="shared" si="73"/>
        <v>662.9329838079052</v>
      </c>
      <c r="AK50" s="897">
        <f t="shared" si="73"/>
        <v>22.483016192094908</v>
      </c>
      <c r="AL50" s="897">
        <f t="shared" si="73"/>
        <v>0</v>
      </c>
      <c r="AM50" s="897">
        <f t="shared" si="73"/>
        <v>0</v>
      </c>
      <c r="AN50" s="897"/>
      <c r="AO50" s="897">
        <f>SUM(AI50:AN50)</f>
        <v>1760.8059000000003</v>
      </c>
      <c r="AP50" s="897">
        <f>SUM(AI50:AM50)</f>
        <v>1760.8059000000003</v>
      </c>
      <c r="AQ50" s="965">
        <f>SUM(AI50:AL50)</f>
        <v>1760.8059000000003</v>
      </c>
      <c r="AR50" s="902">
        <f t="shared" si="35"/>
        <v>0</v>
      </c>
      <c r="AS50" s="903">
        <f t="shared" si="74"/>
        <v>2350920.6142890006</v>
      </c>
      <c r="AT50" s="897">
        <f t="shared" si="74"/>
        <v>1449244.4252322998</v>
      </c>
      <c r="AU50" s="897">
        <f t="shared" si="74"/>
        <v>49150.346527700603</v>
      </c>
      <c r="AV50" s="897">
        <f t="shared" si="74"/>
        <v>0</v>
      </c>
      <c r="AW50" s="897">
        <f t="shared" si="74"/>
        <v>0</v>
      </c>
      <c r="AX50" s="897">
        <f>SUM(AS50:AW50)</f>
        <v>3849315.386049001</v>
      </c>
      <c r="AY50" s="897">
        <f>SUM(AS50:AV50)</f>
        <v>3849315.386049001</v>
      </c>
      <c r="AZ50" s="897">
        <f t="shared" si="75"/>
        <v>2621273.6351490007</v>
      </c>
      <c r="BA50" s="897">
        <f t="shared" si="75"/>
        <v>1615905.7773616072</v>
      </c>
      <c r="BB50" s="897">
        <f t="shared" si="75"/>
        <v>54802.576798393267</v>
      </c>
      <c r="BC50" s="897">
        <f t="shared" si="75"/>
        <v>0</v>
      </c>
      <c r="BD50" s="897">
        <f t="shared" si="75"/>
        <v>0</v>
      </c>
      <c r="BE50" s="897">
        <f>SUM(AZ50:BD50)</f>
        <v>4291981.9893090008</v>
      </c>
      <c r="BF50" s="901">
        <f>SUM(AZ50:BC50)</f>
        <v>4291981.9893090008</v>
      </c>
      <c r="BG50" s="1304">
        <f>(H50-J50)/1.2*U50/1000+(H50-K50)/1.2*V50/1000</f>
        <v>0</v>
      </c>
      <c r="BH50" s="1305">
        <f>(O50-P50)*AB50/1000/1.2+(O50-Q50)/1.2*AC50/1000</f>
        <v>0</v>
      </c>
      <c r="BI50" s="1306">
        <f>BG50+BH50</f>
        <v>0</v>
      </c>
      <c r="BJ50" s="897"/>
      <c r="BK50" s="1194"/>
      <c r="BL50" s="897">
        <f t="shared" si="85"/>
        <v>1298418.1734000002</v>
      </c>
      <c r="BM50" s="897">
        <f t="shared" si="85"/>
        <v>733760.6546803182</v>
      </c>
      <c r="BN50" s="897">
        <f t="shared" si="85"/>
        <v>24885.098619681972</v>
      </c>
      <c r="BO50" s="897">
        <f t="shared" si="85"/>
        <v>0</v>
      </c>
      <c r="BP50" s="897">
        <f t="shared" si="85"/>
        <v>0</v>
      </c>
      <c r="BQ50" s="897">
        <f t="shared" si="54"/>
        <v>2057063.9267000004</v>
      </c>
      <c r="BR50" s="897">
        <f t="shared" si="55"/>
        <v>2057063.9267000004</v>
      </c>
      <c r="BS50" s="897">
        <f t="shared" si="86"/>
        <v>1173538.9457490002</v>
      </c>
      <c r="BT50" s="897">
        <f t="shared" si="86"/>
        <v>797763.53685686458</v>
      </c>
      <c r="BU50" s="897">
        <f t="shared" si="86"/>
        <v>27055.722003135474</v>
      </c>
      <c r="BV50" s="897">
        <f t="shared" si="57"/>
        <v>0</v>
      </c>
      <c r="BW50" s="897">
        <f t="shared" si="17"/>
        <v>0</v>
      </c>
      <c r="BX50" s="897">
        <f t="shared" si="58"/>
        <v>1998358.2046090001</v>
      </c>
      <c r="BY50" s="897">
        <f t="shared" si="59"/>
        <v>1998358.2046090001</v>
      </c>
      <c r="BZ50" s="905"/>
      <c r="CA50" s="905"/>
      <c r="CB50" s="905"/>
      <c r="CC50" s="907"/>
      <c r="CD50" s="907"/>
      <c r="CE50" s="907"/>
      <c r="CF50" s="907"/>
      <c r="CG50" s="923"/>
      <c r="CH50" s="923"/>
      <c r="CI50" s="905"/>
      <c r="CJ50" s="894"/>
      <c r="CK50" s="894"/>
      <c r="CL50" s="894"/>
      <c r="CM50" s="897"/>
      <c r="CN50" s="897"/>
      <c r="CO50" s="897"/>
      <c r="CP50" s="897"/>
      <c r="CQ50" s="897"/>
      <c r="CR50" s="897"/>
      <c r="CS50" s="897"/>
      <c r="CT50" s="897"/>
      <c r="CU50" s="897"/>
      <c r="CV50" s="897"/>
      <c r="CW50" s="906"/>
      <c r="CX50" s="897"/>
      <c r="CY50" s="897"/>
      <c r="CZ50" s="897"/>
      <c r="DA50" s="897"/>
      <c r="DB50" s="897"/>
      <c r="DC50" s="27"/>
      <c r="DD50" s="40"/>
      <c r="DE50" s="27"/>
      <c r="DF50" s="27"/>
      <c r="DG50" s="27"/>
      <c r="DH50" s="1043"/>
      <c r="DI50" s="1043"/>
      <c r="DJ50" s="1043"/>
      <c r="DK50" s="905"/>
      <c r="DL50" s="908"/>
      <c r="DM50" s="908"/>
      <c r="DN50" s="908"/>
      <c r="DO50" s="6"/>
      <c r="DP50" s="81"/>
      <c r="DQ50" s="81"/>
      <c r="DR50" s="81"/>
      <c r="DS50" s="81"/>
      <c r="DT50" s="81"/>
      <c r="DU50" s="81"/>
      <c r="DV50" s="81"/>
      <c r="DW50" s="81"/>
      <c r="DX50" s="81"/>
      <c r="DY50" s="81"/>
      <c r="DZ50" s="81"/>
      <c r="EA50" s="81"/>
      <c r="EB50" s="81"/>
      <c r="EC50" s="81"/>
      <c r="ED50" s="81"/>
      <c r="EE50" s="81"/>
      <c r="EF50" s="81"/>
      <c r="EG50" s="81"/>
      <c r="EH50" s="81"/>
      <c r="EI50" s="81"/>
      <c r="EJ50" s="81"/>
      <c r="EK50" s="81"/>
      <c r="EL50" s="81"/>
    </row>
    <row r="51" spans="1:142" s="50" customFormat="1" ht="73.5" hidden="1" customHeight="1">
      <c r="A51" s="6">
        <f t="shared" si="46"/>
        <v>38</v>
      </c>
      <c r="B51" s="886" t="s">
        <v>18</v>
      </c>
      <c r="C51" s="1219" t="s">
        <v>148</v>
      </c>
      <c r="D51" s="1219" t="s">
        <v>980</v>
      </c>
      <c r="E51" s="1237">
        <v>6829012680</v>
      </c>
      <c r="F51" s="1219" t="s">
        <v>8</v>
      </c>
      <c r="G51" s="1222" t="s">
        <v>982</v>
      </c>
      <c r="H51" s="1241">
        <v>2326.752</v>
      </c>
      <c r="I51" s="1242">
        <v>2326.752</v>
      </c>
      <c r="J51" s="891">
        <v>2231.2199999999998</v>
      </c>
      <c r="K51" s="891">
        <v>2231.2199999999998</v>
      </c>
      <c r="L51" s="891">
        <v>2326.752</v>
      </c>
      <c r="M51" s="946">
        <v>0</v>
      </c>
      <c r="N51" s="927">
        <f>2165.81*1.2</f>
        <v>2598.9719999999998</v>
      </c>
      <c r="O51" s="928">
        <f>N51</f>
        <v>2598.9719999999998</v>
      </c>
      <c r="P51" s="928">
        <v>2403.02</v>
      </c>
      <c r="Q51" s="928">
        <f>P51</f>
        <v>2403.02</v>
      </c>
      <c r="R51" s="891">
        <f>O51</f>
        <v>2598.9719999999998</v>
      </c>
      <c r="S51" s="926">
        <v>0</v>
      </c>
      <c r="T51" s="988">
        <v>4158.1000000000004</v>
      </c>
      <c r="U51" s="987">
        <v>1394.5</v>
      </c>
      <c r="V51" s="987">
        <f>1677.5-U51</f>
        <v>283</v>
      </c>
      <c r="W51" s="987">
        <v>81.900000000000006</v>
      </c>
      <c r="X51" s="897">
        <v>0</v>
      </c>
      <c r="Y51" s="897"/>
      <c r="Z51" s="898">
        <f t="shared" si="8"/>
        <v>5917.5</v>
      </c>
      <c r="AA51" s="989">
        <v>2596.3000000000002</v>
      </c>
      <c r="AB51" s="897">
        <v>951.3</v>
      </c>
      <c r="AC51" s="987">
        <f>1232.5-AB51</f>
        <v>281.20000000000005</v>
      </c>
      <c r="AD51" s="987">
        <v>40.5</v>
      </c>
      <c r="AE51" s="897">
        <v>0</v>
      </c>
      <c r="AF51" s="897"/>
      <c r="AG51" s="900">
        <f>SUM(AA51:AE51)</f>
        <v>3869.3</v>
      </c>
      <c r="AH51" s="896">
        <f t="shared" si="51"/>
        <v>9786.7999999999993</v>
      </c>
      <c r="AI51" s="897">
        <f t="shared" si="73"/>
        <v>6754.4000000000005</v>
      </c>
      <c r="AJ51" s="897">
        <f t="shared" si="73"/>
        <v>2345.8000000000002</v>
      </c>
      <c r="AK51" s="897">
        <f t="shared" si="73"/>
        <v>564.20000000000005</v>
      </c>
      <c r="AL51" s="897">
        <f t="shared" si="73"/>
        <v>122.4</v>
      </c>
      <c r="AM51" s="897">
        <f t="shared" si="73"/>
        <v>0</v>
      </c>
      <c r="AN51" s="897"/>
      <c r="AO51" s="897">
        <f t="shared" si="70"/>
        <v>9786.8000000000011</v>
      </c>
      <c r="AP51" s="897">
        <f t="shared" si="71"/>
        <v>9786.8000000000011</v>
      </c>
      <c r="AQ51" s="901">
        <f t="shared" si="72"/>
        <v>9786.8000000000011</v>
      </c>
      <c r="AR51" s="902">
        <f t="shared" si="35"/>
        <v>0</v>
      </c>
      <c r="AS51" s="903">
        <f t="shared" si="74"/>
        <v>15715813.708800001</v>
      </c>
      <c r="AT51" s="897">
        <f t="shared" si="74"/>
        <v>5233995.8760000002</v>
      </c>
      <c r="AU51" s="897">
        <f t="shared" si="74"/>
        <v>1258854.324</v>
      </c>
      <c r="AV51" s="897">
        <f t="shared" si="74"/>
        <v>284794.4448</v>
      </c>
      <c r="AW51" s="897">
        <f t="shared" si="74"/>
        <v>0</v>
      </c>
      <c r="AX51" s="897">
        <f t="shared" si="47"/>
        <v>22493458.353600003</v>
      </c>
      <c r="AY51" s="897">
        <f t="shared" si="48"/>
        <v>22493458.353600003</v>
      </c>
      <c r="AZ51" s="897">
        <f t="shared" si="75"/>
        <v>17554496.476799998</v>
      </c>
      <c r="BA51" s="897">
        <f t="shared" si="75"/>
        <v>5637004.3160000006</v>
      </c>
      <c r="BB51" s="897">
        <f t="shared" si="75"/>
        <v>1355783.8840000001</v>
      </c>
      <c r="BC51" s="897">
        <f t="shared" si="75"/>
        <v>318114.1728</v>
      </c>
      <c r="BD51" s="897">
        <f t="shared" si="75"/>
        <v>0</v>
      </c>
      <c r="BE51" s="897">
        <f t="shared" si="49"/>
        <v>24865398.849599998</v>
      </c>
      <c r="BF51" s="901">
        <f t="shared" si="52"/>
        <v>24865398.849599998</v>
      </c>
      <c r="BG51" s="921"/>
      <c r="BH51" s="990"/>
      <c r="BI51" s="990">
        <v>232.45323900000042</v>
      </c>
      <c r="BJ51" s="897"/>
      <c r="BK51" s="1194"/>
      <c r="BL51" s="897">
        <f t="shared" si="85"/>
        <v>9674867.4912</v>
      </c>
      <c r="BM51" s="897">
        <f t="shared" si="85"/>
        <v>3111436.2899999996</v>
      </c>
      <c r="BN51" s="897">
        <f t="shared" si="85"/>
        <v>631435.25999999989</v>
      </c>
      <c r="BO51" s="897">
        <f t="shared" si="85"/>
        <v>190560.98880000002</v>
      </c>
      <c r="BP51" s="897">
        <f t="shared" si="85"/>
        <v>0</v>
      </c>
      <c r="BQ51" s="897">
        <f t="shared" si="54"/>
        <v>13608300.029999999</v>
      </c>
      <c r="BR51" s="897">
        <f t="shared" si="55"/>
        <v>13608300.029999999</v>
      </c>
      <c r="BS51" s="897">
        <f t="shared" si="86"/>
        <v>6747711.0035999995</v>
      </c>
      <c r="BT51" s="897">
        <f t="shared" si="86"/>
        <v>2285992.926</v>
      </c>
      <c r="BU51" s="897">
        <f t="shared" si="86"/>
        <v>675729.22400000016</v>
      </c>
      <c r="BV51" s="897">
        <f t="shared" si="57"/>
        <v>212855.80679999999</v>
      </c>
      <c r="BW51" s="897">
        <f t="shared" si="17"/>
        <v>0</v>
      </c>
      <c r="BX51" s="897">
        <f t="shared" si="58"/>
        <v>9922288.9604000002</v>
      </c>
      <c r="BY51" s="897">
        <f t="shared" si="59"/>
        <v>9922288.9604000002</v>
      </c>
      <c r="BZ51" s="905">
        <f t="shared" si="60"/>
        <v>5397429.216</v>
      </c>
      <c r="CA51" s="905">
        <f t="shared" si="60"/>
        <v>1307164.4840000002</v>
      </c>
      <c r="CB51" s="905">
        <f t="shared" si="61"/>
        <v>6704593.7000000002</v>
      </c>
      <c r="CC51" s="907">
        <f t="shared" si="62"/>
        <v>2300.8906198311875</v>
      </c>
      <c r="CD51" s="907">
        <f t="shared" si="62"/>
        <v>2316.8459482453031</v>
      </c>
      <c r="CE51" s="907">
        <f t="shared" si="38"/>
        <v>2303.9840893470791</v>
      </c>
      <c r="CF51" s="907">
        <f t="shared" si="18"/>
        <v>2303.9840893470791</v>
      </c>
      <c r="CG51" s="923">
        <f t="shared" si="19"/>
        <v>7106359.4699999997</v>
      </c>
      <c r="CH51" s="923">
        <f t="shared" si="39"/>
        <v>2442.0479278350513</v>
      </c>
      <c r="CI51" s="905"/>
      <c r="CJ51" s="897">
        <f>N51*Z51/1000</f>
        <v>15379.416809999999</v>
      </c>
      <c r="CK51" s="897">
        <f t="shared" si="20"/>
        <v>10056.2023596</v>
      </c>
      <c r="CL51" s="897">
        <f t="shared" si="40"/>
        <v>25435.619169599999</v>
      </c>
      <c r="CM51" s="897">
        <f t="shared" si="41"/>
        <v>25435.619169599995</v>
      </c>
      <c r="CN51" s="897">
        <f t="shared" si="42"/>
        <v>0</v>
      </c>
      <c r="CO51" s="897">
        <f t="shared" si="21"/>
        <v>23824757.319600001</v>
      </c>
      <c r="CP51" s="897">
        <f t="shared" si="22"/>
        <v>22493458.353600003</v>
      </c>
      <c r="CQ51" s="897">
        <f t="shared" si="23"/>
        <v>22493458.353599999</v>
      </c>
      <c r="CR51" s="897">
        <f t="shared" si="24"/>
        <v>13608300.029999999</v>
      </c>
      <c r="CS51" s="897">
        <f t="shared" si="25"/>
        <v>24865398.849599998</v>
      </c>
      <c r="CT51" s="897">
        <f t="shared" si="26"/>
        <v>24865398.849599998</v>
      </c>
      <c r="CU51" s="897">
        <f t="shared" si="27"/>
        <v>9814691.5196000002</v>
      </c>
      <c r="CV51" s="897">
        <f t="shared" si="43"/>
        <v>47358857.203199998</v>
      </c>
      <c r="CW51" s="906">
        <f t="shared" si="44"/>
        <v>4839.0543592594104</v>
      </c>
      <c r="CX51" s="897">
        <f t="shared" si="28"/>
        <v>6492850.2000000002</v>
      </c>
      <c r="CY51" s="897">
        <f t="shared" si="29"/>
        <v>6992788.2000000011</v>
      </c>
      <c r="CZ51" s="897"/>
      <c r="DA51" s="897">
        <f t="shared" si="30"/>
        <v>22771456.4736</v>
      </c>
      <c r="DB51" s="897">
        <f t="shared" si="31"/>
        <v>25435619.169599999</v>
      </c>
      <c r="DC51" s="27"/>
      <c r="DD51" s="40">
        <f t="shared" si="45"/>
        <v>116.48210396106167</v>
      </c>
      <c r="DE51" s="27"/>
      <c r="DF51" s="27"/>
      <c r="DG51" s="27"/>
      <c r="DH51" s="1235">
        <f>AH51</f>
        <v>9786.7999999999993</v>
      </c>
      <c r="DI51" s="1137">
        <f>AJ51+AK51</f>
        <v>2910</v>
      </c>
      <c r="DJ51" s="1236">
        <f>DH51-DI51</f>
        <v>6876.7999999999993</v>
      </c>
      <c r="DK51" s="905"/>
      <c r="DL51" s="908">
        <f t="shared" si="32"/>
        <v>0</v>
      </c>
      <c r="DM51" s="908">
        <f t="shared" si="33"/>
        <v>0</v>
      </c>
      <c r="DN51" s="908">
        <f t="shared" si="34"/>
        <v>0</v>
      </c>
      <c r="DO51" s="6"/>
      <c r="DP51" s="81"/>
      <c r="DQ51" s="81"/>
      <c r="DR51" s="81"/>
      <c r="DS51" s="81"/>
      <c r="DT51" s="81"/>
      <c r="DU51" s="81"/>
      <c r="DV51" s="81"/>
      <c r="DW51" s="81"/>
      <c r="DX51" s="81"/>
      <c r="DY51" s="81"/>
      <c r="DZ51" s="81"/>
      <c r="EA51" s="81"/>
      <c r="EB51" s="81"/>
      <c r="EC51" s="81"/>
      <c r="ED51" s="81"/>
      <c r="EE51" s="81"/>
      <c r="EF51" s="81"/>
      <c r="EG51" s="81"/>
      <c r="EH51" s="81"/>
      <c r="EI51" s="81"/>
      <c r="EJ51" s="81"/>
      <c r="EK51" s="81"/>
      <c r="EL51" s="81"/>
    </row>
    <row r="52" spans="1:142" s="869" customFormat="1" ht="64.5" hidden="1" customHeight="1">
      <c r="A52" s="6">
        <f t="shared" si="46"/>
        <v>39</v>
      </c>
      <c r="B52" s="1395" t="s">
        <v>18</v>
      </c>
      <c r="C52" s="1395" t="s">
        <v>148</v>
      </c>
      <c r="D52" s="1262" t="s">
        <v>141</v>
      </c>
      <c r="E52" s="887">
        <v>4632024035</v>
      </c>
      <c r="F52" s="886" t="s">
        <v>8</v>
      </c>
      <c r="G52" s="1238" t="s">
        <v>983</v>
      </c>
      <c r="H52" s="1256">
        <v>3314.9639999999995</v>
      </c>
      <c r="I52" s="1257">
        <f>H52</f>
        <v>3314.9639999999995</v>
      </c>
      <c r="J52" s="1263">
        <v>2950.21</v>
      </c>
      <c r="K52" s="891"/>
      <c r="L52" s="1256">
        <v>3314.9639999999995</v>
      </c>
      <c r="M52" s="946"/>
      <c r="N52" s="1259">
        <f>3132.14*1.2</f>
        <v>3758.5679999999998</v>
      </c>
      <c r="O52" s="1260">
        <f>N52</f>
        <v>3758.5679999999998</v>
      </c>
      <c r="P52" s="1264">
        <v>2979.71</v>
      </c>
      <c r="Q52" s="891"/>
      <c r="R52" s="891">
        <f>O52</f>
        <v>3758.5679999999998</v>
      </c>
      <c r="S52" s="946"/>
      <c r="T52" s="1307">
        <v>1241.306</v>
      </c>
      <c r="U52" s="1292">
        <v>6.0299999999999994</v>
      </c>
      <c r="V52" s="1292">
        <v>0</v>
      </c>
      <c r="W52" s="948"/>
      <c r="X52" s="948"/>
      <c r="Y52" s="948"/>
      <c r="Z52" s="1397">
        <f t="shared" si="8"/>
        <v>1247.336</v>
      </c>
      <c r="AA52" s="1308">
        <v>701.24199999999996</v>
      </c>
      <c r="AB52" s="1292">
        <v>4.4000000000000004</v>
      </c>
      <c r="AC52" s="1366">
        <v>0</v>
      </c>
      <c r="AD52" s="890"/>
      <c r="AE52" s="890"/>
      <c r="AF52" s="890"/>
      <c r="AG52" s="951">
        <f t="shared" si="50"/>
        <v>705.64199999999994</v>
      </c>
      <c r="AH52" s="947">
        <f t="shared" si="51"/>
        <v>1952.9780000000001</v>
      </c>
      <c r="AI52" s="890">
        <f t="shared" si="73"/>
        <v>1942.548</v>
      </c>
      <c r="AJ52" s="890">
        <f t="shared" si="73"/>
        <v>10.43</v>
      </c>
      <c r="AK52" s="890">
        <f t="shared" si="73"/>
        <v>0</v>
      </c>
      <c r="AL52" s="890">
        <f t="shared" si="73"/>
        <v>0</v>
      </c>
      <c r="AM52" s="890">
        <f t="shared" si="73"/>
        <v>0</v>
      </c>
      <c r="AN52" s="890"/>
      <c r="AO52" s="890">
        <f t="shared" si="70"/>
        <v>1952.9780000000001</v>
      </c>
      <c r="AP52" s="890">
        <f t="shared" si="71"/>
        <v>1952.9780000000001</v>
      </c>
      <c r="AQ52" s="952">
        <f t="shared" si="72"/>
        <v>1952.9780000000001</v>
      </c>
      <c r="AR52" s="973">
        <f t="shared" si="35"/>
        <v>0</v>
      </c>
      <c r="AS52" s="889">
        <f t="shared" si="74"/>
        <v>6439476.6882719994</v>
      </c>
      <c r="AT52" s="890">
        <f t="shared" si="74"/>
        <v>30770.690299999998</v>
      </c>
      <c r="AU52" s="890">
        <f t="shared" si="74"/>
        <v>0</v>
      </c>
      <c r="AV52" s="890">
        <f t="shared" si="74"/>
        <v>0</v>
      </c>
      <c r="AW52" s="890">
        <f t="shared" si="74"/>
        <v>0</v>
      </c>
      <c r="AX52" s="890">
        <f t="shared" si="47"/>
        <v>6470247.3785719993</v>
      </c>
      <c r="AY52" s="890">
        <f t="shared" si="48"/>
        <v>6470247.3785719993</v>
      </c>
      <c r="AZ52" s="890">
        <f t="shared" si="75"/>
        <v>7301198.7512639994</v>
      </c>
      <c r="BA52" s="890">
        <f t="shared" si="75"/>
        <v>31078.3753</v>
      </c>
      <c r="BB52" s="890">
        <f t="shared" si="75"/>
        <v>0</v>
      </c>
      <c r="BC52" s="890">
        <f t="shared" si="75"/>
        <v>0</v>
      </c>
      <c r="BD52" s="890">
        <f t="shared" si="75"/>
        <v>0</v>
      </c>
      <c r="BE52" s="890">
        <f t="shared" si="49"/>
        <v>7332277.1265639998</v>
      </c>
      <c r="BF52" s="952">
        <f t="shared" si="52"/>
        <v>7332277.1265639998</v>
      </c>
      <c r="BG52" s="953">
        <f>(H52-J52)/1.2*U52/1000+(H52-K52)/1.2*V52/1000</f>
        <v>1.8328888499999973</v>
      </c>
      <c r="BH52" s="954">
        <f>(O52-P52)*AB52/1000/1.2+(O52-Q52)/1.2*AC52/1000</f>
        <v>2.8558126666666657</v>
      </c>
      <c r="BI52" s="955">
        <f>BG52+BH52</f>
        <v>4.6887015166666632</v>
      </c>
      <c r="BJ52" s="955"/>
      <c r="BK52" s="1197"/>
      <c r="BL52" s="890">
        <f t="shared" si="85"/>
        <v>4114884.7029839996</v>
      </c>
      <c r="BM52" s="890">
        <f t="shared" si="85"/>
        <v>17789.766299999999</v>
      </c>
      <c r="BN52" s="890">
        <f t="shared" si="85"/>
        <v>0</v>
      </c>
      <c r="BO52" s="890">
        <f t="shared" si="85"/>
        <v>0</v>
      </c>
      <c r="BP52" s="890">
        <f t="shared" si="85"/>
        <v>0</v>
      </c>
      <c r="BQ52" s="890">
        <f t="shared" si="54"/>
        <v>4132674.4692839994</v>
      </c>
      <c r="BR52" s="890">
        <f t="shared" si="55"/>
        <v>4132674.4692839994</v>
      </c>
      <c r="BS52" s="890">
        <f t="shared" si="86"/>
        <v>2635665.7414559997</v>
      </c>
      <c r="BT52" s="890">
        <f t="shared" si="86"/>
        <v>13110.724000000002</v>
      </c>
      <c r="BU52" s="890">
        <f t="shared" si="86"/>
        <v>0</v>
      </c>
      <c r="BV52" s="890">
        <f t="shared" si="57"/>
        <v>0</v>
      </c>
      <c r="BW52" s="890">
        <f t="shared" si="17"/>
        <v>0</v>
      </c>
      <c r="BX52" s="890">
        <f t="shared" si="58"/>
        <v>2648776.4654559996</v>
      </c>
      <c r="BY52" s="890">
        <f t="shared" si="59"/>
        <v>2648776.4654559996</v>
      </c>
      <c r="BZ52" s="945">
        <f t="shared" si="60"/>
        <v>30900.490300000001</v>
      </c>
      <c r="CA52" s="945">
        <f t="shared" si="60"/>
        <v>0</v>
      </c>
      <c r="CB52" s="945">
        <f t="shared" si="61"/>
        <v>30900.490300000001</v>
      </c>
      <c r="CC52" s="976">
        <f t="shared" si="62"/>
        <v>2962.654870565676</v>
      </c>
      <c r="CD52" s="976" t="e">
        <f t="shared" si="62"/>
        <v>#DIV/0!</v>
      </c>
      <c r="CE52" s="976">
        <f t="shared" si="38"/>
        <v>2962.654870565676</v>
      </c>
      <c r="CF52" s="976">
        <f t="shared" si="18"/>
        <v>2962.654870565676</v>
      </c>
      <c r="CG52" s="977">
        <f t="shared" si="19"/>
        <v>36526.932119999998</v>
      </c>
      <c r="CH52" s="977">
        <f t="shared" si="39"/>
        <v>3502.1027919463086</v>
      </c>
      <c r="CI52" s="945"/>
      <c r="CJ52" s="1312">
        <f>H52*Z52/1000</f>
        <v>4134.8739359039992</v>
      </c>
      <c r="CK52" s="1312">
        <f t="shared" si="20"/>
        <v>2652.2034406559997</v>
      </c>
      <c r="CL52" s="1312">
        <f>CJ52+CK52</f>
        <v>6787.0773765599988</v>
      </c>
      <c r="CM52" s="890">
        <f t="shared" si="41"/>
        <v>7340.4006155039997</v>
      </c>
      <c r="CN52" s="890">
        <f t="shared" si="42"/>
        <v>553.32323894400088</v>
      </c>
      <c r="CO52" s="890">
        <f t="shared" si="21"/>
        <v>6787077.3765599988</v>
      </c>
      <c r="CP52" s="890">
        <f t="shared" si="22"/>
        <v>6470247.3785719993</v>
      </c>
      <c r="CQ52" s="890">
        <f t="shared" si="23"/>
        <v>6470247.3785719993</v>
      </c>
      <c r="CR52" s="890">
        <f t="shared" si="24"/>
        <v>4132674.4692839994</v>
      </c>
      <c r="CS52" s="890">
        <f t="shared" si="25"/>
        <v>7332277.1265639998</v>
      </c>
      <c r="CT52" s="890">
        <f t="shared" si="26"/>
        <v>7332277.1265639998</v>
      </c>
      <c r="CU52" s="890">
        <f t="shared" si="27"/>
        <v>2648776.4654559996</v>
      </c>
      <c r="CV52" s="890">
        <f t="shared" si="43"/>
        <v>13802524.505135998</v>
      </c>
      <c r="CW52" s="978">
        <f t="shared" si="44"/>
        <v>7067.4244692648854</v>
      </c>
      <c r="CX52" s="890">
        <f t="shared" si="28"/>
        <v>30770.690299999998</v>
      </c>
      <c r="CY52" s="890">
        <f t="shared" si="29"/>
        <v>31078.3753</v>
      </c>
      <c r="CZ52" s="890"/>
      <c r="DA52" s="890">
        <f t="shared" si="30"/>
        <v>6474051.7627919996</v>
      </c>
      <c r="DB52" s="890">
        <f t="shared" si="31"/>
        <v>7340400.6155039994</v>
      </c>
      <c r="DC52" s="840"/>
      <c r="DD52" s="841">
        <f t="shared" si="45"/>
        <v>127.40001559211038</v>
      </c>
      <c r="DE52" s="840"/>
      <c r="DF52" s="840"/>
      <c r="DG52" s="840"/>
      <c r="DH52" s="1050"/>
      <c r="DI52" s="1050"/>
      <c r="DJ52" s="1050"/>
      <c r="DK52" s="945"/>
      <c r="DL52" s="975">
        <f t="shared" si="32"/>
        <v>0</v>
      </c>
      <c r="DM52" s="975">
        <f t="shared" si="33"/>
        <v>0</v>
      </c>
      <c r="DN52" s="975">
        <f t="shared" si="34"/>
        <v>0</v>
      </c>
      <c r="DO52" s="816"/>
      <c r="DP52" s="871"/>
      <c r="DQ52" s="871"/>
      <c r="DR52" s="871"/>
      <c r="DS52" s="871"/>
      <c r="DT52" s="871"/>
      <c r="DU52" s="871"/>
      <c r="DV52" s="871"/>
      <c r="DW52" s="871"/>
      <c r="DX52" s="871"/>
      <c r="DY52" s="871"/>
      <c r="DZ52" s="871"/>
      <c r="EA52" s="871"/>
      <c r="EB52" s="871"/>
      <c r="EC52" s="871"/>
      <c r="ED52" s="871"/>
      <c r="EE52" s="871"/>
      <c r="EF52" s="871"/>
      <c r="EG52" s="871"/>
      <c r="EH52" s="871"/>
      <c r="EI52" s="871"/>
      <c r="EJ52" s="871"/>
      <c r="EK52" s="871"/>
      <c r="EL52" s="871"/>
    </row>
    <row r="53" spans="1:142" s="50" customFormat="1" ht="57" hidden="1" customHeight="1">
      <c r="A53" s="6">
        <f t="shared" si="46"/>
        <v>40</v>
      </c>
      <c r="B53" s="886" t="s">
        <v>18</v>
      </c>
      <c r="C53" s="886"/>
      <c r="D53" s="1206" t="s">
        <v>96</v>
      </c>
      <c r="E53" s="886">
        <v>4611013586</v>
      </c>
      <c r="F53" s="886" t="s">
        <v>8</v>
      </c>
      <c r="G53" s="888" t="s">
        <v>950</v>
      </c>
      <c r="H53" s="1251">
        <v>4183.0030781451369</v>
      </c>
      <c r="I53" s="1252">
        <v>0</v>
      </c>
      <c r="J53" s="891">
        <v>3218.8790000000004</v>
      </c>
      <c r="K53" s="891">
        <v>3218.8790000000004</v>
      </c>
      <c r="L53" s="891">
        <v>0</v>
      </c>
      <c r="M53" s="946">
        <v>0</v>
      </c>
      <c r="N53" s="959">
        <v>5288.62</v>
      </c>
      <c r="O53" s="891">
        <v>0</v>
      </c>
      <c r="P53" s="891">
        <v>3524.67</v>
      </c>
      <c r="Q53" s="891">
        <v>3524.67</v>
      </c>
      <c r="R53" s="891">
        <v>0</v>
      </c>
      <c r="S53" s="946">
        <v>0</v>
      </c>
      <c r="T53" s="889">
        <v>0</v>
      </c>
      <c r="U53" s="894">
        <v>169.31</v>
      </c>
      <c r="V53" s="894">
        <v>27.2</v>
      </c>
      <c r="W53" s="890">
        <v>0</v>
      </c>
      <c r="X53" s="890">
        <v>0</v>
      </c>
      <c r="Y53" s="890">
        <v>0</v>
      </c>
      <c r="Z53" s="949">
        <f>SUM(T53:W53)</f>
        <v>196.51</v>
      </c>
      <c r="AA53" s="974">
        <v>0</v>
      </c>
      <c r="AB53" s="894">
        <v>126.98</v>
      </c>
      <c r="AC53" s="894">
        <v>19.96</v>
      </c>
      <c r="AD53" s="890">
        <v>0</v>
      </c>
      <c r="AE53" s="890">
        <v>0</v>
      </c>
      <c r="AF53" s="890">
        <v>0</v>
      </c>
      <c r="AG53" s="951">
        <f>SUM(AA53:AD53)</f>
        <v>146.94</v>
      </c>
      <c r="AH53" s="947">
        <f>Z53+AG53</f>
        <v>343.45</v>
      </c>
      <c r="AI53" s="890">
        <f t="shared" si="73"/>
        <v>0</v>
      </c>
      <c r="AJ53" s="894">
        <f>U53+AB53</f>
        <v>296.29000000000002</v>
      </c>
      <c r="AK53" s="894">
        <f>V53+AC53</f>
        <v>47.16</v>
      </c>
      <c r="AL53" s="890">
        <f t="shared" si="73"/>
        <v>0</v>
      </c>
      <c r="AM53" s="890">
        <f t="shared" si="73"/>
        <v>0</v>
      </c>
      <c r="AN53" s="890"/>
      <c r="AO53" s="890">
        <f>SUM(AI53:AN53)</f>
        <v>343.45000000000005</v>
      </c>
      <c r="AP53" s="890">
        <f>SUM(AI53:AM53)</f>
        <v>343.45000000000005</v>
      </c>
      <c r="AQ53" s="952">
        <f>SUM(AI53:AL53)</f>
        <v>343.45000000000005</v>
      </c>
      <c r="AR53" s="973">
        <f t="shared" si="35"/>
        <v>0</v>
      </c>
      <c r="AS53" s="889">
        <f t="shared" si="74"/>
        <v>0</v>
      </c>
      <c r="AT53" s="890">
        <f t="shared" si="74"/>
        <v>953721.65891000011</v>
      </c>
      <c r="AU53" s="890">
        <f t="shared" si="74"/>
        <v>151802.33364</v>
      </c>
      <c r="AV53" s="890">
        <f t="shared" si="74"/>
        <v>0</v>
      </c>
      <c r="AW53" s="890">
        <f t="shared" si="74"/>
        <v>0</v>
      </c>
      <c r="AX53" s="890">
        <f t="shared" si="47"/>
        <v>1105523.9925500001</v>
      </c>
      <c r="AY53" s="890">
        <f t="shared" si="48"/>
        <v>1105523.9925500001</v>
      </c>
      <c r="AZ53" s="890">
        <f t="shared" si="75"/>
        <v>0</v>
      </c>
      <c r="BA53" s="890">
        <f t="shared" si="75"/>
        <v>1044324.4743000001</v>
      </c>
      <c r="BB53" s="890">
        <f t="shared" si="75"/>
        <v>166223.43719999999</v>
      </c>
      <c r="BC53" s="890">
        <f t="shared" si="75"/>
        <v>0</v>
      </c>
      <c r="BD53" s="890">
        <f t="shared" si="75"/>
        <v>0</v>
      </c>
      <c r="BE53" s="890">
        <f t="shared" si="49"/>
        <v>1210547.9115000002</v>
      </c>
      <c r="BF53" s="952">
        <f t="shared" si="52"/>
        <v>1210547.9115000002</v>
      </c>
      <c r="BG53" s="974">
        <v>189.459</v>
      </c>
      <c r="BH53" s="890">
        <v>259.19499999999999</v>
      </c>
      <c r="BI53" s="948">
        <v>448.654</v>
      </c>
      <c r="BJ53" s="894">
        <v>1247.1099999999999</v>
      </c>
      <c r="BK53" s="1200">
        <v>2032.7</v>
      </c>
      <c r="BL53" s="897">
        <f t="shared" si="85"/>
        <v>0</v>
      </c>
      <c r="BM53" s="897">
        <f>J53*U53</f>
        <v>544988.40349000006</v>
      </c>
      <c r="BN53" s="897">
        <f>K53*V53</f>
        <v>87553.508800000011</v>
      </c>
      <c r="BO53" s="897">
        <f t="shared" si="85"/>
        <v>0</v>
      </c>
      <c r="BP53" s="897">
        <f t="shared" si="85"/>
        <v>0</v>
      </c>
      <c r="BQ53" s="897">
        <f>BL53+BM53+BN53+BO53+BP53</f>
        <v>632541.91229000012</v>
      </c>
      <c r="BR53" s="897">
        <f>BQ53-BP53</f>
        <v>632541.91229000012</v>
      </c>
      <c r="BS53" s="897">
        <f t="shared" si="86"/>
        <v>0</v>
      </c>
      <c r="BT53" s="897">
        <f>P53*AB53</f>
        <v>447562.59660000005</v>
      </c>
      <c r="BU53" s="897">
        <f>Q53*AC53</f>
        <v>70352.41320000001</v>
      </c>
      <c r="BV53" s="897">
        <f t="shared" si="57"/>
        <v>0</v>
      </c>
      <c r="BW53" s="897">
        <f t="shared" si="17"/>
        <v>0</v>
      </c>
      <c r="BX53" s="897">
        <f>BS53+BT53+BU53+BV53+BW53</f>
        <v>517915.00980000006</v>
      </c>
      <c r="BY53" s="897">
        <f>BX53-BW53</f>
        <v>517915.00980000006</v>
      </c>
      <c r="BZ53" s="905">
        <f t="shared" si="60"/>
        <v>992551.0000900001</v>
      </c>
      <c r="CA53" s="905">
        <f t="shared" si="60"/>
        <v>157905.92200000002</v>
      </c>
      <c r="CB53" s="905">
        <f t="shared" si="61"/>
        <v>1150456.92209</v>
      </c>
      <c r="CC53" s="907">
        <f t="shared" si="62"/>
        <v>3349.930811333491</v>
      </c>
      <c r="CD53" s="907">
        <f t="shared" si="62"/>
        <v>3348.3019932145894</v>
      </c>
      <c r="CE53" s="907">
        <f t="shared" si="38"/>
        <v>3349.7071541417959</v>
      </c>
      <c r="CF53" s="907">
        <f t="shared" si="18"/>
        <v>3349.7071541417968</v>
      </c>
      <c r="CG53" s="923">
        <f t="shared" si="19"/>
        <v>0</v>
      </c>
      <c r="CH53" s="923">
        <f t="shared" si="39"/>
        <v>0</v>
      </c>
      <c r="CI53" s="979"/>
      <c r="CJ53" s="897">
        <f>N53*Z53/1000</f>
        <v>1039.2667162</v>
      </c>
      <c r="CK53" s="897">
        <f t="shared" si="20"/>
        <v>777.10982279999996</v>
      </c>
      <c r="CL53" s="897">
        <f t="shared" si="40"/>
        <v>1816.3765389999999</v>
      </c>
      <c r="CM53" s="897">
        <f t="shared" si="41"/>
        <v>1816.3765389999999</v>
      </c>
      <c r="CN53" s="897">
        <f t="shared" si="42"/>
        <v>0</v>
      </c>
      <c r="CO53" s="897">
        <f t="shared" si="21"/>
        <v>1599111.7576863007</v>
      </c>
      <c r="CP53" s="897">
        <f t="shared" si="22"/>
        <v>1105523.9925500001</v>
      </c>
      <c r="CQ53" s="897">
        <f t="shared" si="23"/>
        <v>1105523.9925500003</v>
      </c>
      <c r="CR53" s="897">
        <f t="shared" si="24"/>
        <v>632541.91229000012</v>
      </c>
      <c r="CS53" s="897">
        <f t="shared" si="25"/>
        <v>1210547.9115000002</v>
      </c>
      <c r="CT53" s="897">
        <f t="shared" si="26"/>
        <v>1210547.9115000002</v>
      </c>
      <c r="CU53" s="897">
        <f t="shared" si="27"/>
        <v>517915.00980000006</v>
      </c>
      <c r="CV53" s="897">
        <f t="shared" si="43"/>
        <v>2316071.90405</v>
      </c>
      <c r="CW53" s="906">
        <f t="shared" si="44"/>
        <v>6743.549</v>
      </c>
      <c r="CX53" s="897">
        <f t="shared" si="28"/>
        <v>1105523.9925500001</v>
      </c>
      <c r="CY53" s="897">
        <f t="shared" si="29"/>
        <v>1210547.9115000002</v>
      </c>
      <c r="CZ53" s="897"/>
      <c r="DA53" s="897">
        <f t="shared" si="30"/>
        <v>1436652.4071889473</v>
      </c>
      <c r="DB53" s="897">
        <f t="shared" si="31"/>
        <v>1816376.5390000001</v>
      </c>
      <c r="DC53" s="1131"/>
      <c r="DD53" s="40">
        <f t="shared" si="45"/>
        <v>164.30005601328907</v>
      </c>
      <c r="DE53" s="1131"/>
      <c r="DF53" s="1131"/>
      <c r="DG53" s="1131"/>
      <c r="DH53" s="1043">
        <v>343.45</v>
      </c>
      <c r="DI53" s="1043">
        <v>343.45</v>
      </c>
      <c r="DJ53" s="1043">
        <f>DH53-DI53</f>
        <v>0</v>
      </c>
      <c r="DK53" s="979"/>
      <c r="DL53" s="908">
        <f t="shared" si="32"/>
        <v>0</v>
      </c>
      <c r="DM53" s="908">
        <f t="shared" si="33"/>
        <v>0</v>
      </c>
      <c r="DN53" s="908">
        <f t="shared" si="34"/>
        <v>0</v>
      </c>
      <c r="DO53" s="81"/>
      <c r="DP53" s="81"/>
      <c r="DQ53" s="81"/>
      <c r="DR53" s="81"/>
      <c r="DS53" s="81"/>
      <c r="DT53" s="81"/>
      <c r="DU53" s="81"/>
      <c r="DV53" s="81"/>
      <c r="DW53" s="81"/>
      <c r="DX53" s="81"/>
      <c r="DY53" s="81"/>
      <c r="DZ53" s="81"/>
      <c r="EA53" s="81"/>
      <c r="EB53" s="81"/>
      <c r="EC53" s="81"/>
      <c r="ED53" s="81"/>
      <c r="EE53" s="81"/>
      <c r="EF53" s="81"/>
      <c r="EG53" s="81"/>
      <c r="EH53" s="81"/>
      <c r="EI53" s="81"/>
      <c r="EJ53" s="81"/>
      <c r="EK53" s="81"/>
      <c r="EL53" s="81"/>
    </row>
    <row r="54" spans="1:142" s="50" customFormat="1" ht="61.5" hidden="1" customHeight="1">
      <c r="A54" s="6">
        <f t="shared" si="46"/>
        <v>41</v>
      </c>
      <c r="B54" s="886" t="s">
        <v>18</v>
      </c>
      <c r="C54" s="886" t="s">
        <v>138</v>
      </c>
      <c r="D54" s="1206" t="s">
        <v>95</v>
      </c>
      <c r="E54" s="886">
        <v>4611013586</v>
      </c>
      <c r="F54" s="886" t="s">
        <v>8</v>
      </c>
      <c r="G54" s="888" t="s">
        <v>950</v>
      </c>
      <c r="H54" s="1251">
        <v>4183.0030781451369</v>
      </c>
      <c r="I54" s="1252">
        <v>0</v>
      </c>
      <c r="J54" s="891">
        <v>3218.8790000000004</v>
      </c>
      <c r="K54" s="891">
        <v>3218.8790000000004</v>
      </c>
      <c r="L54" s="891">
        <v>0</v>
      </c>
      <c r="M54" s="946">
        <v>0</v>
      </c>
      <c r="N54" s="927">
        <v>5288.62</v>
      </c>
      <c r="O54" s="891">
        <v>0</v>
      </c>
      <c r="P54" s="891">
        <v>3524.67</v>
      </c>
      <c r="Q54" s="891">
        <v>3524.67</v>
      </c>
      <c r="R54" s="891">
        <v>0</v>
      </c>
      <c r="S54" s="946">
        <v>0</v>
      </c>
      <c r="T54" s="889">
        <v>0</v>
      </c>
      <c r="U54" s="890">
        <v>67.02</v>
      </c>
      <c r="V54" s="890">
        <v>0</v>
      </c>
      <c r="W54" s="890">
        <v>0</v>
      </c>
      <c r="X54" s="890">
        <v>0</v>
      </c>
      <c r="Y54" s="890">
        <v>0</v>
      </c>
      <c r="Z54" s="949">
        <f t="shared" si="8"/>
        <v>67.02</v>
      </c>
      <c r="AA54" s="974">
        <v>0</v>
      </c>
      <c r="AB54" s="890">
        <v>50.27</v>
      </c>
      <c r="AC54" s="890">
        <v>0</v>
      </c>
      <c r="AD54" s="890">
        <v>0</v>
      </c>
      <c r="AE54" s="890">
        <v>0</v>
      </c>
      <c r="AF54" s="890">
        <v>0</v>
      </c>
      <c r="AG54" s="951">
        <f t="shared" si="50"/>
        <v>50.27</v>
      </c>
      <c r="AH54" s="947">
        <f>Z54+AG54</f>
        <v>117.28999999999999</v>
      </c>
      <c r="AI54" s="890">
        <f t="shared" si="73"/>
        <v>0</v>
      </c>
      <c r="AJ54" s="948">
        <f>U54+AB54</f>
        <v>117.28999999999999</v>
      </c>
      <c r="AK54" s="890">
        <f t="shared" si="73"/>
        <v>0</v>
      </c>
      <c r="AL54" s="890">
        <f t="shared" si="73"/>
        <v>0</v>
      </c>
      <c r="AM54" s="890">
        <f t="shared" si="73"/>
        <v>0</v>
      </c>
      <c r="AN54" s="890"/>
      <c r="AO54" s="948">
        <f>SUM(AI54:AN54)</f>
        <v>117.28999999999999</v>
      </c>
      <c r="AP54" s="948">
        <f>SUM(AI54:AM54)</f>
        <v>117.28999999999999</v>
      </c>
      <c r="AQ54" s="949">
        <f>SUM(AI54:AL54)</f>
        <v>117.28999999999999</v>
      </c>
      <c r="AR54" s="973">
        <f t="shared" si="35"/>
        <v>0</v>
      </c>
      <c r="AS54" s="889">
        <f t="shared" si="74"/>
        <v>0</v>
      </c>
      <c r="AT54" s="890">
        <f t="shared" si="74"/>
        <v>377542.31791000004</v>
      </c>
      <c r="AU54" s="890">
        <f t="shared" si="74"/>
        <v>0</v>
      </c>
      <c r="AV54" s="890">
        <f t="shared" si="74"/>
        <v>0</v>
      </c>
      <c r="AW54" s="890">
        <f t="shared" si="74"/>
        <v>0</v>
      </c>
      <c r="AX54" s="890">
        <f t="shared" si="47"/>
        <v>377542.31791000004</v>
      </c>
      <c r="AY54" s="890">
        <f t="shared" si="48"/>
        <v>377542.31791000004</v>
      </c>
      <c r="AZ54" s="890">
        <f t="shared" si="75"/>
        <v>0</v>
      </c>
      <c r="BA54" s="890">
        <f t="shared" si="75"/>
        <v>413408.54430000001</v>
      </c>
      <c r="BB54" s="890">
        <f t="shared" si="75"/>
        <v>0</v>
      </c>
      <c r="BC54" s="890">
        <f t="shared" si="75"/>
        <v>0</v>
      </c>
      <c r="BD54" s="890">
        <f t="shared" si="75"/>
        <v>0</v>
      </c>
      <c r="BE54" s="890">
        <f t="shared" si="49"/>
        <v>413408.54430000001</v>
      </c>
      <c r="BF54" s="952">
        <f t="shared" si="52"/>
        <v>413408.54430000001</v>
      </c>
      <c r="BG54" s="974">
        <v>64.614999999999995</v>
      </c>
      <c r="BH54" s="890">
        <v>88.674000000000007</v>
      </c>
      <c r="BI54" s="948">
        <v>153.28899999999999</v>
      </c>
      <c r="BJ54" s="894">
        <v>855.25</v>
      </c>
      <c r="BK54" s="1200">
        <v>1440.48</v>
      </c>
      <c r="BL54" s="897">
        <f t="shared" si="85"/>
        <v>0</v>
      </c>
      <c r="BM54" s="897">
        <f>J54*U54</f>
        <v>215729.27058000001</v>
      </c>
      <c r="BN54" s="897">
        <f t="shared" si="85"/>
        <v>0</v>
      </c>
      <c r="BO54" s="897">
        <f t="shared" si="85"/>
        <v>0</v>
      </c>
      <c r="BP54" s="897">
        <f t="shared" si="85"/>
        <v>0</v>
      </c>
      <c r="BQ54" s="897">
        <f>BL54+BM54+BN54+BO54+BP54</f>
        <v>215729.27058000001</v>
      </c>
      <c r="BR54" s="897">
        <f>BQ54-BP54</f>
        <v>215729.27058000001</v>
      </c>
      <c r="BS54" s="897">
        <f t="shared" si="86"/>
        <v>0</v>
      </c>
      <c r="BT54" s="897">
        <f>P54*AB54</f>
        <v>177185.16090000002</v>
      </c>
      <c r="BU54" s="897">
        <f t="shared" si="86"/>
        <v>0</v>
      </c>
      <c r="BV54" s="897">
        <f t="shared" si="57"/>
        <v>0</v>
      </c>
      <c r="BW54" s="897">
        <f t="shared" si="17"/>
        <v>0</v>
      </c>
      <c r="BX54" s="897">
        <f>BS54+BT54+BU54+BV54+BW54</f>
        <v>177185.16090000002</v>
      </c>
      <c r="BY54" s="897">
        <f>BX54-BW54</f>
        <v>177185.16090000002</v>
      </c>
      <c r="BZ54" s="905">
        <f t="shared" si="60"/>
        <v>392914.43148000003</v>
      </c>
      <c r="CA54" s="905">
        <f t="shared" si="60"/>
        <v>0</v>
      </c>
      <c r="CB54" s="905">
        <f t="shared" si="61"/>
        <v>392914.43148000003</v>
      </c>
      <c r="CC54" s="907">
        <f t="shared" si="62"/>
        <v>3349.9397346747382</v>
      </c>
      <c r="CD54" s="907" t="e">
        <f t="shared" si="62"/>
        <v>#DIV/0!</v>
      </c>
      <c r="CE54" s="907">
        <f t="shared" si="38"/>
        <v>3349.9397346747382</v>
      </c>
      <c r="CF54" s="907">
        <f t="shared" si="18"/>
        <v>3349.9397346747382</v>
      </c>
      <c r="CG54" s="923">
        <f t="shared" si="19"/>
        <v>0</v>
      </c>
      <c r="CH54" s="923">
        <f t="shared" si="39"/>
        <v>0</v>
      </c>
      <c r="CI54" s="979"/>
      <c r="CJ54" s="897">
        <f>N54*Z54/1000</f>
        <v>354.44331239999997</v>
      </c>
      <c r="CK54" s="897">
        <f t="shared" si="20"/>
        <v>265.85892739999997</v>
      </c>
      <c r="CL54" s="897">
        <f t="shared" si="40"/>
        <v>620.30223979999994</v>
      </c>
      <c r="CM54" s="897">
        <f t="shared" si="41"/>
        <v>620.30223979999994</v>
      </c>
      <c r="CN54" s="897">
        <f t="shared" si="42"/>
        <v>0</v>
      </c>
      <c r="CO54" s="897">
        <f t="shared" si="21"/>
        <v>546203.7936972871</v>
      </c>
      <c r="CP54" s="897">
        <f t="shared" si="22"/>
        <v>377542.31791000004</v>
      </c>
      <c r="CQ54" s="897">
        <f t="shared" si="23"/>
        <v>377542.31791000004</v>
      </c>
      <c r="CR54" s="897">
        <f t="shared" si="24"/>
        <v>215729.27058000001</v>
      </c>
      <c r="CS54" s="897">
        <f t="shared" si="25"/>
        <v>413408.54430000001</v>
      </c>
      <c r="CT54" s="897">
        <f t="shared" si="26"/>
        <v>413408.54430000001</v>
      </c>
      <c r="CU54" s="897">
        <f t="shared" si="27"/>
        <v>177185.16090000002</v>
      </c>
      <c r="CV54" s="897">
        <f t="shared" si="43"/>
        <v>790950.86221000005</v>
      </c>
      <c r="CW54" s="906">
        <f t="shared" si="44"/>
        <v>6743.5490000000009</v>
      </c>
      <c r="CX54" s="897">
        <f t="shared" si="28"/>
        <v>377542.31791000004</v>
      </c>
      <c r="CY54" s="897">
        <f t="shared" si="29"/>
        <v>413408.54430000001</v>
      </c>
      <c r="CZ54" s="897"/>
      <c r="DA54" s="897">
        <f t="shared" si="30"/>
        <v>490624.43103564309</v>
      </c>
      <c r="DB54" s="897">
        <f t="shared" si="31"/>
        <v>620302.23979999998</v>
      </c>
      <c r="DC54" s="1131"/>
      <c r="DD54" s="40">
        <f t="shared" si="45"/>
        <v>164.30005601328907</v>
      </c>
      <c r="DE54" s="1131"/>
      <c r="DF54" s="1131"/>
      <c r="DG54" s="1131"/>
      <c r="DH54" s="1043">
        <v>117.28999999999999</v>
      </c>
      <c r="DI54" s="1043">
        <v>117.28999999999999</v>
      </c>
      <c r="DJ54" s="1043">
        <f>DH54-DI54</f>
        <v>0</v>
      </c>
      <c r="DK54" s="979"/>
      <c r="DL54" s="908">
        <f t="shared" si="32"/>
        <v>0</v>
      </c>
      <c r="DM54" s="908">
        <f t="shared" si="33"/>
        <v>0</v>
      </c>
      <c r="DN54" s="908">
        <f t="shared" si="34"/>
        <v>0</v>
      </c>
      <c r="DO54" s="81"/>
      <c r="DP54" s="81"/>
      <c r="DQ54" s="81"/>
      <c r="DR54" s="81"/>
      <c r="DS54" s="81"/>
      <c r="DT54" s="81"/>
      <c r="DU54" s="81"/>
      <c r="DV54" s="81"/>
      <c r="DW54" s="81"/>
      <c r="DX54" s="81"/>
      <c r="DY54" s="81"/>
      <c r="DZ54" s="81"/>
      <c r="EA54" s="81"/>
      <c r="EB54" s="81"/>
      <c r="EC54" s="81"/>
      <c r="ED54" s="81"/>
      <c r="EE54" s="81"/>
      <c r="EF54" s="81"/>
      <c r="EG54" s="81"/>
      <c r="EH54" s="81"/>
      <c r="EI54" s="81"/>
      <c r="EJ54" s="81"/>
      <c r="EK54" s="81"/>
      <c r="EL54" s="81"/>
    </row>
    <row r="55" spans="1:142" s="869" customFormat="1" ht="69.75" hidden="1" customHeight="1">
      <c r="A55" s="6">
        <f t="shared" si="46"/>
        <v>42</v>
      </c>
      <c r="B55" s="1395" t="s">
        <v>18</v>
      </c>
      <c r="C55" s="1395" t="s">
        <v>97</v>
      </c>
      <c r="D55" s="1262" t="s">
        <v>141</v>
      </c>
      <c r="E55" s="887">
        <v>4632024035</v>
      </c>
      <c r="F55" s="886" t="s">
        <v>8</v>
      </c>
      <c r="G55" s="1238" t="s">
        <v>983</v>
      </c>
      <c r="H55" s="1256">
        <v>3314.9639999999995</v>
      </c>
      <c r="I55" s="1257">
        <f>H55</f>
        <v>3314.9639999999995</v>
      </c>
      <c r="J55" s="891"/>
      <c r="K55" s="891"/>
      <c r="L55" s="1256">
        <v>3314.9639999999995</v>
      </c>
      <c r="M55" s="946"/>
      <c r="N55" s="1259">
        <f>3132.14*1.2</f>
        <v>3758.5679999999998</v>
      </c>
      <c r="O55" s="1260">
        <f>N55</f>
        <v>3758.5679999999998</v>
      </c>
      <c r="P55" s="891"/>
      <c r="Q55" s="891"/>
      <c r="R55" s="891">
        <f>O55</f>
        <v>3758.5679999999998</v>
      </c>
      <c r="S55" s="946"/>
      <c r="T55" s="1307">
        <v>3953.3850000000002</v>
      </c>
      <c r="U55" s="1366"/>
      <c r="V55" s="1366"/>
      <c r="W55" s="890"/>
      <c r="X55" s="890"/>
      <c r="Y55" s="890"/>
      <c r="Z55" s="1397">
        <f t="shared" si="8"/>
        <v>3953.3850000000002</v>
      </c>
      <c r="AA55" s="1308">
        <v>958.45</v>
      </c>
      <c r="AB55" s="1366"/>
      <c r="AC55" s="1366"/>
      <c r="AD55" s="890"/>
      <c r="AE55" s="890"/>
      <c r="AF55" s="890"/>
      <c r="AG55" s="951">
        <f t="shared" si="50"/>
        <v>958.45</v>
      </c>
      <c r="AH55" s="947">
        <f t="shared" si="51"/>
        <v>4911.835</v>
      </c>
      <c r="AI55" s="890">
        <f t="shared" si="73"/>
        <v>4911.835</v>
      </c>
      <c r="AJ55" s="890">
        <f t="shared" si="73"/>
        <v>0</v>
      </c>
      <c r="AK55" s="890">
        <f t="shared" si="73"/>
        <v>0</v>
      </c>
      <c r="AL55" s="890">
        <f t="shared" si="73"/>
        <v>0</v>
      </c>
      <c r="AM55" s="890">
        <f t="shared" si="73"/>
        <v>0</v>
      </c>
      <c r="AN55" s="890"/>
      <c r="AO55" s="890">
        <f t="shared" si="70"/>
        <v>4911.835</v>
      </c>
      <c r="AP55" s="890">
        <f t="shared" si="71"/>
        <v>4911.835</v>
      </c>
      <c r="AQ55" s="952">
        <f t="shared" si="72"/>
        <v>4911.835</v>
      </c>
      <c r="AR55" s="973">
        <f t="shared" si="35"/>
        <v>0</v>
      </c>
      <c r="AS55" s="889">
        <f t="shared" si="74"/>
        <v>16282556.198939998</v>
      </c>
      <c r="AT55" s="890">
        <f t="shared" si="74"/>
        <v>0</v>
      </c>
      <c r="AU55" s="890">
        <f t="shared" si="74"/>
        <v>0</v>
      </c>
      <c r="AV55" s="890">
        <f t="shared" si="74"/>
        <v>0</v>
      </c>
      <c r="AW55" s="890">
        <f t="shared" si="74"/>
        <v>0</v>
      </c>
      <c r="AX55" s="890">
        <f t="shared" si="47"/>
        <v>16282556.198939998</v>
      </c>
      <c r="AY55" s="890">
        <f t="shared" si="48"/>
        <v>16282556.198939998</v>
      </c>
      <c r="AZ55" s="890">
        <f t="shared" si="75"/>
        <v>18461465.852279998</v>
      </c>
      <c r="BA55" s="890">
        <f t="shared" si="75"/>
        <v>0</v>
      </c>
      <c r="BB55" s="890">
        <f t="shared" si="75"/>
        <v>0</v>
      </c>
      <c r="BC55" s="890">
        <f t="shared" si="75"/>
        <v>0</v>
      </c>
      <c r="BD55" s="890">
        <f t="shared" si="75"/>
        <v>0</v>
      </c>
      <c r="BE55" s="890">
        <f t="shared" si="49"/>
        <v>18461465.852279998</v>
      </c>
      <c r="BF55" s="952">
        <f t="shared" si="52"/>
        <v>18461465.852279998</v>
      </c>
      <c r="BG55" s="953">
        <f>(H55-J55)/1.2*U55/1000+(H55-K55)/1.2*V55/1000</f>
        <v>0</v>
      </c>
      <c r="BH55" s="954">
        <f>(O55-P55)*AB55/1000/1.2+(O55-Q55)/1.2*AC55/1000</f>
        <v>0</v>
      </c>
      <c r="BI55" s="955">
        <f>BG55+BH55</f>
        <v>0</v>
      </c>
      <c r="BJ55" s="890"/>
      <c r="BK55" s="1199"/>
      <c r="BL55" s="890">
        <f t="shared" si="85"/>
        <v>13105328.953139998</v>
      </c>
      <c r="BM55" s="890">
        <f t="shared" si="85"/>
        <v>0</v>
      </c>
      <c r="BN55" s="890">
        <f t="shared" si="85"/>
        <v>0</v>
      </c>
      <c r="BO55" s="890">
        <f t="shared" si="85"/>
        <v>0</v>
      </c>
      <c r="BP55" s="890">
        <f t="shared" si="85"/>
        <v>0</v>
      </c>
      <c r="BQ55" s="890">
        <f t="shared" si="54"/>
        <v>13105328.953139998</v>
      </c>
      <c r="BR55" s="890">
        <f t="shared" si="55"/>
        <v>13105328.953139998</v>
      </c>
      <c r="BS55" s="890">
        <f t="shared" si="86"/>
        <v>3602399.4995999997</v>
      </c>
      <c r="BT55" s="890">
        <f t="shared" si="86"/>
        <v>0</v>
      </c>
      <c r="BU55" s="890">
        <f t="shared" si="86"/>
        <v>0</v>
      </c>
      <c r="BV55" s="890">
        <f t="shared" si="57"/>
        <v>0</v>
      </c>
      <c r="BW55" s="890">
        <f t="shared" si="17"/>
        <v>0</v>
      </c>
      <c r="BX55" s="890">
        <f t="shared" si="58"/>
        <v>3602399.4995999997</v>
      </c>
      <c r="BY55" s="890">
        <f t="shared" si="59"/>
        <v>3602399.4995999997</v>
      </c>
      <c r="BZ55" s="945">
        <f t="shared" si="60"/>
        <v>0</v>
      </c>
      <c r="CA55" s="945">
        <f t="shared" si="60"/>
        <v>0</v>
      </c>
      <c r="CB55" s="945">
        <f t="shared" si="61"/>
        <v>0</v>
      </c>
      <c r="CC55" s="976" t="e">
        <f t="shared" si="62"/>
        <v>#DIV/0!</v>
      </c>
      <c r="CD55" s="976" t="e">
        <f t="shared" si="62"/>
        <v>#DIV/0!</v>
      </c>
      <c r="CE55" s="976" t="e">
        <f t="shared" si="38"/>
        <v>#DIV/0!</v>
      </c>
      <c r="CF55" s="945" t="e">
        <f t="shared" si="18"/>
        <v>#DIV/0!</v>
      </c>
      <c r="CG55" s="977">
        <f t="shared" si="19"/>
        <v>0</v>
      </c>
      <c r="CH55" s="977" t="e">
        <f t="shared" si="39"/>
        <v>#DIV/0!</v>
      </c>
      <c r="CI55" s="945"/>
      <c r="CJ55" s="1312">
        <f>H55*Z55/1000</f>
        <v>13105.328953139999</v>
      </c>
      <c r="CK55" s="1312">
        <f t="shared" si="20"/>
        <v>3602.3994995999997</v>
      </c>
      <c r="CL55" s="1312">
        <f t="shared" si="40"/>
        <v>16707.728452739997</v>
      </c>
      <c r="CM55" s="890">
        <f t="shared" si="41"/>
        <v>18461.465852279998</v>
      </c>
      <c r="CN55" s="890">
        <f t="shared" si="42"/>
        <v>1753.7373995400012</v>
      </c>
      <c r="CO55" s="890">
        <f t="shared" si="21"/>
        <v>16707728.452739999</v>
      </c>
      <c r="CP55" s="890">
        <f t="shared" si="22"/>
        <v>16282556.198939998</v>
      </c>
      <c r="CQ55" s="890">
        <f t="shared" si="23"/>
        <v>16282556.198939998</v>
      </c>
      <c r="CR55" s="890">
        <f t="shared" si="24"/>
        <v>13105328.953139998</v>
      </c>
      <c r="CS55" s="890">
        <f t="shared" si="25"/>
        <v>18461465.852279998</v>
      </c>
      <c r="CT55" s="890">
        <f t="shared" si="26"/>
        <v>18461465.852279998</v>
      </c>
      <c r="CU55" s="890">
        <f t="shared" si="27"/>
        <v>3602399.4995999997</v>
      </c>
      <c r="CV55" s="890">
        <f t="shared" si="43"/>
        <v>34744022.05122</v>
      </c>
      <c r="CW55" s="978">
        <f t="shared" si="44"/>
        <v>7073.5320000000002</v>
      </c>
      <c r="CX55" s="890">
        <f t="shared" si="28"/>
        <v>0</v>
      </c>
      <c r="CY55" s="890">
        <f t="shared" si="29"/>
        <v>0</v>
      </c>
      <c r="CZ55" s="890"/>
      <c r="DA55" s="890">
        <f t="shared" si="30"/>
        <v>16282556.198939998</v>
      </c>
      <c r="DB55" s="890">
        <f t="shared" si="31"/>
        <v>18461465.852279998</v>
      </c>
      <c r="DC55" s="840"/>
      <c r="DD55" s="841" t="e">
        <f t="shared" si="45"/>
        <v>#DIV/0!</v>
      </c>
      <c r="DE55" s="840"/>
      <c r="DF55" s="840"/>
      <c r="DG55" s="840"/>
      <c r="DH55" s="1050"/>
      <c r="DI55" s="1050"/>
      <c r="DJ55" s="1050"/>
      <c r="DK55" s="945"/>
      <c r="DL55" s="975">
        <f t="shared" si="32"/>
        <v>0</v>
      </c>
      <c r="DM55" s="975">
        <f t="shared" si="33"/>
        <v>0</v>
      </c>
      <c r="DN55" s="975">
        <f t="shared" si="34"/>
        <v>0</v>
      </c>
      <c r="DO55" s="816"/>
      <c r="DP55" s="871"/>
      <c r="DQ55" s="871"/>
      <c r="DR55" s="871"/>
      <c r="DS55" s="871"/>
      <c r="DT55" s="871"/>
      <c r="DU55" s="871"/>
      <c r="DV55" s="871"/>
      <c r="DW55" s="871"/>
      <c r="DX55" s="871"/>
      <c r="DY55" s="871"/>
      <c r="DZ55" s="871"/>
      <c r="EA55" s="871"/>
      <c r="EB55" s="871"/>
      <c r="EC55" s="871"/>
      <c r="ED55" s="871"/>
      <c r="EE55" s="871"/>
      <c r="EF55" s="871"/>
      <c r="EG55" s="871"/>
      <c r="EH55" s="871"/>
      <c r="EI55" s="871"/>
      <c r="EJ55" s="871"/>
      <c r="EK55" s="871"/>
      <c r="EL55" s="871"/>
    </row>
    <row r="56" spans="1:142" s="869" customFormat="1" ht="75.75" hidden="1" customHeight="1">
      <c r="A56" s="6">
        <f t="shared" si="46"/>
        <v>43</v>
      </c>
      <c r="B56" s="1395" t="s">
        <v>18</v>
      </c>
      <c r="C56" s="1395" t="s">
        <v>98</v>
      </c>
      <c r="D56" s="1262" t="s">
        <v>141</v>
      </c>
      <c r="E56" s="887">
        <v>4632024035</v>
      </c>
      <c r="F56" s="886" t="s">
        <v>8</v>
      </c>
      <c r="G56" s="1238" t="s">
        <v>983</v>
      </c>
      <c r="H56" s="1256">
        <v>3314.9639999999995</v>
      </c>
      <c r="I56" s="1257">
        <f>H56</f>
        <v>3314.9639999999995</v>
      </c>
      <c r="J56" s="891"/>
      <c r="K56" s="891"/>
      <c r="L56" s="1256">
        <v>3314.9639999999995</v>
      </c>
      <c r="M56" s="946"/>
      <c r="N56" s="1259">
        <f>3132.14*1.2</f>
        <v>3758.5679999999998</v>
      </c>
      <c r="O56" s="1260">
        <f>N56</f>
        <v>3758.5679999999998</v>
      </c>
      <c r="P56" s="891"/>
      <c r="Q56" s="891"/>
      <c r="R56" s="891">
        <f>O56</f>
        <v>3758.5679999999998</v>
      </c>
      <c r="S56" s="946"/>
      <c r="T56" s="1307">
        <v>345.18</v>
      </c>
      <c r="U56" s="1366"/>
      <c r="V56" s="1366"/>
      <c r="W56" s="890"/>
      <c r="X56" s="890"/>
      <c r="Y56" s="890"/>
      <c r="Z56" s="1397">
        <f t="shared" si="8"/>
        <v>345.18</v>
      </c>
      <c r="AA56" s="1308">
        <v>300.53999999999996</v>
      </c>
      <c r="AB56" s="1366"/>
      <c r="AC56" s="1366"/>
      <c r="AD56" s="890"/>
      <c r="AE56" s="890"/>
      <c r="AF56" s="890"/>
      <c r="AG56" s="951">
        <f t="shared" si="50"/>
        <v>300.53999999999996</v>
      </c>
      <c r="AH56" s="947">
        <f t="shared" si="51"/>
        <v>645.72</v>
      </c>
      <c r="AI56" s="890">
        <f t="shared" si="73"/>
        <v>645.72</v>
      </c>
      <c r="AJ56" s="890">
        <f t="shared" si="73"/>
        <v>0</v>
      </c>
      <c r="AK56" s="890">
        <f t="shared" si="73"/>
        <v>0</v>
      </c>
      <c r="AL56" s="890">
        <f t="shared" si="73"/>
        <v>0</v>
      </c>
      <c r="AM56" s="890">
        <f t="shared" si="73"/>
        <v>0</v>
      </c>
      <c r="AN56" s="890"/>
      <c r="AO56" s="890">
        <f t="shared" si="70"/>
        <v>645.72</v>
      </c>
      <c r="AP56" s="890">
        <f t="shared" si="71"/>
        <v>645.72</v>
      </c>
      <c r="AQ56" s="952">
        <f t="shared" si="72"/>
        <v>645.72</v>
      </c>
      <c r="AR56" s="973">
        <f t="shared" si="35"/>
        <v>0</v>
      </c>
      <c r="AS56" s="889">
        <f t="shared" si="74"/>
        <v>2140538.5540799997</v>
      </c>
      <c r="AT56" s="890">
        <f t="shared" si="74"/>
        <v>0</v>
      </c>
      <c r="AU56" s="890">
        <f t="shared" si="74"/>
        <v>0</v>
      </c>
      <c r="AV56" s="890">
        <f t="shared" si="74"/>
        <v>0</v>
      </c>
      <c r="AW56" s="890">
        <f t="shared" si="74"/>
        <v>0</v>
      </c>
      <c r="AX56" s="890">
        <f t="shared" si="47"/>
        <v>2140538.5540799997</v>
      </c>
      <c r="AY56" s="890">
        <f t="shared" si="48"/>
        <v>2140538.5540799997</v>
      </c>
      <c r="AZ56" s="890">
        <f t="shared" si="75"/>
        <v>2426982.5289599998</v>
      </c>
      <c r="BA56" s="890">
        <f t="shared" si="75"/>
        <v>0</v>
      </c>
      <c r="BB56" s="890">
        <f t="shared" si="75"/>
        <v>0</v>
      </c>
      <c r="BC56" s="890">
        <f t="shared" si="75"/>
        <v>0</v>
      </c>
      <c r="BD56" s="890">
        <f t="shared" si="75"/>
        <v>0</v>
      </c>
      <c r="BE56" s="890">
        <f t="shared" si="49"/>
        <v>2426982.5289599998</v>
      </c>
      <c r="BF56" s="952">
        <f t="shared" si="52"/>
        <v>2426982.5289599998</v>
      </c>
      <c r="BG56" s="953">
        <f>(H56-J56)/1.2*U56/1000+(H56-K56)/1.2*V56/1000</f>
        <v>0</v>
      </c>
      <c r="BH56" s="954">
        <f>(O56-P56)*AB56/1000/1.2+(O56-Q56)/1.2*AC56/1000</f>
        <v>0</v>
      </c>
      <c r="BI56" s="955">
        <f>BG56+BH56</f>
        <v>0</v>
      </c>
      <c r="BJ56" s="890"/>
      <c r="BK56" s="1199"/>
      <c r="BL56" s="890">
        <f t="shared" si="85"/>
        <v>1144259.2735199998</v>
      </c>
      <c r="BM56" s="890">
        <f t="shared" si="85"/>
        <v>0</v>
      </c>
      <c r="BN56" s="890">
        <f t="shared" si="85"/>
        <v>0</v>
      </c>
      <c r="BO56" s="890">
        <f t="shared" si="85"/>
        <v>0</v>
      </c>
      <c r="BP56" s="890">
        <f t="shared" si="85"/>
        <v>0</v>
      </c>
      <c r="BQ56" s="890">
        <f t="shared" si="54"/>
        <v>1144259.2735199998</v>
      </c>
      <c r="BR56" s="890">
        <f t="shared" si="55"/>
        <v>1144259.2735199998</v>
      </c>
      <c r="BS56" s="890">
        <f t="shared" si="86"/>
        <v>1129600.0267199997</v>
      </c>
      <c r="BT56" s="890">
        <f t="shared" si="86"/>
        <v>0</v>
      </c>
      <c r="BU56" s="890">
        <f t="shared" si="86"/>
        <v>0</v>
      </c>
      <c r="BV56" s="890">
        <f t="shared" si="57"/>
        <v>0</v>
      </c>
      <c r="BW56" s="890">
        <f t="shared" si="17"/>
        <v>0</v>
      </c>
      <c r="BX56" s="890">
        <f t="shared" si="58"/>
        <v>1129600.0267199997</v>
      </c>
      <c r="BY56" s="890">
        <f t="shared" si="59"/>
        <v>1129600.0267199997</v>
      </c>
      <c r="BZ56" s="945">
        <f t="shared" si="60"/>
        <v>0</v>
      </c>
      <c r="CA56" s="945">
        <f t="shared" si="60"/>
        <v>0</v>
      </c>
      <c r="CB56" s="945">
        <f t="shared" si="61"/>
        <v>0</v>
      </c>
      <c r="CC56" s="976" t="e">
        <f t="shared" si="62"/>
        <v>#DIV/0!</v>
      </c>
      <c r="CD56" s="976" t="e">
        <f t="shared" si="62"/>
        <v>#DIV/0!</v>
      </c>
      <c r="CE56" s="976" t="e">
        <f t="shared" si="38"/>
        <v>#DIV/0!</v>
      </c>
      <c r="CF56" s="945" t="e">
        <f t="shared" si="18"/>
        <v>#DIV/0!</v>
      </c>
      <c r="CG56" s="977">
        <f t="shared" si="19"/>
        <v>0</v>
      </c>
      <c r="CH56" s="977" t="e">
        <f t="shared" si="39"/>
        <v>#DIV/0!</v>
      </c>
      <c r="CI56" s="945"/>
      <c r="CJ56" s="1312">
        <f>H56*Z56/1000</f>
        <v>1144.2592735199999</v>
      </c>
      <c r="CK56" s="1312">
        <f t="shared" si="20"/>
        <v>1129.6000267199997</v>
      </c>
      <c r="CL56" s="1312">
        <f t="shared" si="40"/>
        <v>2273.8593002399994</v>
      </c>
      <c r="CM56" s="890">
        <f t="shared" si="41"/>
        <v>2426.9825289599999</v>
      </c>
      <c r="CN56" s="890">
        <f t="shared" si="42"/>
        <v>153.1232287200005</v>
      </c>
      <c r="CO56" s="890">
        <f t="shared" si="21"/>
        <v>2273859.3002399998</v>
      </c>
      <c r="CP56" s="890">
        <f t="shared" si="22"/>
        <v>2140538.5540799997</v>
      </c>
      <c r="CQ56" s="890">
        <f t="shared" si="23"/>
        <v>2140538.5540799997</v>
      </c>
      <c r="CR56" s="890">
        <f t="shared" si="24"/>
        <v>1144259.2735199998</v>
      </c>
      <c r="CS56" s="890">
        <f t="shared" si="25"/>
        <v>2426982.5289599998</v>
      </c>
      <c r="CT56" s="890">
        <f t="shared" si="26"/>
        <v>2426982.5289599998</v>
      </c>
      <c r="CU56" s="890">
        <f t="shared" si="27"/>
        <v>1129600.0267199997</v>
      </c>
      <c r="CV56" s="890">
        <f t="shared" si="43"/>
        <v>4567521.083039999</v>
      </c>
      <c r="CW56" s="978">
        <f t="shared" si="44"/>
        <v>7073.5319999999983</v>
      </c>
      <c r="CX56" s="890">
        <f t="shared" si="28"/>
        <v>0</v>
      </c>
      <c r="CY56" s="890">
        <f t="shared" si="29"/>
        <v>0</v>
      </c>
      <c r="CZ56" s="890"/>
      <c r="DA56" s="890">
        <f t="shared" si="30"/>
        <v>2140538.5540799997</v>
      </c>
      <c r="DB56" s="890">
        <f t="shared" si="31"/>
        <v>2426982.5289599998</v>
      </c>
      <c r="DC56" s="840"/>
      <c r="DD56" s="841" t="e">
        <f t="shared" si="45"/>
        <v>#DIV/0!</v>
      </c>
      <c r="DE56" s="840"/>
      <c r="DF56" s="840"/>
      <c r="DG56" s="840"/>
      <c r="DH56" s="1050"/>
      <c r="DI56" s="1050"/>
      <c r="DJ56" s="1050"/>
      <c r="DK56" s="945"/>
      <c r="DL56" s="975">
        <f t="shared" si="32"/>
        <v>0</v>
      </c>
      <c r="DM56" s="975">
        <f t="shared" si="33"/>
        <v>0</v>
      </c>
      <c r="DN56" s="975">
        <f t="shared" si="34"/>
        <v>0</v>
      </c>
      <c r="DO56" s="816"/>
      <c r="DP56" s="871"/>
      <c r="DQ56" s="871"/>
      <c r="DR56" s="871"/>
      <c r="DS56" s="871"/>
      <c r="DT56" s="871"/>
      <c r="DU56" s="871"/>
      <c r="DV56" s="871"/>
      <c r="DW56" s="871"/>
      <c r="DX56" s="871"/>
      <c r="DY56" s="871"/>
      <c r="DZ56" s="871"/>
      <c r="EA56" s="871"/>
      <c r="EB56" s="871"/>
      <c r="EC56" s="871"/>
      <c r="ED56" s="871"/>
      <c r="EE56" s="871"/>
      <c r="EF56" s="871"/>
      <c r="EG56" s="871"/>
      <c r="EH56" s="871"/>
      <c r="EI56" s="871"/>
      <c r="EJ56" s="871"/>
      <c r="EK56" s="871"/>
      <c r="EL56" s="871"/>
    </row>
    <row r="57" spans="1:142" s="50" customFormat="1" ht="69" hidden="1" customHeight="1">
      <c r="A57" s="6">
        <f t="shared" si="46"/>
        <v>44</v>
      </c>
      <c r="B57" s="886" t="s">
        <v>18</v>
      </c>
      <c r="C57" s="886" t="s">
        <v>183</v>
      </c>
      <c r="D57" s="1206" t="s">
        <v>96</v>
      </c>
      <c r="E57" s="886">
        <v>4611013586</v>
      </c>
      <c r="F57" s="886" t="s">
        <v>8</v>
      </c>
      <c r="G57" s="888" t="s">
        <v>950</v>
      </c>
      <c r="H57" s="1249">
        <v>4183.0030781451369</v>
      </c>
      <c r="I57" s="1250">
        <v>0</v>
      </c>
      <c r="J57" s="891">
        <v>2677.8195000000001</v>
      </c>
      <c r="K57" s="891">
        <v>2677.8195000000001</v>
      </c>
      <c r="L57" s="891">
        <v>0</v>
      </c>
      <c r="M57" s="946">
        <v>0</v>
      </c>
      <c r="N57" s="927">
        <v>5288.62</v>
      </c>
      <c r="O57" s="891">
        <v>0</v>
      </c>
      <c r="P57" s="891">
        <v>3052.71</v>
      </c>
      <c r="Q57" s="891">
        <v>3052.71</v>
      </c>
      <c r="R57" s="891">
        <v>0</v>
      </c>
      <c r="S57" s="946">
        <v>0</v>
      </c>
      <c r="T57" s="889">
        <v>0</v>
      </c>
      <c r="U57" s="894">
        <v>268.60000000000002</v>
      </c>
      <c r="V57" s="894">
        <v>97.13</v>
      </c>
      <c r="W57" s="890">
        <v>0</v>
      </c>
      <c r="X57" s="890">
        <v>0</v>
      </c>
      <c r="Y57" s="945">
        <v>0</v>
      </c>
      <c r="Z57" s="949">
        <f>SUM(T57:W57)</f>
        <v>365.73</v>
      </c>
      <c r="AA57" s="974">
        <v>0</v>
      </c>
      <c r="AB57" s="894">
        <v>192.89</v>
      </c>
      <c r="AC57" s="894">
        <v>74.430000000000007</v>
      </c>
      <c r="AD57" s="890">
        <v>0</v>
      </c>
      <c r="AE57" s="890">
        <v>0</v>
      </c>
      <c r="AF57" s="890">
        <v>0</v>
      </c>
      <c r="AG57" s="951">
        <f>SUM(AA57:AD57)</f>
        <v>267.32</v>
      </c>
      <c r="AH57" s="947">
        <f>Z57+AG57</f>
        <v>633.04999999999995</v>
      </c>
      <c r="AI57" s="890">
        <f t="shared" si="73"/>
        <v>0</v>
      </c>
      <c r="AJ57" s="890">
        <f t="shared" si="73"/>
        <v>461.49</v>
      </c>
      <c r="AK57" s="894">
        <f t="shared" si="73"/>
        <v>171.56</v>
      </c>
      <c r="AL57" s="890">
        <f t="shared" si="73"/>
        <v>0</v>
      </c>
      <c r="AM57" s="890">
        <f t="shared" si="73"/>
        <v>0</v>
      </c>
      <c r="AN57" s="890"/>
      <c r="AO57" s="890">
        <f>SUM(AI57:AN57)</f>
        <v>633.04999999999995</v>
      </c>
      <c r="AP57" s="890">
        <f>SUM(AI57:AM57)</f>
        <v>633.04999999999995</v>
      </c>
      <c r="AQ57" s="952">
        <f>SUM(AI57:AL57)</f>
        <v>633.04999999999995</v>
      </c>
      <c r="AR57" s="973">
        <f t="shared" si="35"/>
        <v>0</v>
      </c>
      <c r="AS57" s="889">
        <f t="shared" ref="AS57:AW86" si="87">I57*AI57</f>
        <v>0</v>
      </c>
      <c r="AT57" s="890">
        <f t="shared" si="87"/>
        <v>1235786.921055</v>
      </c>
      <c r="AU57" s="890">
        <f t="shared" si="87"/>
        <v>459406.71342000004</v>
      </c>
      <c r="AV57" s="890">
        <f t="shared" si="87"/>
        <v>0</v>
      </c>
      <c r="AW57" s="890">
        <f t="shared" si="87"/>
        <v>0</v>
      </c>
      <c r="AX57" s="890">
        <f t="shared" si="47"/>
        <v>1695193.6344750002</v>
      </c>
      <c r="AY57" s="890">
        <f t="shared" si="48"/>
        <v>1695193.6344750002</v>
      </c>
      <c r="AZ57" s="890">
        <f t="shared" ref="AZ57:BD86" si="88">O57*AI57</f>
        <v>0</v>
      </c>
      <c r="BA57" s="890">
        <f t="shared" si="88"/>
        <v>1408795.1379</v>
      </c>
      <c r="BB57" s="890">
        <f t="shared" si="88"/>
        <v>523722.9276</v>
      </c>
      <c r="BC57" s="890">
        <f t="shared" si="88"/>
        <v>0</v>
      </c>
      <c r="BD57" s="890">
        <f t="shared" si="88"/>
        <v>0</v>
      </c>
      <c r="BE57" s="890">
        <f t="shared" si="49"/>
        <v>1932518.0655</v>
      </c>
      <c r="BF57" s="952">
        <f t="shared" si="52"/>
        <v>1932518.0655</v>
      </c>
      <c r="BG57" s="974">
        <v>550.49199999999996</v>
      </c>
      <c r="BH57" s="890">
        <v>597.70799999999997</v>
      </c>
      <c r="BI57" s="948">
        <v>1148.2</v>
      </c>
      <c r="BJ57" s="894">
        <v>2986.58</v>
      </c>
      <c r="BK57" s="1200">
        <v>4746.8999999999996</v>
      </c>
      <c r="BL57" s="897">
        <f t="shared" si="85"/>
        <v>0</v>
      </c>
      <c r="BM57" s="897">
        <f>J57*U57</f>
        <v>719262.31770000013</v>
      </c>
      <c r="BN57" s="897">
        <f>K57*V57</f>
        <v>260096.60803499998</v>
      </c>
      <c r="BO57" s="897">
        <f t="shared" si="85"/>
        <v>0</v>
      </c>
      <c r="BP57" s="897">
        <f t="shared" si="85"/>
        <v>0</v>
      </c>
      <c r="BQ57" s="897">
        <f>BL57+BM57+BN57+BO57+BP57</f>
        <v>979358.92573500006</v>
      </c>
      <c r="BR57" s="897">
        <f>BQ57-BP57</f>
        <v>979358.92573500006</v>
      </c>
      <c r="BS57" s="897">
        <f t="shared" si="86"/>
        <v>0</v>
      </c>
      <c r="BT57" s="897">
        <f>P57*AB57</f>
        <v>588837.23190000001</v>
      </c>
      <c r="BU57" s="897">
        <f>Q57*AC57</f>
        <v>227213.20530000003</v>
      </c>
      <c r="BV57" s="897">
        <f t="shared" si="57"/>
        <v>0</v>
      </c>
      <c r="BW57" s="897">
        <f t="shared" si="17"/>
        <v>0</v>
      </c>
      <c r="BX57" s="897">
        <f>BS57+BT57+BU57+BV57+BW57</f>
        <v>816050.43720000004</v>
      </c>
      <c r="BY57" s="897">
        <f>BX57-BW57</f>
        <v>816050.43720000004</v>
      </c>
      <c r="BZ57" s="905">
        <f t="shared" si="60"/>
        <v>1308099.5496</v>
      </c>
      <c r="CA57" s="905">
        <f t="shared" si="60"/>
        <v>487309.81333500001</v>
      </c>
      <c r="CB57" s="905">
        <f t="shared" si="61"/>
        <v>1795409.3629350001</v>
      </c>
      <c r="CC57" s="907">
        <f t="shared" si="62"/>
        <v>2834.5133146980434</v>
      </c>
      <c r="CD57" s="907">
        <f t="shared" si="62"/>
        <v>2840.4628895721612</v>
      </c>
      <c r="CE57" s="907">
        <f t="shared" si="38"/>
        <v>2836.1256819129612</v>
      </c>
      <c r="CF57" s="907">
        <f t="shared" si="18"/>
        <v>2836.1256819129612</v>
      </c>
      <c r="CG57" s="923">
        <f t="shared" si="19"/>
        <v>0</v>
      </c>
      <c r="CH57" s="923">
        <f t="shared" si="39"/>
        <v>0</v>
      </c>
      <c r="CI57" s="979"/>
      <c r="CJ57" s="897">
        <f>N57*Z57/1000</f>
        <v>1934.2069925999999</v>
      </c>
      <c r="CK57" s="897">
        <f t="shared" si="20"/>
        <v>1413.7538983999998</v>
      </c>
      <c r="CL57" s="897">
        <f t="shared" si="40"/>
        <v>3347.9608909999997</v>
      </c>
      <c r="CM57" s="897">
        <f t="shared" si="41"/>
        <v>3347.9608909999997</v>
      </c>
      <c r="CN57" s="897">
        <f t="shared" si="42"/>
        <v>0</v>
      </c>
      <c r="CO57" s="897">
        <f t="shared" si="21"/>
        <v>2943603.6141700209</v>
      </c>
      <c r="CP57" s="897">
        <f t="shared" si="22"/>
        <v>1695193.6344750002</v>
      </c>
      <c r="CQ57" s="897">
        <f t="shared" si="23"/>
        <v>1695193.634475</v>
      </c>
      <c r="CR57" s="897">
        <f t="shared" si="24"/>
        <v>979358.92573500006</v>
      </c>
      <c r="CS57" s="897">
        <f t="shared" si="25"/>
        <v>1932518.0655</v>
      </c>
      <c r="CT57" s="897">
        <f t="shared" si="26"/>
        <v>1932518.0654999998</v>
      </c>
      <c r="CU57" s="897">
        <f t="shared" si="27"/>
        <v>816050.43720000004</v>
      </c>
      <c r="CV57" s="897">
        <f t="shared" si="43"/>
        <v>3627711.6999750002</v>
      </c>
      <c r="CW57" s="906">
        <f t="shared" si="44"/>
        <v>5730.5295000000006</v>
      </c>
      <c r="CX57" s="897">
        <f t="shared" si="28"/>
        <v>1695193.6344750002</v>
      </c>
      <c r="CY57" s="897">
        <f t="shared" si="29"/>
        <v>1932518.0655</v>
      </c>
      <c r="CZ57" s="897"/>
      <c r="DA57" s="897">
        <f t="shared" si="30"/>
        <v>2648050.0986197791</v>
      </c>
      <c r="DB57" s="897">
        <f t="shared" si="31"/>
        <v>3347960.8909999998</v>
      </c>
      <c r="DC57" s="1131"/>
      <c r="DD57" s="40">
        <f t="shared" si="45"/>
        <v>197.49725476269032</v>
      </c>
      <c r="DE57" s="1131"/>
      <c r="DF57" s="1131"/>
      <c r="DG57" s="1131"/>
      <c r="DH57" s="1043">
        <v>633.04999999999995</v>
      </c>
      <c r="DI57" s="1043">
        <v>633.04999999999995</v>
      </c>
      <c r="DJ57" s="1043">
        <v>0</v>
      </c>
      <c r="DK57" s="979"/>
      <c r="DL57" s="908">
        <f t="shared" si="32"/>
        <v>0</v>
      </c>
      <c r="DM57" s="908">
        <f t="shared" si="33"/>
        <v>0</v>
      </c>
      <c r="DN57" s="908">
        <f t="shared" si="34"/>
        <v>0</v>
      </c>
      <c r="DO57" s="81"/>
      <c r="DP57" s="81"/>
      <c r="DQ57" s="81"/>
      <c r="DR57" s="81"/>
      <c r="DS57" s="81"/>
      <c r="DT57" s="81"/>
      <c r="DU57" s="81"/>
      <c r="DV57" s="81"/>
      <c r="DW57" s="81"/>
      <c r="DX57" s="81"/>
      <c r="DY57" s="81"/>
      <c r="DZ57" s="81"/>
      <c r="EA57" s="81"/>
      <c r="EB57" s="81"/>
      <c r="EC57" s="81"/>
      <c r="ED57" s="81"/>
      <c r="EE57" s="81"/>
      <c r="EF57" s="81"/>
      <c r="EG57" s="81"/>
      <c r="EH57" s="81"/>
      <c r="EI57" s="81"/>
      <c r="EJ57" s="81"/>
      <c r="EK57" s="81"/>
      <c r="EL57" s="81"/>
    </row>
    <row r="58" spans="1:142" s="869" customFormat="1" ht="76.5" hidden="1" customHeight="1">
      <c r="A58" s="6">
        <f t="shared" si="46"/>
        <v>45</v>
      </c>
      <c r="B58" s="1399" t="s">
        <v>19</v>
      </c>
      <c r="C58" s="1399" t="s">
        <v>62</v>
      </c>
      <c r="D58" s="1262" t="s">
        <v>141</v>
      </c>
      <c r="E58" s="887">
        <v>4632024035</v>
      </c>
      <c r="F58" s="886" t="s">
        <v>8</v>
      </c>
      <c r="G58" s="1238" t="s">
        <v>983</v>
      </c>
      <c r="H58" s="1268">
        <f>1882.72*1.2</f>
        <v>2259.2640000000001</v>
      </c>
      <c r="I58" s="1269">
        <f>H58</f>
        <v>2259.2640000000001</v>
      </c>
      <c r="J58" s="1270">
        <v>771.73</v>
      </c>
      <c r="K58" s="1270"/>
      <c r="L58" s="1270">
        <f>H58</f>
        <v>2259.2640000000001</v>
      </c>
      <c r="M58" s="1271"/>
      <c r="N58" s="1265">
        <f>2259.08*1.2</f>
        <v>2710.8959999999997</v>
      </c>
      <c r="O58" s="1266">
        <f>N58</f>
        <v>2710.8959999999997</v>
      </c>
      <c r="P58" s="1266">
        <v>882.78</v>
      </c>
      <c r="Q58" s="1266"/>
      <c r="R58" s="891">
        <f>O58</f>
        <v>2710.8959999999997</v>
      </c>
      <c r="S58" s="1267"/>
      <c r="T58" s="1370">
        <v>12206.83</v>
      </c>
      <c r="U58" s="1366">
        <v>2152.96</v>
      </c>
      <c r="V58" s="1366"/>
      <c r="W58" s="890"/>
      <c r="X58" s="890"/>
      <c r="Y58" s="890"/>
      <c r="Z58" s="1398">
        <f t="shared" si="8"/>
        <v>14359.79</v>
      </c>
      <c r="AA58" s="1371">
        <v>8719.17</v>
      </c>
      <c r="AB58" s="1366">
        <v>1614.72</v>
      </c>
      <c r="AC58" s="1366"/>
      <c r="AD58" s="890"/>
      <c r="AE58" s="890"/>
      <c r="AF58" s="890"/>
      <c r="AG58" s="951">
        <f t="shared" si="50"/>
        <v>10333.89</v>
      </c>
      <c r="AH58" s="947">
        <f t="shared" si="51"/>
        <v>24693.68</v>
      </c>
      <c r="AI58" s="890">
        <f t="shared" si="73"/>
        <v>20926</v>
      </c>
      <c r="AJ58" s="890">
        <f t="shared" si="73"/>
        <v>3767.6800000000003</v>
      </c>
      <c r="AK58" s="890">
        <f t="shared" si="73"/>
        <v>0</v>
      </c>
      <c r="AL58" s="890">
        <f t="shared" si="73"/>
        <v>0</v>
      </c>
      <c r="AM58" s="890">
        <f t="shared" si="73"/>
        <v>0</v>
      </c>
      <c r="AN58" s="890"/>
      <c r="AO58" s="890">
        <f t="shared" si="70"/>
        <v>24693.68</v>
      </c>
      <c r="AP58" s="890">
        <f t="shared" si="71"/>
        <v>24693.68</v>
      </c>
      <c r="AQ58" s="952">
        <f t="shared" si="72"/>
        <v>24693.68</v>
      </c>
      <c r="AR58" s="973">
        <f t="shared" si="35"/>
        <v>0</v>
      </c>
      <c r="AS58" s="889">
        <f t="shared" si="87"/>
        <v>47277358.464000002</v>
      </c>
      <c r="AT58" s="890">
        <f t="shared" si="87"/>
        <v>2907631.6864000005</v>
      </c>
      <c r="AU58" s="890">
        <f t="shared" si="87"/>
        <v>0</v>
      </c>
      <c r="AV58" s="890">
        <f t="shared" si="87"/>
        <v>0</v>
      </c>
      <c r="AW58" s="890">
        <f t="shared" si="87"/>
        <v>0</v>
      </c>
      <c r="AX58" s="890">
        <f t="shared" si="47"/>
        <v>50184990.150400005</v>
      </c>
      <c r="AY58" s="890">
        <f t="shared" si="48"/>
        <v>50184990.150400005</v>
      </c>
      <c r="AZ58" s="890">
        <f t="shared" si="88"/>
        <v>56728209.695999995</v>
      </c>
      <c r="BA58" s="890">
        <f t="shared" si="88"/>
        <v>3326032.5504000001</v>
      </c>
      <c r="BB58" s="890">
        <f t="shared" si="88"/>
        <v>0</v>
      </c>
      <c r="BC58" s="890">
        <f t="shared" si="88"/>
        <v>0</v>
      </c>
      <c r="BD58" s="890">
        <f t="shared" si="88"/>
        <v>0</v>
      </c>
      <c r="BE58" s="890">
        <f t="shared" si="49"/>
        <v>60054242.246399999</v>
      </c>
      <c r="BF58" s="952">
        <f t="shared" si="52"/>
        <v>60054242.246399999</v>
      </c>
      <c r="BG58" s="953">
        <f t="shared" ref="BG58:BG66" si="89">(H58-J58)/1.2*U58/1000+(H58-K58)/1.2*V58/1000</f>
        <v>2668.8343338666668</v>
      </c>
      <c r="BH58" s="954">
        <f t="shared" ref="BH58:BH66" si="90">(O58-P58)*AB58/1000/1.2+(O58-Q58)/1.2*AC58/1000</f>
        <v>2459.9128895999997</v>
      </c>
      <c r="BI58" s="955">
        <f t="shared" ref="BI58:BI66" si="91">BG58+BH58</f>
        <v>5128.7472234666666</v>
      </c>
      <c r="BJ58" s="975"/>
      <c r="BK58" s="1198"/>
      <c r="BL58" s="890">
        <f t="shared" si="85"/>
        <v>27578451.573120002</v>
      </c>
      <c r="BM58" s="890">
        <f t="shared" si="85"/>
        <v>1661503.8208000001</v>
      </c>
      <c r="BN58" s="890">
        <f t="shared" si="85"/>
        <v>0</v>
      </c>
      <c r="BO58" s="890">
        <f t="shared" si="85"/>
        <v>0</v>
      </c>
      <c r="BP58" s="890">
        <f t="shared" si="85"/>
        <v>0</v>
      </c>
      <c r="BQ58" s="890">
        <f t="shared" si="54"/>
        <v>29239955.393920001</v>
      </c>
      <c r="BR58" s="890">
        <f t="shared" si="55"/>
        <v>29239955.393920001</v>
      </c>
      <c r="BS58" s="890">
        <f t="shared" si="86"/>
        <v>23636763.076319996</v>
      </c>
      <c r="BT58" s="890">
        <f t="shared" si="86"/>
        <v>1425442.5216000001</v>
      </c>
      <c r="BU58" s="890">
        <f t="shared" si="86"/>
        <v>0</v>
      </c>
      <c r="BV58" s="890">
        <f t="shared" si="57"/>
        <v>0</v>
      </c>
      <c r="BW58" s="890">
        <f t="shared" si="17"/>
        <v>0</v>
      </c>
      <c r="BX58" s="890">
        <f t="shared" si="58"/>
        <v>25062205.597919997</v>
      </c>
      <c r="BY58" s="890">
        <f t="shared" si="59"/>
        <v>25062205.597919997</v>
      </c>
      <c r="BZ58" s="945">
        <f t="shared" si="60"/>
        <v>3086946.3424000004</v>
      </c>
      <c r="CA58" s="945">
        <f t="shared" si="60"/>
        <v>0</v>
      </c>
      <c r="CB58" s="945">
        <f t="shared" si="61"/>
        <v>3086946.3424000004</v>
      </c>
      <c r="CC58" s="976">
        <f t="shared" si="62"/>
        <v>819.32285714285717</v>
      </c>
      <c r="CD58" s="976" t="e">
        <f t="shared" si="62"/>
        <v>#DIV/0!</v>
      </c>
      <c r="CE58" s="976">
        <f t="shared" si="38"/>
        <v>819.32285714285717</v>
      </c>
      <c r="CF58" s="976">
        <f t="shared" si="18"/>
        <v>819.32285714285717</v>
      </c>
      <c r="CG58" s="977">
        <f t="shared" si="19"/>
        <v>9241443.0105600003</v>
      </c>
      <c r="CH58" s="977">
        <f t="shared" si="39"/>
        <v>2452.8205714285714</v>
      </c>
      <c r="CI58" s="945"/>
      <c r="CJ58" s="1312">
        <f t="shared" ref="CJ58:CJ66" si="92">H58*Z58/1000</f>
        <v>32442.556594560006</v>
      </c>
      <c r="CK58" s="1312">
        <f t="shared" si="20"/>
        <v>28014.101065439994</v>
      </c>
      <c r="CL58" s="1312">
        <f t="shared" si="40"/>
        <v>60456.657659999997</v>
      </c>
      <c r="CM58" s="890">
        <f t="shared" si="41"/>
        <v>66941.998337279991</v>
      </c>
      <c r="CN58" s="1274">
        <f t="shared" si="42"/>
        <v>6485.3406772799935</v>
      </c>
      <c r="CO58" s="890">
        <f t="shared" si="21"/>
        <v>60456657.659999996</v>
      </c>
      <c r="CP58" s="890">
        <f t="shared" si="22"/>
        <v>50184990.150400005</v>
      </c>
      <c r="CQ58" s="890">
        <f t="shared" si="23"/>
        <v>50184990.150400005</v>
      </c>
      <c r="CR58" s="890">
        <f t="shared" si="24"/>
        <v>29239955.393920001</v>
      </c>
      <c r="CS58" s="890">
        <f t="shared" si="25"/>
        <v>60054242.246399999</v>
      </c>
      <c r="CT58" s="890">
        <f t="shared" si="26"/>
        <v>60054242.246399999</v>
      </c>
      <c r="CU58" s="890">
        <f t="shared" si="27"/>
        <v>25062205.597919997</v>
      </c>
      <c r="CV58" s="890">
        <f t="shared" si="43"/>
        <v>110239232.39680001</v>
      </c>
      <c r="CW58" s="978">
        <f t="shared" si="44"/>
        <v>4464.2690922049696</v>
      </c>
      <c r="CX58" s="890">
        <f t="shared" si="28"/>
        <v>2907631.6864000005</v>
      </c>
      <c r="CY58" s="890">
        <f t="shared" si="29"/>
        <v>3326032.5504000001</v>
      </c>
      <c r="CZ58" s="890"/>
      <c r="DA58" s="890">
        <f t="shared" si="30"/>
        <v>55789542.25152</v>
      </c>
      <c r="DB58" s="890">
        <f t="shared" si="31"/>
        <v>66941998.33727999</v>
      </c>
      <c r="DC58" s="1132"/>
      <c r="DD58" s="841">
        <f t="shared" si="45"/>
        <v>351.27518691770433</v>
      </c>
      <c r="DE58" s="1132"/>
      <c r="DF58" s="1132"/>
      <c r="DG58" s="1132"/>
      <c r="DH58" s="1050"/>
      <c r="DI58" s="1050"/>
      <c r="DJ58" s="1050"/>
      <c r="DK58" s="1009"/>
      <c r="DL58" s="975">
        <f t="shared" si="32"/>
        <v>0</v>
      </c>
      <c r="DM58" s="975">
        <f t="shared" si="33"/>
        <v>0</v>
      </c>
      <c r="DN58" s="975">
        <f t="shared" si="34"/>
        <v>0</v>
      </c>
      <c r="DO58" s="871"/>
      <c r="DP58" s="871"/>
      <c r="DQ58" s="871"/>
      <c r="DR58" s="871"/>
      <c r="DS58" s="871"/>
      <c r="DT58" s="871"/>
      <c r="DU58" s="871"/>
      <c r="DV58" s="871"/>
      <c r="DW58" s="871"/>
      <c r="DX58" s="871"/>
      <c r="DY58" s="871"/>
      <c r="DZ58" s="871"/>
      <c r="EA58" s="871"/>
      <c r="EB58" s="871"/>
      <c r="EC58" s="871"/>
      <c r="ED58" s="871"/>
      <c r="EE58" s="871"/>
      <c r="EF58" s="871"/>
      <c r="EG58" s="871"/>
      <c r="EH58" s="871"/>
      <c r="EI58" s="871"/>
      <c r="EJ58" s="871"/>
      <c r="EK58" s="871"/>
      <c r="EL58" s="871"/>
    </row>
    <row r="59" spans="1:142" s="869" customFormat="1" ht="73.5" hidden="1" customHeight="1">
      <c r="A59" s="6">
        <f t="shared" si="46"/>
        <v>46</v>
      </c>
      <c r="B59" s="1399" t="s">
        <v>19</v>
      </c>
      <c r="C59" s="1399" t="s">
        <v>280</v>
      </c>
      <c r="D59" s="1262" t="s">
        <v>141</v>
      </c>
      <c r="E59" s="887">
        <v>4632024035</v>
      </c>
      <c r="F59" s="886" t="s">
        <v>8</v>
      </c>
      <c r="G59" s="1238" t="s">
        <v>983</v>
      </c>
      <c r="H59" s="1268">
        <f>1882.72*1.2</f>
        <v>2259.2640000000001</v>
      </c>
      <c r="I59" s="1269">
        <f>H59</f>
        <v>2259.2640000000001</v>
      </c>
      <c r="J59" s="1270">
        <v>780.3</v>
      </c>
      <c r="K59" s="1270"/>
      <c r="L59" s="1270">
        <f>H59</f>
        <v>2259.2640000000001</v>
      </c>
      <c r="M59" s="1271"/>
      <c r="N59" s="1265">
        <f>2259.08*1.2</f>
        <v>2710.8959999999997</v>
      </c>
      <c r="O59" s="1273">
        <f>N59</f>
        <v>2710.8959999999997</v>
      </c>
      <c r="P59" s="1273">
        <v>882.78</v>
      </c>
      <c r="Q59" s="1272"/>
      <c r="R59" s="891">
        <f>O59</f>
        <v>2710.8959999999997</v>
      </c>
      <c r="S59" s="952"/>
      <c r="T59" s="1370">
        <v>1099.02</v>
      </c>
      <c r="U59" s="1366">
        <v>2970.0699999999997</v>
      </c>
      <c r="V59" s="1366"/>
      <c r="W59" s="1275"/>
      <c r="X59" s="1275"/>
      <c r="Y59" s="1275"/>
      <c r="Z59" s="1398">
        <f t="shared" si="8"/>
        <v>4069.0899999999997</v>
      </c>
      <c r="AA59" s="1371">
        <v>785.01</v>
      </c>
      <c r="AB59" s="1366">
        <v>2227.5500000000002</v>
      </c>
      <c r="AC59" s="1366"/>
      <c r="AD59" s="1275"/>
      <c r="AE59" s="1275"/>
      <c r="AF59" s="1275"/>
      <c r="AG59" s="1311">
        <f t="shared" si="50"/>
        <v>3012.5600000000004</v>
      </c>
      <c r="AH59" s="947">
        <f t="shared" si="51"/>
        <v>7081.65</v>
      </c>
      <c r="AI59" s="890">
        <f t="shared" si="73"/>
        <v>1884.03</v>
      </c>
      <c r="AJ59" s="890">
        <f t="shared" si="73"/>
        <v>5197.62</v>
      </c>
      <c r="AK59" s="890">
        <f t="shared" si="73"/>
        <v>0</v>
      </c>
      <c r="AL59" s="890">
        <f t="shared" si="73"/>
        <v>0</v>
      </c>
      <c r="AM59" s="890">
        <f t="shared" si="73"/>
        <v>0</v>
      </c>
      <c r="AN59" s="890"/>
      <c r="AO59" s="890">
        <f t="shared" si="70"/>
        <v>7081.65</v>
      </c>
      <c r="AP59" s="890">
        <f t="shared" si="71"/>
        <v>7081.65</v>
      </c>
      <c r="AQ59" s="952">
        <f t="shared" si="72"/>
        <v>7081.65</v>
      </c>
      <c r="AR59" s="973">
        <f t="shared" si="35"/>
        <v>0</v>
      </c>
      <c r="AS59" s="889">
        <f t="shared" si="87"/>
        <v>4256521.1539200004</v>
      </c>
      <c r="AT59" s="890">
        <f t="shared" si="87"/>
        <v>4055702.8859999995</v>
      </c>
      <c r="AU59" s="890">
        <f t="shared" si="87"/>
        <v>0</v>
      </c>
      <c r="AV59" s="890">
        <f t="shared" si="87"/>
        <v>0</v>
      </c>
      <c r="AW59" s="890">
        <f t="shared" si="87"/>
        <v>0</v>
      </c>
      <c r="AX59" s="890">
        <f>SUM(AS59:AW59)</f>
        <v>8312224.0399200004</v>
      </c>
      <c r="AY59" s="890">
        <f>SUM(AS59:AV59)</f>
        <v>8312224.0399200004</v>
      </c>
      <c r="AZ59" s="890">
        <f t="shared" si="88"/>
        <v>5107409.3908799998</v>
      </c>
      <c r="BA59" s="890">
        <f t="shared" si="88"/>
        <v>4588354.9835999999</v>
      </c>
      <c r="BB59" s="890">
        <f t="shared" si="88"/>
        <v>0</v>
      </c>
      <c r="BC59" s="890">
        <f t="shared" si="88"/>
        <v>0</v>
      </c>
      <c r="BD59" s="890">
        <f t="shared" si="88"/>
        <v>0</v>
      </c>
      <c r="BE59" s="890">
        <f>SUM(AZ59:BD59)</f>
        <v>9695764.3744799998</v>
      </c>
      <c r="BF59" s="952">
        <f t="shared" si="52"/>
        <v>9695764.3744799998</v>
      </c>
      <c r="BG59" s="953">
        <f t="shared" si="89"/>
        <v>3660.5221729000004</v>
      </c>
      <c r="BH59" s="954">
        <f t="shared" si="90"/>
        <v>3393.5164965000004</v>
      </c>
      <c r="BI59" s="955">
        <f t="shared" si="91"/>
        <v>7054.0386694000008</v>
      </c>
      <c r="BJ59" s="890"/>
      <c r="BK59" s="1199"/>
      <c r="BL59" s="890"/>
      <c r="BM59" s="890"/>
      <c r="BN59" s="890"/>
      <c r="BO59" s="890"/>
      <c r="BP59" s="890"/>
      <c r="BQ59" s="890"/>
      <c r="BR59" s="890"/>
      <c r="BS59" s="890"/>
      <c r="BT59" s="890"/>
      <c r="BU59" s="890"/>
      <c r="BV59" s="890"/>
      <c r="BW59" s="890"/>
      <c r="BX59" s="890"/>
      <c r="BY59" s="890"/>
      <c r="BZ59" s="945"/>
      <c r="CA59" s="945"/>
      <c r="CB59" s="945"/>
      <c r="CC59" s="976"/>
      <c r="CD59" s="976"/>
      <c r="CE59" s="976"/>
      <c r="CF59" s="976"/>
      <c r="CG59" s="977"/>
      <c r="CH59" s="977"/>
      <c r="CI59" s="945"/>
      <c r="CJ59" s="1312">
        <f t="shared" si="92"/>
        <v>9193.1485497599988</v>
      </c>
      <c r="CK59" s="1312">
        <f t="shared" si="20"/>
        <v>8166.7368537600005</v>
      </c>
      <c r="CL59" s="1312">
        <f t="shared" si="40"/>
        <v>17359.885403519998</v>
      </c>
      <c r="CM59" s="890"/>
      <c r="CN59" s="890"/>
      <c r="CO59" s="890"/>
      <c r="CP59" s="890"/>
      <c r="CQ59" s="890"/>
      <c r="CR59" s="890"/>
      <c r="CS59" s="890"/>
      <c r="CT59" s="890"/>
      <c r="CU59" s="890"/>
      <c r="CV59" s="890"/>
      <c r="CW59" s="978"/>
      <c r="CX59" s="890"/>
      <c r="CY59" s="890"/>
      <c r="CZ59" s="890"/>
      <c r="DA59" s="890"/>
      <c r="DB59" s="890"/>
      <c r="DC59" s="840"/>
      <c r="DD59" s="841"/>
      <c r="DE59" s="840"/>
      <c r="DF59" s="840"/>
      <c r="DG59" s="840"/>
      <c r="DH59" s="1050"/>
      <c r="DI59" s="1050"/>
      <c r="DJ59" s="1050"/>
      <c r="DK59" s="945"/>
      <c r="DL59" s="975"/>
      <c r="DM59" s="975"/>
      <c r="DN59" s="975"/>
      <c r="DO59" s="816"/>
      <c r="DP59" s="871"/>
      <c r="DQ59" s="871"/>
      <c r="DR59" s="871"/>
      <c r="DS59" s="871"/>
      <c r="DT59" s="871"/>
      <c r="DU59" s="871"/>
      <c r="DV59" s="871"/>
      <c r="DW59" s="871"/>
      <c r="DX59" s="871"/>
      <c r="DY59" s="871"/>
      <c r="DZ59" s="871"/>
      <c r="EA59" s="871"/>
      <c r="EB59" s="871"/>
      <c r="EC59" s="871"/>
      <c r="ED59" s="871"/>
      <c r="EE59" s="871"/>
      <c r="EF59" s="871"/>
      <c r="EG59" s="871"/>
      <c r="EH59" s="871"/>
      <c r="EI59" s="871"/>
      <c r="EJ59" s="871"/>
      <c r="EK59" s="871"/>
      <c r="EL59" s="871"/>
    </row>
    <row r="60" spans="1:142" s="869" customFormat="1" ht="65.25" hidden="1" customHeight="1">
      <c r="A60" s="6">
        <f t="shared" si="46"/>
        <v>47</v>
      </c>
      <c r="B60" s="1399" t="s">
        <v>19</v>
      </c>
      <c r="C60" s="1395" t="s">
        <v>99</v>
      </c>
      <c r="D60" s="1262" t="s">
        <v>141</v>
      </c>
      <c r="E60" s="887">
        <v>4632024035</v>
      </c>
      <c r="F60" s="963" t="s">
        <v>8</v>
      </c>
      <c r="G60" s="1238" t="s">
        <v>983</v>
      </c>
      <c r="H60" s="1256">
        <v>3314.9639999999995</v>
      </c>
      <c r="I60" s="1257">
        <f t="shared" ref="I60:I66" si="93">H60</f>
        <v>3314.9639999999995</v>
      </c>
      <c r="J60" s="1263">
        <v>2950.21</v>
      </c>
      <c r="K60" s="891"/>
      <c r="L60" s="1256">
        <v>3314.9639999999995</v>
      </c>
      <c r="M60" s="991"/>
      <c r="N60" s="1259">
        <f t="shared" ref="N60:N66" si="94">3132.14*1.2</f>
        <v>3758.5679999999998</v>
      </c>
      <c r="O60" s="1260">
        <f t="shared" ref="O60:O66" si="95">N60</f>
        <v>3758.5679999999998</v>
      </c>
      <c r="P60" s="1264">
        <v>2979.71</v>
      </c>
      <c r="Q60" s="891"/>
      <c r="R60" s="891">
        <f>O60</f>
        <v>3758.5679999999998</v>
      </c>
      <c r="S60" s="991"/>
      <c r="T60" s="1367">
        <v>2513.2975000000001</v>
      </c>
      <c r="U60" s="1368">
        <v>5513.6409999999996</v>
      </c>
      <c r="V60" s="1368"/>
      <c r="W60" s="992"/>
      <c r="X60" s="992"/>
      <c r="Y60" s="992"/>
      <c r="Z60" s="1397">
        <f t="shared" si="8"/>
        <v>8026.9385000000002</v>
      </c>
      <c r="AA60" s="1369">
        <v>1599.6389999999999</v>
      </c>
      <c r="AB60" s="1368">
        <v>6349.6470000000008</v>
      </c>
      <c r="AC60" s="1368"/>
      <c r="AD60" s="992"/>
      <c r="AE60" s="992"/>
      <c r="AF60" s="992"/>
      <c r="AG60" s="951">
        <f t="shared" si="50"/>
        <v>7949.286000000001</v>
      </c>
      <c r="AH60" s="947">
        <f t="shared" si="51"/>
        <v>15976.2245</v>
      </c>
      <c r="AI60" s="890">
        <f t="shared" si="73"/>
        <v>4112.9364999999998</v>
      </c>
      <c r="AJ60" s="890">
        <f t="shared" si="73"/>
        <v>11863.288</v>
      </c>
      <c r="AK60" s="890">
        <f t="shared" si="73"/>
        <v>0</v>
      </c>
      <c r="AL60" s="890">
        <f t="shared" si="73"/>
        <v>0</v>
      </c>
      <c r="AM60" s="890">
        <f t="shared" si="73"/>
        <v>0</v>
      </c>
      <c r="AN60" s="890"/>
      <c r="AO60" s="890">
        <f t="shared" si="70"/>
        <v>15976.2245</v>
      </c>
      <c r="AP60" s="890">
        <f t="shared" si="71"/>
        <v>15976.2245</v>
      </c>
      <c r="AQ60" s="952">
        <f t="shared" si="72"/>
        <v>15976.2245</v>
      </c>
      <c r="AR60" s="973">
        <f t="shared" si="35"/>
        <v>0</v>
      </c>
      <c r="AS60" s="889">
        <f t="shared" si="87"/>
        <v>13634236.431785997</v>
      </c>
      <c r="AT60" s="890">
        <f t="shared" si="87"/>
        <v>34999190.890480004</v>
      </c>
      <c r="AU60" s="890">
        <f t="shared" si="87"/>
        <v>0</v>
      </c>
      <c r="AV60" s="890">
        <f t="shared" si="87"/>
        <v>0</v>
      </c>
      <c r="AW60" s="890">
        <f t="shared" si="87"/>
        <v>0</v>
      </c>
      <c r="AX60" s="890">
        <f t="shared" si="47"/>
        <v>48633427.322265998</v>
      </c>
      <c r="AY60" s="890">
        <f t="shared" si="48"/>
        <v>48633427.322265998</v>
      </c>
      <c r="AZ60" s="890">
        <f t="shared" si="88"/>
        <v>15458751.514931999</v>
      </c>
      <c r="BA60" s="890">
        <f t="shared" si="88"/>
        <v>35349157.886480004</v>
      </c>
      <c r="BB60" s="890">
        <f t="shared" si="88"/>
        <v>0</v>
      </c>
      <c r="BC60" s="890">
        <f t="shared" si="88"/>
        <v>0</v>
      </c>
      <c r="BD60" s="890">
        <f t="shared" si="88"/>
        <v>0</v>
      </c>
      <c r="BE60" s="890">
        <f t="shared" si="49"/>
        <v>50807909.401412003</v>
      </c>
      <c r="BF60" s="952">
        <f t="shared" si="52"/>
        <v>50807909.401412003</v>
      </c>
      <c r="BG60" s="953">
        <f t="shared" si="89"/>
        <v>1675.9355077616642</v>
      </c>
      <c r="BH60" s="954">
        <f t="shared" si="90"/>
        <v>4121.2278026049989</v>
      </c>
      <c r="BI60" s="955">
        <f t="shared" si="91"/>
        <v>5797.1633103666627</v>
      </c>
      <c r="BJ60" s="955"/>
      <c r="BK60" s="1197"/>
      <c r="BL60" s="890">
        <f t="shared" si="85"/>
        <v>8331490.733789999</v>
      </c>
      <c r="BM60" s="890">
        <f t="shared" si="85"/>
        <v>16266398.814609999</v>
      </c>
      <c r="BN60" s="890">
        <f t="shared" si="85"/>
        <v>0</v>
      </c>
      <c r="BO60" s="890">
        <f t="shared" si="85"/>
        <v>0</v>
      </c>
      <c r="BP60" s="890">
        <f t="shared" si="85"/>
        <v>0</v>
      </c>
      <c r="BQ60" s="890">
        <f t="shared" si="54"/>
        <v>24597889.5484</v>
      </c>
      <c r="BR60" s="890">
        <f t="shared" si="55"/>
        <v>24597889.5484</v>
      </c>
      <c r="BS60" s="890">
        <f t="shared" si="86"/>
        <v>6012351.9569519991</v>
      </c>
      <c r="BT60" s="890">
        <f t="shared" si="86"/>
        <v>18920106.662370004</v>
      </c>
      <c r="BU60" s="890">
        <f t="shared" si="86"/>
        <v>0</v>
      </c>
      <c r="BV60" s="890">
        <f t="shared" si="57"/>
        <v>0</v>
      </c>
      <c r="BW60" s="890">
        <f t="shared" si="17"/>
        <v>0</v>
      </c>
      <c r="BX60" s="890">
        <f t="shared" si="58"/>
        <v>24932458.619322002</v>
      </c>
      <c r="BY60" s="890">
        <f t="shared" si="59"/>
        <v>24932458.619322002</v>
      </c>
      <c r="BZ60" s="945">
        <f t="shared" si="60"/>
        <v>35186505.476980001</v>
      </c>
      <c r="CA60" s="945">
        <f t="shared" si="60"/>
        <v>0</v>
      </c>
      <c r="CB60" s="945">
        <f t="shared" si="61"/>
        <v>35186505.476980001</v>
      </c>
      <c r="CC60" s="976">
        <f t="shared" si="62"/>
        <v>2965.9994326176688</v>
      </c>
      <c r="CD60" s="976" t="e">
        <f t="shared" si="62"/>
        <v>#DIV/0!</v>
      </c>
      <c r="CE60" s="976">
        <f t="shared" si="38"/>
        <v>2965.9994326176688</v>
      </c>
      <c r="CF60" s="976">
        <f t="shared" si="18"/>
        <v>2965.9994326176688</v>
      </c>
      <c r="CG60" s="977">
        <f t="shared" si="19"/>
        <v>42143101.449419998</v>
      </c>
      <c r="CH60" s="977">
        <f t="shared" si="39"/>
        <v>3552.3963887094369</v>
      </c>
      <c r="CI60" s="1289"/>
      <c r="CJ60" s="1312">
        <f t="shared" si="92"/>
        <v>26609.012157713998</v>
      </c>
      <c r="CK60" s="1312">
        <f t="shared" si="20"/>
        <v>29877.931982448001</v>
      </c>
      <c r="CL60" s="1312">
        <f t="shared" si="40"/>
        <v>56486.944140161999</v>
      </c>
      <c r="CM60" s="890">
        <f t="shared" si="41"/>
        <v>60047.726166515997</v>
      </c>
      <c r="CN60" s="890">
        <f t="shared" si="42"/>
        <v>3560.7820263539979</v>
      </c>
      <c r="CO60" s="890">
        <f t="shared" si="21"/>
        <v>56486944.140161999</v>
      </c>
      <c r="CP60" s="890">
        <f t="shared" si="22"/>
        <v>48633427.322265998</v>
      </c>
      <c r="CQ60" s="890">
        <f t="shared" si="23"/>
        <v>48633427.322265998</v>
      </c>
      <c r="CR60" s="890">
        <f t="shared" si="24"/>
        <v>24597889.5484</v>
      </c>
      <c r="CS60" s="890">
        <f t="shared" si="25"/>
        <v>50807909.401412003</v>
      </c>
      <c r="CT60" s="890">
        <f t="shared" si="26"/>
        <v>50807909.401412003</v>
      </c>
      <c r="CU60" s="890">
        <f t="shared" si="27"/>
        <v>24932458.619322002</v>
      </c>
      <c r="CV60" s="890">
        <f t="shared" si="43"/>
        <v>99441336.723677993</v>
      </c>
      <c r="CW60" s="978">
        <f t="shared" si="44"/>
        <v>6224.3327091252377</v>
      </c>
      <c r="CX60" s="890">
        <f t="shared" si="28"/>
        <v>34999190.890480004</v>
      </c>
      <c r="CY60" s="890">
        <f t="shared" si="29"/>
        <v>35349157.886480004</v>
      </c>
      <c r="CZ60" s="890"/>
      <c r="DA60" s="890">
        <f t="shared" si="30"/>
        <v>52960609.073417991</v>
      </c>
      <c r="DB60" s="890">
        <f t="shared" si="31"/>
        <v>60047726.166515999</v>
      </c>
      <c r="DC60" s="1290"/>
      <c r="DD60" s="841">
        <f t="shared" si="45"/>
        <v>127.40001559211038</v>
      </c>
      <c r="DE60" s="1290"/>
      <c r="DF60" s="1290"/>
      <c r="DG60" s="1290"/>
      <c r="DH60" s="1050"/>
      <c r="DI60" s="1050"/>
      <c r="DJ60" s="1050"/>
      <c r="DK60" s="1289"/>
      <c r="DL60" s="975">
        <f t="shared" si="32"/>
        <v>0</v>
      </c>
      <c r="DM60" s="975">
        <f t="shared" si="33"/>
        <v>0</v>
      </c>
      <c r="DN60" s="975">
        <f t="shared" si="34"/>
        <v>0</v>
      </c>
      <c r="DO60" s="1291"/>
      <c r="DP60" s="871"/>
      <c r="DQ60" s="871"/>
      <c r="DR60" s="871"/>
      <c r="DS60" s="871"/>
      <c r="DT60" s="871"/>
      <c r="DU60" s="871"/>
      <c r="DV60" s="871"/>
      <c r="DW60" s="871"/>
      <c r="DX60" s="871"/>
      <c r="DY60" s="871"/>
      <c r="DZ60" s="871"/>
      <c r="EA60" s="871"/>
      <c r="EB60" s="871"/>
      <c r="EC60" s="871"/>
      <c r="ED60" s="871"/>
      <c r="EE60" s="871"/>
      <c r="EF60" s="871"/>
      <c r="EG60" s="871"/>
      <c r="EH60" s="871"/>
      <c r="EI60" s="871"/>
      <c r="EJ60" s="871"/>
      <c r="EK60" s="871"/>
      <c r="EL60" s="871"/>
    </row>
    <row r="61" spans="1:142" s="869" customFormat="1" ht="72" hidden="1" customHeight="1">
      <c r="A61" s="6">
        <f t="shared" si="46"/>
        <v>48</v>
      </c>
      <c r="B61" s="886" t="s">
        <v>21</v>
      </c>
      <c r="C61" s="1395" t="s">
        <v>67</v>
      </c>
      <c r="D61" s="1262" t="s">
        <v>141</v>
      </c>
      <c r="E61" s="887">
        <v>4632024035</v>
      </c>
      <c r="F61" s="886" t="s">
        <v>8</v>
      </c>
      <c r="G61" s="1238" t="s">
        <v>983</v>
      </c>
      <c r="H61" s="1256">
        <v>3314.9639999999995</v>
      </c>
      <c r="I61" s="1257">
        <f t="shared" si="93"/>
        <v>3314.9639999999995</v>
      </c>
      <c r="J61" s="1263">
        <v>2484</v>
      </c>
      <c r="K61" s="891"/>
      <c r="L61" s="1256">
        <v>3314.9639999999995</v>
      </c>
      <c r="M61" s="991"/>
      <c r="N61" s="1259">
        <f t="shared" si="94"/>
        <v>3758.5679999999998</v>
      </c>
      <c r="O61" s="1260">
        <f t="shared" si="95"/>
        <v>3758.5679999999998</v>
      </c>
      <c r="P61" s="1264">
        <v>2719.98</v>
      </c>
      <c r="Q61" s="891"/>
      <c r="R61" s="891">
        <f t="shared" ref="R61:R66" si="96">O61</f>
        <v>3758.5679999999998</v>
      </c>
      <c r="S61" s="991"/>
      <c r="T61" s="1372">
        <v>7450.7249999999995</v>
      </c>
      <c r="U61" s="1373">
        <v>8014.1269999999986</v>
      </c>
      <c r="V61" s="1374">
        <v>0</v>
      </c>
      <c r="W61" s="975"/>
      <c r="X61" s="975"/>
      <c r="Y61" s="975"/>
      <c r="Z61" s="1397">
        <f t="shared" si="8"/>
        <v>15464.851999999999</v>
      </c>
      <c r="AA61" s="1369">
        <v>4760.5019999999977</v>
      </c>
      <c r="AB61" s="1374">
        <v>7076.48</v>
      </c>
      <c r="AC61" s="1374">
        <v>0</v>
      </c>
      <c r="AD61" s="975"/>
      <c r="AE61" s="975"/>
      <c r="AF61" s="975"/>
      <c r="AG61" s="951">
        <f t="shared" si="50"/>
        <v>11836.981999999996</v>
      </c>
      <c r="AH61" s="947">
        <f t="shared" si="51"/>
        <v>27301.833999999995</v>
      </c>
      <c r="AI61" s="890">
        <f t="shared" si="73"/>
        <v>12211.226999999997</v>
      </c>
      <c r="AJ61" s="890">
        <f t="shared" si="73"/>
        <v>15090.606999999998</v>
      </c>
      <c r="AK61" s="890">
        <f t="shared" si="73"/>
        <v>0</v>
      </c>
      <c r="AL61" s="890">
        <f t="shared" si="73"/>
        <v>0</v>
      </c>
      <c r="AM61" s="890">
        <f t="shared" si="73"/>
        <v>0</v>
      </c>
      <c r="AN61" s="890"/>
      <c r="AO61" s="890">
        <f t="shared" si="70"/>
        <v>27301.833999999995</v>
      </c>
      <c r="AP61" s="890">
        <f t="shared" si="71"/>
        <v>27301.833999999995</v>
      </c>
      <c r="AQ61" s="952">
        <f t="shared" si="72"/>
        <v>27301.833999999995</v>
      </c>
      <c r="AR61" s="973">
        <f t="shared" si="35"/>
        <v>0</v>
      </c>
      <c r="AS61" s="889">
        <f t="shared" si="87"/>
        <v>40479777.900827982</v>
      </c>
      <c r="AT61" s="890">
        <f t="shared" si="87"/>
        <v>37485067.787999995</v>
      </c>
      <c r="AU61" s="890">
        <f t="shared" si="87"/>
        <v>0</v>
      </c>
      <c r="AV61" s="890">
        <f t="shared" si="87"/>
        <v>0</v>
      </c>
      <c r="AW61" s="890">
        <f t="shared" si="87"/>
        <v>0</v>
      </c>
      <c r="AX61" s="890">
        <f t="shared" si="47"/>
        <v>77964845.688827977</v>
      </c>
      <c r="AY61" s="890">
        <f t="shared" si="48"/>
        <v>77964845.688827977</v>
      </c>
      <c r="AZ61" s="890">
        <f t="shared" si="88"/>
        <v>45896727.04293599</v>
      </c>
      <c r="BA61" s="890">
        <f t="shared" si="88"/>
        <v>41046149.227859996</v>
      </c>
      <c r="BB61" s="890">
        <f t="shared" si="88"/>
        <v>0</v>
      </c>
      <c r="BC61" s="890">
        <f t="shared" si="88"/>
        <v>0</v>
      </c>
      <c r="BD61" s="890">
        <f t="shared" si="88"/>
        <v>0</v>
      </c>
      <c r="BE61" s="890">
        <f t="shared" si="49"/>
        <v>86942876.270795986</v>
      </c>
      <c r="BF61" s="952">
        <f t="shared" si="52"/>
        <v>86942876.270795986</v>
      </c>
      <c r="BG61" s="953">
        <f t="shared" si="89"/>
        <v>5549.5425236899955</v>
      </c>
      <c r="BH61" s="954">
        <f t="shared" si="90"/>
        <v>6124.6226751999984</v>
      </c>
      <c r="BI61" s="955">
        <f t="shared" si="91"/>
        <v>11674.165198889994</v>
      </c>
      <c r="BJ61" s="955"/>
      <c r="BK61" s="1197"/>
      <c r="BL61" s="890">
        <f t="shared" si="85"/>
        <v>24698885.148899995</v>
      </c>
      <c r="BM61" s="890">
        <f t="shared" si="85"/>
        <v>19907091.467999995</v>
      </c>
      <c r="BN61" s="890">
        <f t="shared" si="85"/>
        <v>0</v>
      </c>
      <c r="BO61" s="890">
        <f t="shared" si="85"/>
        <v>0</v>
      </c>
      <c r="BP61" s="890">
        <f t="shared" si="85"/>
        <v>0</v>
      </c>
      <c r="BQ61" s="890">
        <f t="shared" si="54"/>
        <v>44605976.61689999</v>
      </c>
      <c r="BR61" s="890">
        <f t="shared" si="55"/>
        <v>44605976.61689999</v>
      </c>
      <c r="BS61" s="890">
        <f t="shared" si="86"/>
        <v>17892670.48113599</v>
      </c>
      <c r="BT61" s="890">
        <f t="shared" si="86"/>
        <v>19247884.0704</v>
      </c>
      <c r="BU61" s="890">
        <f t="shared" si="86"/>
        <v>0</v>
      </c>
      <c r="BV61" s="890">
        <f t="shared" si="57"/>
        <v>0</v>
      </c>
      <c r="BW61" s="890">
        <f t="shared" si="17"/>
        <v>0</v>
      </c>
      <c r="BX61" s="890">
        <f t="shared" si="58"/>
        <v>37140554.551535994</v>
      </c>
      <c r="BY61" s="890">
        <f t="shared" si="59"/>
        <v>37140554.551535994</v>
      </c>
      <c r="BZ61" s="945">
        <f t="shared" si="60"/>
        <v>39154975.538399994</v>
      </c>
      <c r="CA61" s="945">
        <f t="shared" si="60"/>
        <v>0</v>
      </c>
      <c r="CB61" s="945">
        <f t="shared" si="61"/>
        <v>39154975.538399994</v>
      </c>
      <c r="CC61" s="976">
        <f t="shared" si="62"/>
        <v>2594.6587528520222</v>
      </c>
      <c r="CD61" s="976" t="e">
        <f t="shared" si="62"/>
        <v>#DIV/0!</v>
      </c>
      <c r="CE61" s="976">
        <f t="shared" si="38"/>
        <v>2594.6587528520222</v>
      </c>
      <c r="CF61" s="976">
        <f t="shared" si="18"/>
        <v>2594.6587528520222</v>
      </c>
      <c r="CG61" s="977">
        <f t="shared" si="19"/>
        <v>53163973.777067989</v>
      </c>
      <c r="CH61" s="977">
        <f t="shared" si="39"/>
        <v>3522.9844483437942</v>
      </c>
      <c r="CI61" s="945"/>
      <c r="CJ61" s="1312">
        <f t="shared" si="92"/>
        <v>51265.427645327982</v>
      </c>
      <c r="CK61" s="1312">
        <f t="shared" si="20"/>
        <v>44490.101761775986</v>
      </c>
      <c r="CL61" s="1312">
        <f t="shared" si="40"/>
        <v>95755.529407103968</v>
      </c>
      <c r="CM61" s="890">
        <f t="shared" si="41"/>
        <v>102615.79961371198</v>
      </c>
      <c r="CN61" s="890">
        <f t="shared" si="42"/>
        <v>6860.2702066080092</v>
      </c>
      <c r="CO61" s="890">
        <f t="shared" si="21"/>
        <v>95755529.407103971</v>
      </c>
      <c r="CP61" s="890">
        <f t="shared" si="22"/>
        <v>77964845.688827977</v>
      </c>
      <c r="CQ61" s="890">
        <f t="shared" si="23"/>
        <v>77964845.688827977</v>
      </c>
      <c r="CR61" s="890">
        <f t="shared" si="24"/>
        <v>44605976.61689999</v>
      </c>
      <c r="CS61" s="890">
        <f t="shared" si="25"/>
        <v>86942876.270795986</v>
      </c>
      <c r="CT61" s="890">
        <f t="shared" si="26"/>
        <v>86942876.270795986</v>
      </c>
      <c r="CU61" s="890">
        <f t="shared" si="27"/>
        <v>37140554.551535994</v>
      </c>
      <c r="CV61" s="890">
        <f t="shared" si="43"/>
        <v>164907721.95962396</v>
      </c>
      <c r="CW61" s="978">
        <f t="shared" si="44"/>
        <v>6040.1701204257561</v>
      </c>
      <c r="CX61" s="890">
        <f t="shared" si="28"/>
        <v>37485067.787999995</v>
      </c>
      <c r="CY61" s="890">
        <f t="shared" si="29"/>
        <v>41046149.227859996</v>
      </c>
      <c r="CZ61" s="890"/>
      <c r="DA61" s="890">
        <f t="shared" si="30"/>
        <v>90504596.843975961</v>
      </c>
      <c r="DB61" s="890">
        <f t="shared" si="31"/>
        <v>102615799.61371198</v>
      </c>
      <c r="DC61" s="840"/>
      <c r="DD61" s="841">
        <f t="shared" si="45"/>
        <v>151.3111111111111</v>
      </c>
      <c r="DE61" s="840"/>
      <c r="DF61" s="840"/>
      <c r="DG61" s="840"/>
      <c r="DH61" s="1050"/>
      <c r="DI61" s="1050"/>
      <c r="DJ61" s="1050"/>
      <c r="DK61" s="945"/>
      <c r="DL61" s="975">
        <f t="shared" si="32"/>
        <v>0</v>
      </c>
      <c r="DM61" s="975">
        <f t="shared" si="33"/>
        <v>0</v>
      </c>
      <c r="DN61" s="975">
        <f t="shared" si="34"/>
        <v>0</v>
      </c>
      <c r="DO61" s="816"/>
      <c r="DP61" s="871"/>
      <c r="DQ61" s="871"/>
      <c r="DR61" s="871"/>
      <c r="DS61" s="871"/>
      <c r="DT61" s="871"/>
      <c r="DU61" s="871"/>
      <c r="DV61" s="871"/>
      <c r="DW61" s="871"/>
      <c r="DX61" s="871"/>
      <c r="DY61" s="871"/>
      <c r="DZ61" s="871"/>
      <c r="EA61" s="871"/>
      <c r="EB61" s="871"/>
      <c r="EC61" s="871"/>
      <c r="ED61" s="871"/>
      <c r="EE61" s="871"/>
      <c r="EF61" s="871"/>
      <c r="EG61" s="871"/>
      <c r="EH61" s="871"/>
      <c r="EI61" s="871"/>
      <c r="EJ61" s="871"/>
      <c r="EK61" s="871"/>
      <c r="EL61" s="871"/>
    </row>
    <row r="62" spans="1:142" s="869" customFormat="1" ht="78.75" hidden="1" customHeight="1">
      <c r="A62" s="6">
        <f t="shared" si="46"/>
        <v>49</v>
      </c>
      <c r="B62" s="886"/>
      <c r="C62" s="1395" t="s">
        <v>100</v>
      </c>
      <c r="D62" s="1262" t="s">
        <v>141</v>
      </c>
      <c r="E62" s="887">
        <v>4632024035</v>
      </c>
      <c r="F62" s="886" t="s">
        <v>8</v>
      </c>
      <c r="G62" s="1238" t="s">
        <v>983</v>
      </c>
      <c r="H62" s="1256">
        <v>3314.9639999999995</v>
      </c>
      <c r="I62" s="1257">
        <f t="shared" si="93"/>
        <v>3314.9639999999995</v>
      </c>
      <c r="J62" s="1263">
        <v>2950.21</v>
      </c>
      <c r="K62" s="891"/>
      <c r="L62" s="1256">
        <v>3314.9639999999995</v>
      </c>
      <c r="M62" s="994"/>
      <c r="N62" s="1259">
        <f t="shared" si="94"/>
        <v>3758.5679999999998</v>
      </c>
      <c r="O62" s="1260">
        <f t="shared" si="95"/>
        <v>3758.5679999999998</v>
      </c>
      <c r="P62" s="1264">
        <v>2979.71</v>
      </c>
      <c r="Q62" s="891"/>
      <c r="R62" s="891">
        <f t="shared" si="96"/>
        <v>3758.5679999999998</v>
      </c>
      <c r="S62" s="994"/>
      <c r="T62" s="1375">
        <v>503.40500000000003</v>
      </c>
      <c r="U62" s="1376">
        <v>1309.6500000000001</v>
      </c>
      <c r="V62" s="1376">
        <v>0</v>
      </c>
      <c r="W62" s="995"/>
      <c r="X62" s="995"/>
      <c r="Y62" s="995"/>
      <c r="Z62" s="1400">
        <f t="shared" si="8"/>
        <v>1813.0550000000001</v>
      </c>
      <c r="AA62" s="1377">
        <v>292.32</v>
      </c>
      <c r="AB62" s="1376">
        <v>1018.4</v>
      </c>
      <c r="AC62" s="1376">
        <v>0</v>
      </c>
      <c r="AD62" s="995"/>
      <c r="AE62" s="995"/>
      <c r="AF62" s="995"/>
      <c r="AG62" s="996">
        <f t="shared" si="50"/>
        <v>1310.72</v>
      </c>
      <c r="AH62" s="997">
        <f t="shared" si="51"/>
        <v>3123.7750000000001</v>
      </c>
      <c r="AI62" s="931">
        <f t="shared" si="73"/>
        <v>795.72500000000002</v>
      </c>
      <c r="AJ62" s="931">
        <f t="shared" si="73"/>
        <v>2328.0500000000002</v>
      </c>
      <c r="AK62" s="931">
        <f t="shared" si="73"/>
        <v>0</v>
      </c>
      <c r="AL62" s="931">
        <f t="shared" si="73"/>
        <v>0</v>
      </c>
      <c r="AM62" s="931">
        <f t="shared" si="73"/>
        <v>0</v>
      </c>
      <c r="AN62" s="931"/>
      <c r="AO62" s="931">
        <f t="shared" si="70"/>
        <v>3123.7750000000001</v>
      </c>
      <c r="AP62" s="931">
        <f t="shared" si="71"/>
        <v>3123.7750000000001</v>
      </c>
      <c r="AQ62" s="938">
        <f t="shared" si="72"/>
        <v>3123.7750000000001</v>
      </c>
      <c r="AR62" s="973">
        <f t="shared" si="35"/>
        <v>0</v>
      </c>
      <c r="AS62" s="889">
        <f t="shared" si="87"/>
        <v>2637799.7288999995</v>
      </c>
      <c r="AT62" s="890">
        <f t="shared" si="87"/>
        <v>6868236.3905000007</v>
      </c>
      <c r="AU62" s="890">
        <f t="shared" si="87"/>
        <v>0</v>
      </c>
      <c r="AV62" s="890">
        <f t="shared" si="87"/>
        <v>0</v>
      </c>
      <c r="AW62" s="890">
        <f t="shared" si="87"/>
        <v>0</v>
      </c>
      <c r="AX62" s="890">
        <f t="shared" si="47"/>
        <v>9506036.1194000002</v>
      </c>
      <c r="AY62" s="890">
        <f t="shared" si="48"/>
        <v>9506036.1194000002</v>
      </c>
      <c r="AZ62" s="890">
        <f t="shared" si="88"/>
        <v>2990786.5217999998</v>
      </c>
      <c r="BA62" s="890">
        <f t="shared" si="88"/>
        <v>6936913.8655000003</v>
      </c>
      <c r="BB62" s="890">
        <f t="shared" si="88"/>
        <v>0</v>
      </c>
      <c r="BC62" s="890">
        <f t="shared" si="88"/>
        <v>0</v>
      </c>
      <c r="BD62" s="890">
        <f t="shared" si="88"/>
        <v>0</v>
      </c>
      <c r="BE62" s="890">
        <f t="shared" si="49"/>
        <v>9927700.3872999996</v>
      </c>
      <c r="BF62" s="952">
        <f t="shared" si="52"/>
        <v>9927700.3872999996</v>
      </c>
      <c r="BG62" s="953">
        <f t="shared" si="89"/>
        <v>398.08339674999951</v>
      </c>
      <c r="BH62" s="954">
        <f t="shared" si="90"/>
        <v>660.99082266666642</v>
      </c>
      <c r="BI62" s="955">
        <f t="shared" si="91"/>
        <v>1059.074219416666</v>
      </c>
      <c r="BJ62" s="955"/>
      <c r="BK62" s="1197"/>
      <c r="BL62" s="890">
        <f t="shared" si="85"/>
        <v>1668769.4524199998</v>
      </c>
      <c r="BM62" s="890">
        <f t="shared" si="85"/>
        <v>3863742.5265000002</v>
      </c>
      <c r="BN62" s="890">
        <f t="shared" si="85"/>
        <v>0</v>
      </c>
      <c r="BO62" s="890">
        <f t="shared" si="85"/>
        <v>0</v>
      </c>
      <c r="BP62" s="890">
        <f t="shared" si="85"/>
        <v>0</v>
      </c>
      <c r="BQ62" s="890">
        <f t="shared" si="54"/>
        <v>5532511.9789199997</v>
      </c>
      <c r="BR62" s="890">
        <f t="shared" si="55"/>
        <v>5532511.9789199997</v>
      </c>
      <c r="BS62" s="890">
        <f t="shared" si="86"/>
        <v>1098704.5977599998</v>
      </c>
      <c r="BT62" s="890">
        <f t="shared" si="86"/>
        <v>3034536.6639999999</v>
      </c>
      <c r="BU62" s="890">
        <f t="shared" si="86"/>
        <v>0</v>
      </c>
      <c r="BV62" s="890">
        <f t="shared" si="57"/>
        <v>0</v>
      </c>
      <c r="BW62" s="890">
        <f t="shared" si="17"/>
        <v>0</v>
      </c>
      <c r="BX62" s="890">
        <f t="shared" si="58"/>
        <v>4133241.2617599997</v>
      </c>
      <c r="BY62" s="890">
        <f t="shared" si="59"/>
        <v>4133241.2617599997</v>
      </c>
      <c r="BZ62" s="945">
        <f t="shared" si="60"/>
        <v>6898279.1905000005</v>
      </c>
      <c r="CA62" s="945">
        <f t="shared" si="60"/>
        <v>0</v>
      </c>
      <c r="CB62" s="945">
        <f t="shared" si="61"/>
        <v>6898279.1905000005</v>
      </c>
      <c r="CC62" s="976">
        <f t="shared" si="62"/>
        <v>2963.1147056549471</v>
      </c>
      <c r="CD62" s="976" t="e">
        <f t="shared" si="62"/>
        <v>#DIV/0!</v>
      </c>
      <c r="CE62" s="976">
        <f t="shared" si="38"/>
        <v>2963.1147056549471</v>
      </c>
      <c r="CF62" s="976">
        <f t="shared" si="18"/>
        <v>2963.1147056549471</v>
      </c>
      <c r="CG62" s="977">
        <f t="shared" si="19"/>
        <v>8169168.2537999991</v>
      </c>
      <c r="CH62" s="977">
        <f t="shared" si="39"/>
        <v>3509.0175270290579</v>
      </c>
      <c r="CI62" s="945"/>
      <c r="CJ62" s="1312">
        <f t="shared" si="92"/>
        <v>6010.2120550199988</v>
      </c>
      <c r="CK62" s="1312">
        <f t="shared" si="20"/>
        <v>4926.4302489599995</v>
      </c>
      <c r="CL62" s="1312">
        <f t="shared" si="40"/>
        <v>10936.642303979999</v>
      </c>
      <c r="CM62" s="890">
        <f t="shared" si="41"/>
        <v>11740.9207542</v>
      </c>
      <c r="CN62" s="890">
        <f t="shared" si="42"/>
        <v>804.2784502200011</v>
      </c>
      <c r="CO62" s="890">
        <f t="shared" si="21"/>
        <v>10936642.303979998</v>
      </c>
      <c r="CP62" s="890">
        <f t="shared" si="22"/>
        <v>9506036.1194000002</v>
      </c>
      <c r="CQ62" s="890">
        <f t="shared" si="23"/>
        <v>9506036.1194000002</v>
      </c>
      <c r="CR62" s="890">
        <f t="shared" si="24"/>
        <v>5532511.9789199997</v>
      </c>
      <c r="CS62" s="890">
        <f t="shared" si="25"/>
        <v>9927700.3872999996</v>
      </c>
      <c r="CT62" s="890">
        <f t="shared" si="26"/>
        <v>9927700.3872999996</v>
      </c>
      <c r="CU62" s="890">
        <f t="shared" si="27"/>
        <v>4133241.2617599997</v>
      </c>
      <c r="CV62" s="890">
        <f t="shared" si="43"/>
        <v>19433736.506700002</v>
      </c>
      <c r="CW62" s="978">
        <f t="shared" si="44"/>
        <v>6221.2344060311643</v>
      </c>
      <c r="CX62" s="890">
        <f t="shared" si="28"/>
        <v>6868236.3905000007</v>
      </c>
      <c r="CY62" s="890">
        <f t="shared" si="29"/>
        <v>6936913.8655000003</v>
      </c>
      <c r="CZ62" s="890"/>
      <c r="DA62" s="890">
        <f t="shared" si="30"/>
        <v>10355201.669099998</v>
      </c>
      <c r="DB62" s="890">
        <f t="shared" si="31"/>
        <v>11740920.7542</v>
      </c>
      <c r="DC62" s="840"/>
      <c r="DD62" s="841">
        <f t="shared" si="45"/>
        <v>127.40001559211038</v>
      </c>
      <c r="DE62" s="840"/>
      <c r="DF62" s="840"/>
      <c r="DG62" s="840"/>
      <c r="DH62" s="1050"/>
      <c r="DI62" s="1050"/>
      <c r="DJ62" s="1050"/>
      <c r="DK62" s="945"/>
      <c r="DL62" s="975">
        <f t="shared" si="32"/>
        <v>0</v>
      </c>
      <c r="DM62" s="975">
        <f t="shared" si="33"/>
        <v>0</v>
      </c>
      <c r="DN62" s="975">
        <f t="shared" si="34"/>
        <v>0</v>
      </c>
      <c r="DO62" s="816"/>
      <c r="DP62" s="871"/>
      <c r="DQ62" s="871"/>
      <c r="DR62" s="871"/>
      <c r="DS62" s="871"/>
      <c r="DT62" s="871"/>
      <c r="DU62" s="871"/>
      <c r="DV62" s="871"/>
      <c r="DW62" s="871"/>
      <c r="DX62" s="871"/>
      <c r="DY62" s="871"/>
      <c r="DZ62" s="871"/>
      <c r="EA62" s="871"/>
      <c r="EB62" s="871"/>
      <c r="EC62" s="871"/>
      <c r="ED62" s="871"/>
      <c r="EE62" s="871"/>
      <c r="EF62" s="871"/>
      <c r="EG62" s="871"/>
      <c r="EH62" s="871"/>
      <c r="EI62" s="871"/>
      <c r="EJ62" s="871"/>
      <c r="EK62" s="871"/>
      <c r="EL62" s="871"/>
    </row>
    <row r="63" spans="1:142" s="869" customFormat="1" ht="73.5" hidden="1" customHeight="1">
      <c r="A63" s="6">
        <f t="shared" si="46"/>
        <v>50</v>
      </c>
      <c r="B63" s="886"/>
      <c r="C63" s="1395" t="s">
        <v>101</v>
      </c>
      <c r="D63" s="1262" t="s">
        <v>141</v>
      </c>
      <c r="E63" s="887">
        <v>4632024035</v>
      </c>
      <c r="F63" s="886" t="s">
        <v>8</v>
      </c>
      <c r="G63" s="1238" t="s">
        <v>983</v>
      </c>
      <c r="H63" s="1256">
        <v>3314.9639999999995</v>
      </c>
      <c r="I63" s="1257">
        <f t="shared" si="93"/>
        <v>3314.9639999999995</v>
      </c>
      <c r="J63" s="1263">
        <v>2950.21</v>
      </c>
      <c r="K63" s="891"/>
      <c r="L63" s="1256">
        <v>3314.9639999999995</v>
      </c>
      <c r="M63" s="991"/>
      <c r="N63" s="1259">
        <f t="shared" si="94"/>
        <v>3758.5679999999998</v>
      </c>
      <c r="O63" s="1260">
        <f t="shared" si="95"/>
        <v>3758.5679999999998</v>
      </c>
      <c r="P63" s="1264">
        <v>2979.71</v>
      </c>
      <c r="Q63" s="891"/>
      <c r="R63" s="891">
        <f t="shared" si="96"/>
        <v>3758.5679999999998</v>
      </c>
      <c r="S63" s="991"/>
      <c r="T63" s="1367">
        <v>215.74499999999998</v>
      </c>
      <c r="U63" s="1374">
        <v>65.263000000000005</v>
      </c>
      <c r="V63" s="1374">
        <v>0</v>
      </c>
      <c r="W63" s="975"/>
      <c r="X63" s="975"/>
      <c r="Y63" s="975"/>
      <c r="Z63" s="1397">
        <f t="shared" si="8"/>
        <v>281.00799999999998</v>
      </c>
      <c r="AA63" s="1369">
        <v>125.28</v>
      </c>
      <c r="AB63" s="1374">
        <v>48.298000000000002</v>
      </c>
      <c r="AC63" s="1374">
        <v>0</v>
      </c>
      <c r="AD63" s="975"/>
      <c r="AE63" s="975"/>
      <c r="AF63" s="975"/>
      <c r="AG63" s="951">
        <f t="shared" si="50"/>
        <v>173.578</v>
      </c>
      <c r="AH63" s="947">
        <f t="shared" si="51"/>
        <v>454.58600000000001</v>
      </c>
      <c r="AI63" s="890">
        <f t="shared" si="73"/>
        <v>341.02499999999998</v>
      </c>
      <c r="AJ63" s="890">
        <f t="shared" si="73"/>
        <v>113.56100000000001</v>
      </c>
      <c r="AK63" s="890">
        <f t="shared" si="73"/>
        <v>0</v>
      </c>
      <c r="AL63" s="890">
        <f t="shared" si="73"/>
        <v>0</v>
      </c>
      <c r="AM63" s="890">
        <f t="shared" si="73"/>
        <v>0</v>
      </c>
      <c r="AN63" s="890"/>
      <c r="AO63" s="890">
        <f t="shared" si="70"/>
        <v>454.58600000000001</v>
      </c>
      <c r="AP63" s="890">
        <f t="shared" si="71"/>
        <v>454.58600000000001</v>
      </c>
      <c r="AQ63" s="952">
        <f t="shared" si="72"/>
        <v>454.58600000000001</v>
      </c>
      <c r="AR63" s="973">
        <f t="shared" si="35"/>
        <v>0</v>
      </c>
      <c r="AS63" s="889">
        <f t="shared" si="87"/>
        <v>1130485.5980999998</v>
      </c>
      <c r="AT63" s="890">
        <f t="shared" si="87"/>
        <v>335028.79781000002</v>
      </c>
      <c r="AU63" s="890">
        <f t="shared" si="87"/>
        <v>0</v>
      </c>
      <c r="AV63" s="890">
        <f t="shared" si="87"/>
        <v>0</v>
      </c>
      <c r="AW63" s="890">
        <f t="shared" si="87"/>
        <v>0</v>
      </c>
      <c r="AX63" s="890">
        <f t="shared" si="47"/>
        <v>1465514.39591</v>
      </c>
      <c r="AY63" s="890">
        <f t="shared" si="48"/>
        <v>1465514.39591</v>
      </c>
      <c r="AZ63" s="890">
        <f t="shared" si="88"/>
        <v>1281765.6521999999</v>
      </c>
      <c r="BA63" s="890">
        <f t="shared" si="88"/>
        <v>338378.84731000004</v>
      </c>
      <c r="BB63" s="890">
        <f t="shared" si="88"/>
        <v>0</v>
      </c>
      <c r="BC63" s="890">
        <f t="shared" si="88"/>
        <v>0</v>
      </c>
      <c r="BD63" s="890">
        <f t="shared" si="88"/>
        <v>0</v>
      </c>
      <c r="BE63" s="890">
        <f t="shared" si="49"/>
        <v>1620144.49951</v>
      </c>
      <c r="BF63" s="952">
        <f t="shared" si="52"/>
        <v>1620144.49951</v>
      </c>
      <c r="BG63" s="953">
        <f t="shared" si="89"/>
        <v>19.837450251666638</v>
      </c>
      <c r="BH63" s="954">
        <f t="shared" si="90"/>
        <v>31.347736403333322</v>
      </c>
      <c r="BI63" s="955">
        <f t="shared" si="91"/>
        <v>51.18518665499996</v>
      </c>
      <c r="BJ63" s="955"/>
      <c r="BK63" s="1197"/>
      <c r="BL63" s="890">
        <f t="shared" si="85"/>
        <v>715186.90817999979</v>
      </c>
      <c r="BM63" s="890">
        <f t="shared" si="85"/>
        <v>192539.55523000003</v>
      </c>
      <c r="BN63" s="890">
        <f t="shared" si="85"/>
        <v>0</v>
      </c>
      <c r="BO63" s="890">
        <f t="shared" si="85"/>
        <v>0</v>
      </c>
      <c r="BP63" s="890">
        <f t="shared" si="85"/>
        <v>0</v>
      </c>
      <c r="BQ63" s="890">
        <f t="shared" si="54"/>
        <v>907726.46340999985</v>
      </c>
      <c r="BR63" s="890">
        <f t="shared" si="55"/>
        <v>907726.46340999985</v>
      </c>
      <c r="BS63" s="890">
        <f t="shared" si="86"/>
        <v>470873.39903999999</v>
      </c>
      <c r="BT63" s="890">
        <f t="shared" si="86"/>
        <v>143914.03358000002</v>
      </c>
      <c r="BU63" s="890">
        <f t="shared" si="86"/>
        <v>0</v>
      </c>
      <c r="BV63" s="890">
        <f t="shared" si="57"/>
        <v>0</v>
      </c>
      <c r="BW63" s="890">
        <f t="shared" si="17"/>
        <v>0</v>
      </c>
      <c r="BX63" s="890">
        <f t="shared" si="58"/>
        <v>614787.43261999998</v>
      </c>
      <c r="BY63" s="890">
        <f t="shared" si="59"/>
        <v>614787.43261999998</v>
      </c>
      <c r="BZ63" s="945">
        <f t="shared" si="60"/>
        <v>336453.58881000004</v>
      </c>
      <c r="CA63" s="945">
        <f t="shared" si="60"/>
        <v>0</v>
      </c>
      <c r="CB63" s="945">
        <f t="shared" si="61"/>
        <v>336453.58881000004</v>
      </c>
      <c r="CC63" s="976">
        <f t="shared" si="62"/>
        <v>2962.7564816266149</v>
      </c>
      <c r="CD63" s="976" t="e">
        <f t="shared" si="62"/>
        <v>#DIV/0!</v>
      </c>
      <c r="CE63" s="976">
        <f t="shared" si="38"/>
        <v>2962.7564816266149</v>
      </c>
      <c r="CF63" s="976">
        <f t="shared" si="18"/>
        <v>2962.7564816266149</v>
      </c>
      <c r="CG63" s="977">
        <f t="shared" si="19"/>
        <v>397875.81279599993</v>
      </c>
      <c r="CH63" s="977">
        <f t="shared" si="39"/>
        <v>3503.6307605251795</v>
      </c>
      <c r="CI63" s="945"/>
      <c r="CJ63" s="1312">
        <f t="shared" si="92"/>
        <v>931.53140371199981</v>
      </c>
      <c r="CK63" s="1312">
        <f t="shared" si="20"/>
        <v>652.40471630399998</v>
      </c>
      <c r="CL63" s="1312">
        <f t="shared" si="40"/>
        <v>1583.9361200159997</v>
      </c>
      <c r="CM63" s="890">
        <f t="shared" si="41"/>
        <v>1708.5923928479999</v>
      </c>
      <c r="CN63" s="890">
        <f t="shared" si="42"/>
        <v>124.65627283200024</v>
      </c>
      <c r="CO63" s="890">
        <f t="shared" si="21"/>
        <v>1583936.1200159998</v>
      </c>
      <c r="CP63" s="890">
        <f t="shared" si="22"/>
        <v>1465514.39591</v>
      </c>
      <c r="CQ63" s="890">
        <f t="shared" si="23"/>
        <v>1465514.39591</v>
      </c>
      <c r="CR63" s="890">
        <f t="shared" si="24"/>
        <v>907726.46340999985</v>
      </c>
      <c r="CS63" s="890">
        <f t="shared" si="25"/>
        <v>1620144.49951</v>
      </c>
      <c r="CT63" s="890">
        <f t="shared" si="26"/>
        <v>1620144.49951</v>
      </c>
      <c r="CU63" s="890">
        <f t="shared" si="27"/>
        <v>614787.43261999998</v>
      </c>
      <c r="CV63" s="890">
        <f t="shared" si="43"/>
        <v>3085658.89542</v>
      </c>
      <c r="CW63" s="978">
        <f t="shared" si="44"/>
        <v>6787.8440942307943</v>
      </c>
      <c r="CX63" s="890">
        <f t="shared" si="28"/>
        <v>335028.79781000002</v>
      </c>
      <c r="CY63" s="890">
        <f t="shared" si="29"/>
        <v>338378.84731000004</v>
      </c>
      <c r="CZ63" s="890"/>
      <c r="DA63" s="890">
        <f t="shared" si="30"/>
        <v>1506936.2249039998</v>
      </c>
      <c r="DB63" s="890">
        <f t="shared" si="31"/>
        <v>1708592.3928479999</v>
      </c>
      <c r="DC63" s="840"/>
      <c r="DD63" s="841">
        <f t="shared" si="45"/>
        <v>127.40001559211038</v>
      </c>
      <c r="DE63" s="840"/>
      <c r="DF63" s="840"/>
      <c r="DG63" s="840"/>
      <c r="DH63" s="1050"/>
      <c r="DI63" s="1050"/>
      <c r="DJ63" s="1050"/>
      <c r="DK63" s="945"/>
      <c r="DL63" s="975">
        <f t="shared" si="32"/>
        <v>0</v>
      </c>
      <c r="DM63" s="975">
        <f t="shared" si="33"/>
        <v>0</v>
      </c>
      <c r="DN63" s="975">
        <f t="shared" si="34"/>
        <v>0</v>
      </c>
      <c r="DO63" s="816"/>
      <c r="DP63" s="871"/>
      <c r="DQ63" s="871"/>
      <c r="DR63" s="871"/>
      <c r="DS63" s="871"/>
      <c r="DT63" s="871"/>
      <c r="DU63" s="871"/>
      <c r="DV63" s="871"/>
      <c r="DW63" s="871"/>
      <c r="DX63" s="871"/>
      <c r="DY63" s="871"/>
      <c r="DZ63" s="871"/>
      <c r="EA63" s="871"/>
      <c r="EB63" s="871"/>
      <c r="EC63" s="871"/>
      <c r="ED63" s="871"/>
      <c r="EE63" s="871"/>
      <c r="EF63" s="871"/>
      <c r="EG63" s="871"/>
      <c r="EH63" s="871"/>
      <c r="EI63" s="871"/>
      <c r="EJ63" s="871"/>
      <c r="EK63" s="871"/>
      <c r="EL63" s="871"/>
    </row>
    <row r="64" spans="1:142" s="869" customFormat="1" ht="75" hidden="1" customHeight="1">
      <c r="A64" s="6">
        <f t="shared" si="46"/>
        <v>51</v>
      </c>
      <c r="B64" s="886"/>
      <c r="C64" s="1395" t="s">
        <v>102</v>
      </c>
      <c r="D64" s="1262" t="s">
        <v>141</v>
      </c>
      <c r="E64" s="887">
        <v>4632024035</v>
      </c>
      <c r="F64" s="886" t="s">
        <v>8</v>
      </c>
      <c r="G64" s="1238" t="s">
        <v>983</v>
      </c>
      <c r="H64" s="1256">
        <v>3314.9639999999995</v>
      </c>
      <c r="I64" s="1257">
        <f t="shared" si="93"/>
        <v>3314.9639999999995</v>
      </c>
      <c r="J64" s="891"/>
      <c r="K64" s="891"/>
      <c r="L64" s="1256">
        <v>3314.9639999999995</v>
      </c>
      <c r="M64" s="991"/>
      <c r="N64" s="1259">
        <f t="shared" si="94"/>
        <v>3758.5679999999998</v>
      </c>
      <c r="O64" s="1260">
        <f t="shared" si="95"/>
        <v>3758.5679999999998</v>
      </c>
      <c r="P64" s="891"/>
      <c r="Q64" s="891"/>
      <c r="R64" s="891">
        <f t="shared" si="96"/>
        <v>3758.5679999999998</v>
      </c>
      <c r="S64" s="991"/>
      <c r="T64" s="1375">
        <v>132.41700000000003</v>
      </c>
      <c r="U64" s="1376"/>
      <c r="V64" s="1376"/>
      <c r="W64" s="995"/>
      <c r="X64" s="995"/>
      <c r="Y64" s="995"/>
      <c r="Z64" s="1397">
        <f t="shared" si="8"/>
        <v>132.41700000000003</v>
      </c>
      <c r="AA64" s="1377">
        <v>75.58</v>
      </c>
      <c r="AB64" s="1376"/>
      <c r="AC64" s="1376"/>
      <c r="AD64" s="995"/>
      <c r="AE64" s="995"/>
      <c r="AF64" s="995"/>
      <c r="AG64" s="951">
        <f t="shared" si="50"/>
        <v>75.58</v>
      </c>
      <c r="AH64" s="947">
        <f t="shared" si="51"/>
        <v>207.99700000000001</v>
      </c>
      <c r="AI64" s="890">
        <f t="shared" si="73"/>
        <v>207.99700000000001</v>
      </c>
      <c r="AJ64" s="890">
        <f t="shared" si="73"/>
        <v>0</v>
      </c>
      <c r="AK64" s="890">
        <f t="shared" si="73"/>
        <v>0</v>
      </c>
      <c r="AL64" s="890">
        <f t="shared" si="73"/>
        <v>0</v>
      </c>
      <c r="AM64" s="890">
        <f t="shared" si="73"/>
        <v>0</v>
      </c>
      <c r="AN64" s="890"/>
      <c r="AO64" s="890">
        <f t="shared" si="70"/>
        <v>207.99700000000001</v>
      </c>
      <c r="AP64" s="890">
        <f t="shared" si="71"/>
        <v>207.99700000000001</v>
      </c>
      <c r="AQ64" s="952">
        <f t="shared" si="72"/>
        <v>207.99700000000001</v>
      </c>
      <c r="AR64" s="973">
        <f t="shared" si="35"/>
        <v>0</v>
      </c>
      <c r="AS64" s="889">
        <f t="shared" si="87"/>
        <v>689502.56710799993</v>
      </c>
      <c r="AT64" s="890">
        <f t="shared" si="87"/>
        <v>0</v>
      </c>
      <c r="AU64" s="890">
        <f t="shared" si="87"/>
        <v>0</v>
      </c>
      <c r="AV64" s="890">
        <f t="shared" si="87"/>
        <v>0</v>
      </c>
      <c r="AW64" s="890">
        <f t="shared" si="87"/>
        <v>0</v>
      </c>
      <c r="AX64" s="890">
        <f t="shared" si="47"/>
        <v>689502.56710799993</v>
      </c>
      <c r="AY64" s="890">
        <f t="shared" si="48"/>
        <v>689502.56710799993</v>
      </c>
      <c r="AZ64" s="890">
        <f t="shared" si="88"/>
        <v>781770.86829600006</v>
      </c>
      <c r="BA64" s="890">
        <f t="shared" si="88"/>
        <v>0</v>
      </c>
      <c r="BB64" s="890">
        <f t="shared" si="88"/>
        <v>0</v>
      </c>
      <c r="BC64" s="890">
        <f t="shared" si="88"/>
        <v>0</v>
      </c>
      <c r="BD64" s="890">
        <f t="shared" si="88"/>
        <v>0</v>
      </c>
      <c r="BE64" s="890">
        <f t="shared" si="49"/>
        <v>781770.86829600006</v>
      </c>
      <c r="BF64" s="952">
        <f t="shared" si="52"/>
        <v>781770.86829600006</v>
      </c>
      <c r="BG64" s="953">
        <f t="shared" si="89"/>
        <v>0</v>
      </c>
      <c r="BH64" s="954">
        <f t="shared" si="90"/>
        <v>0</v>
      </c>
      <c r="BI64" s="955">
        <f t="shared" si="91"/>
        <v>0</v>
      </c>
      <c r="BJ64" s="975"/>
      <c r="BK64" s="1198"/>
      <c r="BL64" s="890">
        <f t="shared" si="85"/>
        <v>438957.58798800001</v>
      </c>
      <c r="BM64" s="890">
        <f t="shared" si="85"/>
        <v>0</v>
      </c>
      <c r="BN64" s="890">
        <f t="shared" si="85"/>
        <v>0</v>
      </c>
      <c r="BO64" s="890">
        <f t="shared" si="85"/>
        <v>0</v>
      </c>
      <c r="BP64" s="890">
        <f t="shared" si="85"/>
        <v>0</v>
      </c>
      <c r="BQ64" s="890">
        <f t="shared" si="54"/>
        <v>438957.58798800001</v>
      </c>
      <c r="BR64" s="890">
        <f t="shared" si="55"/>
        <v>438957.58798800001</v>
      </c>
      <c r="BS64" s="890">
        <f t="shared" si="86"/>
        <v>284072.56943999999</v>
      </c>
      <c r="BT64" s="890">
        <f t="shared" si="86"/>
        <v>0</v>
      </c>
      <c r="BU64" s="890">
        <f t="shared" si="86"/>
        <v>0</v>
      </c>
      <c r="BV64" s="890">
        <f t="shared" si="57"/>
        <v>0</v>
      </c>
      <c r="BW64" s="890">
        <f t="shared" si="17"/>
        <v>0</v>
      </c>
      <c r="BX64" s="890">
        <f t="shared" si="58"/>
        <v>284072.56943999999</v>
      </c>
      <c r="BY64" s="890">
        <f t="shared" si="59"/>
        <v>284072.56943999999</v>
      </c>
      <c r="BZ64" s="945">
        <f t="shared" si="60"/>
        <v>0</v>
      </c>
      <c r="CA64" s="945">
        <f t="shared" si="60"/>
        <v>0</v>
      </c>
      <c r="CB64" s="945">
        <f t="shared" si="61"/>
        <v>0</v>
      </c>
      <c r="CC64" s="976" t="e">
        <f t="shared" si="62"/>
        <v>#DIV/0!</v>
      </c>
      <c r="CD64" s="976" t="e">
        <f t="shared" si="62"/>
        <v>#DIV/0!</v>
      </c>
      <c r="CE64" s="976" t="e">
        <f t="shared" si="38"/>
        <v>#DIV/0!</v>
      </c>
      <c r="CF64" s="945" t="e">
        <f t="shared" si="18"/>
        <v>#DIV/0!</v>
      </c>
      <c r="CG64" s="977">
        <f t="shared" si="19"/>
        <v>0</v>
      </c>
      <c r="CH64" s="977" t="e">
        <f t="shared" si="39"/>
        <v>#DIV/0!</v>
      </c>
      <c r="CI64" s="941"/>
      <c r="CJ64" s="1312">
        <f t="shared" si="92"/>
        <v>438.957587988</v>
      </c>
      <c r="CK64" s="1312">
        <f t="shared" si="20"/>
        <v>284.07256944</v>
      </c>
      <c r="CL64" s="1312">
        <f t="shared" si="40"/>
        <v>723.03015742799994</v>
      </c>
      <c r="CM64" s="890">
        <f t="shared" si="41"/>
        <v>781.770868296</v>
      </c>
      <c r="CN64" s="890">
        <f t="shared" si="42"/>
        <v>58.740710868000065</v>
      </c>
      <c r="CO64" s="890">
        <f t="shared" si="21"/>
        <v>723030.15742800001</v>
      </c>
      <c r="CP64" s="890">
        <f t="shared" si="22"/>
        <v>689502.56710799993</v>
      </c>
      <c r="CQ64" s="890">
        <f t="shared" si="23"/>
        <v>689502.56710799993</v>
      </c>
      <c r="CR64" s="890">
        <f t="shared" si="24"/>
        <v>438957.58798800001</v>
      </c>
      <c r="CS64" s="890">
        <f t="shared" si="25"/>
        <v>781770.86829600006</v>
      </c>
      <c r="CT64" s="890">
        <f t="shared" si="26"/>
        <v>781770.86829600006</v>
      </c>
      <c r="CU64" s="890">
        <f t="shared" si="27"/>
        <v>284072.56943999999</v>
      </c>
      <c r="CV64" s="890">
        <f t="shared" si="43"/>
        <v>1471273.4354039999</v>
      </c>
      <c r="CW64" s="978">
        <f t="shared" si="44"/>
        <v>7073.5319999999992</v>
      </c>
      <c r="CX64" s="890">
        <f t="shared" si="28"/>
        <v>0</v>
      </c>
      <c r="CY64" s="890">
        <f t="shared" si="29"/>
        <v>0</v>
      </c>
      <c r="CZ64" s="890"/>
      <c r="DA64" s="890">
        <f t="shared" si="30"/>
        <v>689502.56710799993</v>
      </c>
      <c r="DB64" s="890">
        <f t="shared" si="31"/>
        <v>781770.86829600006</v>
      </c>
      <c r="DC64" s="870"/>
      <c r="DD64" s="841" t="e">
        <f t="shared" si="45"/>
        <v>#DIV/0!</v>
      </c>
      <c r="DE64" s="870"/>
      <c r="DF64" s="870"/>
      <c r="DG64" s="870"/>
      <c r="DH64" s="1050"/>
      <c r="DI64" s="1050"/>
      <c r="DJ64" s="1050"/>
      <c r="DK64" s="941"/>
      <c r="DL64" s="975">
        <f t="shared" si="32"/>
        <v>0</v>
      </c>
      <c r="DM64" s="975">
        <f t="shared" si="33"/>
        <v>0</v>
      </c>
      <c r="DN64" s="975">
        <f t="shared" si="34"/>
        <v>0</v>
      </c>
      <c r="DO64" s="799"/>
      <c r="DP64" s="871"/>
      <c r="DQ64" s="871"/>
      <c r="DR64" s="871"/>
      <c r="DS64" s="871"/>
      <c r="DT64" s="871"/>
      <c r="DU64" s="871"/>
      <c r="DV64" s="871"/>
      <c r="DW64" s="871"/>
      <c r="DX64" s="871"/>
      <c r="DY64" s="871"/>
      <c r="DZ64" s="871"/>
      <c r="EA64" s="871"/>
      <c r="EB64" s="871"/>
      <c r="EC64" s="871"/>
      <c r="ED64" s="871"/>
      <c r="EE64" s="871"/>
      <c r="EF64" s="871"/>
      <c r="EG64" s="871"/>
      <c r="EH64" s="871"/>
      <c r="EI64" s="871"/>
      <c r="EJ64" s="871"/>
      <c r="EK64" s="871"/>
      <c r="EL64" s="871"/>
    </row>
    <row r="65" spans="1:142" s="869" customFormat="1" ht="84.75" hidden="1" customHeight="1">
      <c r="A65" s="6">
        <f t="shared" si="46"/>
        <v>52</v>
      </c>
      <c r="B65" s="886" t="s">
        <v>22</v>
      </c>
      <c r="C65" s="1395" t="s">
        <v>103</v>
      </c>
      <c r="D65" s="1262" t="s">
        <v>142</v>
      </c>
      <c r="E65" s="887">
        <v>4632024035</v>
      </c>
      <c r="F65" s="886" t="s">
        <v>8</v>
      </c>
      <c r="G65" s="1238" t="s">
        <v>983</v>
      </c>
      <c r="H65" s="1256">
        <v>3314.9639999999995</v>
      </c>
      <c r="I65" s="1257">
        <f t="shared" si="93"/>
        <v>3314.9639999999995</v>
      </c>
      <c r="J65" s="1263">
        <v>2484</v>
      </c>
      <c r="K65" s="891"/>
      <c r="L65" s="1256">
        <v>3314.9639999999995</v>
      </c>
      <c r="M65" s="946"/>
      <c r="N65" s="1259">
        <f t="shared" si="94"/>
        <v>3758.5679999999998</v>
      </c>
      <c r="O65" s="1260">
        <f t="shared" si="95"/>
        <v>3758.5679999999998</v>
      </c>
      <c r="P65" s="1264">
        <v>2719.98</v>
      </c>
      <c r="Q65" s="891"/>
      <c r="R65" s="891">
        <f t="shared" si="96"/>
        <v>3758.5679999999998</v>
      </c>
      <c r="S65" s="946"/>
      <c r="T65" s="1378">
        <v>2440.1130000000003</v>
      </c>
      <c r="U65" s="1379">
        <v>60.106000000000016</v>
      </c>
      <c r="V65" s="1380"/>
      <c r="W65" s="931"/>
      <c r="X65" s="931"/>
      <c r="Y65" s="931"/>
      <c r="Z65" s="1397">
        <f t="shared" si="8"/>
        <v>2500.2190000000005</v>
      </c>
      <c r="AA65" s="1381">
        <v>1992.963</v>
      </c>
      <c r="AB65" s="1382">
        <v>134</v>
      </c>
      <c r="AC65" s="1380"/>
      <c r="AD65" s="931"/>
      <c r="AE65" s="931"/>
      <c r="AF65" s="931"/>
      <c r="AG65" s="951">
        <f t="shared" si="50"/>
        <v>2126.9629999999997</v>
      </c>
      <c r="AH65" s="947">
        <f t="shared" si="51"/>
        <v>4627.1820000000007</v>
      </c>
      <c r="AI65" s="890">
        <f t="shared" si="73"/>
        <v>4433.076</v>
      </c>
      <c r="AJ65" s="890">
        <f t="shared" si="73"/>
        <v>194.10600000000002</v>
      </c>
      <c r="AK65" s="890">
        <f t="shared" si="73"/>
        <v>0</v>
      </c>
      <c r="AL65" s="890">
        <f t="shared" si="73"/>
        <v>0</v>
      </c>
      <c r="AM65" s="890">
        <f t="shared" si="73"/>
        <v>0</v>
      </c>
      <c r="AN65" s="890"/>
      <c r="AO65" s="890">
        <f t="shared" si="70"/>
        <v>4627.1819999999998</v>
      </c>
      <c r="AP65" s="890">
        <f t="shared" si="71"/>
        <v>4627.1819999999998</v>
      </c>
      <c r="AQ65" s="952">
        <f t="shared" si="72"/>
        <v>4627.1819999999998</v>
      </c>
      <c r="AR65" s="973">
        <f t="shared" si="35"/>
        <v>0</v>
      </c>
      <c r="AS65" s="889">
        <f t="shared" si="87"/>
        <v>14695487.349263998</v>
      </c>
      <c r="AT65" s="890">
        <f t="shared" si="87"/>
        <v>482159.30400000006</v>
      </c>
      <c r="AU65" s="890">
        <f t="shared" si="87"/>
        <v>0</v>
      </c>
      <c r="AV65" s="890">
        <f t="shared" si="87"/>
        <v>0</v>
      </c>
      <c r="AW65" s="890">
        <f t="shared" si="87"/>
        <v>0</v>
      </c>
      <c r="AX65" s="890">
        <f t="shared" si="47"/>
        <v>15177646.653263997</v>
      </c>
      <c r="AY65" s="890">
        <f t="shared" si="48"/>
        <v>15177646.653263997</v>
      </c>
      <c r="AZ65" s="890">
        <f t="shared" si="88"/>
        <v>16662017.595167998</v>
      </c>
      <c r="BA65" s="890">
        <f t="shared" si="88"/>
        <v>527964.4378800001</v>
      </c>
      <c r="BB65" s="890">
        <f t="shared" si="88"/>
        <v>0</v>
      </c>
      <c r="BC65" s="890">
        <f t="shared" si="88"/>
        <v>0</v>
      </c>
      <c r="BD65" s="890">
        <f t="shared" si="88"/>
        <v>0</v>
      </c>
      <c r="BE65" s="890">
        <f t="shared" si="49"/>
        <v>17189982.033047996</v>
      </c>
      <c r="BF65" s="952">
        <f t="shared" si="52"/>
        <v>17189982.033047996</v>
      </c>
      <c r="BG65" s="953">
        <f t="shared" si="89"/>
        <v>41.621601819999981</v>
      </c>
      <c r="BH65" s="954">
        <f t="shared" si="90"/>
        <v>115.97565999999996</v>
      </c>
      <c r="BI65" s="955">
        <f t="shared" si="91"/>
        <v>157.59726181999994</v>
      </c>
      <c r="BJ65" s="955"/>
      <c r="BK65" s="1197"/>
      <c r="BL65" s="890">
        <f t="shared" si="85"/>
        <v>8088886.7509319996</v>
      </c>
      <c r="BM65" s="890">
        <f t="shared" si="85"/>
        <v>149303.30400000003</v>
      </c>
      <c r="BN65" s="890">
        <f t="shared" si="85"/>
        <v>0</v>
      </c>
      <c r="BO65" s="890">
        <f t="shared" si="85"/>
        <v>0</v>
      </c>
      <c r="BP65" s="890">
        <f t="shared" si="85"/>
        <v>0</v>
      </c>
      <c r="BQ65" s="890">
        <f t="shared" si="54"/>
        <v>8238190.0549320001</v>
      </c>
      <c r="BR65" s="890">
        <f t="shared" si="55"/>
        <v>8238190.0549320001</v>
      </c>
      <c r="BS65" s="890">
        <f t="shared" si="86"/>
        <v>7490686.9569839993</v>
      </c>
      <c r="BT65" s="890">
        <f t="shared" si="86"/>
        <v>364477.32</v>
      </c>
      <c r="BU65" s="890">
        <f t="shared" si="86"/>
        <v>0</v>
      </c>
      <c r="BV65" s="890">
        <f t="shared" si="57"/>
        <v>0</v>
      </c>
      <c r="BW65" s="890">
        <f t="shared" si="17"/>
        <v>0</v>
      </c>
      <c r="BX65" s="890">
        <f t="shared" si="58"/>
        <v>7855164.2769839996</v>
      </c>
      <c r="BY65" s="890">
        <f t="shared" si="59"/>
        <v>7855164.2769839996</v>
      </c>
      <c r="BZ65" s="945">
        <f t="shared" si="60"/>
        <v>513780.62400000007</v>
      </c>
      <c r="CA65" s="945">
        <f t="shared" si="60"/>
        <v>0</v>
      </c>
      <c r="CB65" s="945">
        <f t="shared" si="61"/>
        <v>513780.62400000007</v>
      </c>
      <c r="CC65" s="976">
        <f t="shared" si="62"/>
        <v>2646.9074835399215</v>
      </c>
      <c r="CD65" s="976" t="e">
        <f t="shared" si="62"/>
        <v>#DIV/0!</v>
      </c>
      <c r="CE65" s="976">
        <f t="shared" si="38"/>
        <v>2646.9074835399215</v>
      </c>
      <c r="CF65" s="976">
        <f t="shared" si="18"/>
        <v>2646.9074835399215</v>
      </c>
      <c r="CG65" s="977">
        <f t="shared" si="19"/>
        <v>702897.33818399999</v>
      </c>
      <c r="CH65" s="977">
        <f t="shared" si="39"/>
        <v>3621.2035598281345</v>
      </c>
      <c r="CI65" s="941"/>
      <c r="CJ65" s="1312">
        <f t="shared" si="92"/>
        <v>8288.1359771160005</v>
      </c>
      <c r="CK65" s="1312">
        <f t="shared" si="20"/>
        <v>7994.3350689839981</v>
      </c>
      <c r="CL65" s="1312">
        <f t="shared" si="40"/>
        <v>16282.4710461</v>
      </c>
      <c r="CM65" s="890">
        <f t="shared" si="41"/>
        <v>17391.578195376002</v>
      </c>
      <c r="CN65" s="890">
        <f t="shared" si="42"/>
        <v>1109.107149276002</v>
      </c>
      <c r="CO65" s="890">
        <f t="shared" si="21"/>
        <v>16282471.046099998</v>
      </c>
      <c r="CP65" s="890">
        <f t="shared" si="22"/>
        <v>15177646.653263997</v>
      </c>
      <c r="CQ65" s="890">
        <f t="shared" si="23"/>
        <v>15177646.653263997</v>
      </c>
      <c r="CR65" s="890">
        <f t="shared" si="24"/>
        <v>8238190.0549320001</v>
      </c>
      <c r="CS65" s="890">
        <f t="shared" si="25"/>
        <v>17189982.033047996</v>
      </c>
      <c r="CT65" s="890">
        <f t="shared" si="26"/>
        <v>17189982.033047996</v>
      </c>
      <c r="CU65" s="890">
        <f t="shared" si="27"/>
        <v>7855164.2769839996</v>
      </c>
      <c r="CV65" s="890">
        <f t="shared" si="43"/>
        <v>32367628.686311994</v>
      </c>
      <c r="CW65" s="978">
        <f t="shared" si="44"/>
        <v>6995.1060248574595</v>
      </c>
      <c r="CX65" s="890">
        <f t="shared" si="28"/>
        <v>482159.30400000006</v>
      </c>
      <c r="CY65" s="890">
        <f t="shared" si="29"/>
        <v>527964.4378800001</v>
      </c>
      <c r="CZ65" s="890"/>
      <c r="DA65" s="890">
        <f t="shared" si="30"/>
        <v>15338941.751447998</v>
      </c>
      <c r="DB65" s="890">
        <f t="shared" si="31"/>
        <v>17391578.195375998</v>
      </c>
      <c r="DC65" s="870"/>
      <c r="DD65" s="841">
        <f t="shared" si="45"/>
        <v>151.3111111111111</v>
      </c>
      <c r="DE65" s="870"/>
      <c r="DF65" s="870"/>
      <c r="DG65" s="870"/>
      <c r="DH65" s="1050"/>
      <c r="DI65" s="1050"/>
      <c r="DJ65" s="1050"/>
      <c r="DK65" s="941"/>
      <c r="DL65" s="975">
        <f t="shared" si="32"/>
        <v>0</v>
      </c>
      <c r="DM65" s="975">
        <f t="shared" si="33"/>
        <v>0</v>
      </c>
      <c r="DN65" s="975">
        <f t="shared" si="34"/>
        <v>0</v>
      </c>
      <c r="DO65" s="799"/>
      <c r="DP65" s="871"/>
      <c r="DQ65" s="871"/>
      <c r="DR65" s="871"/>
      <c r="DS65" s="871"/>
      <c r="DT65" s="871"/>
      <c r="DU65" s="871"/>
      <c r="DV65" s="871"/>
      <c r="DW65" s="871"/>
      <c r="DX65" s="871"/>
      <c r="DY65" s="871"/>
      <c r="DZ65" s="871"/>
      <c r="EA65" s="871"/>
      <c r="EB65" s="871"/>
      <c r="EC65" s="871"/>
      <c r="ED65" s="871"/>
      <c r="EE65" s="871"/>
      <c r="EF65" s="871"/>
      <c r="EG65" s="871"/>
      <c r="EH65" s="871"/>
      <c r="EI65" s="871"/>
      <c r="EJ65" s="871"/>
      <c r="EK65" s="871"/>
      <c r="EL65" s="871"/>
    </row>
    <row r="66" spans="1:142" s="869" customFormat="1" ht="76.5" hidden="1" customHeight="1">
      <c r="A66" s="6">
        <f t="shared" si="46"/>
        <v>53</v>
      </c>
      <c r="B66" s="886" t="s">
        <v>22</v>
      </c>
      <c r="C66" s="1395" t="s">
        <v>104</v>
      </c>
      <c r="D66" s="1262" t="s">
        <v>141</v>
      </c>
      <c r="E66" s="887">
        <v>4632024035</v>
      </c>
      <c r="F66" s="886" t="s">
        <v>8</v>
      </c>
      <c r="G66" s="1238" t="s">
        <v>983</v>
      </c>
      <c r="H66" s="1256">
        <v>3314.9639999999995</v>
      </c>
      <c r="I66" s="1257">
        <f t="shared" si="93"/>
        <v>3314.9639999999995</v>
      </c>
      <c r="J66" s="891"/>
      <c r="K66" s="891"/>
      <c r="L66" s="1256">
        <v>3314.9639999999995</v>
      </c>
      <c r="M66" s="946"/>
      <c r="N66" s="1259">
        <f t="shared" si="94"/>
        <v>3758.5679999999998</v>
      </c>
      <c r="O66" s="1260">
        <f t="shared" si="95"/>
        <v>3758.5679999999998</v>
      </c>
      <c r="P66" s="891"/>
      <c r="Q66" s="891"/>
      <c r="R66" s="891">
        <f t="shared" si="96"/>
        <v>3758.5679999999998</v>
      </c>
      <c r="S66" s="946"/>
      <c r="T66" s="1307">
        <v>118.66</v>
      </c>
      <c r="U66" s="1366"/>
      <c r="V66" s="1366"/>
      <c r="W66" s="890"/>
      <c r="X66" s="890"/>
      <c r="Y66" s="890"/>
      <c r="Z66" s="1397">
        <f t="shared" si="8"/>
        <v>118.66</v>
      </c>
      <c r="AA66" s="1308">
        <v>68.903999999999996</v>
      </c>
      <c r="AB66" s="1366"/>
      <c r="AC66" s="1366"/>
      <c r="AD66" s="890"/>
      <c r="AE66" s="890"/>
      <c r="AF66" s="890"/>
      <c r="AG66" s="951">
        <f t="shared" si="50"/>
        <v>68.903999999999996</v>
      </c>
      <c r="AH66" s="947">
        <f t="shared" si="51"/>
        <v>187.56399999999999</v>
      </c>
      <c r="AI66" s="890">
        <f t="shared" si="73"/>
        <v>187.56399999999999</v>
      </c>
      <c r="AJ66" s="890">
        <f t="shared" si="73"/>
        <v>0</v>
      </c>
      <c r="AK66" s="890">
        <f t="shared" si="73"/>
        <v>0</v>
      </c>
      <c r="AL66" s="890">
        <f t="shared" si="73"/>
        <v>0</v>
      </c>
      <c r="AM66" s="890">
        <f t="shared" si="73"/>
        <v>0</v>
      </c>
      <c r="AN66" s="890"/>
      <c r="AO66" s="890">
        <f t="shared" si="70"/>
        <v>187.56399999999999</v>
      </c>
      <c r="AP66" s="890">
        <f t="shared" si="71"/>
        <v>187.56399999999999</v>
      </c>
      <c r="AQ66" s="952">
        <f t="shared" si="72"/>
        <v>187.56399999999999</v>
      </c>
      <c r="AR66" s="973">
        <f t="shared" si="35"/>
        <v>0</v>
      </c>
      <c r="AS66" s="889">
        <f t="shared" si="87"/>
        <v>621767.90769599983</v>
      </c>
      <c r="AT66" s="890">
        <f t="shared" si="87"/>
        <v>0</v>
      </c>
      <c r="AU66" s="890">
        <f t="shared" si="87"/>
        <v>0</v>
      </c>
      <c r="AV66" s="890">
        <f t="shared" si="87"/>
        <v>0</v>
      </c>
      <c r="AW66" s="890">
        <f t="shared" si="87"/>
        <v>0</v>
      </c>
      <c r="AX66" s="890">
        <f t="shared" si="47"/>
        <v>621767.90769599983</v>
      </c>
      <c r="AY66" s="890">
        <f t="shared" si="48"/>
        <v>621767.90769599983</v>
      </c>
      <c r="AZ66" s="890">
        <f t="shared" si="88"/>
        <v>704972.04835199995</v>
      </c>
      <c r="BA66" s="890">
        <f t="shared" si="88"/>
        <v>0</v>
      </c>
      <c r="BB66" s="890">
        <f t="shared" si="88"/>
        <v>0</v>
      </c>
      <c r="BC66" s="890">
        <f t="shared" si="88"/>
        <v>0</v>
      </c>
      <c r="BD66" s="890">
        <f t="shared" si="88"/>
        <v>0</v>
      </c>
      <c r="BE66" s="890">
        <f t="shared" si="49"/>
        <v>704972.04835199995</v>
      </c>
      <c r="BF66" s="952">
        <f t="shared" si="52"/>
        <v>704972.04835199995</v>
      </c>
      <c r="BG66" s="953">
        <f t="shared" si="89"/>
        <v>0</v>
      </c>
      <c r="BH66" s="954">
        <f t="shared" si="90"/>
        <v>0</v>
      </c>
      <c r="BI66" s="955">
        <f t="shared" si="91"/>
        <v>0</v>
      </c>
      <c r="BJ66" s="890"/>
      <c r="BK66" s="1199"/>
      <c r="BL66" s="890">
        <f t="shared" si="85"/>
        <v>393353.62823999993</v>
      </c>
      <c r="BM66" s="890">
        <f t="shared" si="85"/>
        <v>0</v>
      </c>
      <c r="BN66" s="890">
        <f t="shared" si="85"/>
        <v>0</v>
      </c>
      <c r="BO66" s="890">
        <f t="shared" si="85"/>
        <v>0</v>
      </c>
      <c r="BP66" s="890">
        <f t="shared" si="85"/>
        <v>0</v>
      </c>
      <c r="BQ66" s="890">
        <f t="shared" si="54"/>
        <v>393353.62823999993</v>
      </c>
      <c r="BR66" s="890">
        <f t="shared" si="55"/>
        <v>393353.62823999993</v>
      </c>
      <c r="BS66" s="890">
        <f t="shared" si="86"/>
        <v>258980.36947199996</v>
      </c>
      <c r="BT66" s="890">
        <f t="shared" si="86"/>
        <v>0</v>
      </c>
      <c r="BU66" s="890">
        <f t="shared" si="86"/>
        <v>0</v>
      </c>
      <c r="BV66" s="890">
        <f t="shared" si="57"/>
        <v>0</v>
      </c>
      <c r="BW66" s="890">
        <f t="shared" si="17"/>
        <v>0</v>
      </c>
      <c r="BX66" s="890">
        <f t="shared" si="58"/>
        <v>258980.36947199996</v>
      </c>
      <c r="BY66" s="890">
        <f t="shared" si="59"/>
        <v>258980.36947199996</v>
      </c>
      <c r="BZ66" s="945">
        <f t="shared" si="60"/>
        <v>0</v>
      </c>
      <c r="CA66" s="945">
        <f t="shared" si="60"/>
        <v>0</v>
      </c>
      <c r="CB66" s="945">
        <f t="shared" si="61"/>
        <v>0</v>
      </c>
      <c r="CC66" s="976" t="e">
        <f t="shared" si="62"/>
        <v>#DIV/0!</v>
      </c>
      <c r="CD66" s="976" t="e">
        <f t="shared" si="62"/>
        <v>#DIV/0!</v>
      </c>
      <c r="CE66" s="976" t="e">
        <f t="shared" si="38"/>
        <v>#DIV/0!</v>
      </c>
      <c r="CF66" s="945" t="e">
        <f t="shared" si="18"/>
        <v>#DIV/0!</v>
      </c>
      <c r="CG66" s="977">
        <f t="shared" si="19"/>
        <v>0</v>
      </c>
      <c r="CH66" s="977" t="e">
        <f t="shared" si="39"/>
        <v>#DIV/0!</v>
      </c>
      <c r="CI66" s="945"/>
      <c r="CJ66" s="1312">
        <f t="shared" si="92"/>
        <v>393.35362823999992</v>
      </c>
      <c r="CK66" s="1312">
        <f t="shared" si="20"/>
        <v>258.98036947199995</v>
      </c>
      <c r="CL66" s="1312">
        <f t="shared" si="40"/>
        <v>652.33399771199993</v>
      </c>
      <c r="CM66" s="890">
        <f t="shared" si="41"/>
        <v>704.972048352</v>
      </c>
      <c r="CN66" s="890">
        <f t="shared" si="42"/>
        <v>52.638050640000074</v>
      </c>
      <c r="CO66" s="890">
        <f t="shared" si="21"/>
        <v>652333.99771199992</v>
      </c>
      <c r="CP66" s="890">
        <f t="shared" si="22"/>
        <v>621767.90769599983</v>
      </c>
      <c r="CQ66" s="890">
        <f t="shared" si="23"/>
        <v>621767.90769599983</v>
      </c>
      <c r="CR66" s="890">
        <f t="shared" si="24"/>
        <v>393353.62823999993</v>
      </c>
      <c r="CS66" s="890">
        <f t="shared" si="25"/>
        <v>704972.04835199995</v>
      </c>
      <c r="CT66" s="890">
        <f t="shared" si="26"/>
        <v>704972.04835199995</v>
      </c>
      <c r="CU66" s="890">
        <f t="shared" si="27"/>
        <v>258980.36947199996</v>
      </c>
      <c r="CV66" s="890">
        <f t="shared" si="43"/>
        <v>1326739.9560479997</v>
      </c>
      <c r="CW66" s="978">
        <f t="shared" si="44"/>
        <v>7073.5319999999983</v>
      </c>
      <c r="CX66" s="890">
        <f t="shared" si="28"/>
        <v>0</v>
      </c>
      <c r="CY66" s="890">
        <f t="shared" si="29"/>
        <v>0</v>
      </c>
      <c r="CZ66" s="890"/>
      <c r="DA66" s="890">
        <f t="shared" si="30"/>
        <v>621767.90769599983</v>
      </c>
      <c r="DB66" s="890">
        <f t="shared" si="31"/>
        <v>704972.04835199995</v>
      </c>
      <c r="DC66" s="840"/>
      <c r="DD66" s="841" t="e">
        <f t="shared" si="45"/>
        <v>#DIV/0!</v>
      </c>
      <c r="DE66" s="840"/>
      <c r="DF66" s="840"/>
      <c r="DG66" s="840"/>
      <c r="DH66" s="1050"/>
      <c r="DI66" s="1050"/>
      <c r="DJ66" s="1050"/>
      <c r="DK66" s="945"/>
      <c r="DL66" s="975">
        <f t="shared" si="32"/>
        <v>0</v>
      </c>
      <c r="DM66" s="975">
        <f t="shared" si="33"/>
        <v>0</v>
      </c>
      <c r="DN66" s="975">
        <f t="shared" si="34"/>
        <v>0</v>
      </c>
      <c r="DO66" s="816"/>
      <c r="DP66" s="871"/>
      <c r="DQ66" s="871"/>
      <c r="DR66" s="871"/>
      <c r="DS66" s="871"/>
      <c r="DT66" s="871"/>
      <c r="DU66" s="871"/>
      <c r="DV66" s="871"/>
      <c r="DW66" s="871"/>
      <c r="DX66" s="871"/>
      <c r="DY66" s="871"/>
      <c r="DZ66" s="871"/>
      <c r="EA66" s="871"/>
      <c r="EB66" s="871"/>
      <c r="EC66" s="871"/>
      <c r="ED66" s="871"/>
      <c r="EE66" s="871"/>
      <c r="EF66" s="871"/>
      <c r="EG66" s="871"/>
      <c r="EH66" s="871"/>
      <c r="EI66" s="871"/>
      <c r="EJ66" s="871"/>
      <c r="EK66" s="871"/>
      <c r="EL66" s="871"/>
    </row>
    <row r="67" spans="1:142" s="50" customFormat="1" ht="75" hidden="1" customHeight="1">
      <c r="A67" s="6">
        <f t="shared" si="46"/>
        <v>54</v>
      </c>
      <c r="B67" s="886" t="s">
        <v>23</v>
      </c>
      <c r="C67" s="956" t="s">
        <v>68</v>
      </c>
      <c r="D67" s="886" t="s">
        <v>24</v>
      </c>
      <c r="E67" s="887">
        <v>4616008283</v>
      </c>
      <c r="F67" s="886" t="s">
        <v>8</v>
      </c>
      <c r="G67" s="888" t="s">
        <v>970</v>
      </c>
      <c r="H67" s="1251">
        <v>3478.3346220056919</v>
      </c>
      <c r="I67" s="1252">
        <v>3478.3346220056919</v>
      </c>
      <c r="J67" s="891">
        <v>3122.7852000000003</v>
      </c>
      <c r="K67" s="891">
        <v>3122.7852000000003</v>
      </c>
      <c r="L67" s="891">
        <v>3478.3346220056919</v>
      </c>
      <c r="M67" s="946"/>
      <c r="N67" s="927">
        <v>3853.91</v>
      </c>
      <c r="O67" s="928">
        <v>3853.91</v>
      </c>
      <c r="P67" s="928">
        <v>3572.47</v>
      </c>
      <c r="Q67" s="928">
        <v>3572.47</v>
      </c>
      <c r="R67" s="891">
        <v>3853.91</v>
      </c>
      <c r="S67" s="926"/>
      <c r="T67" s="988">
        <v>4222.33</v>
      </c>
      <c r="U67" s="987">
        <v>1260.886</v>
      </c>
      <c r="V67" s="897">
        <v>39.804000000000002</v>
      </c>
      <c r="W67" s="897">
        <v>375.74</v>
      </c>
      <c r="X67" s="897">
        <v>0</v>
      </c>
      <c r="Y67" s="897">
        <v>0</v>
      </c>
      <c r="Z67" s="920">
        <f>SUM(T67:W67)</f>
        <v>5898.76</v>
      </c>
      <c r="AA67" s="989">
        <v>2490.3200000000002</v>
      </c>
      <c r="AB67" s="987">
        <v>901.81399999999996</v>
      </c>
      <c r="AC67" s="897">
        <v>26.536000000000001</v>
      </c>
      <c r="AD67" s="897">
        <v>112.84</v>
      </c>
      <c r="AE67" s="897">
        <v>0</v>
      </c>
      <c r="AF67" s="897">
        <v>0</v>
      </c>
      <c r="AG67" s="900">
        <f>SUM(AA67:AD67)</f>
        <v>3531.51</v>
      </c>
      <c r="AH67" s="896">
        <f>Z67+AG67</f>
        <v>9430.27</v>
      </c>
      <c r="AI67" s="987">
        <f>T67+AA67</f>
        <v>6712.65</v>
      </c>
      <c r="AJ67" s="987">
        <f>U67+AB67</f>
        <v>2162.6999999999998</v>
      </c>
      <c r="AK67" s="897">
        <f>V67+AC67</f>
        <v>66.34</v>
      </c>
      <c r="AL67" s="897">
        <f>W67+AD67</f>
        <v>488.58000000000004</v>
      </c>
      <c r="AM67" s="897">
        <f t="shared" si="73"/>
        <v>0</v>
      </c>
      <c r="AN67" s="897"/>
      <c r="AO67" s="987">
        <f>SUM(AI67:AN67)</f>
        <v>9430.2699999999986</v>
      </c>
      <c r="AP67" s="987">
        <f>SUM(AI67:AM67)</f>
        <v>9430.2699999999986</v>
      </c>
      <c r="AQ67" s="998">
        <f>SUM(AI67:AL67)</f>
        <v>9430.2699999999986</v>
      </c>
      <c r="AR67" s="902">
        <f t="shared" si="35"/>
        <v>0</v>
      </c>
      <c r="AS67" s="903">
        <f t="shared" si="87"/>
        <v>23348842.900406506</v>
      </c>
      <c r="AT67" s="897">
        <f t="shared" si="87"/>
        <v>6753647.5520400004</v>
      </c>
      <c r="AU67" s="897">
        <f t="shared" si="87"/>
        <v>207165.57016800003</v>
      </c>
      <c r="AV67" s="897">
        <f t="shared" si="87"/>
        <v>1699444.7296195412</v>
      </c>
      <c r="AW67" s="897">
        <f t="shared" si="87"/>
        <v>0</v>
      </c>
      <c r="AX67" s="897">
        <f t="shared" si="47"/>
        <v>32009100.752234045</v>
      </c>
      <c r="AY67" s="897">
        <f t="shared" si="48"/>
        <v>32009100.752234045</v>
      </c>
      <c r="AZ67" s="897">
        <f t="shared" si="88"/>
        <v>25869948.961499996</v>
      </c>
      <c r="BA67" s="897">
        <f t="shared" si="88"/>
        <v>7726180.868999999</v>
      </c>
      <c r="BB67" s="897">
        <f t="shared" si="88"/>
        <v>236997.65979999999</v>
      </c>
      <c r="BC67" s="897">
        <f t="shared" si="88"/>
        <v>1882943.3478000001</v>
      </c>
      <c r="BD67" s="897">
        <f t="shared" si="88"/>
        <v>0</v>
      </c>
      <c r="BE67" s="897">
        <f t="shared" si="49"/>
        <v>35716070.838099994</v>
      </c>
      <c r="BF67" s="901">
        <f t="shared" si="52"/>
        <v>35716070.838099994</v>
      </c>
      <c r="BG67" s="904">
        <v>462.45</v>
      </c>
      <c r="BH67" s="897">
        <v>261.27999999999997</v>
      </c>
      <c r="BI67" s="897">
        <f t="shared" ref="BI67:BI78" si="97">BG67+BH67</f>
        <v>723.73</v>
      </c>
      <c r="BJ67" s="940">
        <v>34127.947036475904</v>
      </c>
      <c r="BK67" s="1227">
        <v>34440.639999999999</v>
      </c>
      <c r="BL67" s="897">
        <f>I67*T67</f>
        <v>14686676.624533294</v>
      </c>
      <c r="BM67" s="897">
        <f>J67*U67</f>
        <v>3937476.1396872001</v>
      </c>
      <c r="BN67" s="897">
        <f>K67*V67</f>
        <v>124299.34210080002</v>
      </c>
      <c r="BO67" s="897">
        <f>L67*W67</f>
        <v>1306949.4508724187</v>
      </c>
      <c r="BP67" s="897">
        <f t="shared" si="85"/>
        <v>0</v>
      </c>
      <c r="BQ67" s="897">
        <f>BL67+BM67+BN67+BO67+BP67</f>
        <v>20055401.557193711</v>
      </c>
      <c r="BR67" s="897">
        <f>BQ67-BP67</f>
        <v>20055401.557193711</v>
      </c>
      <c r="BS67" s="897">
        <f>O67*AA67</f>
        <v>9597469.1512000002</v>
      </c>
      <c r="BT67" s="897">
        <f>P67*AB67</f>
        <v>3221703.4605799997</v>
      </c>
      <c r="BU67" s="897">
        <f>Q67*AC67</f>
        <v>94799.063920000001</v>
      </c>
      <c r="BV67" s="897">
        <f>R67*W67</f>
        <v>1448068.1433999999</v>
      </c>
      <c r="BW67" s="897">
        <f t="shared" si="17"/>
        <v>0</v>
      </c>
      <c r="BX67" s="897">
        <f>BS67+BT67+BU67+BV67+BW67</f>
        <v>14362039.8191</v>
      </c>
      <c r="BY67" s="897">
        <f>BX67-BW67</f>
        <v>14362039.8191</v>
      </c>
      <c r="BZ67" s="905">
        <f>BM67+BT67</f>
        <v>7159179.6002671998</v>
      </c>
      <c r="CA67" s="905">
        <f>BN67+BU67</f>
        <v>219098.4060208</v>
      </c>
      <c r="CB67" s="905">
        <f>BZ67+CA67</f>
        <v>7378278.0062879995</v>
      </c>
      <c r="CC67" s="907">
        <f t="shared" si="62"/>
        <v>3310.297128712813</v>
      </c>
      <c r="CD67" s="907">
        <f t="shared" si="62"/>
        <v>3302.6591199999998</v>
      </c>
      <c r="CE67" s="907">
        <f t="shared" si="38"/>
        <v>3310.0698086566413</v>
      </c>
      <c r="CF67" s="907">
        <f t="shared" si="18"/>
        <v>3310.0698086566413</v>
      </c>
      <c r="CG67" s="923">
        <f t="shared" si="19"/>
        <v>8102012.4079965828</v>
      </c>
      <c r="CH67" s="923">
        <f t="shared" si="39"/>
        <v>3634.7541578422024</v>
      </c>
      <c r="CI67" s="979"/>
      <c r="CJ67" s="897">
        <f>N67*Z67/1000</f>
        <v>22733.290151599998</v>
      </c>
      <c r="CK67" s="897">
        <f t="shared" si="20"/>
        <v>13610.1217041</v>
      </c>
      <c r="CL67" s="922">
        <f t="shared" si="40"/>
        <v>36343.411855699997</v>
      </c>
      <c r="CM67" s="897">
        <f t="shared" si="41"/>
        <v>36343.411855700004</v>
      </c>
      <c r="CN67" s="897">
        <f t="shared" si="42"/>
        <v>0</v>
      </c>
      <c r="CO67" s="897">
        <f t="shared" si="21"/>
        <v>34127982.839002296</v>
      </c>
      <c r="CP67" s="897">
        <f t="shared" si="22"/>
        <v>32009100.752234045</v>
      </c>
      <c r="CQ67" s="897">
        <f t="shared" si="23"/>
        <v>32009100.752234045</v>
      </c>
      <c r="CR67" s="897">
        <f t="shared" si="24"/>
        <v>20055401.557193711</v>
      </c>
      <c r="CS67" s="897">
        <f t="shared" si="25"/>
        <v>35716070.838099994</v>
      </c>
      <c r="CT67" s="897">
        <f t="shared" si="26"/>
        <v>35716070.838100001</v>
      </c>
      <c r="CU67" s="897">
        <f t="shared" si="27"/>
        <v>13348846.880099999</v>
      </c>
      <c r="CV67" s="897">
        <f t="shared" si="43"/>
        <v>67725171.590334043</v>
      </c>
      <c r="CW67" s="906">
        <f t="shared" si="44"/>
        <v>7181.6789540844575</v>
      </c>
      <c r="CX67" s="897">
        <f t="shared" si="28"/>
        <v>6960813.1222080002</v>
      </c>
      <c r="CY67" s="897">
        <f t="shared" si="29"/>
        <v>7963178.5287999986</v>
      </c>
      <c r="CZ67" s="897"/>
      <c r="DA67" s="897">
        <f t="shared" si="30"/>
        <v>32801634.635861613</v>
      </c>
      <c r="DB67" s="897">
        <f t="shared" si="31"/>
        <v>36343411.855699994</v>
      </c>
      <c r="DC67" s="1131"/>
      <c r="DD67" s="40">
        <f t="shared" si="45"/>
        <v>123.41258694321976</v>
      </c>
      <c r="DE67" s="1131"/>
      <c r="DF67" s="1131"/>
      <c r="DG67" s="1131"/>
      <c r="DH67" s="1226">
        <v>9430.27</v>
      </c>
      <c r="DI67" s="1226">
        <v>2229.04</v>
      </c>
      <c r="DJ67" s="1043">
        <f>DH67-DI67</f>
        <v>7201.2300000000005</v>
      </c>
      <c r="DK67" s="979"/>
      <c r="DL67" s="908">
        <f t="shared" si="32"/>
        <v>0</v>
      </c>
      <c r="DM67" s="908">
        <f t="shared" si="33"/>
        <v>0</v>
      </c>
      <c r="DN67" s="908">
        <f t="shared" si="34"/>
        <v>0</v>
      </c>
      <c r="DO67" s="81"/>
      <c r="DP67" s="81"/>
      <c r="DQ67" s="81"/>
      <c r="DR67" s="81"/>
      <c r="DS67" s="81"/>
      <c r="DT67" s="81"/>
      <c r="DU67" s="81"/>
      <c r="DV67" s="81"/>
      <c r="DW67" s="81"/>
      <c r="DX67" s="81"/>
      <c r="DY67" s="81"/>
      <c r="DZ67" s="81"/>
      <c r="EA67" s="81"/>
      <c r="EB67" s="81"/>
      <c r="EC67" s="81"/>
      <c r="ED67" s="81"/>
      <c r="EE67" s="81"/>
      <c r="EF67" s="81"/>
      <c r="EG67" s="81"/>
      <c r="EH67" s="81"/>
      <c r="EI67" s="81"/>
      <c r="EJ67" s="81"/>
      <c r="EK67" s="81"/>
      <c r="EL67" s="81"/>
    </row>
    <row r="68" spans="1:142" s="869" customFormat="1" ht="72.75" hidden="1" customHeight="1">
      <c r="A68" s="6">
        <f t="shared" si="46"/>
        <v>55</v>
      </c>
      <c r="B68" s="886"/>
      <c r="C68" s="1309" t="s">
        <v>106</v>
      </c>
      <c r="D68" s="1262" t="s">
        <v>141</v>
      </c>
      <c r="E68" s="887">
        <v>4632024035</v>
      </c>
      <c r="F68" s="886" t="s">
        <v>8</v>
      </c>
      <c r="G68" s="1238" t="s">
        <v>983</v>
      </c>
      <c r="H68" s="1256">
        <v>3314.9639999999995</v>
      </c>
      <c r="I68" s="1257">
        <f>H68</f>
        <v>3314.9639999999995</v>
      </c>
      <c r="J68" s="891"/>
      <c r="K68" s="891"/>
      <c r="L68" s="1256">
        <v>3314.9639999999995</v>
      </c>
      <c r="M68" s="946"/>
      <c r="N68" s="1259">
        <f>3132.14*1.2</f>
        <v>3758.5679999999998</v>
      </c>
      <c r="O68" s="1260">
        <f>N68</f>
        <v>3758.5679999999998</v>
      </c>
      <c r="P68" s="891"/>
      <c r="Q68" s="891"/>
      <c r="R68" s="891">
        <f>O68</f>
        <v>3758.5679999999998</v>
      </c>
      <c r="S68" s="946"/>
      <c r="T68" s="1307">
        <v>425.62399999999997</v>
      </c>
      <c r="U68" s="1366"/>
      <c r="V68" s="1366"/>
      <c r="W68" s="890"/>
      <c r="X68" s="890"/>
      <c r="Y68" s="890"/>
      <c r="Z68" s="949">
        <f t="shared" si="8"/>
        <v>425.62399999999997</v>
      </c>
      <c r="AA68" s="1308">
        <v>277.774</v>
      </c>
      <c r="AB68" s="1366"/>
      <c r="AC68" s="1366"/>
      <c r="AD68" s="890"/>
      <c r="AE68" s="890"/>
      <c r="AF68" s="890"/>
      <c r="AG68" s="951">
        <f t="shared" si="50"/>
        <v>277.774</v>
      </c>
      <c r="AH68" s="947">
        <f t="shared" si="51"/>
        <v>703.39799999999991</v>
      </c>
      <c r="AI68" s="890">
        <f t="shared" si="73"/>
        <v>703.39799999999991</v>
      </c>
      <c r="AJ68" s="890">
        <f t="shared" si="73"/>
        <v>0</v>
      </c>
      <c r="AK68" s="890">
        <f t="shared" si="73"/>
        <v>0</v>
      </c>
      <c r="AL68" s="890">
        <f t="shared" si="73"/>
        <v>0</v>
      </c>
      <c r="AM68" s="890">
        <f t="shared" si="73"/>
        <v>0</v>
      </c>
      <c r="AN68" s="890"/>
      <c r="AO68" s="890">
        <f t="shared" si="70"/>
        <v>703.39799999999991</v>
      </c>
      <c r="AP68" s="890">
        <f t="shared" si="71"/>
        <v>703.39799999999991</v>
      </c>
      <c r="AQ68" s="952">
        <f t="shared" si="72"/>
        <v>703.39799999999991</v>
      </c>
      <c r="AR68" s="973">
        <f t="shared" si="35"/>
        <v>0</v>
      </c>
      <c r="AS68" s="889">
        <f t="shared" si="87"/>
        <v>2331739.0476719993</v>
      </c>
      <c r="AT68" s="890">
        <f t="shared" si="87"/>
        <v>0</v>
      </c>
      <c r="AU68" s="890">
        <f t="shared" si="87"/>
        <v>0</v>
      </c>
      <c r="AV68" s="890">
        <f t="shared" si="87"/>
        <v>0</v>
      </c>
      <c r="AW68" s="890">
        <f t="shared" si="87"/>
        <v>0</v>
      </c>
      <c r="AX68" s="890">
        <f t="shared" si="47"/>
        <v>2331739.0476719993</v>
      </c>
      <c r="AY68" s="890">
        <f t="shared" si="48"/>
        <v>2331739.0476719993</v>
      </c>
      <c r="AZ68" s="890">
        <f t="shared" si="88"/>
        <v>2643769.2140639997</v>
      </c>
      <c r="BA68" s="890">
        <f t="shared" si="88"/>
        <v>0</v>
      </c>
      <c r="BB68" s="890">
        <f t="shared" si="88"/>
        <v>0</v>
      </c>
      <c r="BC68" s="890">
        <f t="shared" si="88"/>
        <v>0</v>
      </c>
      <c r="BD68" s="890">
        <f t="shared" si="88"/>
        <v>0</v>
      </c>
      <c r="BE68" s="890">
        <f t="shared" si="49"/>
        <v>2643769.2140639997</v>
      </c>
      <c r="BF68" s="952">
        <f t="shared" si="52"/>
        <v>2643769.2140639997</v>
      </c>
      <c r="BG68" s="953">
        <f>(H68-J68)/1.2*U68/1000+(H68-K68)/1.2*V68/1000</f>
        <v>0</v>
      </c>
      <c r="BH68" s="954">
        <f>(O68-P68)*AB68/1000/1.2+(O68-Q68)/1.2*AC68/1000</f>
        <v>0</v>
      </c>
      <c r="BI68" s="955">
        <f t="shared" si="97"/>
        <v>0</v>
      </c>
      <c r="BJ68" s="890"/>
      <c r="BK68" s="1199"/>
      <c r="BL68" s="890">
        <f t="shared" si="85"/>
        <v>1410928.2375359996</v>
      </c>
      <c r="BM68" s="890">
        <f t="shared" si="85"/>
        <v>0</v>
      </c>
      <c r="BN68" s="890">
        <f t="shared" si="85"/>
        <v>0</v>
      </c>
      <c r="BO68" s="890">
        <f t="shared" si="85"/>
        <v>0</v>
      </c>
      <c r="BP68" s="890">
        <f t="shared" si="85"/>
        <v>0</v>
      </c>
      <c r="BQ68" s="890">
        <f t="shared" si="54"/>
        <v>1410928.2375359996</v>
      </c>
      <c r="BR68" s="890">
        <f t="shared" si="55"/>
        <v>1410928.2375359996</v>
      </c>
      <c r="BS68" s="890">
        <f t="shared" si="86"/>
        <v>1044032.467632</v>
      </c>
      <c r="BT68" s="890">
        <f t="shared" si="86"/>
        <v>0</v>
      </c>
      <c r="BU68" s="890">
        <f t="shared" si="86"/>
        <v>0</v>
      </c>
      <c r="BV68" s="890">
        <f t="shared" si="57"/>
        <v>0</v>
      </c>
      <c r="BW68" s="890">
        <f t="shared" si="17"/>
        <v>0</v>
      </c>
      <c r="BX68" s="890">
        <f t="shared" si="58"/>
        <v>1044032.467632</v>
      </c>
      <c r="BY68" s="890">
        <f t="shared" si="59"/>
        <v>1044032.467632</v>
      </c>
      <c r="BZ68" s="945">
        <f t="shared" si="60"/>
        <v>0</v>
      </c>
      <c r="CA68" s="945">
        <f t="shared" si="60"/>
        <v>0</v>
      </c>
      <c r="CB68" s="945">
        <f t="shared" si="61"/>
        <v>0</v>
      </c>
      <c r="CC68" s="976" t="e">
        <f t="shared" si="62"/>
        <v>#DIV/0!</v>
      </c>
      <c r="CD68" s="976" t="e">
        <f t="shared" si="62"/>
        <v>#DIV/0!</v>
      </c>
      <c r="CE68" s="976" t="e">
        <f t="shared" si="38"/>
        <v>#DIV/0!</v>
      </c>
      <c r="CF68" s="945" t="e">
        <f t="shared" si="18"/>
        <v>#DIV/0!</v>
      </c>
      <c r="CG68" s="977">
        <f t="shared" si="19"/>
        <v>0</v>
      </c>
      <c r="CH68" s="977" t="e">
        <f t="shared" si="39"/>
        <v>#DIV/0!</v>
      </c>
      <c r="CI68" s="945"/>
      <c r="CJ68" s="1312">
        <f>H68*Z68/1000</f>
        <v>1410.9282375359996</v>
      </c>
      <c r="CK68" s="1312">
        <f t="shared" si="20"/>
        <v>1044.0324676319999</v>
      </c>
      <c r="CL68" s="1312">
        <f t="shared" si="40"/>
        <v>2454.9607051679995</v>
      </c>
      <c r="CM68" s="890">
        <f t="shared" si="41"/>
        <v>2643.7692140639997</v>
      </c>
      <c r="CN68" s="890">
        <f t="shared" si="42"/>
        <v>188.80850889600015</v>
      </c>
      <c r="CO68" s="890">
        <f t="shared" si="21"/>
        <v>2454960.7051679995</v>
      </c>
      <c r="CP68" s="890">
        <f t="shared" si="22"/>
        <v>2331739.0476719993</v>
      </c>
      <c r="CQ68" s="890">
        <f t="shared" si="23"/>
        <v>2331739.0476719993</v>
      </c>
      <c r="CR68" s="890">
        <f t="shared" si="24"/>
        <v>1410928.2375359996</v>
      </c>
      <c r="CS68" s="890">
        <f t="shared" si="25"/>
        <v>2643769.2140639997</v>
      </c>
      <c r="CT68" s="890">
        <f t="shared" si="26"/>
        <v>2643769.2140639997</v>
      </c>
      <c r="CU68" s="890">
        <f t="shared" si="27"/>
        <v>1044032.467632</v>
      </c>
      <c r="CV68" s="890">
        <f t="shared" si="43"/>
        <v>4975508.261735999</v>
      </c>
      <c r="CW68" s="978">
        <f t="shared" si="44"/>
        <v>7073.5319999999992</v>
      </c>
      <c r="CX68" s="890">
        <f t="shared" si="28"/>
        <v>0</v>
      </c>
      <c r="CY68" s="890">
        <f t="shared" si="29"/>
        <v>0</v>
      </c>
      <c r="CZ68" s="890"/>
      <c r="DA68" s="890">
        <f t="shared" si="30"/>
        <v>2331739.0476719993</v>
      </c>
      <c r="DB68" s="890">
        <f t="shared" si="31"/>
        <v>2643769.2140639997</v>
      </c>
      <c r="DC68" s="840"/>
      <c r="DD68" s="841" t="e">
        <f t="shared" si="45"/>
        <v>#DIV/0!</v>
      </c>
      <c r="DE68" s="840"/>
      <c r="DF68" s="840"/>
      <c r="DG68" s="840"/>
      <c r="DH68" s="1050"/>
      <c r="DI68" s="1050"/>
      <c r="DJ68" s="1050"/>
      <c r="DK68" s="945"/>
      <c r="DL68" s="975">
        <f t="shared" si="32"/>
        <v>0</v>
      </c>
      <c r="DM68" s="975">
        <f t="shared" si="33"/>
        <v>0</v>
      </c>
      <c r="DN68" s="975">
        <f t="shared" si="34"/>
        <v>0</v>
      </c>
      <c r="DO68" s="816"/>
      <c r="DP68" s="871"/>
      <c r="DQ68" s="871"/>
      <c r="DR68" s="871"/>
      <c r="DS68" s="871"/>
      <c r="DT68" s="871"/>
      <c r="DU68" s="871"/>
      <c r="DV68" s="871"/>
      <c r="DW68" s="871"/>
      <c r="DX68" s="871"/>
      <c r="DY68" s="871"/>
      <c r="DZ68" s="871"/>
      <c r="EA68" s="871"/>
      <c r="EB68" s="871"/>
      <c r="EC68" s="871"/>
      <c r="ED68" s="871"/>
      <c r="EE68" s="871"/>
      <c r="EF68" s="871"/>
      <c r="EG68" s="871"/>
      <c r="EH68" s="871"/>
      <c r="EI68" s="871"/>
      <c r="EJ68" s="871"/>
      <c r="EK68" s="871"/>
      <c r="EL68" s="871"/>
    </row>
    <row r="69" spans="1:142" s="869" customFormat="1" ht="77.25" hidden="1" customHeight="1">
      <c r="A69" s="6">
        <f t="shared" si="46"/>
        <v>56</v>
      </c>
      <c r="B69" s="886"/>
      <c r="C69" s="1309" t="s">
        <v>107</v>
      </c>
      <c r="D69" s="1262" t="s">
        <v>141</v>
      </c>
      <c r="E69" s="887">
        <v>4632024035</v>
      </c>
      <c r="F69" s="886" t="s">
        <v>8</v>
      </c>
      <c r="G69" s="1238" t="s">
        <v>983</v>
      </c>
      <c r="H69" s="1256">
        <v>3314.9639999999995</v>
      </c>
      <c r="I69" s="1257">
        <f>H69</f>
        <v>3314.9639999999995</v>
      </c>
      <c r="J69" s="891"/>
      <c r="K69" s="891"/>
      <c r="L69" s="1256">
        <v>3314.9639999999995</v>
      </c>
      <c r="M69" s="946"/>
      <c r="N69" s="1259">
        <f>3132.14*1.2</f>
        <v>3758.5679999999998</v>
      </c>
      <c r="O69" s="1260">
        <f>N69</f>
        <v>3758.5679999999998</v>
      </c>
      <c r="P69" s="891"/>
      <c r="Q69" s="891"/>
      <c r="R69" s="891">
        <f>O69</f>
        <v>3758.5679999999998</v>
      </c>
      <c r="S69" s="946"/>
      <c r="T69" s="1307">
        <v>111.73699999999999</v>
      </c>
      <c r="U69" s="1383"/>
      <c r="V69" s="1384"/>
      <c r="W69" s="894"/>
      <c r="X69" s="894"/>
      <c r="Y69" s="894"/>
      <c r="Z69" s="949">
        <f t="shared" si="8"/>
        <v>111.73699999999999</v>
      </c>
      <c r="AA69" s="1308">
        <v>97.44</v>
      </c>
      <c r="AB69" s="1366"/>
      <c r="AC69" s="1366"/>
      <c r="AD69" s="890"/>
      <c r="AE69" s="890"/>
      <c r="AF69" s="890"/>
      <c r="AG69" s="951">
        <f t="shared" si="50"/>
        <v>97.44</v>
      </c>
      <c r="AH69" s="947">
        <f t="shared" si="51"/>
        <v>209.17699999999999</v>
      </c>
      <c r="AI69" s="890">
        <f t="shared" si="73"/>
        <v>209.17699999999999</v>
      </c>
      <c r="AJ69" s="890">
        <f t="shared" si="73"/>
        <v>0</v>
      </c>
      <c r="AK69" s="890">
        <f t="shared" si="73"/>
        <v>0</v>
      </c>
      <c r="AL69" s="890">
        <f t="shared" si="73"/>
        <v>0</v>
      </c>
      <c r="AM69" s="890">
        <f t="shared" si="73"/>
        <v>0</v>
      </c>
      <c r="AN69" s="890"/>
      <c r="AO69" s="890">
        <f t="shared" si="70"/>
        <v>209.17699999999999</v>
      </c>
      <c r="AP69" s="890">
        <f t="shared" si="71"/>
        <v>209.17699999999999</v>
      </c>
      <c r="AQ69" s="952">
        <f t="shared" si="72"/>
        <v>209.17699999999999</v>
      </c>
      <c r="AR69" s="973">
        <f t="shared" si="35"/>
        <v>0</v>
      </c>
      <c r="AS69" s="889">
        <f t="shared" si="87"/>
        <v>693414.22462799982</v>
      </c>
      <c r="AT69" s="890">
        <f t="shared" si="87"/>
        <v>0</v>
      </c>
      <c r="AU69" s="890">
        <f t="shared" si="87"/>
        <v>0</v>
      </c>
      <c r="AV69" s="890">
        <f t="shared" si="87"/>
        <v>0</v>
      </c>
      <c r="AW69" s="890">
        <f t="shared" si="87"/>
        <v>0</v>
      </c>
      <c r="AX69" s="890">
        <f t="shared" si="47"/>
        <v>693414.22462799982</v>
      </c>
      <c r="AY69" s="890">
        <f t="shared" si="48"/>
        <v>693414.22462799982</v>
      </c>
      <c r="AZ69" s="890">
        <f t="shared" si="88"/>
        <v>786205.97853599989</v>
      </c>
      <c r="BA69" s="890">
        <f t="shared" si="88"/>
        <v>0</v>
      </c>
      <c r="BB69" s="890">
        <f t="shared" si="88"/>
        <v>0</v>
      </c>
      <c r="BC69" s="890">
        <f t="shared" si="88"/>
        <v>0</v>
      </c>
      <c r="BD69" s="890">
        <f t="shared" si="88"/>
        <v>0</v>
      </c>
      <c r="BE69" s="890">
        <f t="shared" si="49"/>
        <v>786205.97853599989</v>
      </c>
      <c r="BF69" s="952">
        <f t="shared" si="52"/>
        <v>786205.97853599989</v>
      </c>
      <c r="BG69" s="953">
        <f>(H69-J69)/1.2*U69/1000+(H69-K69)/1.2*V69/1000</f>
        <v>0</v>
      </c>
      <c r="BH69" s="954">
        <f>(O69-P69)*AB69/1000/1.2+(O69-Q69)/1.2*AC69/1000</f>
        <v>0</v>
      </c>
      <c r="BI69" s="955">
        <f t="shared" si="97"/>
        <v>0</v>
      </c>
      <c r="BJ69" s="890"/>
      <c r="BK69" s="1199"/>
      <c r="BL69" s="890">
        <f t="shared" si="85"/>
        <v>370404.13246799994</v>
      </c>
      <c r="BM69" s="890">
        <f t="shared" si="85"/>
        <v>0</v>
      </c>
      <c r="BN69" s="890">
        <f t="shared" si="85"/>
        <v>0</v>
      </c>
      <c r="BO69" s="890">
        <f t="shared" si="85"/>
        <v>0</v>
      </c>
      <c r="BP69" s="890">
        <f t="shared" si="85"/>
        <v>0</v>
      </c>
      <c r="BQ69" s="890">
        <f t="shared" si="54"/>
        <v>370404.13246799994</v>
      </c>
      <c r="BR69" s="890">
        <f t="shared" si="55"/>
        <v>370404.13246799994</v>
      </c>
      <c r="BS69" s="890">
        <f t="shared" si="86"/>
        <v>366234.86591999995</v>
      </c>
      <c r="BT69" s="890">
        <f t="shared" si="86"/>
        <v>0</v>
      </c>
      <c r="BU69" s="890">
        <f t="shared" si="86"/>
        <v>0</v>
      </c>
      <c r="BV69" s="890">
        <f t="shared" si="57"/>
        <v>0</v>
      </c>
      <c r="BW69" s="890">
        <f t="shared" si="17"/>
        <v>0</v>
      </c>
      <c r="BX69" s="890">
        <f t="shared" si="58"/>
        <v>366234.86591999995</v>
      </c>
      <c r="BY69" s="890">
        <f t="shared" si="59"/>
        <v>366234.86591999995</v>
      </c>
      <c r="BZ69" s="945">
        <f t="shared" si="60"/>
        <v>0</v>
      </c>
      <c r="CA69" s="945">
        <f t="shared" si="60"/>
        <v>0</v>
      </c>
      <c r="CB69" s="945">
        <f t="shared" si="61"/>
        <v>0</v>
      </c>
      <c r="CC69" s="976" t="e">
        <f t="shared" si="62"/>
        <v>#DIV/0!</v>
      </c>
      <c r="CD69" s="976" t="e">
        <f t="shared" si="62"/>
        <v>#DIV/0!</v>
      </c>
      <c r="CE69" s="976" t="e">
        <f t="shared" si="38"/>
        <v>#DIV/0!</v>
      </c>
      <c r="CF69" s="945" t="e">
        <f t="shared" si="18"/>
        <v>#DIV/0!</v>
      </c>
      <c r="CG69" s="977">
        <f t="shared" si="19"/>
        <v>0</v>
      </c>
      <c r="CH69" s="977" t="e">
        <f t="shared" si="39"/>
        <v>#DIV/0!</v>
      </c>
      <c r="CI69" s="945"/>
      <c r="CJ69" s="1312">
        <f>H69*Z69/1000</f>
        <v>370.40413246799994</v>
      </c>
      <c r="CK69" s="1312">
        <f t="shared" si="20"/>
        <v>366.23486591999995</v>
      </c>
      <c r="CL69" s="1312">
        <f t="shared" si="40"/>
        <v>736.63899838799989</v>
      </c>
      <c r="CM69" s="890">
        <f t="shared" si="41"/>
        <v>786.20597853599986</v>
      </c>
      <c r="CN69" s="890">
        <f t="shared" si="42"/>
        <v>49.566980147999971</v>
      </c>
      <c r="CO69" s="890">
        <f t="shared" si="21"/>
        <v>736638.99838799983</v>
      </c>
      <c r="CP69" s="890">
        <f t="shared" si="22"/>
        <v>693414.22462799982</v>
      </c>
      <c r="CQ69" s="890">
        <f t="shared" si="23"/>
        <v>693414.22462799982</v>
      </c>
      <c r="CR69" s="890">
        <f t="shared" si="24"/>
        <v>370404.13246799994</v>
      </c>
      <c r="CS69" s="890">
        <f t="shared" si="25"/>
        <v>786205.97853599989</v>
      </c>
      <c r="CT69" s="890">
        <f t="shared" si="26"/>
        <v>786205.97853599989</v>
      </c>
      <c r="CU69" s="890">
        <f t="shared" si="27"/>
        <v>366234.86591999995</v>
      </c>
      <c r="CV69" s="890">
        <f t="shared" si="43"/>
        <v>1479620.2031639996</v>
      </c>
      <c r="CW69" s="978">
        <f t="shared" si="44"/>
        <v>7073.5319999999983</v>
      </c>
      <c r="CX69" s="890">
        <f t="shared" si="28"/>
        <v>0</v>
      </c>
      <c r="CY69" s="890">
        <f t="shared" si="29"/>
        <v>0</v>
      </c>
      <c r="CZ69" s="890"/>
      <c r="DA69" s="890">
        <f t="shared" si="30"/>
        <v>693414.22462799982</v>
      </c>
      <c r="DB69" s="890">
        <f t="shared" si="31"/>
        <v>786205.97853599989</v>
      </c>
      <c r="DC69" s="840"/>
      <c r="DD69" s="841" t="e">
        <f t="shared" si="45"/>
        <v>#DIV/0!</v>
      </c>
      <c r="DE69" s="840"/>
      <c r="DF69" s="840"/>
      <c r="DG69" s="840"/>
      <c r="DH69" s="1050"/>
      <c r="DI69" s="1050"/>
      <c r="DJ69" s="1050"/>
      <c r="DK69" s="945"/>
      <c r="DL69" s="975">
        <f t="shared" si="32"/>
        <v>0</v>
      </c>
      <c r="DM69" s="975">
        <f t="shared" si="33"/>
        <v>0</v>
      </c>
      <c r="DN69" s="975">
        <f t="shared" si="34"/>
        <v>0</v>
      </c>
      <c r="DO69" s="816"/>
      <c r="DP69" s="871"/>
      <c r="DQ69" s="871"/>
      <c r="DR69" s="871"/>
      <c r="DS69" s="871"/>
      <c r="DT69" s="871"/>
      <c r="DU69" s="871"/>
      <c r="DV69" s="871"/>
      <c r="DW69" s="871"/>
      <c r="DX69" s="871"/>
      <c r="DY69" s="871"/>
      <c r="DZ69" s="871"/>
      <c r="EA69" s="871"/>
      <c r="EB69" s="871"/>
      <c r="EC69" s="871"/>
      <c r="ED69" s="871"/>
      <c r="EE69" s="871"/>
      <c r="EF69" s="871"/>
      <c r="EG69" s="871"/>
      <c r="EH69" s="871"/>
      <c r="EI69" s="871"/>
      <c r="EJ69" s="871"/>
      <c r="EK69" s="871"/>
      <c r="EL69" s="871"/>
    </row>
    <row r="70" spans="1:142" s="50" customFormat="1" ht="75" hidden="1" customHeight="1">
      <c r="A70" s="6">
        <f t="shared" si="46"/>
        <v>57</v>
      </c>
      <c r="B70" s="909" t="s">
        <v>25</v>
      </c>
      <c r="C70" s="886" t="s">
        <v>108</v>
      </c>
      <c r="D70" s="886" t="s">
        <v>26</v>
      </c>
      <c r="E70" s="958">
        <v>4617004147</v>
      </c>
      <c r="F70" s="886" t="s">
        <v>8</v>
      </c>
      <c r="G70" s="888" t="s">
        <v>953</v>
      </c>
      <c r="H70" s="1253">
        <v>2706.4706688038673</v>
      </c>
      <c r="I70" s="1252">
        <v>2706.4706688038673</v>
      </c>
      <c r="J70" s="912">
        <v>2706.4706688038673</v>
      </c>
      <c r="K70" s="912"/>
      <c r="L70" s="912"/>
      <c r="M70" s="913"/>
      <c r="N70" s="1212">
        <v>3095.58</v>
      </c>
      <c r="O70" s="891">
        <v>3095.58</v>
      </c>
      <c r="P70" s="912">
        <v>3095.58</v>
      </c>
      <c r="Q70" s="912"/>
      <c r="R70" s="891"/>
      <c r="S70" s="991"/>
      <c r="T70" s="999">
        <v>1509.53</v>
      </c>
      <c r="U70" s="917">
        <v>574.79</v>
      </c>
      <c r="V70" s="917">
        <v>0</v>
      </c>
      <c r="W70" s="917">
        <v>0</v>
      </c>
      <c r="X70" s="917">
        <v>0</v>
      </c>
      <c r="Y70" s="917">
        <v>0</v>
      </c>
      <c r="Z70" s="898">
        <f t="shared" si="8"/>
        <v>2084.3199999999997</v>
      </c>
      <c r="AA70" s="1000">
        <v>1281.6400000000001</v>
      </c>
      <c r="AB70" s="917">
        <v>395.71</v>
      </c>
      <c r="AC70" s="917">
        <v>0</v>
      </c>
      <c r="AD70" s="917">
        <v>0</v>
      </c>
      <c r="AE70" s="917">
        <v>0</v>
      </c>
      <c r="AF70" s="917">
        <v>0</v>
      </c>
      <c r="AG70" s="900">
        <f t="shared" si="50"/>
        <v>1677.3500000000001</v>
      </c>
      <c r="AH70" s="896">
        <f t="shared" si="51"/>
        <v>3761.67</v>
      </c>
      <c r="AI70" s="897">
        <f t="shared" si="73"/>
        <v>2791.17</v>
      </c>
      <c r="AJ70" s="897">
        <f t="shared" si="73"/>
        <v>970.5</v>
      </c>
      <c r="AK70" s="897">
        <f t="shared" si="73"/>
        <v>0</v>
      </c>
      <c r="AL70" s="897">
        <f t="shared" si="73"/>
        <v>0</v>
      </c>
      <c r="AM70" s="897">
        <f t="shared" si="73"/>
        <v>0</v>
      </c>
      <c r="AN70" s="897"/>
      <c r="AO70" s="897">
        <f t="shared" si="70"/>
        <v>3761.67</v>
      </c>
      <c r="AP70" s="897">
        <f t="shared" si="71"/>
        <v>3761.67</v>
      </c>
      <c r="AQ70" s="901">
        <f t="shared" si="72"/>
        <v>3761.67</v>
      </c>
      <c r="AR70" s="902">
        <f t="shared" si="35"/>
        <v>0</v>
      </c>
      <c r="AS70" s="903">
        <f>I70*AI70</f>
        <v>7554219.7366452906</v>
      </c>
      <c r="AT70" s="897">
        <f>J70*AJ70</f>
        <v>2626629.7840741533</v>
      </c>
      <c r="AU70" s="897">
        <f t="shared" si="87"/>
        <v>0</v>
      </c>
      <c r="AV70" s="897">
        <f t="shared" si="87"/>
        <v>0</v>
      </c>
      <c r="AW70" s="897">
        <f t="shared" si="87"/>
        <v>0</v>
      </c>
      <c r="AX70" s="897">
        <f>SUM(AS70:AW70)</f>
        <v>10180849.520719444</v>
      </c>
      <c r="AY70" s="897">
        <f>SUM(AS70:AV70)</f>
        <v>10180849.520719444</v>
      </c>
      <c r="AZ70" s="897">
        <f>O70*AI70</f>
        <v>8640290.0285999998</v>
      </c>
      <c r="BA70" s="897">
        <f t="shared" si="88"/>
        <v>3004260.39</v>
      </c>
      <c r="BB70" s="897">
        <f t="shared" si="88"/>
        <v>0</v>
      </c>
      <c r="BC70" s="897">
        <f t="shared" si="88"/>
        <v>0</v>
      </c>
      <c r="BD70" s="897">
        <f t="shared" si="88"/>
        <v>0</v>
      </c>
      <c r="BE70" s="897">
        <f t="shared" si="49"/>
        <v>11644550.4186</v>
      </c>
      <c r="BF70" s="901">
        <f t="shared" si="52"/>
        <v>11644550.4186</v>
      </c>
      <c r="BG70" s="953"/>
      <c r="BH70" s="954"/>
      <c r="BI70" s="955">
        <f t="shared" si="97"/>
        <v>0</v>
      </c>
      <c r="BJ70" s="955">
        <v>10833.512492239432</v>
      </c>
      <c r="BK70" s="1197">
        <v>12169.495251999999</v>
      </c>
      <c r="BL70" s="897">
        <f>I70*T70</f>
        <v>4085498.6686795019</v>
      </c>
      <c r="BM70" s="897">
        <f>J70*U70</f>
        <v>1555652.2757217747</v>
      </c>
      <c r="BN70" s="897">
        <f t="shared" si="85"/>
        <v>0</v>
      </c>
      <c r="BO70" s="897">
        <f t="shared" si="85"/>
        <v>0</v>
      </c>
      <c r="BP70" s="897">
        <f t="shared" si="85"/>
        <v>0</v>
      </c>
      <c r="BQ70" s="897">
        <f>BL70+BM70+BN70+BO70+BP70</f>
        <v>5641150.9444012763</v>
      </c>
      <c r="BR70" s="897">
        <f>BQ70-BP70</f>
        <v>5641150.9444012763</v>
      </c>
      <c r="BS70" s="897">
        <f>O70*AA70</f>
        <v>3967419.1512000002</v>
      </c>
      <c r="BT70" s="897">
        <f t="shared" si="86"/>
        <v>1224951.9617999999</v>
      </c>
      <c r="BU70" s="897">
        <f t="shared" si="86"/>
        <v>0</v>
      </c>
      <c r="BV70" s="897">
        <f t="shared" si="57"/>
        <v>0</v>
      </c>
      <c r="BW70" s="897">
        <f t="shared" si="17"/>
        <v>0</v>
      </c>
      <c r="BX70" s="897">
        <f t="shared" si="58"/>
        <v>5192371.1129999999</v>
      </c>
      <c r="BY70" s="897">
        <f t="shared" si="59"/>
        <v>5192371.1129999999</v>
      </c>
      <c r="BZ70" s="905">
        <f>BM70+BT70</f>
        <v>2780604.2375217746</v>
      </c>
      <c r="CA70" s="905">
        <f t="shared" si="60"/>
        <v>0</v>
      </c>
      <c r="CB70" s="905">
        <f>BZ70+CA70</f>
        <v>2780604.2375217746</v>
      </c>
      <c r="CC70" s="907">
        <f t="shared" si="62"/>
        <v>2865.1254379410352</v>
      </c>
      <c r="CD70" s="907" t="e">
        <f t="shared" si="62"/>
        <v>#DIV/0!</v>
      </c>
      <c r="CE70" s="907">
        <f t="shared" si="38"/>
        <v>2865.1254379410352</v>
      </c>
      <c r="CF70" s="907">
        <f t="shared" si="18"/>
        <v>2865.1254379410352</v>
      </c>
      <c r="CG70" s="923">
        <f t="shared" si="19"/>
        <v>2780604.2375217746</v>
      </c>
      <c r="CH70" s="923">
        <f t="shared" si="39"/>
        <v>2865.1254379410352</v>
      </c>
      <c r="CI70" s="964"/>
      <c r="CJ70" s="897">
        <f>N70*Z70/1000</f>
        <v>6452.1793055999988</v>
      </c>
      <c r="CK70" s="897">
        <f t="shared" si="20"/>
        <v>5192.3711130000002</v>
      </c>
      <c r="CL70" s="897">
        <f t="shared" si="40"/>
        <v>11644.5504186</v>
      </c>
      <c r="CM70" s="897">
        <f t="shared" si="41"/>
        <v>11644.5504186</v>
      </c>
      <c r="CN70" s="897">
        <f t="shared" si="42"/>
        <v>0</v>
      </c>
      <c r="CO70" s="897">
        <f t="shared" si="21"/>
        <v>10833522.057401277</v>
      </c>
      <c r="CP70" s="897">
        <f t="shared" si="22"/>
        <v>10180849.520719444</v>
      </c>
      <c r="CQ70" s="897">
        <f t="shared" si="23"/>
        <v>10180849.520719444</v>
      </c>
      <c r="CR70" s="897">
        <f t="shared" si="24"/>
        <v>5641150.9444012763</v>
      </c>
      <c r="CS70" s="897">
        <f t="shared" si="25"/>
        <v>11644550.4186</v>
      </c>
      <c r="CT70" s="897">
        <f t="shared" si="26"/>
        <v>11644550.4186</v>
      </c>
      <c r="CU70" s="897">
        <f t="shared" si="27"/>
        <v>5192371.1129999999</v>
      </c>
      <c r="CV70" s="897">
        <f t="shared" si="43"/>
        <v>21825399.939319447</v>
      </c>
      <c r="CW70" s="906">
        <f t="shared" si="44"/>
        <v>5802.0506688038677</v>
      </c>
      <c r="CX70" s="897">
        <f t="shared" si="28"/>
        <v>2626629.7840741533</v>
      </c>
      <c r="CY70" s="897">
        <f t="shared" si="29"/>
        <v>3004260.39</v>
      </c>
      <c r="CZ70" s="897"/>
      <c r="DA70" s="897">
        <f t="shared" si="30"/>
        <v>10180849.520719444</v>
      </c>
      <c r="DB70" s="897">
        <f t="shared" si="31"/>
        <v>11644550.4186</v>
      </c>
      <c r="DC70" s="1130"/>
      <c r="DD70" s="40">
        <f t="shared" si="45"/>
        <v>114.3770015940391</v>
      </c>
      <c r="DE70" s="1130"/>
      <c r="DF70" s="1130"/>
      <c r="DG70" s="1130"/>
      <c r="DH70" s="1043">
        <v>3862.054333333333</v>
      </c>
      <c r="DI70" s="1043">
        <v>935.47199999999998</v>
      </c>
      <c r="DJ70" s="1043">
        <f>DH70-DI70</f>
        <v>2926.5823333333328</v>
      </c>
      <c r="DK70" s="964"/>
      <c r="DL70" s="908">
        <f t="shared" si="32"/>
        <v>0</v>
      </c>
      <c r="DM70" s="908">
        <f t="shared" si="33"/>
        <v>0</v>
      </c>
      <c r="DN70" s="908">
        <f t="shared" si="34"/>
        <v>0</v>
      </c>
      <c r="DO70" s="868"/>
      <c r="DP70" s="868"/>
      <c r="DQ70" s="868"/>
      <c r="DR70" s="81"/>
      <c r="DS70" s="81"/>
      <c r="DT70" s="81"/>
      <c r="DU70" s="81"/>
      <c r="DV70" s="81"/>
      <c r="DW70" s="81"/>
      <c r="DX70" s="81"/>
      <c r="DY70" s="81"/>
      <c r="DZ70" s="81"/>
      <c r="EA70" s="81"/>
      <c r="EB70" s="81"/>
      <c r="EC70" s="81"/>
      <c r="ED70" s="81"/>
      <c r="EE70" s="81"/>
      <c r="EF70" s="81"/>
      <c r="EG70" s="81"/>
      <c r="EH70" s="81"/>
      <c r="EI70" s="81"/>
      <c r="EJ70" s="81"/>
      <c r="EK70" s="81"/>
      <c r="EL70" s="81"/>
    </row>
    <row r="71" spans="1:142" s="869" customFormat="1" ht="72" hidden="1" customHeight="1">
      <c r="A71" s="6">
        <f t="shared" si="46"/>
        <v>58</v>
      </c>
      <c r="B71" s="909" t="s">
        <v>25</v>
      </c>
      <c r="C71" s="1309" t="s">
        <v>108</v>
      </c>
      <c r="D71" s="1262" t="s">
        <v>141</v>
      </c>
      <c r="E71" s="887">
        <v>4632024035</v>
      </c>
      <c r="F71" s="886" t="s">
        <v>8</v>
      </c>
      <c r="G71" s="1238" t="s">
        <v>983</v>
      </c>
      <c r="H71" s="1256">
        <v>3314.9639999999995</v>
      </c>
      <c r="I71" s="1257">
        <f>H71</f>
        <v>3314.9639999999995</v>
      </c>
      <c r="J71" s="1263">
        <v>2950.21</v>
      </c>
      <c r="K71" s="891"/>
      <c r="L71" s="1256">
        <v>3314.9639999999995</v>
      </c>
      <c r="M71" s="991"/>
      <c r="N71" s="1259">
        <f>3132.14*1.2</f>
        <v>3758.5679999999998</v>
      </c>
      <c r="O71" s="1260">
        <f>N71</f>
        <v>3758.5679999999998</v>
      </c>
      <c r="P71" s="1264">
        <v>2979.71</v>
      </c>
      <c r="Q71" s="891"/>
      <c r="R71" s="891">
        <f>O71</f>
        <v>3758.5679999999998</v>
      </c>
      <c r="S71" s="991"/>
      <c r="T71" s="1367">
        <v>172.791</v>
      </c>
      <c r="U71" s="1368">
        <v>1691.6189999999999</v>
      </c>
      <c r="V71" s="1368"/>
      <c r="W71" s="992"/>
      <c r="X71" s="992"/>
      <c r="Y71" s="992"/>
      <c r="Z71" s="949">
        <f t="shared" si="8"/>
        <v>1864.4099999999999</v>
      </c>
      <c r="AA71" s="1369">
        <v>94.62</v>
      </c>
      <c r="AB71" s="1368">
        <v>1347.8</v>
      </c>
      <c r="AC71" s="1368">
        <v>0</v>
      </c>
      <c r="AD71" s="992"/>
      <c r="AE71" s="992"/>
      <c r="AF71" s="992"/>
      <c r="AG71" s="951">
        <f t="shared" si="50"/>
        <v>1442.42</v>
      </c>
      <c r="AH71" s="947">
        <f>Z71+AG71</f>
        <v>3306.83</v>
      </c>
      <c r="AI71" s="890">
        <f t="shared" si="73"/>
        <v>267.411</v>
      </c>
      <c r="AJ71" s="890">
        <f t="shared" si="73"/>
        <v>3039.4189999999999</v>
      </c>
      <c r="AK71" s="890">
        <f t="shared" si="73"/>
        <v>0</v>
      </c>
      <c r="AL71" s="890">
        <f t="shared" si="73"/>
        <v>0</v>
      </c>
      <c r="AM71" s="890">
        <f t="shared" si="73"/>
        <v>0</v>
      </c>
      <c r="AN71" s="890"/>
      <c r="AO71" s="890">
        <f t="shared" si="70"/>
        <v>3306.83</v>
      </c>
      <c r="AP71" s="890">
        <f t="shared" si="71"/>
        <v>3306.83</v>
      </c>
      <c r="AQ71" s="952">
        <f t="shared" ref="AQ71:AQ133" si="98">SUM(AI71:AL71)</f>
        <v>3306.83</v>
      </c>
      <c r="AR71" s="973">
        <f t="shared" si="35"/>
        <v>0</v>
      </c>
      <c r="AS71" s="889">
        <f t="shared" si="87"/>
        <v>886457.83820399991</v>
      </c>
      <c r="AT71" s="890">
        <f t="shared" si="87"/>
        <v>8966924.3279899992</v>
      </c>
      <c r="AU71" s="890">
        <f t="shared" si="87"/>
        <v>0</v>
      </c>
      <c r="AV71" s="890">
        <f t="shared" si="87"/>
        <v>0</v>
      </c>
      <c r="AW71" s="890">
        <f t="shared" si="87"/>
        <v>0</v>
      </c>
      <c r="AX71" s="890">
        <f t="shared" ref="AX71:AX134" si="99">SUM(AS71:AW71)</f>
        <v>9853382.1661939994</v>
      </c>
      <c r="AY71" s="890">
        <f t="shared" ref="AY71:AY134" si="100">SUM(AS71:AV71)</f>
        <v>9853382.1661939994</v>
      </c>
      <c r="AZ71" s="890">
        <f t="shared" si="88"/>
        <v>1005082.4274479999</v>
      </c>
      <c r="BA71" s="890">
        <f t="shared" si="88"/>
        <v>9056587.1884899996</v>
      </c>
      <c r="BB71" s="890">
        <f t="shared" si="88"/>
        <v>0</v>
      </c>
      <c r="BC71" s="890">
        <f t="shared" si="88"/>
        <v>0</v>
      </c>
      <c r="BD71" s="890">
        <f t="shared" si="88"/>
        <v>0</v>
      </c>
      <c r="BE71" s="890">
        <f t="shared" ref="BE71:BE134" si="101">SUM(AZ71:BD71)</f>
        <v>10061669.615938</v>
      </c>
      <c r="BF71" s="952">
        <f t="shared" ref="BF71:BF134" si="102">SUM(AZ71:BC71)</f>
        <v>10061669.615938</v>
      </c>
      <c r="BG71" s="953">
        <f>(H71-J71)/1.2*U71/1000+(H71-K71)/1.2*V71/1000</f>
        <v>514.18733060499926</v>
      </c>
      <c r="BH71" s="954">
        <f>(O71-P71)*AB71/1000/1.2+(O71-Q71)/1.2*AC71/1000</f>
        <v>874.78734366666629</v>
      </c>
      <c r="BI71" s="955">
        <f t="shared" si="97"/>
        <v>1388.9746742716657</v>
      </c>
      <c r="BJ71" s="955"/>
      <c r="BK71" s="1197"/>
      <c r="BL71" s="890">
        <f t="shared" si="85"/>
        <v>572795.94452399993</v>
      </c>
      <c r="BM71" s="890">
        <f t="shared" si="85"/>
        <v>4990631.2899899995</v>
      </c>
      <c r="BN71" s="890">
        <f t="shared" si="85"/>
        <v>0</v>
      </c>
      <c r="BO71" s="890">
        <f t="shared" si="85"/>
        <v>0</v>
      </c>
      <c r="BP71" s="890">
        <f t="shared" si="85"/>
        <v>0</v>
      </c>
      <c r="BQ71" s="890">
        <f t="shared" si="54"/>
        <v>5563427.2345139999</v>
      </c>
      <c r="BR71" s="890">
        <f t="shared" si="55"/>
        <v>5563427.2345139999</v>
      </c>
      <c r="BS71" s="890">
        <f t="shared" si="86"/>
        <v>355635.70416000002</v>
      </c>
      <c r="BT71" s="890">
        <f t="shared" si="86"/>
        <v>4016053.1379999998</v>
      </c>
      <c r="BU71" s="890">
        <f t="shared" si="86"/>
        <v>0</v>
      </c>
      <c r="BV71" s="890">
        <f t="shared" si="57"/>
        <v>0</v>
      </c>
      <c r="BW71" s="890">
        <f t="shared" si="17"/>
        <v>0</v>
      </c>
      <c r="BX71" s="890">
        <f t="shared" si="58"/>
        <v>4371688.8421599995</v>
      </c>
      <c r="BY71" s="890">
        <f t="shared" si="59"/>
        <v>4371688.8421599995</v>
      </c>
      <c r="BZ71" s="945">
        <f t="shared" si="60"/>
        <v>9006684.4279899988</v>
      </c>
      <c r="CA71" s="945">
        <f t="shared" si="60"/>
        <v>0</v>
      </c>
      <c r="CB71" s="945">
        <f t="shared" si="61"/>
        <v>9006684.4279899988</v>
      </c>
      <c r="CC71" s="976">
        <f t="shared" si="62"/>
        <v>2963.2914803750318</v>
      </c>
      <c r="CD71" s="976" t="e">
        <f t="shared" si="62"/>
        <v>#DIV/0!</v>
      </c>
      <c r="CE71" s="976">
        <f t="shared" si="38"/>
        <v>2963.2914803750318</v>
      </c>
      <c r="CF71" s="976">
        <f t="shared" si="18"/>
        <v>2963.2914803750318</v>
      </c>
      <c r="CG71" s="977">
        <f t="shared" si="19"/>
        <v>10673454.037115999</v>
      </c>
      <c r="CH71" s="977">
        <f t="shared" si="39"/>
        <v>3511.675763399518</v>
      </c>
      <c r="CI71" s="1289"/>
      <c r="CJ71" s="1312">
        <f>H71*Z71/1000</f>
        <v>6180.4520312399982</v>
      </c>
      <c r="CK71" s="1312">
        <f t="shared" si="20"/>
        <v>5421.4336545599999</v>
      </c>
      <c r="CL71" s="1312">
        <f>CJ71+CK71</f>
        <v>11601.885685799998</v>
      </c>
      <c r="CM71" s="890">
        <f t="shared" si="41"/>
        <v>12428.945419439999</v>
      </c>
      <c r="CN71" s="890">
        <f t="shared" si="42"/>
        <v>827.05973364000056</v>
      </c>
      <c r="CO71" s="890">
        <f t="shared" si="21"/>
        <v>11601885.685799997</v>
      </c>
      <c r="CP71" s="890">
        <f t="shared" si="22"/>
        <v>9853382.1661939994</v>
      </c>
      <c r="CQ71" s="890">
        <f t="shared" si="23"/>
        <v>9853382.1661939994</v>
      </c>
      <c r="CR71" s="890">
        <f t="shared" si="24"/>
        <v>5563427.2345139999</v>
      </c>
      <c r="CS71" s="890">
        <f t="shared" si="25"/>
        <v>10061669.615938</v>
      </c>
      <c r="CT71" s="890">
        <f t="shared" si="26"/>
        <v>10061669.615938</v>
      </c>
      <c r="CU71" s="890">
        <f t="shared" si="27"/>
        <v>4371688.8421599995</v>
      </c>
      <c r="CV71" s="890">
        <f t="shared" si="43"/>
        <v>19915051.782132</v>
      </c>
      <c r="CW71" s="978">
        <f t="shared" si="44"/>
        <v>6022.3996341305719</v>
      </c>
      <c r="CX71" s="890">
        <f t="shared" si="28"/>
        <v>8966924.3279899992</v>
      </c>
      <c r="CY71" s="890">
        <f t="shared" si="29"/>
        <v>9056587.1884899996</v>
      </c>
      <c r="CZ71" s="890"/>
      <c r="DA71" s="890">
        <f t="shared" si="30"/>
        <v>10962022.404119998</v>
      </c>
      <c r="DB71" s="890">
        <f t="shared" si="31"/>
        <v>12428945.419439999</v>
      </c>
      <c r="DC71" s="1290"/>
      <c r="DD71" s="841">
        <f t="shared" si="45"/>
        <v>127.40001559211038</v>
      </c>
      <c r="DE71" s="1290"/>
      <c r="DF71" s="1290"/>
      <c r="DG71" s="1290"/>
      <c r="DH71" s="1050"/>
      <c r="DI71" s="1050"/>
      <c r="DJ71" s="1050"/>
      <c r="DK71" s="1289"/>
      <c r="DL71" s="975">
        <f t="shared" si="32"/>
        <v>0</v>
      </c>
      <c r="DM71" s="975">
        <f t="shared" si="33"/>
        <v>0</v>
      </c>
      <c r="DN71" s="975">
        <f t="shared" si="34"/>
        <v>0</v>
      </c>
      <c r="DO71" s="1291"/>
      <c r="DP71" s="871"/>
      <c r="DQ71" s="871"/>
      <c r="DR71" s="871"/>
      <c r="DS71" s="871"/>
      <c r="DT71" s="871"/>
      <c r="DU71" s="871"/>
      <c r="DV71" s="871"/>
      <c r="DW71" s="871"/>
      <c r="DX71" s="871"/>
      <c r="DY71" s="871"/>
      <c r="DZ71" s="871"/>
      <c r="EA71" s="871"/>
      <c r="EB71" s="871"/>
      <c r="EC71" s="871"/>
      <c r="ED71" s="871"/>
      <c r="EE71" s="871"/>
      <c r="EF71" s="871"/>
      <c r="EG71" s="871"/>
      <c r="EH71" s="871"/>
      <c r="EI71" s="871"/>
      <c r="EJ71" s="871"/>
      <c r="EK71" s="871"/>
      <c r="EL71" s="871"/>
    </row>
    <row r="72" spans="1:142" s="50" customFormat="1" ht="78.75" hidden="1" customHeight="1">
      <c r="A72" s="6">
        <f t="shared" si="46"/>
        <v>59</v>
      </c>
      <c r="B72" s="909"/>
      <c r="C72" s="956" t="s">
        <v>902</v>
      </c>
      <c r="D72" s="963" t="s">
        <v>161</v>
      </c>
      <c r="E72" s="1001">
        <v>4617004147</v>
      </c>
      <c r="F72" s="963" t="s">
        <v>8</v>
      </c>
      <c r="G72" s="1002" t="s">
        <v>953</v>
      </c>
      <c r="H72" s="1247">
        <v>3850.8480191964254</v>
      </c>
      <c r="I72" s="1248">
        <v>3850.8480191964254</v>
      </c>
      <c r="J72" s="912"/>
      <c r="K72" s="912"/>
      <c r="L72" s="912"/>
      <c r="M72" s="913"/>
      <c r="N72" s="1213">
        <v>4621.0200000000004</v>
      </c>
      <c r="O72" s="1214">
        <v>4621.0200000000004</v>
      </c>
      <c r="P72" s="915"/>
      <c r="Q72" s="915"/>
      <c r="R72" s="891"/>
      <c r="S72" s="913"/>
      <c r="T72" s="916">
        <f t="shared" ref="T72:T78" si="103">2542.18/7</f>
        <v>363.1685714285714</v>
      </c>
      <c r="U72" s="917">
        <v>0</v>
      </c>
      <c r="V72" s="917">
        <v>0</v>
      </c>
      <c r="W72" s="917">
        <v>0</v>
      </c>
      <c r="X72" s="917">
        <v>0</v>
      </c>
      <c r="Y72" s="917">
        <v>0</v>
      </c>
      <c r="Z72" s="898">
        <f t="shared" si="8"/>
        <v>363.1685714285714</v>
      </c>
      <c r="AA72" s="918">
        <v>94.62</v>
      </c>
      <c r="AB72" s="917">
        <v>1347.8</v>
      </c>
      <c r="AC72" s="917">
        <v>0</v>
      </c>
      <c r="AD72" s="917">
        <v>0</v>
      </c>
      <c r="AE72" s="917">
        <v>0</v>
      </c>
      <c r="AF72" s="917">
        <v>0</v>
      </c>
      <c r="AG72" s="900">
        <f t="shared" si="50"/>
        <v>1442.42</v>
      </c>
      <c r="AH72" s="896">
        <f t="shared" si="51"/>
        <v>1805.5885714285714</v>
      </c>
      <c r="AI72" s="897">
        <f t="shared" si="73"/>
        <v>457.7885714285714</v>
      </c>
      <c r="AJ72" s="897">
        <f t="shared" si="73"/>
        <v>1347.8</v>
      </c>
      <c r="AK72" s="897">
        <f t="shared" si="73"/>
        <v>0</v>
      </c>
      <c r="AL72" s="897">
        <f t="shared" si="73"/>
        <v>0</v>
      </c>
      <c r="AM72" s="897">
        <f t="shared" si="73"/>
        <v>0</v>
      </c>
      <c r="AN72" s="897"/>
      <c r="AO72" s="897">
        <f t="shared" si="70"/>
        <v>1805.5885714285714</v>
      </c>
      <c r="AP72" s="897">
        <f t="shared" si="71"/>
        <v>1805.5885714285714</v>
      </c>
      <c r="AQ72" s="901">
        <f t="shared" si="98"/>
        <v>1805.5885714285714</v>
      </c>
      <c r="AR72" s="902">
        <f t="shared" si="35"/>
        <v>0</v>
      </c>
      <c r="AS72" s="903">
        <f t="shared" si="87"/>
        <v>1762874.2134964755</v>
      </c>
      <c r="AT72" s="897">
        <f t="shared" si="87"/>
        <v>0</v>
      </c>
      <c r="AU72" s="897">
        <f t="shared" si="87"/>
        <v>0</v>
      </c>
      <c r="AV72" s="897">
        <f t="shared" si="87"/>
        <v>0</v>
      </c>
      <c r="AW72" s="897">
        <f t="shared" si="87"/>
        <v>0</v>
      </c>
      <c r="AX72" s="897">
        <f t="shared" si="99"/>
        <v>1762874.2134964755</v>
      </c>
      <c r="AY72" s="897">
        <f t="shared" si="100"/>
        <v>1762874.2134964755</v>
      </c>
      <c r="AZ72" s="897">
        <f t="shared" si="88"/>
        <v>2115450.1443428574</v>
      </c>
      <c r="BA72" s="897">
        <f t="shared" si="88"/>
        <v>0</v>
      </c>
      <c r="BB72" s="897">
        <f t="shared" si="88"/>
        <v>0</v>
      </c>
      <c r="BC72" s="897">
        <f t="shared" si="88"/>
        <v>0</v>
      </c>
      <c r="BD72" s="897">
        <f t="shared" si="88"/>
        <v>0</v>
      </c>
      <c r="BE72" s="897">
        <f t="shared" si="101"/>
        <v>2115450.1443428574</v>
      </c>
      <c r="BF72" s="901">
        <f t="shared" si="102"/>
        <v>2115450.1443428574</v>
      </c>
      <c r="BG72" s="918"/>
      <c r="BH72" s="917"/>
      <c r="BI72" s="897">
        <f t="shared" si="97"/>
        <v>0</v>
      </c>
      <c r="BJ72" s="1215">
        <v>21673.773596703588</v>
      </c>
      <c r="BK72" s="1216">
        <v>25874.876200000002</v>
      </c>
      <c r="BL72" s="897">
        <f t="shared" si="85"/>
        <v>1398506.9739201097</v>
      </c>
      <c r="BM72" s="897">
        <f t="shared" si="85"/>
        <v>0</v>
      </c>
      <c r="BN72" s="897">
        <f t="shared" si="85"/>
        <v>0</v>
      </c>
      <c r="BO72" s="897">
        <f t="shared" si="85"/>
        <v>0</v>
      </c>
      <c r="BP72" s="897">
        <f t="shared" si="85"/>
        <v>0</v>
      </c>
      <c r="BQ72" s="897">
        <f t="shared" si="54"/>
        <v>1398506.9739201097</v>
      </c>
      <c r="BR72" s="897">
        <f t="shared" si="55"/>
        <v>1398506.9739201097</v>
      </c>
      <c r="BS72" s="897">
        <f t="shared" si="86"/>
        <v>437240.91240000009</v>
      </c>
      <c r="BT72" s="897">
        <f t="shared" si="86"/>
        <v>0</v>
      </c>
      <c r="BU72" s="897">
        <f t="shared" si="86"/>
        <v>0</v>
      </c>
      <c r="BV72" s="897">
        <f t="shared" si="57"/>
        <v>0</v>
      </c>
      <c r="BW72" s="897">
        <f t="shared" si="17"/>
        <v>0</v>
      </c>
      <c r="BX72" s="897">
        <f t="shared" si="58"/>
        <v>437240.91240000009</v>
      </c>
      <c r="BY72" s="897">
        <f t="shared" si="59"/>
        <v>437240.91240000009</v>
      </c>
      <c r="BZ72" s="905">
        <f t="shared" si="60"/>
        <v>0</v>
      </c>
      <c r="CA72" s="905">
        <f t="shared" si="60"/>
        <v>0</v>
      </c>
      <c r="CB72" s="905">
        <f t="shared" si="61"/>
        <v>0</v>
      </c>
      <c r="CC72" s="907">
        <f t="shared" si="62"/>
        <v>0</v>
      </c>
      <c r="CD72" s="907" t="e">
        <f t="shared" si="62"/>
        <v>#DIV/0!</v>
      </c>
      <c r="CE72" s="907">
        <f t="shared" si="38"/>
        <v>0</v>
      </c>
      <c r="CF72" s="905">
        <f t="shared" si="18"/>
        <v>0</v>
      </c>
      <c r="CG72" s="923">
        <f t="shared" si="19"/>
        <v>6228210.7560000001</v>
      </c>
      <c r="CH72" s="923">
        <f t="shared" si="39"/>
        <v>4621.0200000000004</v>
      </c>
      <c r="CI72" s="964"/>
      <c r="CJ72" s="897">
        <f t="shared" ref="CJ72:CJ79" si="104">N72*Z72/1000</f>
        <v>1678.2092319428571</v>
      </c>
      <c r="CK72" s="897">
        <f t="shared" si="20"/>
        <v>6665.4516684000009</v>
      </c>
      <c r="CL72" s="897">
        <f>CJ72+CK72</f>
        <v>8343.6609003428584</v>
      </c>
      <c r="CM72" s="897">
        <f t="shared" si="41"/>
        <v>8343.6609003428566</v>
      </c>
      <c r="CN72" s="897">
        <f t="shared" si="42"/>
        <v>0</v>
      </c>
      <c r="CO72" s="897">
        <f t="shared" si="21"/>
        <v>8063958.6423201105</v>
      </c>
      <c r="CP72" s="897">
        <f t="shared" si="22"/>
        <v>1762874.2134964755</v>
      </c>
      <c r="CQ72" s="897">
        <f t="shared" si="23"/>
        <v>1762874.2134964755</v>
      </c>
      <c r="CR72" s="897">
        <f t="shared" si="24"/>
        <v>1398506.9739201097</v>
      </c>
      <c r="CS72" s="897">
        <f t="shared" si="25"/>
        <v>2115450.1443428574</v>
      </c>
      <c r="CT72" s="897">
        <f t="shared" si="26"/>
        <v>2115450.1443428574</v>
      </c>
      <c r="CU72" s="897">
        <f t="shared" si="27"/>
        <v>437240.91240000009</v>
      </c>
      <c r="CV72" s="897">
        <f t="shared" si="43"/>
        <v>3878324.3578393329</v>
      </c>
      <c r="CW72" s="906">
        <f t="shared" si="44"/>
        <v>2147.9557520519888</v>
      </c>
      <c r="CX72" s="897">
        <f t="shared" si="28"/>
        <v>0</v>
      </c>
      <c r="CY72" s="897">
        <f t="shared" si="29"/>
        <v>0</v>
      </c>
      <c r="CZ72" s="897"/>
      <c r="DA72" s="897">
        <f t="shared" si="30"/>
        <v>6953047.1737694172</v>
      </c>
      <c r="DB72" s="897">
        <f t="shared" si="31"/>
        <v>8343660.9003428575</v>
      </c>
      <c r="DC72" s="1130"/>
      <c r="DD72" s="40" t="e">
        <f t="shared" si="45"/>
        <v>#DIV/0!</v>
      </c>
      <c r="DE72" s="1130"/>
      <c r="DF72" s="1130"/>
      <c r="DG72" s="1130"/>
      <c r="DH72" s="1043">
        <v>714.64285714285711</v>
      </c>
      <c r="DI72" s="1043">
        <v>0</v>
      </c>
      <c r="DJ72" s="1043">
        <f t="shared" ref="DJ72:DJ79" si="105">DH72-DI72</f>
        <v>714.64285714285711</v>
      </c>
      <c r="DK72" s="964"/>
      <c r="DL72" s="908">
        <f t="shared" si="32"/>
        <v>0</v>
      </c>
      <c r="DM72" s="908">
        <f t="shared" si="33"/>
        <v>0</v>
      </c>
      <c r="DN72" s="908">
        <f t="shared" si="34"/>
        <v>0</v>
      </c>
      <c r="DO72" s="868"/>
      <c r="DP72" s="81"/>
      <c r="DQ72" s="81"/>
      <c r="DR72" s="81"/>
      <c r="DS72" s="81"/>
      <c r="DT72" s="81"/>
      <c r="DU72" s="81"/>
      <c r="DV72" s="81"/>
      <c r="DW72" s="81"/>
      <c r="DX72" s="81"/>
      <c r="DY72" s="81"/>
      <c r="DZ72" s="81"/>
      <c r="EA72" s="81"/>
      <c r="EB72" s="81"/>
      <c r="EC72" s="81"/>
      <c r="ED72" s="81"/>
      <c r="EE72" s="81"/>
      <c r="EF72" s="81"/>
      <c r="EG72" s="81"/>
      <c r="EH72" s="81"/>
      <c r="EI72" s="81"/>
      <c r="EJ72" s="81"/>
      <c r="EK72" s="81"/>
      <c r="EL72" s="81"/>
    </row>
    <row r="73" spans="1:142" s="50" customFormat="1" ht="75" hidden="1" customHeight="1">
      <c r="A73" s="6">
        <f t="shared" si="46"/>
        <v>60</v>
      </c>
      <c r="B73" s="909"/>
      <c r="C73" s="956" t="s">
        <v>156</v>
      </c>
      <c r="D73" s="963" t="s">
        <v>161</v>
      </c>
      <c r="E73" s="1001">
        <v>4617004147</v>
      </c>
      <c r="F73" s="963" t="s">
        <v>8</v>
      </c>
      <c r="G73" s="1002"/>
      <c r="H73" s="911">
        <v>3850.8480191964254</v>
      </c>
      <c r="I73" s="912">
        <v>3850.8480191964254</v>
      </c>
      <c r="J73" s="912"/>
      <c r="K73" s="912"/>
      <c r="L73" s="912"/>
      <c r="M73" s="913"/>
      <c r="N73" s="1213">
        <v>4621.0200000000004</v>
      </c>
      <c r="O73" s="1214">
        <v>4621.0200000000004</v>
      </c>
      <c r="P73" s="915"/>
      <c r="Q73" s="915"/>
      <c r="R73" s="891"/>
      <c r="S73" s="913"/>
      <c r="T73" s="916">
        <f t="shared" si="103"/>
        <v>363.1685714285714</v>
      </c>
      <c r="U73" s="917">
        <v>0</v>
      </c>
      <c r="V73" s="917">
        <v>0</v>
      </c>
      <c r="W73" s="917">
        <v>0</v>
      </c>
      <c r="X73" s="917">
        <v>0</v>
      </c>
      <c r="Y73" s="917">
        <v>0</v>
      </c>
      <c r="Z73" s="898">
        <f t="shared" si="8"/>
        <v>363.1685714285714</v>
      </c>
      <c r="AA73" s="918">
        <f t="shared" ref="AA73:AA78" si="106">2177.72/7</f>
        <v>311.10285714285709</v>
      </c>
      <c r="AB73" s="917">
        <v>0</v>
      </c>
      <c r="AC73" s="917">
        <v>0</v>
      </c>
      <c r="AD73" s="917">
        <v>0</v>
      </c>
      <c r="AE73" s="917">
        <v>0</v>
      </c>
      <c r="AF73" s="917">
        <v>0</v>
      </c>
      <c r="AG73" s="900">
        <f t="shared" si="50"/>
        <v>311.10285714285709</v>
      </c>
      <c r="AH73" s="896">
        <f t="shared" si="51"/>
        <v>674.27142857142849</v>
      </c>
      <c r="AI73" s="897">
        <f t="shared" si="73"/>
        <v>674.27142857142849</v>
      </c>
      <c r="AJ73" s="897">
        <f t="shared" si="73"/>
        <v>0</v>
      </c>
      <c r="AK73" s="897">
        <f t="shared" si="73"/>
        <v>0</v>
      </c>
      <c r="AL73" s="897">
        <f t="shared" si="73"/>
        <v>0</v>
      </c>
      <c r="AM73" s="897">
        <f t="shared" si="73"/>
        <v>0</v>
      </c>
      <c r="AN73" s="897"/>
      <c r="AO73" s="897">
        <f t="shared" si="70"/>
        <v>674.27142857142849</v>
      </c>
      <c r="AP73" s="897">
        <f t="shared" si="71"/>
        <v>674.27142857142849</v>
      </c>
      <c r="AQ73" s="901">
        <f t="shared" si="98"/>
        <v>674.27142857142849</v>
      </c>
      <c r="AR73" s="902">
        <f t="shared" si="35"/>
        <v>0</v>
      </c>
      <c r="AS73" s="903">
        <f t="shared" si="87"/>
        <v>2596516.7951150294</v>
      </c>
      <c r="AT73" s="897">
        <f t="shared" si="87"/>
        <v>0</v>
      </c>
      <c r="AU73" s="897">
        <f t="shared" si="87"/>
        <v>0</v>
      </c>
      <c r="AV73" s="897">
        <f t="shared" si="87"/>
        <v>0</v>
      </c>
      <c r="AW73" s="897">
        <f t="shared" si="87"/>
        <v>0</v>
      </c>
      <c r="AX73" s="897">
        <f t="shared" si="99"/>
        <v>2596516.7951150294</v>
      </c>
      <c r="AY73" s="897">
        <f t="shared" si="100"/>
        <v>2596516.7951150294</v>
      </c>
      <c r="AZ73" s="897">
        <f t="shared" si="88"/>
        <v>3115821.7568571428</v>
      </c>
      <c r="BA73" s="897">
        <f t="shared" si="88"/>
        <v>0</v>
      </c>
      <c r="BB73" s="897">
        <f t="shared" si="88"/>
        <v>0</v>
      </c>
      <c r="BC73" s="897">
        <f t="shared" si="88"/>
        <v>0</v>
      </c>
      <c r="BD73" s="897">
        <f t="shared" si="88"/>
        <v>0</v>
      </c>
      <c r="BE73" s="897">
        <f t="shared" si="101"/>
        <v>3115821.7568571428</v>
      </c>
      <c r="BF73" s="901">
        <f t="shared" si="102"/>
        <v>3115821.7568571428</v>
      </c>
      <c r="BG73" s="918"/>
      <c r="BH73" s="917"/>
      <c r="BI73" s="897">
        <f t="shared" si="97"/>
        <v>0</v>
      </c>
      <c r="BJ73" s="981"/>
      <c r="BK73" s="1201"/>
      <c r="BL73" s="897">
        <f t="shared" si="85"/>
        <v>1398506.9739201097</v>
      </c>
      <c r="BM73" s="897">
        <f t="shared" si="85"/>
        <v>0</v>
      </c>
      <c r="BN73" s="897">
        <f t="shared" si="85"/>
        <v>0</v>
      </c>
      <c r="BO73" s="897">
        <f t="shared" si="85"/>
        <v>0</v>
      </c>
      <c r="BP73" s="897">
        <f t="shared" si="85"/>
        <v>0</v>
      </c>
      <c r="BQ73" s="897">
        <f t="shared" si="54"/>
        <v>1398506.9739201097</v>
      </c>
      <c r="BR73" s="897">
        <f t="shared" si="55"/>
        <v>1398506.9739201097</v>
      </c>
      <c r="BS73" s="897">
        <f t="shared" si="86"/>
        <v>1437612.5249142856</v>
      </c>
      <c r="BT73" s="897">
        <f t="shared" si="86"/>
        <v>0</v>
      </c>
      <c r="BU73" s="897">
        <f t="shared" si="86"/>
        <v>0</v>
      </c>
      <c r="BV73" s="897">
        <f t="shared" si="57"/>
        <v>0</v>
      </c>
      <c r="BW73" s="897">
        <f t="shared" si="17"/>
        <v>0</v>
      </c>
      <c r="BX73" s="897">
        <f t="shared" si="58"/>
        <v>1437612.5249142856</v>
      </c>
      <c r="BY73" s="897">
        <f t="shared" si="59"/>
        <v>1437612.5249142856</v>
      </c>
      <c r="BZ73" s="905">
        <f t="shared" si="60"/>
        <v>0</v>
      </c>
      <c r="CA73" s="905">
        <f t="shared" si="60"/>
        <v>0</v>
      </c>
      <c r="CB73" s="905">
        <f t="shared" si="61"/>
        <v>0</v>
      </c>
      <c r="CC73" s="907" t="e">
        <f t="shared" si="62"/>
        <v>#DIV/0!</v>
      </c>
      <c r="CD73" s="907" t="e">
        <f t="shared" si="62"/>
        <v>#DIV/0!</v>
      </c>
      <c r="CE73" s="907" t="e">
        <f t="shared" si="38"/>
        <v>#DIV/0!</v>
      </c>
      <c r="CF73" s="905" t="e">
        <f t="shared" si="18"/>
        <v>#DIV/0!</v>
      </c>
      <c r="CG73" s="923">
        <f t="shared" si="19"/>
        <v>0</v>
      </c>
      <c r="CH73" s="923" t="e">
        <f t="shared" si="39"/>
        <v>#DIV/0!</v>
      </c>
      <c r="CI73" s="964"/>
      <c r="CJ73" s="897">
        <f t="shared" si="104"/>
        <v>1678.2092319428571</v>
      </c>
      <c r="CK73" s="897">
        <f t="shared" si="20"/>
        <v>1437.6125249142856</v>
      </c>
      <c r="CL73" s="897">
        <f t="shared" ref="CL73:CL78" si="107">CJ73+CK73</f>
        <v>3115.8217568571426</v>
      </c>
      <c r="CM73" s="897">
        <f t="shared" si="41"/>
        <v>3115.8217568571426</v>
      </c>
      <c r="CN73" s="897">
        <f t="shared" si="42"/>
        <v>0</v>
      </c>
      <c r="CO73" s="897">
        <f t="shared" si="21"/>
        <v>2836119.4988343953</v>
      </c>
      <c r="CP73" s="897">
        <f t="shared" si="22"/>
        <v>2596516.7951150294</v>
      </c>
      <c r="CQ73" s="897">
        <f t="shared" si="23"/>
        <v>2596516.7951150294</v>
      </c>
      <c r="CR73" s="897">
        <f t="shared" si="24"/>
        <v>1398506.9739201097</v>
      </c>
      <c r="CS73" s="897">
        <f t="shared" si="25"/>
        <v>3115821.7568571428</v>
      </c>
      <c r="CT73" s="897">
        <f t="shared" si="26"/>
        <v>3115821.7568571428</v>
      </c>
      <c r="CU73" s="897">
        <f t="shared" si="27"/>
        <v>1437612.5249142856</v>
      </c>
      <c r="CV73" s="897">
        <f t="shared" si="43"/>
        <v>5712338.5519721722</v>
      </c>
      <c r="CW73" s="906">
        <f t="shared" si="44"/>
        <v>8471.8680191964268</v>
      </c>
      <c r="CX73" s="897">
        <f t="shared" si="28"/>
        <v>0</v>
      </c>
      <c r="CY73" s="897">
        <f t="shared" si="29"/>
        <v>0</v>
      </c>
      <c r="CZ73" s="897"/>
      <c r="DA73" s="897">
        <f t="shared" si="30"/>
        <v>2596516.7951150294</v>
      </c>
      <c r="DB73" s="897">
        <f t="shared" si="31"/>
        <v>3115821.7568571428</v>
      </c>
      <c r="DC73" s="1130"/>
      <c r="DD73" s="40" t="e">
        <f t="shared" si="45"/>
        <v>#DIV/0!</v>
      </c>
      <c r="DE73" s="1130"/>
      <c r="DF73" s="1130"/>
      <c r="DG73" s="1130"/>
      <c r="DH73" s="1043">
        <v>714.64285714285711</v>
      </c>
      <c r="DI73" s="1043">
        <v>0</v>
      </c>
      <c r="DJ73" s="1043">
        <f t="shared" si="105"/>
        <v>714.64285714285711</v>
      </c>
      <c r="DK73" s="964"/>
      <c r="DL73" s="908">
        <f t="shared" si="32"/>
        <v>0</v>
      </c>
      <c r="DM73" s="908">
        <f t="shared" si="33"/>
        <v>0</v>
      </c>
      <c r="DN73" s="908">
        <f t="shared" si="34"/>
        <v>0</v>
      </c>
      <c r="DO73" s="868"/>
      <c r="DP73" s="81"/>
      <c r="DQ73" s="81"/>
      <c r="DR73" s="81"/>
      <c r="DS73" s="81"/>
      <c r="DT73" s="81"/>
      <c r="DU73" s="81"/>
      <c r="DV73" s="81"/>
      <c r="DW73" s="81"/>
      <c r="DX73" s="81"/>
      <c r="DY73" s="81"/>
      <c r="DZ73" s="81"/>
      <c r="EA73" s="81"/>
      <c r="EB73" s="81"/>
      <c r="EC73" s="81"/>
      <c r="ED73" s="81"/>
      <c r="EE73" s="81"/>
      <c r="EF73" s="81"/>
      <c r="EG73" s="81"/>
      <c r="EH73" s="81"/>
      <c r="EI73" s="81"/>
      <c r="EJ73" s="81"/>
      <c r="EK73" s="81"/>
      <c r="EL73" s="81"/>
    </row>
    <row r="74" spans="1:142" s="50" customFormat="1" ht="70.5" hidden="1" customHeight="1">
      <c r="A74" s="6">
        <f t="shared" si="46"/>
        <v>61</v>
      </c>
      <c r="B74" s="909"/>
      <c r="C74" s="956" t="s">
        <v>157</v>
      </c>
      <c r="D74" s="963" t="s">
        <v>161</v>
      </c>
      <c r="E74" s="1001">
        <v>4617004147</v>
      </c>
      <c r="F74" s="963" t="s">
        <v>8</v>
      </c>
      <c r="G74" s="1002"/>
      <c r="H74" s="911">
        <v>3850.8480191964254</v>
      </c>
      <c r="I74" s="912">
        <v>3850.8480191964254</v>
      </c>
      <c r="J74" s="912"/>
      <c r="K74" s="912"/>
      <c r="L74" s="912"/>
      <c r="M74" s="913"/>
      <c r="N74" s="1213">
        <v>4621.0200000000004</v>
      </c>
      <c r="O74" s="1214">
        <v>4621.0200000000004</v>
      </c>
      <c r="P74" s="915"/>
      <c r="Q74" s="915"/>
      <c r="R74" s="891"/>
      <c r="S74" s="913"/>
      <c r="T74" s="916">
        <f t="shared" si="103"/>
        <v>363.1685714285714</v>
      </c>
      <c r="U74" s="917">
        <v>0</v>
      </c>
      <c r="V74" s="917">
        <v>0</v>
      </c>
      <c r="W74" s="917">
        <v>0</v>
      </c>
      <c r="X74" s="917">
        <v>0</v>
      </c>
      <c r="Y74" s="917">
        <v>0</v>
      </c>
      <c r="Z74" s="898">
        <f t="shared" si="8"/>
        <v>363.1685714285714</v>
      </c>
      <c r="AA74" s="918">
        <f t="shared" si="106"/>
        <v>311.10285714285709</v>
      </c>
      <c r="AB74" s="917">
        <v>0</v>
      </c>
      <c r="AC74" s="917">
        <v>0</v>
      </c>
      <c r="AD74" s="917">
        <v>0</v>
      </c>
      <c r="AE74" s="917">
        <v>0</v>
      </c>
      <c r="AF74" s="917">
        <v>0</v>
      </c>
      <c r="AG74" s="900">
        <f t="shared" si="50"/>
        <v>311.10285714285709</v>
      </c>
      <c r="AH74" s="896">
        <f t="shared" si="51"/>
        <v>674.27142857142849</v>
      </c>
      <c r="AI74" s="897">
        <f t="shared" si="73"/>
        <v>674.27142857142849</v>
      </c>
      <c r="AJ74" s="897">
        <f t="shared" si="73"/>
        <v>0</v>
      </c>
      <c r="AK74" s="897">
        <f t="shared" si="73"/>
        <v>0</v>
      </c>
      <c r="AL74" s="897">
        <f t="shared" si="73"/>
        <v>0</v>
      </c>
      <c r="AM74" s="897">
        <f t="shared" si="73"/>
        <v>0</v>
      </c>
      <c r="AN74" s="897"/>
      <c r="AO74" s="897">
        <f t="shared" si="70"/>
        <v>674.27142857142849</v>
      </c>
      <c r="AP74" s="897">
        <f t="shared" si="71"/>
        <v>674.27142857142849</v>
      </c>
      <c r="AQ74" s="901">
        <f t="shared" si="98"/>
        <v>674.27142857142849</v>
      </c>
      <c r="AR74" s="902">
        <f t="shared" si="35"/>
        <v>0</v>
      </c>
      <c r="AS74" s="903">
        <f t="shared" si="87"/>
        <v>2596516.7951150294</v>
      </c>
      <c r="AT74" s="897">
        <f t="shared" si="87"/>
        <v>0</v>
      </c>
      <c r="AU74" s="897">
        <f t="shared" si="87"/>
        <v>0</v>
      </c>
      <c r="AV74" s="897">
        <f t="shared" si="87"/>
        <v>0</v>
      </c>
      <c r="AW74" s="897">
        <f t="shared" si="87"/>
        <v>0</v>
      </c>
      <c r="AX74" s="897">
        <f t="shared" si="99"/>
        <v>2596516.7951150294</v>
      </c>
      <c r="AY74" s="897">
        <f t="shared" si="100"/>
        <v>2596516.7951150294</v>
      </c>
      <c r="AZ74" s="897">
        <f t="shared" si="88"/>
        <v>3115821.7568571428</v>
      </c>
      <c r="BA74" s="897">
        <f t="shared" si="88"/>
        <v>0</v>
      </c>
      <c r="BB74" s="897">
        <f t="shared" si="88"/>
        <v>0</v>
      </c>
      <c r="BC74" s="897">
        <f t="shared" si="88"/>
        <v>0</v>
      </c>
      <c r="BD74" s="897">
        <f t="shared" si="88"/>
        <v>0</v>
      </c>
      <c r="BE74" s="897">
        <f t="shared" si="101"/>
        <v>3115821.7568571428</v>
      </c>
      <c r="BF74" s="901">
        <f t="shared" si="102"/>
        <v>3115821.7568571428</v>
      </c>
      <c r="BG74" s="918"/>
      <c r="BH74" s="917"/>
      <c r="BI74" s="897">
        <f t="shared" si="97"/>
        <v>0</v>
      </c>
      <c r="BJ74" s="981"/>
      <c r="BK74" s="1201"/>
      <c r="BL74" s="897">
        <f t="shared" si="85"/>
        <v>1398506.9739201097</v>
      </c>
      <c r="BM74" s="897">
        <f t="shared" si="85"/>
        <v>0</v>
      </c>
      <c r="BN74" s="897">
        <f t="shared" si="85"/>
        <v>0</v>
      </c>
      <c r="BO74" s="897">
        <f t="shared" si="85"/>
        <v>0</v>
      </c>
      <c r="BP74" s="897">
        <f t="shared" si="85"/>
        <v>0</v>
      </c>
      <c r="BQ74" s="897">
        <f t="shared" si="54"/>
        <v>1398506.9739201097</v>
      </c>
      <c r="BR74" s="897">
        <f t="shared" si="55"/>
        <v>1398506.9739201097</v>
      </c>
      <c r="BS74" s="897">
        <f t="shared" si="86"/>
        <v>1437612.5249142856</v>
      </c>
      <c r="BT74" s="897">
        <f t="shared" si="86"/>
        <v>0</v>
      </c>
      <c r="BU74" s="897">
        <f t="shared" si="86"/>
        <v>0</v>
      </c>
      <c r="BV74" s="897">
        <f t="shared" si="57"/>
        <v>0</v>
      </c>
      <c r="BW74" s="897">
        <f t="shared" si="17"/>
        <v>0</v>
      </c>
      <c r="BX74" s="897">
        <f t="shared" si="58"/>
        <v>1437612.5249142856</v>
      </c>
      <c r="BY74" s="897">
        <f t="shared" si="59"/>
        <v>1437612.5249142856</v>
      </c>
      <c r="BZ74" s="905">
        <f t="shared" si="60"/>
        <v>0</v>
      </c>
      <c r="CA74" s="905">
        <f t="shared" si="60"/>
        <v>0</v>
      </c>
      <c r="CB74" s="905">
        <f t="shared" si="61"/>
        <v>0</v>
      </c>
      <c r="CC74" s="907" t="e">
        <f t="shared" si="62"/>
        <v>#DIV/0!</v>
      </c>
      <c r="CD74" s="907" t="e">
        <f t="shared" si="62"/>
        <v>#DIV/0!</v>
      </c>
      <c r="CE74" s="907" t="e">
        <f t="shared" si="38"/>
        <v>#DIV/0!</v>
      </c>
      <c r="CF74" s="905" t="e">
        <f t="shared" si="18"/>
        <v>#DIV/0!</v>
      </c>
      <c r="CG74" s="923">
        <f t="shared" si="19"/>
        <v>0</v>
      </c>
      <c r="CH74" s="923" t="e">
        <f t="shared" si="39"/>
        <v>#DIV/0!</v>
      </c>
      <c r="CI74" s="964"/>
      <c r="CJ74" s="897">
        <f t="shared" si="104"/>
        <v>1678.2092319428571</v>
      </c>
      <c r="CK74" s="897">
        <f t="shared" si="20"/>
        <v>1437.6125249142856</v>
      </c>
      <c r="CL74" s="897">
        <f t="shared" si="107"/>
        <v>3115.8217568571426</v>
      </c>
      <c r="CM74" s="897">
        <f t="shared" si="41"/>
        <v>3115.8217568571426</v>
      </c>
      <c r="CN74" s="897">
        <f t="shared" si="42"/>
        <v>0</v>
      </c>
      <c r="CO74" s="897">
        <f t="shared" si="21"/>
        <v>2836119.4988343953</v>
      </c>
      <c r="CP74" s="897">
        <f t="shared" si="22"/>
        <v>2596516.7951150294</v>
      </c>
      <c r="CQ74" s="897">
        <f t="shared" si="23"/>
        <v>2596516.7951150294</v>
      </c>
      <c r="CR74" s="897">
        <f t="shared" si="24"/>
        <v>1398506.9739201097</v>
      </c>
      <c r="CS74" s="897">
        <f t="shared" si="25"/>
        <v>3115821.7568571428</v>
      </c>
      <c r="CT74" s="897">
        <f t="shared" si="26"/>
        <v>3115821.7568571428</v>
      </c>
      <c r="CU74" s="897">
        <f t="shared" si="27"/>
        <v>1437612.5249142856</v>
      </c>
      <c r="CV74" s="897">
        <f t="shared" si="43"/>
        <v>5712338.5519721722</v>
      </c>
      <c r="CW74" s="906">
        <f t="shared" si="44"/>
        <v>8471.8680191964268</v>
      </c>
      <c r="CX74" s="897">
        <f t="shared" si="28"/>
        <v>0</v>
      </c>
      <c r="CY74" s="897">
        <f t="shared" si="29"/>
        <v>0</v>
      </c>
      <c r="CZ74" s="897"/>
      <c r="DA74" s="897">
        <f t="shared" si="30"/>
        <v>2596516.7951150294</v>
      </c>
      <c r="DB74" s="897">
        <f t="shared" si="31"/>
        <v>3115821.7568571428</v>
      </c>
      <c r="DC74" s="1130"/>
      <c r="DD74" s="40" t="e">
        <f t="shared" si="45"/>
        <v>#DIV/0!</v>
      </c>
      <c r="DE74" s="1130"/>
      <c r="DF74" s="1130"/>
      <c r="DG74" s="1130"/>
      <c r="DH74" s="1043">
        <v>714.64285714285711</v>
      </c>
      <c r="DI74" s="1043">
        <v>0</v>
      </c>
      <c r="DJ74" s="1043">
        <f t="shared" si="105"/>
        <v>714.64285714285711</v>
      </c>
      <c r="DK74" s="964"/>
      <c r="DL74" s="908">
        <f t="shared" si="32"/>
        <v>0</v>
      </c>
      <c r="DM74" s="908">
        <f t="shared" si="33"/>
        <v>0</v>
      </c>
      <c r="DN74" s="908">
        <f t="shared" si="34"/>
        <v>0</v>
      </c>
      <c r="DO74" s="868"/>
      <c r="DP74" s="81"/>
      <c r="DQ74" s="81"/>
      <c r="DR74" s="81"/>
      <c r="DS74" s="81"/>
      <c r="DT74" s="81"/>
      <c r="DU74" s="81"/>
      <c r="DV74" s="81"/>
      <c r="DW74" s="81"/>
      <c r="DX74" s="81"/>
      <c r="DY74" s="81"/>
      <c r="DZ74" s="81"/>
      <c r="EA74" s="81"/>
      <c r="EB74" s="81"/>
      <c r="EC74" s="81"/>
      <c r="ED74" s="81"/>
      <c r="EE74" s="81"/>
      <c r="EF74" s="81"/>
      <c r="EG74" s="81"/>
      <c r="EH74" s="81"/>
      <c r="EI74" s="81"/>
      <c r="EJ74" s="81"/>
      <c r="EK74" s="81"/>
      <c r="EL74" s="81"/>
    </row>
    <row r="75" spans="1:142" s="50" customFormat="1" ht="72" hidden="1" customHeight="1">
      <c r="A75" s="6">
        <f t="shared" si="46"/>
        <v>62</v>
      </c>
      <c r="B75" s="909"/>
      <c r="C75" s="956" t="s">
        <v>158</v>
      </c>
      <c r="D75" s="963" t="s">
        <v>161</v>
      </c>
      <c r="E75" s="1001">
        <v>4617004147</v>
      </c>
      <c r="F75" s="963" t="s">
        <v>8</v>
      </c>
      <c r="G75" s="1002"/>
      <c r="H75" s="911">
        <v>3850.8480191964254</v>
      </c>
      <c r="I75" s="912">
        <v>3850.8480191964254</v>
      </c>
      <c r="J75" s="912"/>
      <c r="K75" s="912"/>
      <c r="L75" s="912"/>
      <c r="M75" s="913"/>
      <c r="N75" s="1213">
        <v>4621.0200000000004</v>
      </c>
      <c r="O75" s="1214">
        <v>4621.0200000000004</v>
      </c>
      <c r="P75" s="915"/>
      <c r="Q75" s="915"/>
      <c r="R75" s="891"/>
      <c r="S75" s="913"/>
      <c r="T75" s="916">
        <f t="shared" si="103"/>
        <v>363.1685714285714</v>
      </c>
      <c r="U75" s="917">
        <v>0</v>
      </c>
      <c r="V75" s="917">
        <v>0</v>
      </c>
      <c r="W75" s="917">
        <v>0</v>
      </c>
      <c r="X75" s="917">
        <v>0</v>
      </c>
      <c r="Y75" s="917">
        <v>0</v>
      </c>
      <c r="Z75" s="898">
        <f t="shared" si="8"/>
        <v>363.1685714285714</v>
      </c>
      <c r="AA75" s="918">
        <f t="shared" si="106"/>
        <v>311.10285714285709</v>
      </c>
      <c r="AB75" s="917">
        <v>0</v>
      </c>
      <c r="AC75" s="917">
        <v>0</v>
      </c>
      <c r="AD75" s="917">
        <v>0</v>
      </c>
      <c r="AE75" s="917">
        <v>0</v>
      </c>
      <c r="AF75" s="917">
        <v>0</v>
      </c>
      <c r="AG75" s="900">
        <f t="shared" si="50"/>
        <v>311.10285714285709</v>
      </c>
      <c r="AH75" s="896">
        <f t="shared" si="51"/>
        <v>674.27142857142849</v>
      </c>
      <c r="AI75" s="897">
        <f t="shared" si="73"/>
        <v>674.27142857142849</v>
      </c>
      <c r="AJ75" s="897">
        <f t="shared" si="73"/>
        <v>0</v>
      </c>
      <c r="AK75" s="897">
        <f t="shared" si="73"/>
        <v>0</v>
      </c>
      <c r="AL75" s="897">
        <f t="shared" si="73"/>
        <v>0</v>
      </c>
      <c r="AM75" s="897">
        <f t="shared" si="73"/>
        <v>0</v>
      </c>
      <c r="AN75" s="897"/>
      <c r="AO75" s="897">
        <f t="shared" si="70"/>
        <v>674.27142857142849</v>
      </c>
      <c r="AP75" s="897">
        <f t="shared" si="71"/>
        <v>674.27142857142849</v>
      </c>
      <c r="AQ75" s="901">
        <f t="shared" si="98"/>
        <v>674.27142857142849</v>
      </c>
      <c r="AR75" s="902">
        <f t="shared" si="35"/>
        <v>0</v>
      </c>
      <c r="AS75" s="903">
        <f t="shared" si="87"/>
        <v>2596516.7951150294</v>
      </c>
      <c r="AT75" s="897">
        <f t="shared" si="87"/>
        <v>0</v>
      </c>
      <c r="AU75" s="897">
        <f t="shared" si="87"/>
        <v>0</v>
      </c>
      <c r="AV75" s="897">
        <f t="shared" si="87"/>
        <v>0</v>
      </c>
      <c r="AW75" s="897">
        <f t="shared" si="87"/>
        <v>0</v>
      </c>
      <c r="AX75" s="897">
        <f t="shared" si="99"/>
        <v>2596516.7951150294</v>
      </c>
      <c r="AY75" s="897">
        <f t="shared" si="100"/>
        <v>2596516.7951150294</v>
      </c>
      <c r="AZ75" s="897">
        <f t="shared" si="88"/>
        <v>3115821.7568571428</v>
      </c>
      <c r="BA75" s="897">
        <f t="shared" si="88"/>
        <v>0</v>
      </c>
      <c r="BB75" s="897">
        <f t="shared" si="88"/>
        <v>0</v>
      </c>
      <c r="BC75" s="897">
        <f t="shared" si="88"/>
        <v>0</v>
      </c>
      <c r="BD75" s="897">
        <f t="shared" si="88"/>
        <v>0</v>
      </c>
      <c r="BE75" s="897">
        <f t="shared" si="101"/>
        <v>3115821.7568571428</v>
      </c>
      <c r="BF75" s="901">
        <f t="shared" si="102"/>
        <v>3115821.7568571428</v>
      </c>
      <c r="BG75" s="918"/>
      <c r="BH75" s="917"/>
      <c r="BI75" s="897">
        <f t="shared" si="97"/>
        <v>0</v>
      </c>
      <c r="BJ75" s="981"/>
      <c r="BK75" s="1201"/>
      <c r="BL75" s="897">
        <f t="shared" ref="BL75:BP108" si="108">I75*T75</f>
        <v>1398506.9739201097</v>
      </c>
      <c r="BM75" s="897">
        <f t="shared" si="108"/>
        <v>0</v>
      </c>
      <c r="BN75" s="897">
        <f t="shared" si="108"/>
        <v>0</v>
      </c>
      <c r="BO75" s="897">
        <f t="shared" si="108"/>
        <v>0</v>
      </c>
      <c r="BP75" s="897">
        <f t="shared" si="108"/>
        <v>0</v>
      </c>
      <c r="BQ75" s="897">
        <f t="shared" si="54"/>
        <v>1398506.9739201097</v>
      </c>
      <c r="BR75" s="897">
        <f t="shared" si="55"/>
        <v>1398506.9739201097</v>
      </c>
      <c r="BS75" s="897">
        <f t="shared" ref="BS75:BU108" si="109">O75*AA75</f>
        <v>1437612.5249142856</v>
      </c>
      <c r="BT75" s="897">
        <f t="shared" si="109"/>
        <v>0</v>
      </c>
      <c r="BU75" s="897">
        <f t="shared" si="109"/>
        <v>0</v>
      </c>
      <c r="BV75" s="897">
        <f t="shared" si="57"/>
        <v>0</v>
      </c>
      <c r="BW75" s="897">
        <f t="shared" si="17"/>
        <v>0</v>
      </c>
      <c r="BX75" s="897">
        <f t="shared" si="58"/>
        <v>1437612.5249142856</v>
      </c>
      <c r="BY75" s="897">
        <f t="shared" si="59"/>
        <v>1437612.5249142856</v>
      </c>
      <c r="BZ75" s="905">
        <f t="shared" ref="BZ75:CA141" si="110">BM75+BT75</f>
        <v>0</v>
      </c>
      <c r="CA75" s="905">
        <f t="shared" si="110"/>
        <v>0</v>
      </c>
      <c r="CB75" s="905">
        <f t="shared" si="61"/>
        <v>0</v>
      </c>
      <c r="CC75" s="907" t="e">
        <f t="shared" ref="CC75:CD141" si="111">BZ75/AJ75</f>
        <v>#DIV/0!</v>
      </c>
      <c r="CD75" s="907" t="e">
        <f t="shared" si="111"/>
        <v>#DIV/0!</v>
      </c>
      <c r="CE75" s="907" t="e">
        <f t="shared" si="38"/>
        <v>#DIV/0!</v>
      </c>
      <c r="CF75" s="905" t="e">
        <f t="shared" si="18"/>
        <v>#DIV/0!</v>
      </c>
      <c r="CG75" s="923">
        <f t="shared" si="19"/>
        <v>0</v>
      </c>
      <c r="CH75" s="923" t="e">
        <f t="shared" si="39"/>
        <v>#DIV/0!</v>
      </c>
      <c r="CI75" s="964"/>
      <c r="CJ75" s="897">
        <f t="shared" si="104"/>
        <v>1678.2092319428571</v>
      </c>
      <c r="CK75" s="897">
        <f t="shared" si="20"/>
        <v>1437.6125249142856</v>
      </c>
      <c r="CL75" s="897">
        <f t="shared" si="107"/>
        <v>3115.8217568571426</v>
      </c>
      <c r="CM75" s="897">
        <f t="shared" si="41"/>
        <v>3115.8217568571426</v>
      </c>
      <c r="CN75" s="897">
        <f t="shared" si="42"/>
        <v>0</v>
      </c>
      <c r="CO75" s="897">
        <f t="shared" si="21"/>
        <v>2836119.4988343953</v>
      </c>
      <c r="CP75" s="897">
        <f t="shared" si="22"/>
        <v>2596516.7951150294</v>
      </c>
      <c r="CQ75" s="897">
        <f t="shared" si="23"/>
        <v>2596516.7951150294</v>
      </c>
      <c r="CR75" s="897">
        <f t="shared" si="24"/>
        <v>1398506.9739201097</v>
      </c>
      <c r="CS75" s="897">
        <f t="shared" si="25"/>
        <v>3115821.7568571428</v>
      </c>
      <c r="CT75" s="897">
        <f t="shared" si="26"/>
        <v>3115821.7568571428</v>
      </c>
      <c r="CU75" s="897">
        <f t="shared" si="27"/>
        <v>1437612.5249142856</v>
      </c>
      <c r="CV75" s="897">
        <f t="shared" si="43"/>
        <v>5712338.5519721722</v>
      </c>
      <c r="CW75" s="906">
        <f t="shared" si="44"/>
        <v>8471.8680191964268</v>
      </c>
      <c r="CX75" s="897">
        <f t="shared" si="28"/>
        <v>0</v>
      </c>
      <c r="CY75" s="897">
        <f t="shared" si="29"/>
        <v>0</v>
      </c>
      <c r="CZ75" s="897"/>
      <c r="DA75" s="897">
        <f t="shared" si="30"/>
        <v>2596516.7951150294</v>
      </c>
      <c r="DB75" s="897">
        <f t="shared" si="31"/>
        <v>3115821.7568571428</v>
      </c>
      <c r="DC75" s="1130"/>
      <c r="DD75" s="40" t="e">
        <f t="shared" si="45"/>
        <v>#DIV/0!</v>
      </c>
      <c r="DE75" s="1130"/>
      <c r="DF75" s="1130"/>
      <c r="DG75" s="1130"/>
      <c r="DH75" s="1043">
        <v>714.64285714285711</v>
      </c>
      <c r="DI75" s="1043">
        <v>0</v>
      </c>
      <c r="DJ75" s="1043">
        <f t="shared" si="105"/>
        <v>714.64285714285711</v>
      </c>
      <c r="DK75" s="964"/>
      <c r="DL75" s="908">
        <f t="shared" si="32"/>
        <v>0</v>
      </c>
      <c r="DM75" s="908">
        <f t="shared" si="33"/>
        <v>0</v>
      </c>
      <c r="DN75" s="908">
        <f t="shared" si="34"/>
        <v>0</v>
      </c>
      <c r="DO75" s="868"/>
      <c r="DP75" s="81"/>
      <c r="DQ75" s="81"/>
      <c r="DR75" s="81"/>
      <c r="DS75" s="81"/>
      <c r="DT75" s="81"/>
      <c r="DU75" s="81"/>
      <c r="DV75" s="81"/>
      <c r="DW75" s="81"/>
      <c r="DX75" s="81"/>
      <c r="DY75" s="81"/>
      <c r="DZ75" s="81"/>
      <c r="EA75" s="81"/>
      <c r="EB75" s="81"/>
      <c r="EC75" s="81"/>
      <c r="ED75" s="81"/>
      <c r="EE75" s="81"/>
      <c r="EF75" s="81"/>
      <c r="EG75" s="81"/>
      <c r="EH75" s="81"/>
      <c r="EI75" s="81"/>
      <c r="EJ75" s="81"/>
      <c r="EK75" s="81"/>
      <c r="EL75" s="81"/>
    </row>
    <row r="76" spans="1:142" s="50" customFormat="1" ht="75" hidden="1" customHeight="1">
      <c r="A76" s="6">
        <f t="shared" si="46"/>
        <v>63</v>
      </c>
      <c r="B76" s="909"/>
      <c r="C76" s="956" t="s">
        <v>159</v>
      </c>
      <c r="D76" s="963" t="s">
        <v>161</v>
      </c>
      <c r="E76" s="1001">
        <v>4617004147</v>
      </c>
      <c r="F76" s="963" t="s">
        <v>8</v>
      </c>
      <c r="G76" s="1002"/>
      <c r="H76" s="911">
        <v>3850.8480191964254</v>
      </c>
      <c r="I76" s="912">
        <v>3850.8480191964254</v>
      </c>
      <c r="J76" s="912"/>
      <c r="K76" s="912"/>
      <c r="L76" s="912"/>
      <c r="M76" s="913"/>
      <c r="N76" s="1213">
        <v>4621.0200000000004</v>
      </c>
      <c r="O76" s="1214">
        <v>4621.0200000000004</v>
      </c>
      <c r="P76" s="915"/>
      <c r="Q76" s="915"/>
      <c r="R76" s="891"/>
      <c r="S76" s="913"/>
      <c r="T76" s="916">
        <f t="shared" si="103"/>
        <v>363.1685714285714</v>
      </c>
      <c r="U76" s="917">
        <v>0</v>
      </c>
      <c r="V76" s="917">
        <v>0</v>
      </c>
      <c r="W76" s="917">
        <v>0</v>
      </c>
      <c r="X76" s="917">
        <v>0</v>
      </c>
      <c r="Y76" s="917">
        <v>0</v>
      </c>
      <c r="Z76" s="898">
        <f>SUM(T76:W76)</f>
        <v>363.1685714285714</v>
      </c>
      <c r="AA76" s="918">
        <f t="shared" si="106"/>
        <v>311.10285714285709</v>
      </c>
      <c r="AB76" s="917">
        <v>0</v>
      </c>
      <c r="AC76" s="917">
        <v>0</v>
      </c>
      <c r="AD76" s="917">
        <v>0</v>
      </c>
      <c r="AE76" s="917">
        <v>0</v>
      </c>
      <c r="AF76" s="917">
        <v>0</v>
      </c>
      <c r="AG76" s="900">
        <f>SUM(AA76:AD76)</f>
        <v>311.10285714285709</v>
      </c>
      <c r="AH76" s="896">
        <f t="shared" si="51"/>
        <v>674.27142857142849</v>
      </c>
      <c r="AI76" s="897">
        <f t="shared" si="73"/>
        <v>674.27142857142849</v>
      </c>
      <c r="AJ76" s="897">
        <f t="shared" si="73"/>
        <v>0</v>
      </c>
      <c r="AK76" s="897">
        <f t="shared" si="73"/>
        <v>0</v>
      </c>
      <c r="AL76" s="897">
        <f t="shared" si="73"/>
        <v>0</v>
      </c>
      <c r="AM76" s="897">
        <f t="shared" si="73"/>
        <v>0</v>
      </c>
      <c r="AN76" s="897"/>
      <c r="AO76" s="897">
        <f t="shared" si="70"/>
        <v>674.27142857142849</v>
      </c>
      <c r="AP76" s="897">
        <f t="shared" si="71"/>
        <v>674.27142857142849</v>
      </c>
      <c r="AQ76" s="901">
        <f t="shared" si="98"/>
        <v>674.27142857142849</v>
      </c>
      <c r="AR76" s="902">
        <f t="shared" si="35"/>
        <v>0</v>
      </c>
      <c r="AS76" s="903">
        <f t="shared" si="87"/>
        <v>2596516.7951150294</v>
      </c>
      <c r="AT76" s="897">
        <f t="shared" si="87"/>
        <v>0</v>
      </c>
      <c r="AU76" s="897">
        <f t="shared" si="87"/>
        <v>0</v>
      </c>
      <c r="AV76" s="897">
        <f t="shared" si="87"/>
        <v>0</v>
      </c>
      <c r="AW76" s="897">
        <f t="shared" si="87"/>
        <v>0</v>
      </c>
      <c r="AX76" s="897">
        <f t="shared" si="99"/>
        <v>2596516.7951150294</v>
      </c>
      <c r="AY76" s="897">
        <f t="shared" si="100"/>
        <v>2596516.7951150294</v>
      </c>
      <c r="AZ76" s="897">
        <f t="shared" si="88"/>
        <v>3115821.7568571428</v>
      </c>
      <c r="BA76" s="897">
        <f t="shared" si="88"/>
        <v>0</v>
      </c>
      <c r="BB76" s="897">
        <f t="shared" si="88"/>
        <v>0</v>
      </c>
      <c r="BC76" s="897">
        <f t="shared" si="88"/>
        <v>0</v>
      </c>
      <c r="BD76" s="897">
        <f t="shared" si="88"/>
        <v>0</v>
      </c>
      <c r="BE76" s="897">
        <f t="shared" si="101"/>
        <v>3115821.7568571428</v>
      </c>
      <c r="BF76" s="901">
        <f t="shared" si="102"/>
        <v>3115821.7568571428</v>
      </c>
      <c r="BG76" s="918"/>
      <c r="BH76" s="917"/>
      <c r="BI76" s="897">
        <f t="shared" si="97"/>
        <v>0</v>
      </c>
      <c r="BJ76" s="981"/>
      <c r="BK76" s="1201"/>
      <c r="BL76" s="897">
        <f t="shared" si="108"/>
        <v>1398506.9739201097</v>
      </c>
      <c r="BM76" s="897">
        <f t="shared" si="108"/>
        <v>0</v>
      </c>
      <c r="BN76" s="897">
        <f t="shared" si="108"/>
        <v>0</v>
      </c>
      <c r="BO76" s="897">
        <f t="shared" si="108"/>
        <v>0</v>
      </c>
      <c r="BP76" s="897">
        <f t="shared" si="108"/>
        <v>0</v>
      </c>
      <c r="BQ76" s="897">
        <f t="shared" si="54"/>
        <v>1398506.9739201097</v>
      </c>
      <c r="BR76" s="897">
        <f t="shared" si="55"/>
        <v>1398506.9739201097</v>
      </c>
      <c r="BS76" s="897">
        <f t="shared" si="109"/>
        <v>1437612.5249142856</v>
      </c>
      <c r="BT76" s="897">
        <f t="shared" si="109"/>
        <v>0</v>
      </c>
      <c r="BU76" s="897">
        <f t="shared" si="109"/>
        <v>0</v>
      </c>
      <c r="BV76" s="897">
        <f t="shared" si="57"/>
        <v>0</v>
      </c>
      <c r="BW76" s="897">
        <f t="shared" si="17"/>
        <v>0</v>
      </c>
      <c r="BX76" s="897">
        <f t="shared" si="58"/>
        <v>1437612.5249142856</v>
      </c>
      <c r="BY76" s="897">
        <f t="shared" si="59"/>
        <v>1437612.5249142856</v>
      </c>
      <c r="BZ76" s="905">
        <f t="shared" si="110"/>
        <v>0</v>
      </c>
      <c r="CA76" s="905">
        <f t="shared" si="110"/>
        <v>0</v>
      </c>
      <c r="CB76" s="905">
        <f t="shared" si="61"/>
        <v>0</v>
      </c>
      <c r="CC76" s="907" t="e">
        <f t="shared" si="111"/>
        <v>#DIV/0!</v>
      </c>
      <c r="CD76" s="907" t="e">
        <f t="shared" si="111"/>
        <v>#DIV/0!</v>
      </c>
      <c r="CE76" s="907" t="e">
        <f t="shared" si="38"/>
        <v>#DIV/0!</v>
      </c>
      <c r="CF76" s="905" t="e">
        <f t="shared" si="18"/>
        <v>#DIV/0!</v>
      </c>
      <c r="CG76" s="923">
        <f t="shared" si="19"/>
        <v>0</v>
      </c>
      <c r="CH76" s="923" t="e">
        <f t="shared" si="39"/>
        <v>#DIV/0!</v>
      </c>
      <c r="CI76" s="964"/>
      <c r="CJ76" s="897">
        <f t="shared" si="104"/>
        <v>1678.2092319428571</v>
      </c>
      <c r="CK76" s="897">
        <f t="shared" si="20"/>
        <v>1437.6125249142856</v>
      </c>
      <c r="CL76" s="897">
        <f t="shared" si="107"/>
        <v>3115.8217568571426</v>
      </c>
      <c r="CM76" s="897">
        <f t="shared" si="41"/>
        <v>3115.8217568571426</v>
      </c>
      <c r="CN76" s="897">
        <f t="shared" si="42"/>
        <v>0</v>
      </c>
      <c r="CO76" s="897">
        <f t="shared" si="21"/>
        <v>2836119.4988343953</v>
      </c>
      <c r="CP76" s="897">
        <f t="shared" si="22"/>
        <v>2596516.7951150294</v>
      </c>
      <c r="CQ76" s="897">
        <f t="shared" si="23"/>
        <v>2596516.7951150294</v>
      </c>
      <c r="CR76" s="897">
        <f t="shared" si="24"/>
        <v>1398506.9739201097</v>
      </c>
      <c r="CS76" s="897">
        <f t="shared" si="25"/>
        <v>3115821.7568571428</v>
      </c>
      <c r="CT76" s="897">
        <f t="shared" si="26"/>
        <v>3115821.7568571428</v>
      </c>
      <c r="CU76" s="897">
        <f t="shared" si="27"/>
        <v>1437612.5249142856</v>
      </c>
      <c r="CV76" s="897">
        <f t="shared" si="43"/>
        <v>5712338.5519721722</v>
      </c>
      <c r="CW76" s="906">
        <f t="shared" si="44"/>
        <v>8471.8680191964268</v>
      </c>
      <c r="CX76" s="897">
        <f t="shared" si="28"/>
        <v>0</v>
      </c>
      <c r="CY76" s="897">
        <f t="shared" si="29"/>
        <v>0</v>
      </c>
      <c r="CZ76" s="897"/>
      <c r="DA76" s="897">
        <f t="shared" si="30"/>
        <v>2596516.7951150294</v>
      </c>
      <c r="DB76" s="897">
        <f t="shared" si="31"/>
        <v>3115821.7568571428</v>
      </c>
      <c r="DC76" s="1130"/>
      <c r="DD76" s="40" t="e">
        <f t="shared" si="45"/>
        <v>#DIV/0!</v>
      </c>
      <c r="DE76" s="1130"/>
      <c r="DF76" s="1130"/>
      <c r="DG76" s="1130"/>
      <c r="DH76" s="1043">
        <v>714.64285714285711</v>
      </c>
      <c r="DI76" s="1043">
        <v>0</v>
      </c>
      <c r="DJ76" s="1043">
        <f t="shared" si="105"/>
        <v>714.64285714285711</v>
      </c>
      <c r="DK76" s="964"/>
      <c r="DL76" s="908">
        <f t="shared" si="32"/>
        <v>0</v>
      </c>
      <c r="DM76" s="908">
        <f t="shared" si="33"/>
        <v>0</v>
      </c>
      <c r="DN76" s="908">
        <f t="shared" si="34"/>
        <v>0</v>
      </c>
      <c r="DO76" s="868"/>
      <c r="DP76" s="81"/>
      <c r="DQ76" s="81"/>
      <c r="DR76" s="81"/>
      <c r="DS76" s="81"/>
      <c r="DT76" s="81"/>
      <c r="DU76" s="81"/>
      <c r="DV76" s="81"/>
      <c r="DW76" s="81"/>
      <c r="DX76" s="81"/>
      <c r="DY76" s="81"/>
      <c r="DZ76" s="81"/>
      <c r="EA76" s="81"/>
      <c r="EB76" s="81"/>
      <c r="EC76" s="81"/>
      <c r="ED76" s="81"/>
      <c r="EE76" s="81"/>
      <c r="EF76" s="81"/>
      <c r="EG76" s="81"/>
      <c r="EH76" s="81"/>
      <c r="EI76" s="81"/>
      <c r="EJ76" s="81"/>
      <c r="EK76" s="81"/>
      <c r="EL76" s="81"/>
    </row>
    <row r="77" spans="1:142" s="50" customFormat="1" ht="72.75" hidden="1" customHeight="1">
      <c r="A77" s="6">
        <f t="shared" si="46"/>
        <v>64</v>
      </c>
      <c r="B77" s="909"/>
      <c r="C77" s="956" t="s">
        <v>160</v>
      </c>
      <c r="D77" s="963" t="s">
        <v>161</v>
      </c>
      <c r="E77" s="1001">
        <v>4617004147</v>
      </c>
      <c r="F77" s="963" t="s">
        <v>8</v>
      </c>
      <c r="G77" s="1002"/>
      <c r="H77" s="911">
        <v>3850.8480191964254</v>
      </c>
      <c r="I77" s="912">
        <v>3850.8480191964254</v>
      </c>
      <c r="J77" s="912"/>
      <c r="K77" s="912"/>
      <c r="L77" s="912"/>
      <c r="M77" s="913"/>
      <c r="N77" s="1213">
        <v>4621.0200000000004</v>
      </c>
      <c r="O77" s="1214">
        <v>4621.0200000000004</v>
      </c>
      <c r="P77" s="915"/>
      <c r="Q77" s="915"/>
      <c r="R77" s="891"/>
      <c r="S77" s="913"/>
      <c r="T77" s="916">
        <f t="shared" si="103"/>
        <v>363.1685714285714</v>
      </c>
      <c r="U77" s="917">
        <v>0</v>
      </c>
      <c r="V77" s="917">
        <v>0</v>
      </c>
      <c r="W77" s="917">
        <v>0</v>
      </c>
      <c r="X77" s="917">
        <v>0</v>
      </c>
      <c r="Y77" s="917">
        <v>0</v>
      </c>
      <c r="Z77" s="898">
        <f>SUM(T77:W77)</f>
        <v>363.1685714285714</v>
      </c>
      <c r="AA77" s="918">
        <f t="shared" si="106"/>
        <v>311.10285714285709</v>
      </c>
      <c r="AB77" s="917">
        <v>0</v>
      </c>
      <c r="AC77" s="917">
        <v>0</v>
      </c>
      <c r="AD77" s="917">
        <v>0</v>
      </c>
      <c r="AE77" s="917">
        <v>0</v>
      </c>
      <c r="AF77" s="917">
        <v>0</v>
      </c>
      <c r="AG77" s="900">
        <f>SUM(AA77:AD77)</f>
        <v>311.10285714285709</v>
      </c>
      <c r="AH77" s="896">
        <f t="shared" si="51"/>
        <v>674.27142857142849</v>
      </c>
      <c r="AI77" s="897">
        <f t="shared" si="73"/>
        <v>674.27142857142849</v>
      </c>
      <c r="AJ77" s="897">
        <f t="shared" si="73"/>
        <v>0</v>
      </c>
      <c r="AK77" s="897">
        <f t="shared" si="73"/>
        <v>0</v>
      </c>
      <c r="AL77" s="897">
        <f t="shared" si="73"/>
        <v>0</v>
      </c>
      <c r="AM77" s="897">
        <f t="shared" si="73"/>
        <v>0</v>
      </c>
      <c r="AN77" s="897"/>
      <c r="AO77" s="897">
        <f t="shared" si="70"/>
        <v>674.27142857142849</v>
      </c>
      <c r="AP77" s="897">
        <f t="shared" si="71"/>
        <v>674.27142857142849</v>
      </c>
      <c r="AQ77" s="901">
        <f t="shared" si="98"/>
        <v>674.27142857142849</v>
      </c>
      <c r="AR77" s="902">
        <f t="shared" si="35"/>
        <v>0</v>
      </c>
      <c r="AS77" s="903">
        <f t="shared" si="87"/>
        <v>2596516.7951150294</v>
      </c>
      <c r="AT77" s="897">
        <f t="shared" si="87"/>
        <v>0</v>
      </c>
      <c r="AU77" s="897">
        <f t="shared" si="87"/>
        <v>0</v>
      </c>
      <c r="AV77" s="897">
        <f t="shared" si="87"/>
        <v>0</v>
      </c>
      <c r="AW77" s="897">
        <f t="shared" si="87"/>
        <v>0</v>
      </c>
      <c r="AX77" s="897">
        <f t="shared" si="99"/>
        <v>2596516.7951150294</v>
      </c>
      <c r="AY77" s="897">
        <f t="shared" si="100"/>
        <v>2596516.7951150294</v>
      </c>
      <c r="AZ77" s="897">
        <f t="shared" si="88"/>
        <v>3115821.7568571428</v>
      </c>
      <c r="BA77" s="897">
        <f t="shared" si="88"/>
        <v>0</v>
      </c>
      <c r="BB77" s="897">
        <f t="shared" si="88"/>
        <v>0</v>
      </c>
      <c r="BC77" s="897">
        <f t="shared" si="88"/>
        <v>0</v>
      </c>
      <c r="BD77" s="897">
        <f t="shared" si="88"/>
        <v>0</v>
      </c>
      <c r="BE77" s="897">
        <f t="shared" si="101"/>
        <v>3115821.7568571428</v>
      </c>
      <c r="BF77" s="901">
        <f t="shared" si="102"/>
        <v>3115821.7568571428</v>
      </c>
      <c r="BG77" s="918"/>
      <c r="BH77" s="917"/>
      <c r="BI77" s="897">
        <f t="shared" si="97"/>
        <v>0</v>
      </c>
      <c r="BJ77" s="981"/>
      <c r="BK77" s="1201"/>
      <c r="BL77" s="897">
        <f t="shared" si="108"/>
        <v>1398506.9739201097</v>
      </c>
      <c r="BM77" s="897">
        <f t="shared" si="108"/>
        <v>0</v>
      </c>
      <c r="BN77" s="897">
        <f t="shared" si="108"/>
        <v>0</v>
      </c>
      <c r="BO77" s="897">
        <f t="shared" si="108"/>
        <v>0</v>
      </c>
      <c r="BP77" s="897">
        <f t="shared" si="108"/>
        <v>0</v>
      </c>
      <c r="BQ77" s="897">
        <f t="shared" si="54"/>
        <v>1398506.9739201097</v>
      </c>
      <c r="BR77" s="897">
        <f t="shared" si="55"/>
        <v>1398506.9739201097</v>
      </c>
      <c r="BS77" s="897">
        <f t="shared" si="109"/>
        <v>1437612.5249142856</v>
      </c>
      <c r="BT77" s="897">
        <f t="shared" si="109"/>
        <v>0</v>
      </c>
      <c r="BU77" s="897">
        <f t="shared" si="109"/>
        <v>0</v>
      </c>
      <c r="BV77" s="897">
        <f t="shared" si="57"/>
        <v>0</v>
      </c>
      <c r="BW77" s="897">
        <f t="shared" si="17"/>
        <v>0</v>
      </c>
      <c r="BX77" s="897">
        <f t="shared" si="58"/>
        <v>1437612.5249142856</v>
      </c>
      <c r="BY77" s="897">
        <f t="shared" si="59"/>
        <v>1437612.5249142856</v>
      </c>
      <c r="BZ77" s="905">
        <f t="shared" si="110"/>
        <v>0</v>
      </c>
      <c r="CA77" s="905">
        <f t="shared" si="110"/>
        <v>0</v>
      </c>
      <c r="CB77" s="905">
        <f t="shared" si="61"/>
        <v>0</v>
      </c>
      <c r="CC77" s="907" t="e">
        <f t="shared" si="111"/>
        <v>#DIV/0!</v>
      </c>
      <c r="CD77" s="907" t="e">
        <f t="shared" si="111"/>
        <v>#DIV/0!</v>
      </c>
      <c r="CE77" s="907" t="e">
        <f t="shared" si="38"/>
        <v>#DIV/0!</v>
      </c>
      <c r="CF77" s="905" t="e">
        <f t="shared" si="18"/>
        <v>#DIV/0!</v>
      </c>
      <c r="CG77" s="923">
        <f t="shared" si="19"/>
        <v>0</v>
      </c>
      <c r="CH77" s="923" t="e">
        <f t="shared" si="39"/>
        <v>#DIV/0!</v>
      </c>
      <c r="CI77" s="964"/>
      <c r="CJ77" s="897">
        <f t="shared" si="104"/>
        <v>1678.2092319428571</v>
      </c>
      <c r="CK77" s="897">
        <f t="shared" si="20"/>
        <v>1437.6125249142856</v>
      </c>
      <c r="CL77" s="897">
        <f t="shared" si="107"/>
        <v>3115.8217568571426</v>
      </c>
      <c r="CM77" s="897">
        <f t="shared" si="41"/>
        <v>3115.8217568571426</v>
      </c>
      <c r="CN77" s="897">
        <f t="shared" si="42"/>
        <v>0</v>
      </c>
      <c r="CO77" s="897">
        <f t="shared" si="21"/>
        <v>2836119.4988343953</v>
      </c>
      <c r="CP77" s="897">
        <f t="shared" si="22"/>
        <v>2596516.7951150294</v>
      </c>
      <c r="CQ77" s="897">
        <f t="shared" si="23"/>
        <v>2596516.7951150294</v>
      </c>
      <c r="CR77" s="897">
        <f t="shared" si="24"/>
        <v>1398506.9739201097</v>
      </c>
      <c r="CS77" s="897">
        <f t="shared" si="25"/>
        <v>3115821.7568571428</v>
      </c>
      <c r="CT77" s="897">
        <f t="shared" si="26"/>
        <v>3115821.7568571428</v>
      </c>
      <c r="CU77" s="897">
        <f t="shared" si="27"/>
        <v>1437612.5249142856</v>
      </c>
      <c r="CV77" s="897">
        <f t="shared" si="43"/>
        <v>5712338.5519721722</v>
      </c>
      <c r="CW77" s="906">
        <f t="shared" si="44"/>
        <v>8471.8680191964268</v>
      </c>
      <c r="CX77" s="897">
        <f t="shared" si="28"/>
        <v>0</v>
      </c>
      <c r="CY77" s="897">
        <f t="shared" si="29"/>
        <v>0</v>
      </c>
      <c r="CZ77" s="897"/>
      <c r="DA77" s="897">
        <f t="shared" si="30"/>
        <v>2596516.7951150294</v>
      </c>
      <c r="DB77" s="897">
        <f t="shared" si="31"/>
        <v>3115821.7568571428</v>
      </c>
      <c r="DC77" s="1130"/>
      <c r="DD77" s="40" t="e">
        <f t="shared" si="45"/>
        <v>#DIV/0!</v>
      </c>
      <c r="DE77" s="1130"/>
      <c r="DF77" s="1130"/>
      <c r="DG77" s="1130"/>
      <c r="DH77" s="1043">
        <v>714.64285714285711</v>
      </c>
      <c r="DI77" s="1043">
        <v>0</v>
      </c>
      <c r="DJ77" s="1043">
        <f t="shared" si="105"/>
        <v>714.64285714285711</v>
      </c>
      <c r="DK77" s="964"/>
      <c r="DL77" s="908">
        <f t="shared" si="32"/>
        <v>0</v>
      </c>
      <c r="DM77" s="908">
        <f t="shared" si="33"/>
        <v>0</v>
      </c>
      <c r="DN77" s="908">
        <f t="shared" si="34"/>
        <v>0</v>
      </c>
      <c r="DO77" s="868"/>
      <c r="DP77" s="81"/>
      <c r="DQ77" s="81"/>
      <c r="DR77" s="81"/>
      <c r="DS77" s="81"/>
      <c r="DT77" s="81"/>
      <c r="DU77" s="81"/>
      <c r="DV77" s="81"/>
      <c r="DW77" s="81"/>
      <c r="DX77" s="81"/>
      <c r="DY77" s="81"/>
      <c r="DZ77" s="81"/>
      <c r="EA77" s="81"/>
      <c r="EB77" s="81"/>
      <c r="EC77" s="81"/>
      <c r="ED77" s="81"/>
      <c r="EE77" s="81"/>
      <c r="EF77" s="81"/>
      <c r="EG77" s="81"/>
      <c r="EH77" s="81"/>
      <c r="EI77" s="81"/>
      <c r="EJ77" s="81"/>
      <c r="EK77" s="81"/>
      <c r="EL77" s="81"/>
    </row>
    <row r="78" spans="1:142" s="50" customFormat="1" ht="76.5" hidden="1" customHeight="1">
      <c r="A78" s="6">
        <f t="shared" si="46"/>
        <v>65</v>
      </c>
      <c r="B78" s="909"/>
      <c r="C78" s="956" t="s">
        <v>155</v>
      </c>
      <c r="D78" s="963" t="s">
        <v>161</v>
      </c>
      <c r="E78" s="1001">
        <v>4617004147</v>
      </c>
      <c r="F78" s="963" t="s">
        <v>8</v>
      </c>
      <c r="G78" s="1002"/>
      <c r="H78" s="911">
        <v>3850.8480191964254</v>
      </c>
      <c r="I78" s="912">
        <v>3850.8480191964254</v>
      </c>
      <c r="J78" s="912"/>
      <c r="K78" s="912"/>
      <c r="L78" s="912"/>
      <c r="M78" s="913"/>
      <c r="N78" s="1213">
        <v>4621.0200000000004</v>
      </c>
      <c r="O78" s="1214">
        <v>4621.0200000000004</v>
      </c>
      <c r="P78" s="915"/>
      <c r="Q78" s="915"/>
      <c r="R78" s="891"/>
      <c r="S78" s="913"/>
      <c r="T78" s="916">
        <f t="shared" si="103"/>
        <v>363.1685714285714</v>
      </c>
      <c r="U78" s="917">
        <v>0</v>
      </c>
      <c r="V78" s="917">
        <v>0</v>
      </c>
      <c r="W78" s="917">
        <v>0</v>
      </c>
      <c r="X78" s="917">
        <v>0</v>
      </c>
      <c r="Y78" s="917">
        <v>0</v>
      </c>
      <c r="Z78" s="898">
        <f>SUM(T78:W78)</f>
        <v>363.1685714285714</v>
      </c>
      <c r="AA78" s="918">
        <f t="shared" si="106"/>
        <v>311.10285714285709</v>
      </c>
      <c r="AB78" s="917">
        <v>0</v>
      </c>
      <c r="AC78" s="917">
        <v>0</v>
      </c>
      <c r="AD78" s="917">
        <v>0</v>
      </c>
      <c r="AE78" s="917">
        <v>0</v>
      </c>
      <c r="AF78" s="917">
        <v>0</v>
      </c>
      <c r="AG78" s="900">
        <f>SUM(AA78:AD78)</f>
        <v>311.10285714285709</v>
      </c>
      <c r="AH78" s="896">
        <f t="shared" si="51"/>
        <v>674.27142857142849</v>
      </c>
      <c r="AI78" s="897">
        <f t="shared" si="73"/>
        <v>674.27142857142849</v>
      </c>
      <c r="AJ78" s="897">
        <f t="shared" si="73"/>
        <v>0</v>
      </c>
      <c r="AK78" s="897">
        <f t="shared" si="73"/>
        <v>0</v>
      </c>
      <c r="AL78" s="897">
        <f t="shared" si="73"/>
        <v>0</v>
      </c>
      <c r="AM78" s="897">
        <f t="shared" si="73"/>
        <v>0</v>
      </c>
      <c r="AN78" s="897"/>
      <c r="AO78" s="897">
        <f t="shared" si="70"/>
        <v>674.27142857142849</v>
      </c>
      <c r="AP78" s="897">
        <f t="shared" si="71"/>
        <v>674.27142857142849</v>
      </c>
      <c r="AQ78" s="901">
        <f t="shared" si="98"/>
        <v>674.27142857142849</v>
      </c>
      <c r="AR78" s="902">
        <f t="shared" si="35"/>
        <v>0</v>
      </c>
      <c r="AS78" s="903">
        <f t="shared" si="87"/>
        <v>2596516.7951150294</v>
      </c>
      <c r="AT78" s="897">
        <f t="shared" si="87"/>
        <v>0</v>
      </c>
      <c r="AU78" s="897">
        <f t="shared" si="87"/>
        <v>0</v>
      </c>
      <c r="AV78" s="897">
        <f t="shared" si="87"/>
        <v>0</v>
      </c>
      <c r="AW78" s="897">
        <f t="shared" si="87"/>
        <v>0</v>
      </c>
      <c r="AX78" s="897">
        <f t="shared" si="99"/>
        <v>2596516.7951150294</v>
      </c>
      <c r="AY78" s="897">
        <f t="shared" si="100"/>
        <v>2596516.7951150294</v>
      </c>
      <c r="AZ78" s="897">
        <f t="shared" si="88"/>
        <v>3115821.7568571428</v>
      </c>
      <c r="BA78" s="897">
        <f t="shared" si="88"/>
        <v>0</v>
      </c>
      <c r="BB78" s="897">
        <f t="shared" si="88"/>
        <v>0</v>
      </c>
      <c r="BC78" s="897">
        <f t="shared" si="88"/>
        <v>0</v>
      </c>
      <c r="BD78" s="897">
        <f t="shared" si="88"/>
        <v>0</v>
      </c>
      <c r="BE78" s="897">
        <f t="shared" si="101"/>
        <v>3115821.7568571428</v>
      </c>
      <c r="BF78" s="901">
        <f t="shared" si="102"/>
        <v>3115821.7568571428</v>
      </c>
      <c r="BG78" s="918"/>
      <c r="BH78" s="917"/>
      <c r="BI78" s="897">
        <f t="shared" si="97"/>
        <v>0</v>
      </c>
      <c r="BJ78" s="981"/>
      <c r="BK78" s="1201"/>
      <c r="BL78" s="897">
        <f t="shared" si="108"/>
        <v>1398506.9739201097</v>
      </c>
      <c r="BM78" s="897">
        <f t="shared" si="108"/>
        <v>0</v>
      </c>
      <c r="BN78" s="897">
        <f t="shared" si="108"/>
        <v>0</v>
      </c>
      <c r="BO78" s="897">
        <f t="shared" si="108"/>
        <v>0</v>
      </c>
      <c r="BP78" s="897">
        <f t="shared" si="108"/>
        <v>0</v>
      </c>
      <c r="BQ78" s="897">
        <f t="shared" si="54"/>
        <v>1398506.9739201097</v>
      </c>
      <c r="BR78" s="897">
        <f t="shared" si="55"/>
        <v>1398506.9739201097</v>
      </c>
      <c r="BS78" s="897">
        <f t="shared" si="109"/>
        <v>1437612.5249142856</v>
      </c>
      <c r="BT78" s="897">
        <f t="shared" si="109"/>
        <v>0</v>
      </c>
      <c r="BU78" s="897">
        <f t="shared" si="109"/>
        <v>0</v>
      </c>
      <c r="BV78" s="897">
        <f t="shared" si="57"/>
        <v>0</v>
      </c>
      <c r="BW78" s="897">
        <f t="shared" ref="BW78:BW131" si="112">S78*AE78</f>
        <v>0</v>
      </c>
      <c r="BX78" s="897">
        <f t="shared" si="58"/>
        <v>1437612.5249142856</v>
      </c>
      <c r="BY78" s="897">
        <f t="shared" si="59"/>
        <v>1437612.5249142856</v>
      </c>
      <c r="BZ78" s="905">
        <f t="shared" si="110"/>
        <v>0</v>
      </c>
      <c r="CA78" s="905">
        <f t="shared" si="110"/>
        <v>0</v>
      </c>
      <c r="CB78" s="905">
        <f t="shared" si="61"/>
        <v>0</v>
      </c>
      <c r="CC78" s="907" t="e">
        <f t="shared" si="111"/>
        <v>#DIV/0!</v>
      </c>
      <c r="CD78" s="907" t="e">
        <f t="shared" si="111"/>
        <v>#DIV/0!</v>
      </c>
      <c r="CE78" s="907" t="e">
        <f t="shared" si="38"/>
        <v>#DIV/0!</v>
      </c>
      <c r="CF78" s="905" t="e">
        <f t="shared" ref="CF78:CF141" si="113">CB78/(U78+V78+AB78+AC78)</f>
        <v>#DIV/0!</v>
      </c>
      <c r="CG78" s="923">
        <f t="shared" ref="CG78:CG141" si="114">I78*(U78+V78)+O78*(AB78+AC78)</f>
        <v>0</v>
      </c>
      <c r="CH78" s="923" t="e">
        <f t="shared" si="39"/>
        <v>#DIV/0!</v>
      </c>
      <c r="CI78" s="964"/>
      <c r="CJ78" s="897">
        <f t="shared" si="104"/>
        <v>1678.2092319428571</v>
      </c>
      <c r="CK78" s="897">
        <f t="shared" ref="CK78:CK142" si="115">N78*AG78/1000</f>
        <v>1437.6125249142856</v>
      </c>
      <c r="CL78" s="897">
        <f t="shared" si="107"/>
        <v>3115.8217568571426</v>
      </c>
      <c r="CM78" s="897">
        <f t="shared" si="41"/>
        <v>3115.8217568571426</v>
      </c>
      <c r="CN78" s="897">
        <f t="shared" si="42"/>
        <v>0</v>
      </c>
      <c r="CO78" s="897">
        <f t="shared" ref="CO78:CO141" si="116">H78*Z78+N78*AG78</f>
        <v>2836119.4988343953</v>
      </c>
      <c r="CP78" s="897">
        <f t="shared" ref="CP78:CP141" si="117">I78*AI78+J78*AJ78+K78*AK78+L78*AL78</f>
        <v>2596516.7951150294</v>
      </c>
      <c r="CQ78" s="897">
        <f t="shared" ref="CQ78:CQ141" si="118">I78*AI78+J78*(AJ78+AK78)+L78*AL78</f>
        <v>2596516.7951150294</v>
      </c>
      <c r="CR78" s="897">
        <f t="shared" ref="CR78:CR141" si="119">I78*T78+J78*U78+K78*V78+L78*W78</f>
        <v>1398506.9739201097</v>
      </c>
      <c r="CS78" s="897">
        <f t="shared" ref="CS78:CS141" si="120">O78*AI78+P78*AJ78+Q78*AK78+R78*AL78</f>
        <v>3115821.7568571428</v>
      </c>
      <c r="CT78" s="897">
        <f t="shared" ref="CT78:CT141" si="121">O78*AI78+P78*(AJ78+AK78)+R78*AL78</f>
        <v>3115821.7568571428</v>
      </c>
      <c r="CU78" s="897">
        <f t="shared" ref="CU78:CU141" si="122">O78*AA78+P78*AB78+Q78*AC78+R78*AD78</f>
        <v>1437612.5249142856</v>
      </c>
      <c r="CV78" s="897">
        <f t="shared" si="43"/>
        <v>5712338.5519721722</v>
      </c>
      <c r="CW78" s="906">
        <f t="shared" si="44"/>
        <v>8471.8680191964268</v>
      </c>
      <c r="CX78" s="897">
        <f t="shared" ref="CX78:CX141" si="123">J78*AJ78+K78*AK78</f>
        <v>0</v>
      </c>
      <c r="CY78" s="897">
        <f t="shared" ref="CY78:CY141" si="124">P78*AJ78+Q78*AK78</f>
        <v>0</v>
      </c>
      <c r="CZ78" s="897"/>
      <c r="DA78" s="897">
        <f t="shared" ref="DA78:DA141" si="125">H78*AI78+H78*AJ78+H78*AK78+H78*AL78</f>
        <v>2596516.7951150294</v>
      </c>
      <c r="DB78" s="897">
        <f t="shared" ref="DB78:DB141" si="126">N78*AI78+N78*AJ78+N78*AK78+N78*AL78</f>
        <v>3115821.7568571428</v>
      </c>
      <c r="DC78" s="1130"/>
      <c r="DD78" s="40" t="e">
        <f t="shared" si="45"/>
        <v>#DIV/0!</v>
      </c>
      <c r="DE78" s="1130"/>
      <c r="DF78" s="1130"/>
      <c r="DG78" s="1130"/>
      <c r="DH78" s="1043">
        <v>714.64285714285711</v>
      </c>
      <c r="DI78" s="1043">
        <v>0</v>
      </c>
      <c r="DJ78" s="1043">
        <f t="shared" si="105"/>
        <v>714.64285714285711</v>
      </c>
      <c r="DK78" s="964"/>
      <c r="DL78" s="908">
        <f t="shared" ref="DL78:DL141" si="127">M78*X78/1000</f>
        <v>0</v>
      </c>
      <c r="DM78" s="908">
        <f t="shared" ref="DM78:DM141" si="128">S78*AE78/1000</f>
        <v>0</v>
      </c>
      <c r="DN78" s="908">
        <f t="shared" ref="DN78:DN141" si="129">DL78+DM78</f>
        <v>0</v>
      </c>
      <c r="DO78" s="868"/>
      <c r="DP78" s="81"/>
      <c r="DQ78" s="81"/>
      <c r="DR78" s="81"/>
      <c r="DS78" s="81"/>
      <c r="DT78" s="81"/>
      <c r="DU78" s="81"/>
      <c r="DV78" s="81"/>
      <c r="DW78" s="81"/>
      <c r="DX78" s="81"/>
      <c r="DY78" s="81"/>
      <c r="DZ78" s="81"/>
      <c r="EA78" s="81"/>
      <c r="EB78" s="81"/>
      <c r="EC78" s="81"/>
      <c r="ED78" s="81"/>
      <c r="EE78" s="81"/>
      <c r="EF78" s="81"/>
      <c r="EG78" s="81"/>
      <c r="EH78" s="81"/>
      <c r="EI78" s="81"/>
      <c r="EJ78" s="81"/>
      <c r="EK78" s="81"/>
      <c r="EL78" s="81"/>
    </row>
    <row r="79" spans="1:142" s="50" customFormat="1" ht="73.5" hidden="1" customHeight="1">
      <c r="A79" s="6">
        <f t="shared" si="46"/>
        <v>66</v>
      </c>
      <c r="B79" s="886" t="s">
        <v>27</v>
      </c>
      <c r="C79" s="956" t="s">
        <v>63</v>
      </c>
      <c r="D79" s="886" t="s">
        <v>28</v>
      </c>
      <c r="E79" s="886">
        <v>4618003724</v>
      </c>
      <c r="F79" s="886" t="s">
        <v>8</v>
      </c>
      <c r="G79" s="888" t="s">
        <v>971</v>
      </c>
      <c r="H79" s="1242">
        <v>2810.44</v>
      </c>
      <c r="I79" s="1242">
        <v>2810.44</v>
      </c>
      <c r="J79" s="891">
        <v>2810.44</v>
      </c>
      <c r="K79" s="891"/>
      <c r="L79" s="891">
        <v>2810.44</v>
      </c>
      <c r="M79" s="892"/>
      <c r="N79" s="984">
        <v>2958.8</v>
      </c>
      <c r="O79" s="895">
        <v>2958.8</v>
      </c>
      <c r="P79" s="895">
        <v>2958.8</v>
      </c>
      <c r="Q79" s="895"/>
      <c r="R79" s="891">
        <v>2958.8</v>
      </c>
      <c r="S79" s="892"/>
      <c r="T79" s="960">
        <v>2581</v>
      </c>
      <c r="U79" s="897">
        <v>1010</v>
      </c>
      <c r="V79" s="897">
        <v>0</v>
      </c>
      <c r="W79" s="897">
        <v>430</v>
      </c>
      <c r="X79" s="897">
        <v>0</v>
      </c>
      <c r="Y79" s="897">
        <v>0</v>
      </c>
      <c r="Z79" s="898">
        <f t="shared" ref="Z79:Z142" si="130">SUM(T79:W79)</f>
        <v>4021</v>
      </c>
      <c r="AA79" s="904">
        <v>1561</v>
      </c>
      <c r="AB79" s="1003">
        <v>640</v>
      </c>
      <c r="AC79" s="897">
        <v>0</v>
      </c>
      <c r="AD79" s="897">
        <v>420</v>
      </c>
      <c r="AE79" s="897">
        <v>0</v>
      </c>
      <c r="AF79" s="897">
        <v>0</v>
      </c>
      <c r="AG79" s="900">
        <f t="shared" ref="AG79:AG142" si="131">SUM(AA79:AD79)</f>
        <v>2621</v>
      </c>
      <c r="AH79" s="896">
        <f t="shared" si="51"/>
        <v>6642</v>
      </c>
      <c r="AI79" s="897">
        <f t="shared" si="73"/>
        <v>4142</v>
      </c>
      <c r="AJ79" s="897">
        <f t="shared" si="73"/>
        <v>1650</v>
      </c>
      <c r="AK79" s="897">
        <f t="shared" si="73"/>
        <v>0</v>
      </c>
      <c r="AL79" s="897">
        <f t="shared" si="73"/>
        <v>850</v>
      </c>
      <c r="AM79" s="897">
        <f t="shared" si="73"/>
        <v>0</v>
      </c>
      <c r="AN79" s="897">
        <v>0</v>
      </c>
      <c r="AO79" s="897">
        <f t="shared" si="70"/>
        <v>6642</v>
      </c>
      <c r="AP79" s="897">
        <f t="shared" si="71"/>
        <v>6642</v>
      </c>
      <c r="AQ79" s="901">
        <f t="shared" si="98"/>
        <v>6642</v>
      </c>
      <c r="AR79" s="902">
        <f t="shared" ref="AR79:AR143" si="132">AQ79-AH79</f>
        <v>0</v>
      </c>
      <c r="AS79" s="903">
        <f t="shared" si="87"/>
        <v>11640842.48</v>
      </c>
      <c r="AT79" s="897">
        <f t="shared" si="87"/>
        <v>4637226</v>
      </c>
      <c r="AU79" s="897">
        <f t="shared" si="87"/>
        <v>0</v>
      </c>
      <c r="AV79" s="897">
        <f t="shared" si="87"/>
        <v>2388874</v>
      </c>
      <c r="AW79" s="897">
        <f t="shared" si="87"/>
        <v>0</v>
      </c>
      <c r="AX79" s="897">
        <f t="shared" si="99"/>
        <v>18666942.48</v>
      </c>
      <c r="AY79" s="897">
        <f t="shared" si="100"/>
        <v>18666942.48</v>
      </c>
      <c r="AZ79" s="897">
        <f t="shared" si="88"/>
        <v>12255349.600000001</v>
      </c>
      <c r="BA79" s="897">
        <f t="shared" si="88"/>
        <v>4882020</v>
      </c>
      <c r="BB79" s="897">
        <f t="shared" si="88"/>
        <v>0</v>
      </c>
      <c r="BC79" s="897">
        <f t="shared" si="88"/>
        <v>2514980</v>
      </c>
      <c r="BD79" s="897">
        <f t="shared" si="88"/>
        <v>0</v>
      </c>
      <c r="BE79" s="897">
        <f t="shared" si="101"/>
        <v>19652349.600000001</v>
      </c>
      <c r="BF79" s="901">
        <f t="shared" si="102"/>
        <v>19652349.600000001</v>
      </c>
      <c r="BG79" s="904"/>
      <c r="BH79" s="897"/>
      <c r="BI79" s="897"/>
      <c r="BJ79" s="919">
        <v>19055.798809660224</v>
      </c>
      <c r="BK79" s="1194">
        <v>20192.07</v>
      </c>
      <c r="BL79" s="897">
        <f t="shared" si="108"/>
        <v>7253745.6400000006</v>
      </c>
      <c r="BM79" s="897">
        <f t="shared" si="108"/>
        <v>2838544.4</v>
      </c>
      <c r="BN79" s="897">
        <f t="shared" si="108"/>
        <v>0</v>
      </c>
      <c r="BO79" s="897">
        <f t="shared" si="108"/>
        <v>1208489.2</v>
      </c>
      <c r="BP79" s="897">
        <f t="shared" si="108"/>
        <v>0</v>
      </c>
      <c r="BQ79" s="897">
        <f t="shared" si="54"/>
        <v>11300779.24</v>
      </c>
      <c r="BR79" s="897">
        <f t="shared" si="55"/>
        <v>11300779.24</v>
      </c>
      <c r="BS79" s="897">
        <f t="shared" si="109"/>
        <v>4618686.8000000007</v>
      </c>
      <c r="BT79" s="897">
        <f t="shared" si="109"/>
        <v>1893632</v>
      </c>
      <c r="BU79" s="897">
        <f t="shared" si="109"/>
        <v>0</v>
      </c>
      <c r="BV79" s="897">
        <f t="shared" si="57"/>
        <v>1272284</v>
      </c>
      <c r="BW79" s="897">
        <f t="shared" si="112"/>
        <v>0</v>
      </c>
      <c r="BX79" s="897">
        <f t="shared" si="58"/>
        <v>7784602.8000000007</v>
      </c>
      <c r="BY79" s="897">
        <f t="shared" si="59"/>
        <v>7784602.8000000007</v>
      </c>
      <c r="BZ79" s="905">
        <f t="shared" si="110"/>
        <v>4732176.4000000004</v>
      </c>
      <c r="CA79" s="905">
        <f t="shared" si="110"/>
        <v>0</v>
      </c>
      <c r="CB79" s="905">
        <f t="shared" si="61"/>
        <v>4732176.4000000004</v>
      </c>
      <c r="CC79" s="907">
        <f t="shared" si="111"/>
        <v>2867.9856969696971</v>
      </c>
      <c r="CD79" s="907" t="e">
        <f t="shared" si="111"/>
        <v>#DIV/0!</v>
      </c>
      <c r="CE79" s="907">
        <f t="shared" ref="CE79:CE143" si="133">CB79/(AJ79+AK79)</f>
        <v>2867.9856969696971</v>
      </c>
      <c r="CF79" s="907">
        <f t="shared" si="113"/>
        <v>2867.9856969696971</v>
      </c>
      <c r="CG79" s="923">
        <f t="shared" si="114"/>
        <v>4732176.4000000004</v>
      </c>
      <c r="CH79" s="923">
        <f t="shared" ref="CH79:CH142" si="134">CG79/(AJ79+AK79)</f>
        <v>2867.9856969696971</v>
      </c>
      <c r="CI79" s="905"/>
      <c r="CJ79" s="897">
        <f t="shared" si="104"/>
        <v>11897.334800000001</v>
      </c>
      <c r="CK79" s="897">
        <f t="shared" si="115"/>
        <v>7755.0148000000008</v>
      </c>
      <c r="CL79" s="922">
        <f>CJ79+CK79+0.01</f>
        <v>19652.3596</v>
      </c>
      <c r="CM79" s="897">
        <f t="shared" ref="CM79:CM144" si="135">N79*AH79/1000</f>
        <v>19652.349600000001</v>
      </c>
      <c r="CN79" s="897">
        <f t="shared" ref="CN79:CN144" si="136">CM79-CL79</f>
        <v>-9.9999999983992893E-3</v>
      </c>
      <c r="CO79" s="897">
        <f t="shared" si="116"/>
        <v>19055794.039999999</v>
      </c>
      <c r="CP79" s="897">
        <f t="shared" si="117"/>
        <v>18666942.48</v>
      </c>
      <c r="CQ79" s="897">
        <f t="shared" si="118"/>
        <v>18666942.48</v>
      </c>
      <c r="CR79" s="897">
        <f t="shared" si="119"/>
        <v>11300779.24</v>
      </c>
      <c r="CS79" s="897">
        <f t="shared" si="120"/>
        <v>19652349.600000001</v>
      </c>
      <c r="CT79" s="897">
        <f t="shared" si="121"/>
        <v>19652349.600000001</v>
      </c>
      <c r="CU79" s="897">
        <f t="shared" si="122"/>
        <v>7755014.8000000007</v>
      </c>
      <c r="CV79" s="897">
        <f t="shared" ref="CV79:CV143" si="137">CP79+CS79</f>
        <v>38319292.079999998</v>
      </c>
      <c r="CW79" s="906">
        <f t="shared" ref="CW79:CW144" si="138">CV79/AH79</f>
        <v>5769.24</v>
      </c>
      <c r="CX79" s="897">
        <f t="shared" si="123"/>
        <v>4637226</v>
      </c>
      <c r="CY79" s="897">
        <f t="shared" si="124"/>
        <v>4882020</v>
      </c>
      <c r="CZ79" s="897"/>
      <c r="DA79" s="897">
        <f t="shared" si="125"/>
        <v>18666942.48</v>
      </c>
      <c r="DB79" s="897">
        <f t="shared" si="126"/>
        <v>19652349.600000001</v>
      </c>
      <c r="DC79" s="27"/>
      <c r="DD79" s="40">
        <f t="shared" ref="DD79:DD143" si="139">N79/J79*100</f>
        <v>105.27888871493431</v>
      </c>
      <c r="DE79" s="27"/>
      <c r="DF79" s="27"/>
      <c r="DG79" s="27"/>
      <c r="DH79" s="1043">
        <v>6642</v>
      </c>
      <c r="DI79" s="1043">
        <v>1650</v>
      </c>
      <c r="DJ79" s="1043">
        <f t="shared" si="105"/>
        <v>4992</v>
      </c>
      <c r="DK79" s="905"/>
      <c r="DL79" s="908">
        <f t="shared" si="127"/>
        <v>0</v>
      </c>
      <c r="DM79" s="908">
        <f t="shared" si="128"/>
        <v>0</v>
      </c>
      <c r="DN79" s="908">
        <f t="shared" si="129"/>
        <v>0</v>
      </c>
      <c r="DO79" s="6"/>
      <c r="DP79" s="81"/>
      <c r="DQ79" s="81"/>
      <c r="DR79" s="81"/>
      <c r="DS79" s="81"/>
      <c r="DT79" s="81"/>
      <c r="DU79" s="81"/>
      <c r="DV79" s="81"/>
      <c r="DW79" s="81"/>
      <c r="DX79" s="81"/>
      <c r="DY79" s="81"/>
      <c r="DZ79" s="81"/>
      <c r="EA79" s="81"/>
      <c r="EB79" s="81"/>
      <c r="EC79" s="81"/>
      <c r="ED79" s="81"/>
      <c r="EE79" s="81"/>
      <c r="EF79" s="81"/>
      <c r="EG79" s="81"/>
      <c r="EH79" s="81"/>
      <c r="EI79" s="81"/>
      <c r="EJ79" s="81"/>
      <c r="EK79" s="81"/>
      <c r="EL79" s="81"/>
    </row>
    <row r="80" spans="1:142" s="869" customFormat="1" ht="72" hidden="1" customHeight="1">
      <c r="A80" s="6">
        <f t="shared" ref="A80:A143" si="140">A79+1</f>
        <v>67</v>
      </c>
      <c r="B80" s="886"/>
      <c r="C80" s="1309" t="s">
        <v>109</v>
      </c>
      <c r="D80" s="1262" t="s">
        <v>141</v>
      </c>
      <c r="E80" s="887">
        <v>4632024035</v>
      </c>
      <c r="F80" s="886" t="s">
        <v>8</v>
      </c>
      <c r="G80" s="1238" t="s">
        <v>983</v>
      </c>
      <c r="H80" s="1256">
        <v>3314.9639999999995</v>
      </c>
      <c r="I80" s="1257">
        <f>H80</f>
        <v>3314.9639999999995</v>
      </c>
      <c r="J80" s="891"/>
      <c r="K80" s="891"/>
      <c r="L80" s="1256">
        <v>3314.9639999999995</v>
      </c>
      <c r="M80" s="946"/>
      <c r="N80" s="1259">
        <f>3132.14*1.2</f>
        <v>3758.5679999999998</v>
      </c>
      <c r="O80" s="1260">
        <f>N80</f>
        <v>3758.5679999999998</v>
      </c>
      <c r="P80" s="891"/>
      <c r="Q80" s="891"/>
      <c r="R80" s="891">
        <f>O80</f>
        <v>3758.5679999999998</v>
      </c>
      <c r="S80" s="946"/>
      <c r="T80" s="1307">
        <v>194.17099999999999</v>
      </c>
      <c r="U80" s="1366"/>
      <c r="V80" s="1366"/>
      <c r="W80" s="890"/>
      <c r="X80" s="890"/>
      <c r="Y80" s="890"/>
      <c r="Z80" s="949">
        <f t="shared" si="130"/>
        <v>194.17099999999999</v>
      </c>
      <c r="AA80" s="1308">
        <v>112.752</v>
      </c>
      <c r="AB80" s="1292"/>
      <c r="AC80" s="1366"/>
      <c r="AD80" s="890"/>
      <c r="AE80" s="890"/>
      <c r="AF80" s="890"/>
      <c r="AG80" s="951">
        <f t="shared" si="131"/>
        <v>112.752</v>
      </c>
      <c r="AH80" s="947">
        <f t="shared" si="51"/>
        <v>306.923</v>
      </c>
      <c r="AI80" s="890">
        <f t="shared" si="73"/>
        <v>306.923</v>
      </c>
      <c r="AJ80" s="890">
        <f t="shared" si="73"/>
        <v>0</v>
      </c>
      <c r="AK80" s="890">
        <f t="shared" si="73"/>
        <v>0</v>
      </c>
      <c r="AL80" s="890">
        <f t="shared" si="73"/>
        <v>0</v>
      </c>
      <c r="AM80" s="890">
        <f t="shared" si="73"/>
        <v>0</v>
      </c>
      <c r="AN80" s="890"/>
      <c r="AO80" s="890">
        <f t="shared" si="70"/>
        <v>306.923</v>
      </c>
      <c r="AP80" s="890">
        <f t="shared" si="71"/>
        <v>306.923</v>
      </c>
      <c r="AQ80" s="952">
        <f t="shared" si="98"/>
        <v>306.923</v>
      </c>
      <c r="AR80" s="973">
        <f t="shared" si="132"/>
        <v>0</v>
      </c>
      <c r="AS80" s="889">
        <f t="shared" si="87"/>
        <v>1017438.6957719999</v>
      </c>
      <c r="AT80" s="890">
        <f t="shared" si="87"/>
        <v>0</v>
      </c>
      <c r="AU80" s="890">
        <f t="shared" si="87"/>
        <v>0</v>
      </c>
      <c r="AV80" s="890">
        <f t="shared" si="87"/>
        <v>0</v>
      </c>
      <c r="AW80" s="890">
        <f t="shared" si="87"/>
        <v>0</v>
      </c>
      <c r="AX80" s="890">
        <f t="shared" si="99"/>
        <v>1017438.6957719999</v>
      </c>
      <c r="AY80" s="890">
        <f t="shared" si="100"/>
        <v>1017438.6957719999</v>
      </c>
      <c r="AZ80" s="890">
        <f t="shared" si="88"/>
        <v>1153590.9662639999</v>
      </c>
      <c r="BA80" s="890">
        <f t="shared" si="88"/>
        <v>0</v>
      </c>
      <c r="BB80" s="890">
        <f t="shared" si="88"/>
        <v>0</v>
      </c>
      <c r="BC80" s="890">
        <f t="shared" si="88"/>
        <v>0</v>
      </c>
      <c r="BD80" s="890">
        <f t="shared" si="88"/>
        <v>0</v>
      </c>
      <c r="BE80" s="890">
        <f t="shared" si="101"/>
        <v>1153590.9662639999</v>
      </c>
      <c r="BF80" s="952">
        <f t="shared" si="102"/>
        <v>1153590.9662639999</v>
      </c>
      <c r="BG80" s="953">
        <f>(H80-J80)/1.2*U80/1000+(H80-K80)/1.2*V80/1000</f>
        <v>0</v>
      </c>
      <c r="BH80" s="954">
        <f>(O80-P80)*AB80/1000/1.2+(O80-Q80)/1.2*AC80/1000</f>
        <v>0</v>
      </c>
      <c r="BI80" s="955">
        <f>BG80+BH80</f>
        <v>0</v>
      </c>
      <c r="BJ80" s="955"/>
      <c r="BK80" s="1197"/>
      <c r="BL80" s="890">
        <f t="shared" si="108"/>
        <v>643669.87484399986</v>
      </c>
      <c r="BM80" s="890">
        <f t="shared" si="108"/>
        <v>0</v>
      </c>
      <c r="BN80" s="890">
        <f t="shared" si="108"/>
        <v>0</v>
      </c>
      <c r="BO80" s="890">
        <f t="shared" si="108"/>
        <v>0</v>
      </c>
      <c r="BP80" s="890">
        <f t="shared" si="108"/>
        <v>0</v>
      </c>
      <c r="BQ80" s="890">
        <f t="shared" si="54"/>
        <v>643669.87484399986</v>
      </c>
      <c r="BR80" s="890">
        <f t="shared" si="55"/>
        <v>643669.87484399986</v>
      </c>
      <c r="BS80" s="890">
        <f t="shared" si="109"/>
        <v>423786.05913599994</v>
      </c>
      <c r="BT80" s="890">
        <f t="shared" si="109"/>
        <v>0</v>
      </c>
      <c r="BU80" s="890">
        <f t="shared" si="109"/>
        <v>0</v>
      </c>
      <c r="BV80" s="890">
        <f t="shared" si="57"/>
        <v>0</v>
      </c>
      <c r="BW80" s="890">
        <f t="shared" si="112"/>
        <v>0</v>
      </c>
      <c r="BX80" s="890">
        <f t="shared" si="58"/>
        <v>423786.05913599994</v>
      </c>
      <c r="BY80" s="890">
        <f t="shared" si="59"/>
        <v>423786.05913599994</v>
      </c>
      <c r="BZ80" s="945">
        <f t="shared" si="110"/>
        <v>0</v>
      </c>
      <c r="CA80" s="945">
        <f t="shared" si="110"/>
        <v>0</v>
      </c>
      <c r="CB80" s="945">
        <f t="shared" si="61"/>
        <v>0</v>
      </c>
      <c r="CC80" s="976" t="e">
        <f t="shared" si="111"/>
        <v>#DIV/0!</v>
      </c>
      <c r="CD80" s="976" t="e">
        <f t="shared" si="111"/>
        <v>#DIV/0!</v>
      </c>
      <c r="CE80" s="976" t="e">
        <f t="shared" si="133"/>
        <v>#DIV/0!</v>
      </c>
      <c r="CF80" s="945" t="e">
        <f t="shared" si="113"/>
        <v>#DIV/0!</v>
      </c>
      <c r="CG80" s="977">
        <f t="shared" si="114"/>
        <v>0</v>
      </c>
      <c r="CH80" s="977" t="e">
        <f t="shared" si="134"/>
        <v>#DIV/0!</v>
      </c>
      <c r="CI80" s="945"/>
      <c r="CJ80" s="1312">
        <f>H80*Z80/1000</f>
        <v>643.66987484399988</v>
      </c>
      <c r="CK80" s="1312">
        <f t="shared" si="115"/>
        <v>423.78605913599995</v>
      </c>
      <c r="CL80" s="1312">
        <f t="shared" ref="CL80:CL106" si="141">CJ80+CK80</f>
        <v>1067.4559339799998</v>
      </c>
      <c r="CM80" s="890">
        <f t="shared" si="135"/>
        <v>1153.5909662639999</v>
      </c>
      <c r="CN80" s="890">
        <f t="shared" si="136"/>
        <v>86.13503228400009</v>
      </c>
      <c r="CO80" s="890">
        <f t="shared" si="116"/>
        <v>1067455.9339799997</v>
      </c>
      <c r="CP80" s="890">
        <f t="shared" si="117"/>
        <v>1017438.6957719999</v>
      </c>
      <c r="CQ80" s="890">
        <f t="shared" si="118"/>
        <v>1017438.6957719999</v>
      </c>
      <c r="CR80" s="890">
        <f t="shared" si="119"/>
        <v>643669.87484399986</v>
      </c>
      <c r="CS80" s="890">
        <f t="shared" si="120"/>
        <v>1153590.9662639999</v>
      </c>
      <c r="CT80" s="890">
        <f t="shared" si="121"/>
        <v>1153590.9662639999</v>
      </c>
      <c r="CU80" s="890">
        <f t="shared" si="122"/>
        <v>423786.05913599994</v>
      </c>
      <c r="CV80" s="890">
        <f t="shared" si="137"/>
        <v>2171029.6620359998</v>
      </c>
      <c r="CW80" s="978">
        <f t="shared" si="138"/>
        <v>7073.5319999999992</v>
      </c>
      <c r="CX80" s="890">
        <f t="shared" si="123"/>
        <v>0</v>
      </c>
      <c r="CY80" s="890">
        <f t="shared" si="124"/>
        <v>0</v>
      </c>
      <c r="CZ80" s="890"/>
      <c r="DA80" s="890">
        <f t="shared" si="125"/>
        <v>1017438.6957719999</v>
      </c>
      <c r="DB80" s="890">
        <f t="shared" si="126"/>
        <v>1153590.9662639999</v>
      </c>
      <c r="DC80" s="840"/>
      <c r="DD80" s="841" t="e">
        <f t="shared" si="139"/>
        <v>#DIV/0!</v>
      </c>
      <c r="DE80" s="840"/>
      <c r="DF80" s="840"/>
      <c r="DG80" s="840"/>
      <c r="DH80" s="1050"/>
      <c r="DI80" s="1050"/>
      <c r="DJ80" s="1050"/>
      <c r="DK80" s="945"/>
      <c r="DL80" s="975">
        <f t="shared" si="127"/>
        <v>0</v>
      </c>
      <c r="DM80" s="975">
        <f t="shared" si="128"/>
        <v>0</v>
      </c>
      <c r="DN80" s="975">
        <f t="shared" si="129"/>
        <v>0</v>
      </c>
      <c r="DO80" s="816"/>
      <c r="DP80" s="871"/>
      <c r="DQ80" s="871"/>
      <c r="DR80" s="871"/>
      <c r="DS80" s="871"/>
      <c r="DT80" s="871"/>
      <c r="DU80" s="871"/>
      <c r="DV80" s="871"/>
      <c r="DW80" s="871"/>
      <c r="DX80" s="871"/>
      <c r="DY80" s="871"/>
      <c r="DZ80" s="871"/>
      <c r="EA80" s="871"/>
      <c r="EB80" s="871"/>
      <c r="EC80" s="871"/>
      <c r="ED80" s="871"/>
      <c r="EE80" s="871"/>
      <c r="EF80" s="871"/>
      <c r="EG80" s="871"/>
      <c r="EH80" s="871"/>
      <c r="EI80" s="871"/>
      <c r="EJ80" s="871"/>
      <c r="EK80" s="871"/>
      <c r="EL80" s="871"/>
    </row>
    <row r="81" spans="1:191" s="869" customFormat="1" ht="80.25" hidden="1" customHeight="1">
      <c r="A81" s="6">
        <f t="shared" si="140"/>
        <v>68</v>
      </c>
      <c r="B81" s="886"/>
      <c r="C81" s="1309" t="s">
        <v>110</v>
      </c>
      <c r="D81" s="1262" t="s">
        <v>142</v>
      </c>
      <c r="E81" s="887">
        <v>4632024035</v>
      </c>
      <c r="F81" s="886" t="s">
        <v>8</v>
      </c>
      <c r="G81" s="1238" t="s">
        <v>983</v>
      </c>
      <c r="H81" s="1256">
        <v>3314.9639999999995</v>
      </c>
      <c r="I81" s="1257">
        <f>H81</f>
        <v>3314.9639999999995</v>
      </c>
      <c r="J81" s="1263">
        <v>2950.21</v>
      </c>
      <c r="K81" s="891"/>
      <c r="L81" s="1256">
        <v>3314.9639999999995</v>
      </c>
      <c r="M81" s="946"/>
      <c r="N81" s="1259">
        <f>3132.14*1.2</f>
        <v>3758.5679999999998</v>
      </c>
      <c r="O81" s="1260">
        <f>N81</f>
        <v>3758.5679999999998</v>
      </c>
      <c r="P81" s="1264">
        <v>2979.71</v>
      </c>
      <c r="Q81" s="891"/>
      <c r="R81" s="891">
        <f>O81</f>
        <v>3758.5679999999998</v>
      </c>
      <c r="S81" s="946"/>
      <c r="T81" s="1385">
        <v>633.16700000000003</v>
      </c>
      <c r="U81" s="1384">
        <v>189.04599999999999</v>
      </c>
      <c r="V81" s="1384"/>
      <c r="W81" s="894"/>
      <c r="X81" s="894"/>
      <c r="Y81" s="894"/>
      <c r="Z81" s="972">
        <f t="shared" si="130"/>
        <v>822.21299999999997</v>
      </c>
      <c r="AA81" s="1386">
        <v>368.88</v>
      </c>
      <c r="AB81" s="1384">
        <v>145</v>
      </c>
      <c r="AC81" s="1366"/>
      <c r="AD81" s="890"/>
      <c r="AE81" s="890"/>
      <c r="AF81" s="890"/>
      <c r="AG81" s="951">
        <f t="shared" si="131"/>
        <v>513.88</v>
      </c>
      <c r="AH81" s="947">
        <f t="shared" si="51"/>
        <v>1336.0929999999998</v>
      </c>
      <c r="AI81" s="890">
        <f t="shared" si="73"/>
        <v>1002.047</v>
      </c>
      <c r="AJ81" s="890">
        <f t="shared" si="73"/>
        <v>334.04599999999999</v>
      </c>
      <c r="AK81" s="890">
        <f t="shared" si="73"/>
        <v>0</v>
      </c>
      <c r="AL81" s="890">
        <f t="shared" si="73"/>
        <v>0</v>
      </c>
      <c r="AM81" s="890">
        <f t="shared" si="73"/>
        <v>0</v>
      </c>
      <c r="AN81" s="890"/>
      <c r="AO81" s="890">
        <f t="shared" si="70"/>
        <v>1336.0930000000001</v>
      </c>
      <c r="AP81" s="890">
        <f t="shared" si="71"/>
        <v>1336.0930000000001</v>
      </c>
      <c r="AQ81" s="952">
        <f t="shared" si="98"/>
        <v>1336.0930000000001</v>
      </c>
      <c r="AR81" s="973">
        <f t="shared" si="132"/>
        <v>0</v>
      </c>
      <c r="AS81" s="889">
        <f t="shared" si="87"/>
        <v>3321749.7313079997</v>
      </c>
      <c r="AT81" s="890">
        <f t="shared" si="87"/>
        <v>985505.84965999995</v>
      </c>
      <c r="AU81" s="890">
        <f t="shared" si="87"/>
        <v>0</v>
      </c>
      <c r="AV81" s="890">
        <f t="shared" si="87"/>
        <v>0</v>
      </c>
      <c r="AW81" s="890">
        <f t="shared" si="87"/>
        <v>0</v>
      </c>
      <c r="AX81" s="890">
        <f t="shared" si="99"/>
        <v>4307255.580968</v>
      </c>
      <c r="AY81" s="890">
        <f t="shared" si="100"/>
        <v>4307255.580968</v>
      </c>
      <c r="AZ81" s="890">
        <f t="shared" si="88"/>
        <v>3766261.7886959999</v>
      </c>
      <c r="BA81" s="890">
        <f t="shared" si="88"/>
        <v>995360.20666000003</v>
      </c>
      <c r="BB81" s="890">
        <f t="shared" si="88"/>
        <v>0</v>
      </c>
      <c r="BC81" s="890">
        <f t="shared" si="88"/>
        <v>0</v>
      </c>
      <c r="BD81" s="890">
        <f t="shared" si="88"/>
        <v>0</v>
      </c>
      <c r="BE81" s="890">
        <f t="shared" si="101"/>
        <v>4761621.995356</v>
      </c>
      <c r="BF81" s="952">
        <f t="shared" si="102"/>
        <v>4761621.995356</v>
      </c>
      <c r="BG81" s="953">
        <f>(H81-J81)/1.2*U81/1000+(H81-K81)/1.2*V81/1000</f>
        <v>57.462737236666591</v>
      </c>
      <c r="BH81" s="954">
        <f>(O81-P81)*AB81/1000/1.2+(O81-Q81)/1.2*AC81/1000</f>
        <v>94.112008333333307</v>
      </c>
      <c r="BI81" s="955">
        <f>BG81+BH81</f>
        <v>151.57474556999989</v>
      </c>
      <c r="BJ81" s="955"/>
      <c r="BK81" s="1197"/>
      <c r="BL81" s="890">
        <f t="shared" si="108"/>
        <v>2098925.8109879997</v>
      </c>
      <c r="BM81" s="890">
        <f t="shared" si="108"/>
        <v>557725.39966</v>
      </c>
      <c r="BN81" s="890">
        <f t="shared" si="108"/>
        <v>0</v>
      </c>
      <c r="BO81" s="890">
        <f t="shared" si="108"/>
        <v>0</v>
      </c>
      <c r="BP81" s="890">
        <f t="shared" si="108"/>
        <v>0</v>
      </c>
      <c r="BQ81" s="890">
        <f t="shared" si="54"/>
        <v>2656651.2106479998</v>
      </c>
      <c r="BR81" s="890">
        <f t="shared" si="55"/>
        <v>2656651.2106479998</v>
      </c>
      <c r="BS81" s="890">
        <f t="shared" si="109"/>
        <v>1386460.56384</v>
      </c>
      <c r="BT81" s="890">
        <f t="shared" si="109"/>
        <v>432057.95</v>
      </c>
      <c r="BU81" s="890">
        <f t="shared" si="109"/>
        <v>0</v>
      </c>
      <c r="BV81" s="890">
        <f t="shared" si="57"/>
        <v>0</v>
      </c>
      <c r="BW81" s="890">
        <f t="shared" si="112"/>
        <v>0</v>
      </c>
      <c r="BX81" s="890">
        <f t="shared" si="58"/>
        <v>1818518.5138399999</v>
      </c>
      <c r="BY81" s="890">
        <f t="shared" si="59"/>
        <v>1818518.5138399999</v>
      </c>
      <c r="BZ81" s="945">
        <f t="shared" si="110"/>
        <v>989783.34966000007</v>
      </c>
      <c r="CA81" s="945">
        <f t="shared" si="110"/>
        <v>0</v>
      </c>
      <c r="CB81" s="945">
        <f t="shared" si="61"/>
        <v>989783.34966000007</v>
      </c>
      <c r="CC81" s="976">
        <f t="shared" si="111"/>
        <v>2963.0151226477792</v>
      </c>
      <c r="CD81" s="976" t="e">
        <f t="shared" si="111"/>
        <v>#DIV/0!</v>
      </c>
      <c r="CE81" s="976">
        <f t="shared" si="133"/>
        <v>2963.0151226477792</v>
      </c>
      <c r="CF81" s="976">
        <f t="shared" si="113"/>
        <v>2963.0151226477792</v>
      </c>
      <c r="CG81" s="977">
        <f t="shared" si="114"/>
        <v>1171673.0443439998</v>
      </c>
      <c r="CH81" s="977">
        <f t="shared" si="134"/>
        <v>3507.5200551540802</v>
      </c>
      <c r="CI81" s="945"/>
      <c r="CJ81" s="1312">
        <f>H81*Z81/1000</f>
        <v>2725.6064953319992</v>
      </c>
      <c r="CK81" s="1312">
        <f t="shared" si="115"/>
        <v>1931.4529238399998</v>
      </c>
      <c r="CL81" s="1312">
        <f t="shared" si="141"/>
        <v>4657.0594191719993</v>
      </c>
      <c r="CM81" s="890">
        <f t="shared" si="135"/>
        <v>5021.7963948239994</v>
      </c>
      <c r="CN81" s="890">
        <f t="shared" si="136"/>
        <v>364.73697565200018</v>
      </c>
      <c r="CO81" s="890">
        <f t="shared" si="116"/>
        <v>4657059.4191719992</v>
      </c>
      <c r="CP81" s="890">
        <f t="shared" si="117"/>
        <v>4307255.580968</v>
      </c>
      <c r="CQ81" s="890">
        <f t="shared" si="118"/>
        <v>4307255.580968</v>
      </c>
      <c r="CR81" s="890">
        <f t="shared" si="119"/>
        <v>2656651.2106479998</v>
      </c>
      <c r="CS81" s="890">
        <f t="shared" si="120"/>
        <v>4761621.995356</v>
      </c>
      <c r="CT81" s="890">
        <f t="shared" si="121"/>
        <v>4761621.995356</v>
      </c>
      <c r="CU81" s="890">
        <f t="shared" si="122"/>
        <v>1818518.5138399999</v>
      </c>
      <c r="CV81" s="890">
        <f t="shared" si="137"/>
        <v>9068877.576324001</v>
      </c>
      <c r="CW81" s="978">
        <f t="shared" si="138"/>
        <v>6787.6095274236168</v>
      </c>
      <c r="CX81" s="890">
        <f t="shared" si="123"/>
        <v>985505.84965999995</v>
      </c>
      <c r="CY81" s="890">
        <f t="shared" si="124"/>
        <v>995360.20666000003</v>
      </c>
      <c r="CZ81" s="890"/>
      <c r="DA81" s="890">
        <f t="shared" si="125"/>
        <v>4429100.1956519997</v>
      </c>
      <c r="DB81" s="890">
        <f t="shared" si="126"/>
        <v>5021796.3948240001</v>
      </c>
      <c r="DC81" s="840"/>
      <c r="DD81" s="841">
        <f t="shared" si="139"/>
        <v>127.40001559211038</v>
      </c>
      <c r="DE81" s="840"/>
      <c r="DF81" s="840"/>
      <c r="DG81" s="840"/>
      <c r="DH81" s="1050"/>
      <c r="DI81" s="1050"/>
      <c r="DJ81" s="1050"/>
      <c r="DK81" s="945"/>
      <c r="DL81" s="975">
        <f t="shared" si="127"/>
        <v>0</v>
      </c>
      <c r="DM81" s="975">
        <f t="shared" si="128"/>
        <v>0</v>
      </c>
      <c r="DN81" s="975">
        <f t="shared" si="129"/>
        <v>0</v>
      </c>
      <c r="DO81" s="816"/>
      <c r="DP81" s="871"/>
      <c r="DQ81" s="871"/>
      <c r="DR81" s="871"/>
      <c r="DS81" s="871"/>
      <c r="DT81" s="871"/>
      <c r="DU81" s="871"/>
      <c r="DV81" s="871"/>
      <c r="DW81" s="871"/>
      <c r="DX81" s="871"/>
      <c r="DY81" s="871"/>
      <c r="DZ81" s="871"/>
      <c r="EA81" s="871"/>
      <c r="EB81" s="871"/>
      <c r="EC81" s="871"/>
      <c r="ED81" s="871"/>
      <c r="EE81" s="871"/>
      <c r="EF81" s="871"/>
      <c r="EG81" s="871"/>
      <c r="EH81" s="871"/>
      <c r="EI81" s="871"/>
      <c r="EJ81" s="871"/>
      <c r="EK81" s="871"/>
      <c r="EL81" s="871"/>
    </row>
    <row r="82" spans="1:191" s="50" customFormat="1" ht="75.75" hidden="1" customHeight="1">
      <c r="A82" s="6">
        <f t="shared" si="140"/>
        <v>69</v>
      </c>
      <c r="B82" s="909" t="s">
        <v>29</v>
      </c>
      <c r="C82" s="1005" t="s">
        <v>112</v>
      </c>
      <c r="D82" s="886" t="s">
        <v>111</v>
      </c>
      <c r="E82" s="958">
        <v>4617004147</v>
      </c>
      <c r="F82" s="886" t="s">
        <v>8</v>
      </c>
      <c r="G82" s="888" t="s">
        <v>953</v>
      </c>
      <c r="H82" s="1253">
        <v>3127.6598130001857</v>
      </c>
      <c r="I82" s="1252">
        <v>3127.6598130001857</v>
      </c>
      <c r="J82" s="912">
        <v>3127.6598130001857</v>
      </c>
      <c r="K82" s="912"/>
      <c r="L82" s="912"/>
      <c r="M82" s="913"/>
      <c r="N82" s="1213">
        <v>3573.9</v>
      </c>
      <c r="O82" s="928">
        <v>3573.9</v>
      </c>
      <c r="P82" s="1214">
        <v>3573.9</v>
      </c>
      <c r="Q82" s="1214"/>
      <c r="R82" s="891"/>
      <c r="S82" s="994"/>
      <c r="T82" s="999">
        <v>1434.3600000000001</v>
      </c>
      <c r="U82" s="917">
        <v>73.63</v>
      </c>
      <c r="V82" s="917">
        <v>0</v>
      </c>
      <c r="W82" s="917">
        <v>0</v>
      </c>
      <c r="X82" s="917">
        <v>0</v>
      </c>
      <c r="Y82" s="917">
        <v>0</v>
      </c>
      <c r="Z82" s="898">
        <f t="shared" si="130"/>
        <v>1507.9900000000002</v>
      </c>
      <c r="AA82" s="1000">
        <v>1055.48</v>
      </c>
      <c r="AB82" s="917">
        <v>55.22</v>
      </c>
      <c r="AC82" s="917">
        <v>0</v>
      </c>
      <c r="AD82" s="917">
        <v>0</v>
      </c>
      <c r="AE82" s="917">
        <v>0</v>
      </c>
      <c r="AF82" s="917">
        <v>0</v>
      </c>
      <c r="AG82" s="900">
        <f t="shared" si="131"/>
        <v>1110.7</v>
      </c>
      <c r="AH82" s="896">
        <f t="shared" si="51"/>
        <v>2618.6900000000005</v>
      </c>
      <c r="AI82" s="897">
        <f t="shared" si="73"/>
        <v>2489.84</v>
      </c>
      <c r="AJ82" s="897">
        <f t="shared" si="73"/>
        <v>128.85</v>
      </c>
      <c r="AK82" s="897">
        <f t="shared" si="73"/>
        <v>0</v>
      </c>
      <c r="AL82" s="897">
        <f t="shared" si="73"/>
        <v>0</v>
      </c>
      <c r="AM82" s="897">
        <f t="shared" si="73"/>
        <v>0</v>
      </c>
      <c r="AN82" s="897"/>
      <c r="AO82" s="897">
        <f t="shared" si="70"/>
        <v>2618.69</v>
      </c>
      <c r="AP82" s="897">
        <f t="shared" si="71"/>
        <v>2618.69</v>
      </c>
      <c r="AQ82" s="901">
        <f t="shared" si="98"/>
        <v>2618.69</v>
      </c>
      <c r="AR82" s="902">
        <f t="shared" si="132"/>
        <v>0</v>
      </c>
      <c r="AS82" s="903">
        <f t="shared" si="87"/>
        <v>7787372.5088003827</v>
      </c>
      <c r="AT82" s="897">
        <f t="shared" si="87"/>
        <v>402998.9669050739</v>
      </c>
      <c r="AU82" s="897">
        <f t="shared" si="87"/>
        <v>0</v>
      </c>
      <c r="AV82" s="897">
        <f t="shared" si="87"/>
        <v>0</v>
      </c>
      <c r="AW82" s="897">
        <f t="shared" si="87"/>
        <v>0</v>
      </c>
      <c r="AX82" s="897">
        <f t="shared" si="99"/>
        <v>8190371.4757054569</v>
      </c>
      <c r="AY82" s="897">
        <f t="shared" si="100"/>
        <v>8190371.4757054569</v>
      </c>
      <c r="AZ82" s="897">
        <f t="shared" si="88"/>
        <v>8898439.1760000009</v>
      </c>
      <c r="BA82" s="897">
        <f t="shared" si="88"/>
        <v>460497.01500000001</v>
      </c>
      <c r="BB82" s="897">
        <f t="shared" si="88"/>
        <v>0</v>
      </c>
      <c r="BC82" s="897">
        <f t="shared" si="88"/>
        <v>0</v>
      </c>
      <c r="BD82" s="897">
        <f t="shared" si="88"/>
        <v>0</v>
      </c>
      <c r="BE82" s="897">
        <f t="shared" si="101"/>
        <v>9358936.1910000015</v>
      </c>
      <c r="BF82" s="901">
        <f t="shared" si="102"/>
        <v>9358936.1910000015</v>
      </c>
      <c r="BG82" s="953"/>
      <c r="BH82" s="954"/>
      <c r="BI82" s="955">
        <f>BG82+BH82</f>
        <v>0</v>
      </c>
      <c r="BJ82" s="955">
        <v>8686.0114276431705</v>
      </c>
      <c r="BK82" s="1197">
        <v>11208.907684</v>
      </c>
      <c r="BL82" s="897">
        <f t="shared" si="108"/>
        <v>4486190.1293749465</v>
      </c>
      <c r="BM82" s="897">
        <f t="shared" si="108"/>
        <v>230289.59203120368</v>
      </c>
      <c r="BN82" s="897">
        <f t="shared" si="108"/>
        <v>0</v>
      </c>
      <c r="BO82" s="897">
        <f t="shared" si="108"/>
        <v>0</v>
      </c>
      <c r="BP82" s="897">
        <f t="shared" si="108"/>
        <v>0</v>
      </c>
      <c r="BQ82" s="897">
        <f t="shared" si="54"/>
        <v>4716479.7214061506</v>
      </c>
      <c r="BR82" s="897">
        <f t="shared" si="55"/>
        <v>4716479.7214061506</v>
      </c>
      <c r="BS82" s="897">
        <f t="shared" si="109"/>
        <v>3772179.9720000001</v>
      </c>
      <c r="BT82" s="897">
        <f t="shared" si="109"/>
        <v>197350.758</v>
      </c>
      <c r="BU82" s="897">
        <f t="shared" si="109"/>
        <v>0</v>
      </c>
      <c r="BV82" s="897">
        <f t="shared" si="57"/>
        <v>0</v>
      </c>
      <c r="BW82" s="897">
        <f t="shared" si="112"/>
        <v>0</v>
      </c>
      <c r="BX82" s="897">
        <f t="shared" si="58"/>
        <v>3969530.73</v>
      </c>
      <c r="BY82" s="897">
        <f t="shared" si="59"/>
        <v>3969530.73</v>
      </c>
      <c r="BZ82" s="905">
        <f t="shared" si="110"/>
        <v>427640.35003120371</v>
      </c>
      <c r="CA82" s="905">
        <f t="shared" si="110"/>
        <v>0</v>
      </c>
      <c r="CB82" s="905">
        <f t="shared" si="61"/>
        <v>427640.35003120371</v>
      </c>
      <c r="CC82" s="907">
        <f t="shared" si="111"/>
        <v>3318.9006599239715</v>
      </c>
      <c r="CD82" s="907" t="e">
        <f t="shared" si="111"/>
        <v>#DIV/0!</v>
      </c>
      <c r="CE82" s="907">
        <f t="shared" si="133"/>
        <v>3318.9006599239715</v>
      </c>
      <c r="CF82" s="907">
        <f t="shared" si="113"/>
        <v>3318.9006599239715</v>
      </c>
      <c r="CG82" s="923">
        <f t="shared" si="114"/>
        <v>427640.35003120371</v>
      </c>
      <c r="CH82" s="923">
        <f t="shared" si="134"/>
        <v>3318.9006599239715</v>
      </c>
      <c r="CI82" s="964"/>
      <c r="CJ82" s="897">
        <f>N82*Z82/1000</f>
        <v>5389.4054610000012</v>
      </c>
      <c r="CK82" s="897">
        <f t="shared" si="115"/>
        <v>3969.5307300000004</v>
      </c>
      <c r="CL82" s="897">
        <f t="shared" si="141"/>
        <v>9358.9361910000007</v>
      </c>
      <c r="CM82" s="897">
        <f t="shared" si="135"/>
        <v>9358.9361910000007</v>
      </c>
      <c r="CN82" s="897">
        <f t="shared" si="136"/>
        <v>0</v>
      </c>
      <c r="CO82" s="897">
        <f t="shared" si="116"/>
        <v>8686010.4514061511</v>
      </c>
      <c r="CP82" s="897">
        <f t="shared" si="117"/>
        <v>8190371.4757054569</v>
      </c>
      <c r="CQ82" s="897">
        <f t="shared" si="118"/>
        <v>8190371.4757054569</v>
      </c>
      <c r="CR82" s="897">
        <f t="shared" si="119"/>
        <v>4716479.7214061506</v>
      </c>
      <c r="CS82" s="897">
        <f t="shared" si="120"/>
        <v>9358936.1910000015</v>
      </c>
      <c r="CT82" s="897">
        <f t="shared" si="121"/>
        <v>9358936.1910000015</v>
      </c>
      <c r="CU82" s="897">
        <f t="shared" si="122"/>
        <v>3969530.73</v>
      </c>
      <c r="CV82" s="897">
        <f t="shared" si="137"/>
        <v>17549307.666705459</v>
      </c>
      <c r="CW82" s="906">
        <f t="shared" si="138"/>
        <v>6701.5598130001854</v>
      </c>
      <c r="CX82" s="897">
        <f t="shared" si="123"/>
        <v>402998.9669050739</v>
      </c>
      <c r="CY82" s="897">
        <f t="shared" si="124"/>
        <v>460497.01500000001</v>
      </c>
      <c r="CZ82" s="897"/>
      <c r="DA82" s="897">
        <f t="shared" si="125"/>
        <v>8190371.4757054569</v>
      </c>
      <c r="DB82" s="897">
        <f t="shared" si="126"/>
        <v>9358936.1910000015</v>
      </c>
      <c r="DC82" s="1130"/>
      <c r="DD82" s="40">
        <f t="shared" si="139"/>
        <v>114.26754230575229</v>
      </c>
      <c r="DE82" s="1130"/>
      <c r="DF82" s="1130"/>
      <c r="DG82" s="1130"/>
      <c r="DH82" s="1043">
        <v>2790.1833333333334</v>
      </c>
      <c r="DI82" s="1043">
        <v>178.95</v>
      </c>
      <c r="DJ82" s="1043">
        <f t="shared" ref="DJ82:DJ144" si="142">DH82-DI82</f>
        <v>2611.2333333333336</v>
      </c>
      <c r="DK82" s="964"/>
      <c r="DL82" s="908">
        <f t="shared" si="127"/>
        <v>0</v>
      </c>
      <c r="DM82" s="908">
        <f t="shared" si="128"/>
        <v>0</v>
      </c>
      <c r="DN82" s="908">
        <f t="shared" si="129"/>
        <v>0</v>
      </c>
      <c r="DO82" s="868"/>
      <c r="DP82" s="868"/>
      <c r="DQ82" s="868"/>
      <c r="DR82" s="81"/>
      <c r="DS82" s="81"/>
      <c r="DT82" s="81"/>
      <c r="DU82" s="81"/>
      <c r="DV82" s="81"/>
      <c r="DW82" s="81"/>
      <c r="DX82" s="81"/>
      <c r="DY82" s="81"/>
      <c r="DZ82" s="81"/>
      <c r="EA82" s="81"/>
      <c r="EB82" s="81"/>
      <c r="EC82" s="81"/>
      <c r="ED82" s="81"/>
      <c r="EE82" s="81"/>
      <c r="EF82" s="81"/>
      <c r="EG82" s="81"/>
      <c r="EH82" s="81"/>
      <c r="EI82" s="81"/>
      <c r="EJ82" s="81"/>
      <c r="EK82" s="81"/>
      <c r="EL82" s="81"/>
    </row>
    <row r="83" spans="1:191" s="869" customFormat="1" ht="78.75" hidden="1" customHeight="1">
      <c r="A83" s="6">
        <f t="shared" si="140"/>
        <v>70</v>
      </c>
      <c r="B83" s="909"/>
      <c r="C83" s="1309" t="s">
        <v>113</v>
      </c>
      <c r="D83" s="1262" t="s">
        <v>142</v>
      </c>
      <c r="E83" s="887">
        <v>4632024035</v>
      </c>
      <c r="F83" s="886" t="s">
        <v>8</v>
      </c>
      <c r="G83" s="1238" t="s">
        <v>983</v>
      </c>
      <c r="H83" s="1256">
        <v>3314.9639999999995</v>
      </c>
      <c r="I83" s="1257">
        <f>H83</f>
        <v>3314.9639999999995</v>
      </c>
      <c r="J83" s="891"/>
      <c r="K83" s="891"/>
      <c r="L83" s="1256">
        <v>3314.9639999999995</v>
      </c>
      <c r="M83" s="946"/>
      <c r="N83" s="1259">
        <f>3132.14*1.2</f>
        <v>3758.5679999999998</v>
      </c>
      <c r="O83" s="1260">
        <f>N83</f>
        <v>3758.5679999999998</v>
      </c>
      <c r="P83" s="891"/>
      <c r="Q83" s="891"/>
      <c r="R83" s="891">
        <f>O83</f>
        <v>3758.5679999999998</v>
      </c>
      <c r="S83" s="946"/>
      <c r="T83" s="1307">
        <v>228.929</v>
      </c>
      <c r="U83" s="1366"/>
      <c r="V83" s="1366"/>
      <c r="W83" s="890"/>
      <c r="X83" s="890"/>
      <c r="Y83" s="890"/>
      <c r="Z83" s="949">
        <f t="shared" si="130"/>
        <v>228.929</v>
      </c>
      <c r="AA83" s="1308">
        <v>132.93600000000001</v>
      </c>
      <c r="AB83" s="1366"/>
      <c r="AC83" s="1366"/>
      <c r="AD83" s="890"/>
      <c r="AE83" s="890"/>
      <c r="AF83" s="890"/>
      <c r="AG83" s="951">
        <f t="shared" si="131"/>
        <v>132.93600000000001</v>
      </c>
      <c r="AH83" s="947">
        <f t="shared" ref="AH83:AH143" si="143">Z83+AG83</f>
        <v>361.86500000000001</v>
      </c>
      <c r="AI83" s="890">
        <f t="shared" si="73"/>
        <v>361.86500000000001</v>
      </c>
      <c r="AJ83" s="890">
        <f t="shared" si="73"/>
        <v>0</v>
      </c>
      <c r="AK83" s="890">
        <f t="shared" si="73"/>
        <v>0</v>
      </c>
      <c r="AL83" s="890">
        <f t="shared" si="73"/>
        <v>0</v>
      </c>
      <c r="AM83" s="890">
        <f t="shared" si="73"/>
        <v>0</v>
      </c>
      <c r="AN83" s="890"/>
      <c r="AO83" s="890">
        <f t="shared" si="70"/>
        <v>361.86500000000001</v>
      </c>
      <c r="AP83" s="890">
        <f t="shared" si="71"/>
        <v>361.86500000000001</v>
      </c>
      <c r="AQ83" s="952">
        <f t="shared" si="98"/>
        <v>361.86500000000001</v>
      </c>
      <c r="AR83" s="973">
        <f t="shared" si="132"/>
        <v>0</v>
      </c>
      <c r="AS83" s="889">
        <f t="shared" si="87"/>
        <v>1199569.44786</v>
      </c>
      <c r="AT83" s="890">
        <f t="shared" si="87"/>
        <v>0</v>
      </c>
      <c r="AU83" s="890">
        <f t="shared" si="87"/>
        <v>0</v>
      </c>
      <c r="AV83" s="890">
        <f t="shared" si="87"/>
        <v>0</v>
      </c>
      <c r="AW83" s="890">
        <f t="shared" si="87"/>
        <v>0</v>
      </c>
      <c r="AX83" s="890">
        <f t="shared" si="99"/>
        <v>1199569.44786</v>
      </c>
      <c r="AY83" s="890">
        <f t="shared" si="100"/>
        <v>1199569.44786</v>
      </c>
      <c r="AZ83" s="890">
        <f t="shared" si="88"/>
        <v>1360094.2093199999</v>
      </c>
      <c r="BA83" s="890">
        <f t="shared" si="88"/>
        <v>0</v>
      </c>
      <c r="BB83" s="890">
        <f t="shared" si="88"/>
        <v>0</v>
      </c>
      <c r="BC83" s="890">
        <f t="shared" si="88"/>
        <v>0</v>
      </c>
      <c r="BD83" s="890">
        <f t="shared" si="88"/>
        <v>0</v>
      </c>
      <c r="BE83" s="890">
        <f t="shared" si="101"/>
        <v>1360094.2093199999</v>
      </c>
      <c r="BF83" s="952">
        <f t="shared" si="102"/>
        <v>1360094.2093199999</v>
      </c>
      <c r="BG83" s="953">
        <f>(H83-J83)/1.2*U83/1000+(H83-K83)/1.2*V83/1000</f>
        <v>0</v>
      </c>
      <c r="BH83" s="954">
        <f>(O83-P83)*AB83/1000/1.2+(O83-Q83)/1.2*AC83/1000</f>
        <v>0</v>
      </c>
      <c r="BI83" s="955">
        <f>BG83+BH83</f>
        <v>0</v>
      </c>
      <c r="BJ83" s="955"/>
      <c r="BK83" s="1197"/>
      <c r="BL83" s="890">
        <f t="shared" si="108"/>
        <v>758891.39355599985</v>
      </c>
      <c r="BM83" s="890">
        <f t="shared" si="108"/>
        <v>0</v>
      </c>
      <c r="BN83" s="890">
        <f t="shared" si="108"/>
        <v>0</v>
      </c>
      <c r="BO83" s="890">
        <f t="shared" si="108"/>
        <v>0</v>
      </c>
      <c r="BP83" s="890">
        <f t="shared" si="108"/>
        <v>0</v>
      </c>
      <c r="BQ83" s="890">
        <f t="shared" ref="BQ83:BQ140" si="144">BL83+BM83+BN83+BO83+BP83</f>
        <v>758891.39355599985</v>
      </c>
      <c r="BR83" s="890">
        <f t="shared" ref="BR83:BR140" si="145">BQ83-BP83</f>
        <v>758891.39355599985</v>
      </c>
      <c r="BS83" s="890">
        <f t="shared" si="109"/>
        <v>499648.99564799998</v>
      </c>
      <c r="BT83" s="890">
        <f t="shared" si="109"/>
        <v>0</v>
      </c>
      <c r="BU83" s="890">
        <f t="shared" si="109"/>
        <v>0</v>
      </c>
      <c r="BV83" s="890">
        <f t="shared" ref="BV83:BV142" si="146">R83*W83</f>
        <v>0</v>
      </c>
      <c r="BW83" s="890">
        <f t="shared" si="112"/>
        <v>0</v>
      </c>
      <c r="BX83" s="890">
        <f t="shared" ref="BX83:BX143" si="147">BS83+BT83+BU83+BV83+BW83</f>
        <v>499648.99564799998</v>
      </c>
      <c r="BY83" s="890">
        <f t="shared" ref="BY83:BY143" si="148">BX83-BW83</f>
        <v>499648.99564799998</v>
      </c>
      <c r="BZ83" s="945">
        <f t="shared" si="110"/>
        <v>0</v>
      </c>
      <c r="CA83" s="945">
        <f t="shared" si="110"/>
        <v>0</v>
      </c>
      <c r="CB83" s="945">
        <f t="shared" ref="CB83:CB143" si="149">BZ83+CA83</f>
        <v>0</v>
      </c>
      <c r="CC83" s="976" t="e">
        <f t="shared" si="111"/>
        <v>#DIV/0!</v>
      </c>
      <c r="CD83" s="976" t="e">
        <f t="shared" si="111"/>
        <v>#DIV/0!</v>
      </c>
      <c r="CE83" s="976" t="e">
        <f t="shared" si="133"/>
        <v>#DIV/0!</v>
      </c>
      <c r="CF83" s="945" t="e">
        <f t="shared" si="113"/>
        <v>#DIV/0!</v>
      </c>
      <c r="CG83" s="977">
        <f t="shared" si="114"/>
        <v>0</v>
      </c>
      <c r="CH83" s="977" t="e">
        <f t="shared" si="134"/>
        <v>#DIV/0!</v>
      </c>
      <c r="CI83" s="945"/>
      <c r="CJ83" s="1312">
        <f>H83*Z83/1000</f>
        <v>758.8913935559998</v>
      </c>
      <c r="CK83" s="1312">
        <f t="shared" si="115"/>
        <v>499.64899564799998</v>
      </c>
      <c r="CL83" s="1312">
        <f t="shared" si="141"/>
        <v>1258.5403892039999</v>
      </c>
      <c r="CM83" s="890">
        <f t="shared" si="135"/>
        <v>1360.0942093199999</v>
      </c>
      <c r="CN83" s="890">
        <f t="shared" si="136"/>
        <v>101.553820116</v>
      </c>
      <c r="CO83" s="890">
        <f t="shared" si="116"/>
        <v>1258540.3892039999</v>
      </c>
      <c r="CP83" s="890">
        <f t="shared" si="117"/>
        <v>1199569.44786</v>
      </c>
      <c r="CQ83" s="890">
        <f t="shared" si="118"/>
        <v>1199569.44786</v>
      </c>
      <c r="CR83" s="890">
        <f t="shared" si="119"/>
        <v>758891.39355599985</v>
      </c>
      <c r="CS83" s="890">
        <f t="shared" si="120"/>
        <v>1360094.2093199999</v>
      </c>
      <c r="CT83" s="890">
        <f t="shared" si="121"/>
        <v>1360094.2093199999</v>
      </c>
      <c r="CU83" s="890">
        <f t="shared" si="122"/>
        <v>499648.99564799998</v>
      </c>
      <c r="CV83" s="890">
        <f t="shared" si="137"/>
        <v>2559663.6571800001</v>
      </c>
      <c r="CW83" s="978">
        <f t="shared" si="138"/>
        <v>7073.5320000000002</v>
      </c>
      <c r="CX83" s="890">
        <f t="shared" si="123"/>
        <v>0</v>
      </c>
      <c r="CY83" s="890">
        <f t="shared" si="124"/>
        <v>0</v>
      </c>
      <c r="CZ83" s="890"/>
      <c r="DA83" s="890">
        <f t="shared" si="125"/>
        <v>1199569.44786</v>
      </c>
      <c r="DB83" s="890">
        <f t="shared" si="126"/>
        <v>1360094.2093199999</v>
      </c>
      <c r="DC83" s="840"/>
      <c r="DD83" s="841" t="e">
        <f t="shared" si="139"/>
        <v>#DIV/0!</v>
      </c>
      <c r="DE83" s="840"/>
      <c r="DF83" s="840"/>
      <c r="DG83" s="840"/>
      <c r="DH83" s="1050"/>
      <c r="DI83" s="1050"/>
      <c r="DJ83" s="1050"/>
      <c r="DK83" s="945"/>
      <c r="DL83" s="975">
        <f t="shared" si="127"/>
        <v>0</v>
      </c>
      <c r="DM83" s="975">
        <f t="shared" si="128"/>
        <v>0</v>
      </c>
      <c r="DN83" s="975">
        <f t="shared" si="129"/>
        <v>0</v>
      </c>
      <c r="DO83" s="816"/>
      <c r="DP83" s="871"/>
      <c r="DQ83" s="871"/>
      <c r="DR83" s="871"/>
      <c r="DS83" s="871"/>
      <c r="DT83" s="871"/>
      <c r="DU83" s="871"/>
      <c r="DV83" s="871"/>
      <c r="DW83" s="871"/>
      <c r="DX83" s="871"/>
      <c r="DY83" s="871"/>
      <c r="DZ83" s="871"/>
      <c r="EA83" s="871"/>
      <c r="EB83" s="871"/>
      <c r="EC83" s="871"/>
      <c r="ED83" s="871"/>
      <c r="EE83" s="871"/>
      <c r="EF83" s="871"/>
      <c r="EG83" s="871"/>
      <c r="EH83" s="871"/>
      <c r="EI83" s="871"/>
      <c r="EJ83" s="871"/>
      <c r="EK83" s="871"/>
      <c r="EL83" s="871"/>
    </row>
    <row r="84" spans="1:191" s="869" customFormat="1" ht="76.5" hidden="1" customHeight="1">
      <c r="A84" s="6">
        <f t="shared" si="140"/>
        <v>71</v>
      </c>
      <c r="B84" s="849" t="s">
        <v>29</v>
      </c>
      <c r="C84" s="1309" t="s">
        <v>114</v>
      </c>
      <c r="D84" s="1262" t="s">
        <v>141</v>
      </c>
      <c r="E84" s="887">
        <v>4632024035</v>
      </c>
      <c r="F84" s="886" t="s">
        <v>8</v>
      </c>
      <c r="G84" s="1238" t="s">
        <v>983</v>
      </c>
      <c r="H84" s="1256">
        <v>3314.9639999999995</v>
      </c>
      <c r="I84" s="1257">
        <f>H84</f>
        <v>3314.9639999999995</v>
      </c>
      <c r="J84" s="1263">
        <v>2950.21</v>
      </c>
      <c r="K84" s="891"/>
      <c r="L84" s="1256">
        <v>3314.9639999999995</v>
      </c>
      <c r="M84" s="946"/>
      <c r="N84" s="1259">
        <f>3132.14*1.2</f>
        <v>3758.5679999999998</v>
      </c>
      <c r="O84" s="1260">
        <f>N84</f>
        <v>3758.5679999999998</v>
      </c>
      <c r="P84" s="1264">
        <v>2979.71</v>
      </c>
      <c r="Q84" s="891"/>
      <c r="R84" s="891">
        <f>O84</f>
        <v>3758.5679999999998</v>
      </c>
      <c r="S84" s="946"/>
      <c r="T84" s="1307">
        <v>141.696</v>
      </c>
      <c r="U84" s="1384">
        <v>148.92600000000002</v>
      </c>
      <c r="V84" s="1384"/>
      <c r="W84" s="894"/>
      <c r="X84" s="894"/>
      <c r="Y84" s="894"/>
      <c r="Z84" s="972">
        <f t="shared" si="130"/>
        <v>290.62200000000001</v>
      </c>
      <c r="AA84" s="1386">
        <v>0</v>
      </c>
      <c r="AB84" s="1384">
        <v>111.6</v>
      </c>
      <c r="AC84" s="1366"/>
      <c r="AD84" s="890"/>
      <c r="AE84" s="890"/>
      <c r="AF84" s="890"/>
      <c r="AG84" s="951">
        <f t="shared" si="131"/>
        <v>111.6</v>
      </c>
      <c r="AH84" s="947">
        <f t="shared" si="143"/>
        <v>402.22199999999998</v>
      </c>
      <c r="AI84" s="890">
        <f t="shared" si="73"/>
        <v>141.696</v>
      </c>
      <c r="AJ84" s="890">
        <f t="shared" si="73"/>
        <v>260.52600000000001</v>
      </c>
      <c r="AK84" s="890">
        <f t="shared" si="73"/>
        <v>0</v>
      </c>
      <c r="AL84" s="890">
        <f t="shared" si="73"/>
        <v>0</v>
      </c>
      <c r="AM84" s="890">
        <f t="shared" ref="AI84:AN137" si="150">X84+AE84</f>
        <v>0</v>
      </c>
      <c r="AN84" s="890"/>
      <c r="AO84" s="890">
        <f t="shared" si="70"/>
        <v>402.22199999999998</v>
      </c>
      <c r="AP84" s="890">
        <f t="shared" si="71"/>
        <v>402.22199999999998</v>
      </c>
      <c r="AQ84" s="952">
        <f t="shared" si="98"/>
        <v>402.22199999999998</v>
      </c>
      <c r="AR84" s="973">
        <f t="shared" si="132"/>
        <v>0</v>
      </c>
      <c r="AS84" s="889">
        <f t="shared" si="87"/>
        <v>469717.13894399995</v>
      </c>
      <c r="AT84" s="890">
        <f t="shared" si="87"/>
        <v>768606.41046000004</v>
      </c>
      <c r="AU84" s="890">
        <f t="shared" si="87"/>
        <v>0</v>
      </c>
      <c r="AV84" s="890">
        <f t="shared" si="87"/>
        <v>0</v>
      </c>
      <c r="AW84" s="890">
        <f t="shared" si="87"/>
        <v>0</v>
      </c>
      <c r="AX84" s="890">
        <f t="shared" si="99"/>
        <v>1238323.5494039999</v>
      </c>
      <c r="AY84" s="890">
        <f t="shared" si="100"/>
        <v>1238323.5494039999</v>
      </c>
      <c r="AZ84" s="890">
        <f t="shared" si="88"/>
        <v>532574.05132799991</v>
      </c>
      <c r="BA84" s="890">
        <f t="shared" si="88"/>
        <v>776291.92746000004</v>
      </c>
      <c r="BB84" s="890">
        <f t="shared" si="88"/>
        <v>0</v>
      </c>
      <c r="BC84" s="890">
        <f t="shared" si="88"/>
        <v>0</v>
      </c>
      <c r="BD84" s="890">
        <f t="shared" si="88"/>
        <v>0</v>
      </c>
      <c r="BE84" s="890">
        <f t="shared" si="101"/>
        <v>1308865.9787880001</v>
      </c>
      <c r="BF84" s="952">
        <f t="shared" si="102"/>
        <v>1308865.9787880001</v>
      </c>
      <c r="BG84" s="953">
        <f>(H84-J84)/1.2*U84/1000+(H84-K84)/1.2*V84/1000</f>
        <v>45.267795169999943</v>
      </c>
      <c r="BH84" s="954">
        <f>(O84-P84)*AB84/1000/1.2+(O84-Q84)/1.2*AC84/1000</f>
        <v>72.433793999999978</v>
      </c>
      <c r="BI84" s="955">
        <f>BG84+BH84</f>
        <v>117.70158916999992</v>
      </c>
      <c r="BJ84" s="955"/>
      <c r="BK84" s="1197"/>
      <c r="BL84" s="890">
        <f t="shared" si="108"/>
        <v>469717.13894399995</v>
      </c>
      <c r="BM84" s="890">
        <f t="shared" si="108"/>
        <v>439362.97446000006</v>
      </c>
      <c r="BN84" s="890">
        <f t="shared" si="108"/>
        <v>0</v>
      </c>
      <c r="BO84" s="890">
        <f t="shared" si="108"/>
        <v>0</v>
      </c>
      <c r="BP84" s="890">
        <f t="shared" si="108"/>
        <v>0</v>
      </c>
      <c r="BQ84" s="890">
        <f t="shared" si="144"/>
        <v>909080.11340399995</v>
      </c>
      <c r="BR84" s="890">
        <f t="shared" si="145"/>
        <v>909080.11340399995</v>
      </c>
      <c r="BS84" s="890">
        <f t="shared" si="109"/>
        <v>0</v>
      </c>
      <c r="BT84" s="890">
        <f t="shared" si="109"/>
        <v>332535.636</v>
      </c>
      <c r="BU84" s="890">
        <f t="shared" si="109"/>
        <v>0</v>
      </c>
      <c r="BV84" s="890">
        <f t="shared" si="146"/>
        <v>0</v>
      </c>
      <c r="BW84" s="890">
        <f t="shared" si="112"/>
        <v>0</v>
      </c>
      <c r="BX84" s="890">
        <f t="shared" si="147"/>
        <v>332535.636</v>
      </c>
      <c r="BY84" s="890">
        <f t="shared" si="148"/>
        <v>332535.636</v>
      </c>
      <c r="BZ84" s="945">
        <f t="shared" si="110"/>
        <v>771898.61046000011</v>
      </c>
      <c r="CA84" s="945">
        <f t="shared" si="110"/>
        <v>0</v>
      </c>
      <c r="CB84" s="945">
        <f t="shared" si="149"/>
        <v>771898.61046000011</v>
      </c>
      <c r="CC84" s="976">
        <f t="shared" si="111"/>
        <v>2962.8467425899912</v>
      </c>
      <c r="CD84" s="976" t="e">
        <f t="shared" si="111"/>
        <v>#DIV/0!</v>
      </c>
      <c r="CE84" s="976">
        <f t="shared" si="133"/>
        <v>2962.8467425899912</v>
      </c>
      <c r="CF84" s="976">
        <f t="shared" si="113"/>
        <v>2962.8467425899912</v>
      </c>
      <c r="CG84" s="977">
        <f t="shared" si="114"/>
        <v>913140.51746399992</v>
      </c>
      <c r="CH84" s="977">
        <f t="shared" si="134"/>
        <v>3504.9880528776393</v>
      </c>
      <c r="CI84" s="945"/>
      <c r="CJ84" s="1312">
        <f>H84*Z84/1000</f>
        <v>963.40146760799996</v>
      </c>
      <c r="CK84" s="1312">
        <f t="shared" si="115"/>
        <v>419.45618879999995</v>
      </c>
      <c r="CL84" s="1312">
        <f t="shared" si="141"/>
        <v>1382.8576564079999</v>
      </c>
      <c r="CM84" s="890">
        <f t="shared" si="135"/>
        <v>1511.7787380959999</v>
      </c>
      <c r="CN84" s="890">
        <f t="shared" si="136"/>
        <v>128.92108168799996</v>
      </c>
      <c r="CO84" s="890">
        <f t="shared" si="116"/>
        <v>1382857.6564079998</v>
      </c>
      <c r="CP84" s="890">
        <f t="shared" si="117"/>
        <v>1238323.5494039999</v>
      </c>
      <c r="CQ84" s="890">
        <f t="shared" si="118"/>
        <v>1238323.5494039999</v>
      </c>
      <c r="CR84" s="890">
        <f t="shared" si="119"/>
        <v>909080.11340399995</v>
      </c>
      <c r="CS84" s="890">
        <f t="shared" si="120"/>
        <v>1308865.9787880001</v>
      </c>
      <c r="CT84" s="890">
        <f t="shared" si="121"/>
        <v>1308865.9787880001</v>
      </c>
      <c r="CU84" s="890">
        <f t="shared" si="122"/>
        <v>332535.636</v>
      </c>
      <c r="CV84" s="890">
        <f t="shared" si="137"/>
        <v>2547189.528192</v>
      </c>
      <c r="CW84" s="978">
        <f t="shared" si="138"/>
        <v>6332.7951434580909</v>
      </c>
      <c r="CX84" s="890">
        <f t="shared" si="123"/>
        <v>768606.41046000004</v>
      </c>
      <c r="CY84" s="890">
        <f t="shared" si="124"/>
        <v>776291.92746000004</v>
      </c>
      <c r="CZ84" s="890"/>
      <c r="DA84" s="890">
        <f t="shared" si="125"/>
        <v>1333351.4500079998</v>
      </c>
      <c r="DB84" s="890">
        <f t="shared" si="126"/>
        <v>1511778.7380959999</v>
      </c>
      <c r="DC84" s="840"/>
      <c r="DD84" s="841">
        <f t="shared" si="139"/>
        <v>127.40001559211038</v>
      </c>
      <c r="DE84" s="840"/>
      <c r="DF84" s="840"/>
      <c r="DG84" s="840"/>
      <c r="DH84" s="1050"/>
      <c r="DI84" s="1050"/>
      <c r="DJ84" s="1050"/>
      <c r="DK84" s="945"/>
      <c r="DL84" s="975">
        <f t="shared" si="127"/>
        <v>0</v>
      </c>
      <c r="DM84" s="975">
        <f t="shared" si="128"/>
        <v>0</v>
      </c>
      <c r="DN84" s="975">
        <f t="shared" si="129"/>
        <v>0</v>
      </c>
      <c r="DO84" s="816"/>
      <c r="DP84" s="871"/>
      <c r="DQ84" s="871"/>
      <c r="DR84" s="871"/>
      <c r="DS84" s="871"/>
      <c r="DT84" s="871"/>
      <c r="DU84" s="871"/>
      <c r="DV84" s="871"/>
      <c r="DW84" s="871"/>
      <c r="DX84" s="871"/>
      <c r="DY84" s="871"/>
      <c r="DZ84" s="871"/>
      <c r="EA84" s="871"/>
      <c r="EB84" s="871"/>
      <c r="EC84" s="871"/>
      <c r="ED84" s="871"/>
      <c r="EE84" s="871"/>
      <c r="EF84" s="871"/>
      <c r="EG84" s="871"/>
      <c r="EH84" s="871"/>
      <c r="EI84" s="871"/>
      <c r="EJ84" s="871"/>
      <c r="EK84" s="871"/>
      <c r="EL84" s="871"/>
    </row>
    <row r="85" spans="1:191" s="50" customFormat="1" ht="71.25" hidden="1" customHeight="1">
      <c r="A85" s="6">
        <f t="shared" si="140"/>
        <v>72</v>
      </c>
      <c r="B85" s="886" t="s">
        <v>30</v>
      </c>
      <c r="C85" s="886" t="s">
        <v>58</v>
      </c>
      <c r="D85" s="1206" t="s">
        <v>187</v>
      </c>
      <c r="E85" s="1207">
        <v>4620014875</v>
      </c>
      <c r="F85" s="886" t="s">
        <v>8</v>
      </c>
      <c r="G85" s="888" t="s">
        <v>951</v>
      </c>
      <c r="H85" s="1249">
        <v>3140.41</v>
      </c>
      <c r="I85" s="1250">
        <v>3140.41</v>
      </c>
      <c r="J85" s="891">
        <v>2439.0591660000005</v>
      </c>
      <c r="K85" s="891">
        <v>2146.2878970000002</v>
      </c>
      <c r="L85" s="891">
        <v>3140.41</v>
      </c>
      <c r="M85" s="946">
        <v>0</v>
      </c>
      <c r="N85" s="959">
        <v>3177.82</v>
      </c>
      <c r="O85" s="891">
        <v>3177.82</v>
      </c>
      <c r="P85" s="891">
        <v>2670.77</v>
      </c>
      <c r="Q85" s="891">
        <v>2455.14</v>
      </c>
      <c r="R85" s="891">
        <v>3177.82</v>
      </c>
      <c r="S85" s="946">
        <v>0</v>
      </c>
      <c r="T85" s="935">
        <v>7557.3</v>
      </c>
      <c r="U85" s="931">
        <v>11066.73</v>
      </c>
      <c r="V85" s="928">
        <v>345.45</v>
      </c>
      <c r="W85" s="928">
        <v>707.17</v>
      </c>
      <c r="X85" s="931">
        <v>0</v>
      </c>
      <c r="Y85" s="931">
        <v>0</v>
      </c>
      <c r="Z85" s="949">
        <f>SUM(T85:W85)</f>
        <v>19676.649999999998</v>
      </c>
      <c r="AA85" s="939">
        <v>5389.19</v>
      </c>
      <c r="AB85" s="931">
        <v>7597.99</v>
      </c>
      <c r="AC85" s="928">
        <v>203.92</v>
      </c>
      <c r="AD85" s="928">
        <v>301.64</v>
      </c>
      <c r="AE85" s="931">
        <v>0</v>
      </c>
      <c r="AF85" s="931">
        <v>0</v>
      </c>
      <c r="AG85" s="951">
        <f>SUM(AA85:AD85)</f>
        <v>13492.74</v>
      </c>
      <c r="AH85" s="947">
        <f>Z85+AG85</f>
        <v>33169.39</v>
      </c>
      <c r="AI85" s="890">
        <f>T85+AA85</f>
        <v>12946.49</v>
      </c>
      <c r="AJ85" s="890">
        <f t="shared" si="150"/>
        <v>18664.72</v>
      </c>
      <c r="AK85" s="890">
        <f t="shared" si="150"/>
        <v>549.37</v>
      </c>
      <c r="AL85" s="890">
        <f t="shared" si="150"/>
        <v>1008.81</v>
      </c>
      <c r="AM85" s="890">
        <f t="shared" si="150"/>
        <v>0</v>
      </c>
      <c r="AN85" s="890">
        <v>0</v>
      </c>
      <c r="AO85" s="890">
        <f>SUM(AI85:AN85)</f>
        <v>33169.39</v>
      </c>
      <c r="AP85" s="890">
        <f>SUM(AI85:AM85)</f>
        <v>33169.39</v>
      </c>
      <c r="AQ85" s="952">
        <f>SUM(AI85:AL85)</f>
        <v>33169.39</v>
      </c>
      <c r="AR85" s="973">
        <f t="shared" si="132"/>
        <v>0</v>
      </c>
      <c r="AS85" s="889">
        <f t="shared" si="87"/>
        <v>40657286.660899997</v>
      </c>
      <c r="AT85" s="890">
        <f t="shared" si="87"/>
        <v>45524356.396823533</v>
      </c>
      <c r="AU85" s="890">
        <f t="shared" si="87"/>
        <v>1179106.1819748902</v>
      </c>
      <c r="AV85" s="890">
        <f t="shared" si="87"/>
        <v>3168077.0120999995</v>
      </c>
      <c r="AW85" s="890">
        <f t="shared" si="87"/>
        <v>0</v>
      </c>
      <c r="AX85" s="890">
        <f t="shared" si="99"/>
        <v>90528826.251798406</v>
      </c>
      <c r="AY85" s="890">
        <f t="shared" si="100"/>
        <v>90528826.251798406</v>
      </c>
      <c r="AZ85" s="890">
        <f t="shared" si="88"/>
        <v>41141614.851800002</v>
      </c>
      <c r="BA85" s="890">
        <f t="shared" si="88"/>
        <v>49849174.234400004</v>
      </c>
      <c r="BB85" s="890">
        <f t="shared" si="88"/>
        <v>1348780.2618</v>
      </c>
      <c r="BC85" s="890">
        <f t="shared" si="88"/>
        <v>3205816.5942000002</v>
      </c>
      <c r="BD85" s="890">
        <f t="shared" si="88"/>
        <v>0</v>
      </c>
      <c r="BE85" s="890">
        <f t="shared" si="101"/>
        <v>95545385.942200005</v>
      </c>
      <c r="BF85" s="952">
        <f t="shared" si="102"/>
        <v>95545385.942200005</v>
      </c>
      <c r="BG85" s="950">
        <v>8105.12</v>
      </c>
      <c r="BH85" s="948">
        <v>3999.9119999999998</v>
      </c>
      <c r="BI85" s="948">
        <v>12105.031999999999</v>
      </c>
      <c r="BJ85" s="894">
        <v>104670.28</v>
      </c>
      <c r="BK85" s="1200">
        <v>117889.14</v>
      </c>
      <c r="BL85" s="897">
        <f>I85*T85</f>
        <v>23733020.493000001</v>
      </c>
      <c r="BM85" s="897">
        <f t="shared" si="108"/>
        <v>26992409.244147185</v>
      </c>
      <c r="BN85" s="897">
        <f t="shared" si="108"/>
        <v>741435.15401865006</v>
      </c>
      <c r="BO85" s="897">
        <f t="shared" si="108"/>
        <v>2220803.7396999998</v>
      </c>
      <c r="BP85" s="897">
        <f t="shared" si="108"/>
        <v>0</v>
      </c>
      <c r="BQ85" s="897">
        <f t="shared" si="144"/>
        <v>53687668.630865827</v>
      </c>
      <c r="BR85" s="897">
        <f t="shared" si="145"/>
        <v>53687668.630865827</v>
      </c>
      <c r="BS85" s="897">
        <f t="shared" si="109"/>
        <v>17125875.765799999</v>
      </c>
      <c r="BT85" s="897">
        <f t="shared" si="109"/>
        <v>20292483.752299998</v>
      </c>
      <c r="BU85" s="897">
        <f t="shared" si="109"/>
        <v>500652.14879999997</v>
      </c>
      <c r="BV85" s="897">
        <f t="shared" si="146"/>
        <v>2247258.9693999998</v>
      </c>
      <c r="BW85" s="897">
        <f t="shared" si="112"/>
        <v>0</v>
      </c>
      <c r="BX85" s="897">
        <f t="shared" si="147"/>
        <v>40166270.636299998</v>
      </c>
      <c r="BY85" s="897">
        <f t="shared" si="148"/>
        <v>40166270.636299998</v>
      </c>
      <c r="BZ85" s="905">
        <f t="shared" si="110"/>
        <v>47284892.996447183</v>
      </c>
      <c r="CA85" s="905">
        <f t="shared" si="110"/>
        <v>1242087.3028186499</v>
      </c>
      <c r="CB85" s="905">
        <f t="shared" si="149"/>
        <v>48526980.299265832</v>
      </c>
      <c r="CC85" s="907">
        <f t="shared" si="111"/>
        <v>2533.3834633708507</v>
      </c>
      <c r="CD85" s="907">
        <f t="shared" si="111"/>
        <v>2260.9303435183028</v>
      </c>
      <c r="CE85" s="907">
        <f t="shared" si="133"/>
        <v>2525.5934732930796</v>
      </c>
      <c r="CF85" s="907">
        <f t="shared" si="113"/>
        <v>2525.5934732930805</v>
      </c>
      <c r="CG85" s="923">
        <f t="shared" si="114"/>
        <v>60631989.829999998</v>
      </c>
      <c r="CH85" s="923">
        <f t="shared" si="134"/>
        <v>3155.6003864872077</v>
      </c>
      <c r="CI85" s="979"/>
      <c r="CJ85" s="897">
        <f t="shared" ref="CJ85:CJ143" si="151">N85*Z85/1000</f>
        <v>62528.851902999995</v>
      </c>
      <c r="CK85" s="897">
        <f t="shared" si="115"/>
        <v>42877.499026799996</v>
      </c>
      <c r="CL85" s="897">
        <f t="shared" si="141"/>
        <v>105406.35092979998</v>
      </c>
      <c r="CM85" s="897">
        <f t="shared" si="135"/>
        <v>105406.3509298</v>
      </c>
      <c r="CN85" s="897">
        <f t="shared" si="136"/>
        <v>0</v>
      </c>
      <c r="CO85" s="897">
        <f t="shared" si="116"/>
        <v>104670247.4533</v>
      </c>
      <c r="CP85" s="897">
        <f t="shared" si="117"/>
        <v>90528826.251798406</v>
      </c>
      <c r="CQ85" s="897">
        <f t="shared" si="118"/>
        <v>90689666.00384894</v>
      </c>
      <c r="CR85" s="897">
        <f t="shared" si="119"/>
        <v>53687668.630865827</v>
      </c>
      <c r="CS85" s="897">
        <f t="shared" si="120"/>
        <v>95545385.942200005</v>
      </c>
      <c r="CT85" s="897">
        <f t="shared" si="121"/>
        <v>95663846.595300004</v>
      </c>
      <c r="CU85" s="897">
        <f t="shared" si="122"/>
        <v>38877569.291699991</v>
      </c>
      <c r="CV85" s="897">
        <f t="shared" si="137"/>
        <v>186074212.1939984</v>
      </c>
      <c r="CW85" s="906">
        <f t="shared" si="138"/>
        <v>5609.8171294075173</v>
      </c>
      <c r="CX85" s="897">
        <f t="shared" si="123"/>
        <v>46703462.578798421</v>
      </c>
      <c r="CY85" s="897">
        <f t="shared" si="124"/>
        <v>51197954.496200003</v>
      </c>
      <c r="CZ85" s="897"/>
      <c r="DA85" s="897">
        <f t="shared" si="125"/>
        <v>104165484.04990001</v>
      </c>
      <c r="DB85" s="897">
        <f t="shared" si="126"/>
        <v>105406350.9298</v>
      </c>
      <c r="DC85" s="1131"/>
      <c r="DD85" s="40">
        <f t="shared" si="139"/>
        <v>130.28876233500927</v>
      </c>
      <c r="DE85" s="1131"/>
      <c r="DF85" s="1131"/>
      <c r="DG85" s="1131"/>
      <c r="DH85" s="1043">
        <v>31206.009999999995</v>
      </c>
      <c r="DI85" s="1043">
        <v>17533.340000000004</v>
      </c>
      <c r="DJ85" s="1043">
        <f t="shared" si="142"/>
        <v>13672.669999999991</v>
      </c>
      <c r="DK85" s="979"/>
      <c r="DL85" s="908">
        <f t="shared" si="127"/>
        <v>0</v>
      </c>
      <c r="DM85" s="908">
        <f t="shared" si="128"/>
        <v>0</v>
      </c>
      <c r="DN85" s="908">
        <f t="shared" si="129"/>
        <v>0</v>
      </c>
      <c r="DO85" s="81"/>
      <c r="DP85" s="81"/>
      <c r="DQ85" s="81"/>
      <c r="DR85" s="81"/>
      <c r="DS85" s="81"/>
      <c r="DT85" s="81"/>
      <c r="DU85" s="81"/>
      <c r="DV85" s="81"/>
      <c r="DW85" s="81"/>
      <c r="DX85" s="81"/>
      <c r="DY85" s="81"/>
      <c r="DZ85" s="81"/>
      <c r="EA85" s="81"/>
      <c r="EB85" s="81"/>
      <c r="EC85" s="81"/>
      <c r="ED85" s="81"/>
      <c r="EE85" s="81"/>
      <c r="EF85" s="81"/>
      <c r="EG85" s="81"/>
      <c r="EH85" s="81"/>
      <c r="EI85" s="81"/>
      <c r="EJ85" s="81"/>
      <c r="EK85" s="81"/>
      <c r="EL85" s="81"/>
    </row>
    <row r="86" spans="1:191" s="50" customFormat="1" ht="75" hidden="1" customHeight="1">
      <c r="A86" s="6">
        <f t="shared" si="140"/>
        <v>73</v>
      </c>
      <c r="B86" s="1219"/>
      <c r="C86" s="1219" t="s">
        <v>260</v>
      </c>
      <c r="D86" s="1219" t="s">
        <v>31</v>
      </c>
      <c r="E86" s="1221">
        <v>4620001192</v>
      </c>
      <c r="F86" s="1219" t="s">
        <v>8</v>
      </c>
      <c r="G86" s="1222" t="s">
        <v>965</v>
      </c>
      <c r="H86" s="1241">
        <v>2050.1880000000001</v>
      </c>
      <c r="I86" s="1242">
        <v>2050.1880000000001</v>
      </c>
      <c r="J86" s="891">
        <v>1896.4199999999998</v>
      </c>
      <c r="K86" s="891">
        <v>1896.4199999999998</v>
      </c>
      <c r="L86" s="891">
        <v>2050.1880000000001</v>
      </c>
      <c r="M86" s="926">
        <v>0</v>
      </c>
      <c r="N86" s="927">
        <f>2050.18893913138*1.2</f>
        <v>2460.2267269576555</v>
      </c>
      <c r="O86" s="928">
        <f>N86</f>
        <v>2460.2267269576555</v>
      </c>
      <c r="P86" s="928">
        <f>1807.92494615735*1.2</f>
        <v>2169.5099353888199</v>
      </c>
      <c r="Q86" s="928">
        <f>P86</f>
        <v>2169.5099353888199</v>
      </c>
      <c r="R86" s="891">
        <f>O86</f>
        <v>2460.2267269576555</v>
      </c>
      <c r="S86" s="926">
        <v>0</v>
      </c>
      <c r="T86" s="903">
        <v>2390.88</v>
      </c>
      <c r="U86" s="987">
        <v>4364.71</v>
      </c>
      <c r="V86" s="1006">
        <v>707.27999999999975</v>
      </c>
      <c r="W86" s="897">
        <v>625.04</v>
      </c>
      <c r="X86" s="897">
        <v>0</v>
      </c>
      <c r="Y86" s="987">
        <v>4797.92</v>
      </c>
      <c r="Z86" s="898">
        <f t="shared" si="130"/>
        <v>8087.91</v>
      </c>
      <c r="AA86" s="904">
        <v>1905.9</v>
      </c>
      <c r="AB86" s="987">
        <v>3273.54</v>
      </c>
      <c r="AC86" s="987">
        <v>707.27999999999975</v>
      </c>
      <c r="AD86" s="897">
        <v>471.22</v>
      </c>
      <c r="AE86" s="897">
        <v>0</v>
      </c>
      <c r="AF86" s="987">
        <v>3767.16</v>
      </c>
      <c r="AG86" s="900">
        <f t="shared" si="131"/>
        <v>6357.9400000000005</v>
      </c>
      <c r="AH86" s="896">
        <f t="shared" si="143"/>
        <v>14445.85</v>
      </c>
      <c r="AI86" s="897">
        <f t="shared" si="150"/>
        <v>4296.7800000000007</v>
      </c>
      <c r="AJ86" s="897">
        <f t="shared" si="150"/>
        <v>7638.25</v>
      </c>
      <c r="AK86" s="897">
        <f t="shared" si="150"/>
        <v>1414.5599999999995</v>
      </c>
      <c r="AL86" s="897">
        <f t="shared" si="150"/>
        <v>1096.26</v>
      </c>
      <c r="AM86" s="897">
        <f t="shared" si="150"/>
        <v>0</v>
      </c>
      <c r="AN86" s="897">
        <f t="shared" si="150"/>
        <v>8565.08</v>
      </c>
      <c r="AO86" s="897">
        <f t="shared" si="70"/>
        <v>23010.93</v>
      </c>
      <c r="AP86" s="897">
        <f t="shared" si="71"/>
        <v>14445.85</v>
      </c>
      <c r="AQ86" s="901">
        <f t="shared" si="98"/>
        <v>14445.85</v>
      </c>
      <c r="AR86" s="902">
        <f t="shared" si="132"/>
        <v>0</v>
      </c>
      <c r="AS86" s="903">
        <f t="shared" si="87"/>
        <v>8809206.7946400009</v>
      </c>
      <c r="AT86" s="897">
        <f t="shared" si="87"/>
        <v>14485330.064999999</v>
      </c>
      <c r="AU86" s="897">
        <f t="shared" si="87"/>
        <v>2682599.8751999987</v>
      </c>
      <c r="AV86" s="897">
        <f t="shared" si="87"/>
        <v>2247539.0968800001</v>
      </c>
      <c r="AW86" s="897">
        <f t="shared" si="87"/>
        <v>0</v>
      </c>
      <c r="AX86" s="897">
        <f t="shared" si="99"/>
        <v>28224675.831720002</v>
      </c>
      <c r="AY86" s="897">
        <f t="shared" si="100"/>
        <v>28224675.831720002</v>
      </c>
      <c r="AZ86" s="897">
        <f t="shared" si="88"/>
        <v>10571052.995857116</v>
      </c>
      <c r="BA86" s="897">
        <f t="shared" si="88"/>
        <v>16571259.263983654</v>
      </c>
      <c r="BB86" s="897">
        <f t="shared" si="88"/>
        <v>3068901.974203608</v>
      </c>
      <c r="BC86" s="897">
        <f t="shared" si="88"/>
        <v>2697048.1516945995</v>
      </c>
      <c r="BD86" s="897">
        <f t="shared" si="88"/>
        <v>0</v>
      </c>
      <c r="BE86" s="897">
        <f t="shared" si="101"/>
        <v>32908262.38573898</v>
      </c>
      <c r="BF86" s="901">
        <f t="shared" si="102"/>
        <v>32908262.38573898</v>
      </c>
      <c r="BG86" s="899">
        <v>649.90861233655869</v>
      </c>
      <c r="BH86" s="922">
        <v>964.40934851085399</v>
      </c>
      <c r="BI86" s="922">
        <f>BG86+BH86</f>
        <v>1614.3179608474127</v>
      </c>
      <c r="BJ86" s="897">
        <v>34826.84702621006</v>
      </c>
      <c r="BK86" s="1194">
        <v>42449.653741911432</v>
      </c>
      <c r="BL86" s="897">
        <f t="shared" si="108"/>
        <v>4901753.4854400009</v>
      </c>
      <c r="BM86" s="897">
        <f>J86*U86</f>
        <v>8277323.3381999992</v>
      </c>
      <c r="BN86" s="897">
        <f>K86*V86</f>
        <v>1341299.9375999994</v>
      </c>
      <c r="BO86" s="897">
        <f>L86*W86</f>
        <v>1281449.50752</v>
      </c>
      <c r="BP86" s="897">
        <f t="shared" si="108"/>
        <v>0</v>
      </c>
      <c r="BQ86" s="897">
        <f>BL86+BM86+BN86+BO86+BP86</f>
        <v>15801826.268759999</v>
      </c>
      <c r="BR86" s="897">
        <f>BQ86-BP86</f>
        <v>15801826.268759999</v>
      </c>
      <c r="BS86" s="897">
        <f t="shared" si="109"/>
        <v>4688946.1189085962</v>
      </c>
      <c r="BT86" s="897">
        <f t="shared" si="109"/>
        <v>7101977.5538927177</v>
      </c>
      <c r="BU86" s="897">
        <f t="shared" si="109"/>
        <v>1534450.987101804</v>
      </c>
      <c r="BV86" s="897">
        <f t="shared" si="146"/>
        <v>1537740.1134176129</v>
      </c>
      <c r="BW86" s="897">
        <f t="shared" si="112"/>
        <v>0</v>
      </c>
      <c r="BX86" s="897">
        <f t="shared" si="147"/>
        <v>14863114.773320731</v>
      </c>
      <c r="BY86" s="897">
        <f t="shared" si="148"/>
        <v>14863114.773320731</v>
      </c>
      <c r="BZ86" s="905">
        <f t="shared" si="110"/>
        <v>15379300.892092716</v>
      </c>
      <c r="CA86" s="905">
        <f t="shared" si="110"/>
        <v>2875750.9247018034</v>
      </c>
      <c r="CB86" s="905">
        <f t="shared" si="149"/>
        <v>18255051.816794518</v>
      </c>
      <c r="CC86" s="907">
        <f t="shared" si="111"/>
        <v>2013.4586969649745</v>
      </c>
      <c r="CD86" s="907">
        <f t="shared" si="111"/>
        <v>2032.9649676944098</v>
      </c>
      <c r="CE86" s="907">
        <f t="shared" si="133"/>
        <v>2016.5066776828985</v>
      </c>
      <c r="CF86" s="907">
        <f t="shared" si="113"/>
        <v>2016.5066776828987</v>
      </c>
      <c r="CG86" s="923">
        <f t="shared" si="114"/>
        <v>20192252.793327574</v>
      </c>
      <c r="CH86" s="923">
        <f t="shared" si="134"/>
        <v>2230.4955912393584</v>
      </c>
      <c r="CI86" s="979"/>
      <c r="CJ86" s="897">
        <f t="shared" si="151"/>
        <v>19898.092347228092</v>
      </c>
      <c r="CK86" s="897">
        <f t="shared" si="115"/>
        <v>15641.973916393157</v>
      </c>
      <c r="CL86" s="897">
        <f t="shared" si="141"/>
        <v>35540.066263621251</v>
      </c>
      <c r="CM86" s="897">
        <f t="shared" si="135"/>
        <v>35540.066263621251</v>
      </c>
      <c r="CN86" s="897">
        <f t="shared" si="136"/>
        <v>0</v>
      </c>
      <c r="CO86" s="897">
        <f t="shared" si="116"/>
        <v>32223709.94347316</v>
      </c>
      <c r="CP86" s="897">
        <f t="shared" si="117"/>
        <v>28224675.831720002</v>
      </c>
      <c r="CQ86" s="897">
        <f t="shared" si="118"/>
        <v>28224675.831719998</v>
      </c>
      <c r="CR86" s="897">
        <f t="shared" si="119"/>
        <v>15801826.268759999</v>
      </c>
      <c r="CS86" s="897">
        <f t="shared" si="120"/>
        <v>32908262.38573898</v>
      </c>
      <c r="CT86" s="897">
        <f t="shared" si="121"/>
        <v>32908262.385738976</v>
      </c>
      <c r="CU86" s="897">
        <f t="shared" si="122"/>
        <v>14484682.698180106</v>
      </c>
      <c r="CV86" s="897">
        <f t="shared" si="137"/>
        <v>61132938.217458978</v>
      </c>
      <c r="CW86" s="906">
        <f t="shared" si="138"/>
        <v>4231.8685447695343</v>
      </c>
      <c r="CX86" s="897">
        <f t="shared" si="123"/>
        <v>17167929.940199997</v>
      </c>
      <c r="CY86" s="897">
        <f t="shared" si="124"/>
        <v>19640161.238187261</v>
      </c>
      <c r="CZ86" s="897"/>
      <c r="DA86" s="897">
        <f t="shared" si="125"/>
        <v>29616708.319800001</v>
      </c>
      <c r="DB86" s="897">
        <f t="shared" si="126"/>
        <v>35540066.263621241</v>
      </c>
      <c r="DC86" s="1131"/>
      <c r="DD86" s="40">
        <f t="shared" si="139"/>
        <v>129.73005594528934</v>
      </c>
      <c r="DE86" s="1131"/>
      <c r="DF86" s="1131"/>
      <c r="DG86" s="1131"/>
      <c r="DH86" s="1043">
        <f>AP86</f>
        <v>14445.85</v>
      </c>
      <c r="DI86" s="1043">
        <f>AJ86+AK86</f>
        <v>9052.81</v>
      </c>
      <c r="DJ86" s="1043">
        <f>DH86-DI86</f>
        <v>5393.0400000000009</v>
      </c>
      <c r="DK86" s="979"/>
      <c r="DL86" s="908">
        <f t="shared" si="127"/>
        <v>0</v>
      </c>
      <c r="DM86" s="908">
        <f t="shared" si="128"/>
        <v>0</v>
      </c>
      <c r="DN86" s="908">
        <f t="shared" si="129"/>
        <v>0</v>
      </c>
      <c r="DO86" s="81"/>
      <c r="DP86" s="81"/>
      <c r="DQ86" s="81"/>
      <c r="DR86" s="81"/>
      <c r="DS86" s="81"/>
      <c r="DT86" s="81"/>
      <c r="DU86" s="81"/>
      <c r="DV86" s="81"/>
      <c r="DW86" s="81"/>
      <c r="DX86" s="81"/>
      <c r="DY86" s="81"/>
      <c r="DZ86" s="81"/>
      <c r="EA86" s="81"/>
      <c r="EB86" s="81"/>
      <c r="EC86" s="81"/>
      <c r="ED86" s="81"/>
      <c r="EE86" s="81"/>
      <c r="EF86" s="81"/>
      <c r="EG86" s="81"/>
      <c r="EH86" s="81"/>
      <c r="EI86" s="81"/>
      <c r="EJ86" s="81"/>
      <c r="EK86" s="81"/>
      <c r="EL86" s="81"/>
    </row>
    <row r="87" spans="1:191" s="869" customFormat="1" ht="77.25" hidden="1" customHeight="1">
      <c r="A87" s="6">
        <f t="shared" si="140"/>
        <v>74</v>
      </c>
      <c r="B87" s="956" t="s">
        <v>30</v>
      </c>
      <c r="C87" s="1309" t="s">
        <v>260</v>
      </c>
      <c r="D87" s="1262" t="s">
        <v>141</v>
      </c>
      <c r="E87" s="887">
        <v>4632024035</v>
      </c>
      <c r="F87" s="956" t="s">
        <v>8</v>
      </c>
      <c r="G87" s="1238" t="s">
        <v>983</v>
      </c>
      <c r="H87" s="1256">
        <v>3314.9639999999995</v>
      </c>
      <c r="I87" s="1257">
        <f>H87</f>
        <v>3314.9639999999995</v>
      </c>
      <c r="J87" s="1263">
        <v>2950.21</v>
      </c>
      <c r="K87" s="891"/>
      <c r="L87" s="1256">
        <v>3314.9639999999995</v>
      </c>
      <c r="M87" s="972"/>
      <c r="N87" s="1259">
        <f>3132.14*1.2</f>
        <v>3758.5679999999998</v>
      </c>
      <c r="O87" s="1260">
        <f>N87</f>
        <v>3758.5679999999998</v>
      </c>
      <c r="P87" s="1264">
        <v>2979.71</v>
      </c>
      <c r="Q87" s="891"/>
      <c r="R87" s="891">
        <f>O87</f>
        <v>3758.5679999999998</v>
      </c>
      <c r="S87" s="972"/>
      <c r="T87" s="1307">
        <v>952.01199999999994</v>
      </c>
      <c r="U87" s="1366">
        <v>63.687000000000005</v>
      </c>
      <c r="V87" s="1366"/>
      <c r="W87" s="890"/>
      <c r="X87" s="890"/>
      <c r="Y87" s="890"/>
      <c r="Z87" s="949">
        <f t="shared" si="130"/>
        <v>1015.699</v>
      </c>
      <c r="AA87" s="1308">
        <v>562.6</v>
      </c>
      <c r="AB87" s="1366">
        <v>47.76</v>
      </c>
      <c r="AC87" s="1366"/>
      <c r="AD87" s="890"/>
      <c r="AE87" s="890"/>
      <c r="AF87" s="890"/>
      <c r="AG87" s="951">
        <f t="shared" si="131"/>
        <v>610.36</v>
      </c>
      <c r="AH87" s="947">
        <f t="shared" si="143"/>
        <v>1626.059</v>
      </c>
      <c r="AI87" s="890">
        <f t="shared" si="150"/>
        <v>1514.6120000000001</v>
      </c>
      <c r="AJ87" s="890">
        <f t="shared" si="150"/>
        <v>111.447</v>
      </c>
      <c r="AK87" s="890">
        <f t="shared" si="150"/>
        <v>0</v>
      </c>
      <c r="AL87" s="890">
        <f t="shared" si="150"/>
        <v>0</v>
      </c>
      <c r="AM87" s="890">
        <f t="shared" si="150"/>
        <v>0</v>
      </c>
      <c r="AN87" s="890"/>
      <c r="AO87" s="890">
        <f t="shared" si="70"/>
        <v>1626.0590000000002</v>
      </c>
      <c r="AP87" s="890">
        <f t="shared" si="71"/>
        <v>1626.0590000000002</v>
      </c>
      <c r="AQ87" s="952">
        <f t="shared" si="98"/>
        <v>1626.0590000000002</v>
      </c>
      <c r="AR87" s="973">
        <f t="shared" si="132"/>
        <v>0</v>
      </c>
      <c r="AS87" s="889">
        <f>I87*AI87</f>
        <v>5020884.2539679995</v>
      </c>
      <c r="AT87" s="890">
        <f>J87*AJ87</f>
        <v>328792.05387</v>
      </c>
      <c r="AU87" s="890">
        <f>K87*AK87</f>
        <v>0</v>
      </c>
      <c r="AV87" s="890">
        <f>L87*AL87</f>
        <v>0</v>
      </c>
      <c r="AW87" s="890">
        <f>M87*AM87</f>
        <v>0</v>
      </c>
      <c r="AX87" s="890">
        <f t="shared" si="99"/>
        <v>5349676.3078379994</v>
      </c>
      <c r="AY87" s="890">
        <f t="shared" si="100"/>
        <v>5349676.3078379994</v>
      </c>
      <c r="AZ87" s="890">
        <f>O87*AI87</f>
        <v>5692772.1956160003</v>
      </c>
      <c r="BA87" s="890">
        <f>P87*AJ87</f>
        <v>332079.74037000001</v>
      </c>
      <c r="BB87" s="890">
        <f>Q87*AK87</f>
        <v>0</v>
      </c>
      <c r="BC87" s="890">
        <f>R87*AL87</f>
        <v>0</v>
      </c>
      <c r="BD87" s="890">
        <f>S87*AM87</f>
        <v>0</v>
      </c>
      <c r="BE87" s="890">
        <f t="shared" si="101"/>
        <v>6024851.9359860001</v>
      </c>
      <c r="BF87" s="952">
        <f t="shared" si="102"/>
        <v>6024851.9359860001</v>
      </c>
      <c r="BG87" s="953">
        <f>(H87-J87)/1.2*U87/1000+(H87-K87)/1.2*V87/1000</f>
        <v>19.358406664999972</v>
      </c>
      <c r="BH87" s="954">
        <f>(O87-P87)*AB87/1000/1.2+(O87-Q87)/1.2*AC87/1000</f>
        <v>30.99854839999999</v>
      </c>
      <c r="BI87" s="955">
        <f>BG87+BH87</f>
        <v>50.356955064999966</v>
      </c>
      <c r="BJ87" s="948"/>
      <c r="BK87" s="1202"/>
      <c r="BL87" s="890">
        <f t="shared" si="108"/>
        <v>3155885.5075679994</v>
      </c>
      <c r="BM87" s="890">
        <f t="shared" si="108"/>
        <v>187890.02427000002</v>
      </c>
      <c r="BN87" s="890">
        <f t="shared" si="108"/>
        <v>0</v>
      </c>
      <c r="BO87" s="890">
        <f t="shared" si="108"/>
        <v>0</v>
      </c>
      <c r="BP87" s="890">
        <f t="shared" si="108"/>
        <v>0</v>
      </c>
      <c r="BQ87" s="890">
        <f t="shared" si="144"/>
        <v>3343775.5318379994</v>
      </c>
      <c r="BR87" s="890">
        <f t="shared" si="145"/>
        <v>3343775.5318379994</v>
      </c>
      <c r="BS87" s="890">
        <f t="shared" si="109"/>
        <v>2114570.3567999997</v>
      </c>
      <c r="BT87" s="890">
        <f t="shared" si="109"/>
        <v>142310.94959999999</v>
      </c>
      <c r="BU87" s="890">
        <f t="shared" si="109"/>
        <v>0</v>
      </c>
      <c r="BV87" s="890">
        <f t="shared" si="146"/>
        <v>0</v>
      </c>
      <c r="BW87" s="890">
        <f t="shared" si="112"/>
        <v>0</v>
      </c>
      <c r="BX87" s="890">
        <f t="shared" si="147"/>
        <v>2256881.3063999997</v>
      </c>
      <c r="BY87" s="890">
        <f t="shared" si="148"/>
        <v>2256881.3063999997</v>
      </c>
      <c r="BZ87" s="945">
        <f t="shared" si="110"/>
        <v>330200.97386999999</v>
      </c>
      <c r="CA87" s="945">
        <f t="shared" si="110"/>
        <v>0</v>
      </c>
      <c r="CB87" s="945">
        <f t="shared" si="149"/>
        <v>330200.97386999999</v>
      </c>
      <c r="CC87" s="976">
        <f t="shared" si="111"/>
        <v>2962.8520630434195</v>
      </c>
      <c r="CD87" s="976" t="e">
        <f t="shared" si="111"/>
        <v>#DIV/0!</v>
      </c>
      <c r="CE87" s="976">
        <f t="shared" si="133"/>
        <v>2962.8520630434195</v>
      </c>
      <c r="CF87" s="976">
        <f t="shared" si="113"/>
        <v>2962.8520630434195</v>
      </c>
      <c r="CG87" s="977">
        <f t="shared" si="114"/>
        <v>390629.31994800002</v>
      </c>
      <c r="CH87" s="977">
        <f t="shared" si="134"/>
        <v>3505.0680587902771</v>
      </c>
      <c r="CI87" s="945"/>
      <c r="CJ87" s="1312">
        <f>H87*Z87/1000</f>
        <v>3367.0056198359994</v>
      </c>
      <c r="CK87" s="1312">
        <f t="shared" si="115"/>
        <v>2294.0795644799996</v>
      </c>
      <c r="CL87" s="1312">
        <f t="shared" si="141"/>
        <v>5661.085184315999</v>
      </c>
      <c r="CM87" s="890">
        <f t="shared" si="135"/>
        <v>6111.6533235119987</v>
      </c>
      <c r="CN87" s="890">
        <f t="shared" si="136"/>
        <v>450.56813919599972</v>
      </c>
      <c r="CO87" s="890">
        <f t="shared" si="116"/>
        <v>5661085.184315999</v>
      </c>
      <c r="CP87" s="890">
        <f t="shared" si="117"/>
        <v>5349676.3078379994</v>
      </c>
      <c r="CQ87" s="890">
        <f t="shared" si="118"/>
        <v>5349676.3078379994</v>
      </c>
      <c r="CR87" s="890">
        <f t="shared" si="119"/>
        <v>3343775.5318379994</v>
      </c>
      <c r="CS87" s="890">
        <f t="shared" si="120"/>
        <v>6024851.9359860001</v>
      </c>
      <c r="CT87" s="890">
        <f t="shared" si="121"/>
        <v>6024851.9359860001</v>
      </c>
      <c r="CU87" s="890">
        <f t="shared" si="122"/>
        <v>2256881.3063999997</v>
      </c>
      <c r="CV87" s="890">
        <f t="shared" si="137"/>
        <v>11374528.243824</v>
      </c>
      <c r="CW87" s="978">
        <f t="shared" si="138"/>
        <v>6995.1510024076615</v>
      </c>
      <c r="CX87" s="890">
        <f t="shared" si="123"/>
        <v>328792.05387</v>
      </c>
      <c r="CY87" s="890">
        <f t="shared" si="124"/>
        <v>332079.74037000001</v>
      </c>
      <c r="CZ87" s="890"/>
      <c r="DA87" s="890">
        <f t="shared" si="125"/>
        <v>5390327.0468759993</v>
      </c>
      <c r="DB87" s="890">
        <f t="shared" si="126"/>
        <v>6111653.323512</v>
      </c>
      <c r="DC87" s="840"/>
      <c r="DD87" s="841">
        <f t="shared" si="139"/>
        <v>127.40001559211038</v>
      </c>
      <c r="DE87" s="840"/>
      <c r="DF87" s="840"/>
      <c r="DG87" s="840"/>
      <c r="DH87" s="1050"/>
      <c r="DI87" s="1050"/>
      <c r="DJ87" s="1050"/>
      <c r="DK87" s="945"/>
      <c r="DL87" s="975">
        <f t="shared" si="127"/>
        <v>0</v>
      </c>
      <c r="DM87" s="975">
        <f t="shared" si="128"/>
        <v>0</v>
      </c>
      <c r="DN87" s="975">
        <f t="shared" si="129"/>
        <v>0</v>
      </c>
      <c r="DO87" s="816"/>
      <c r="DP87" s="871"/>
      <c r="DQ87" s="871"/>
      <c r="DR87" s="871"/>
      <c r="DS87" s="871"/>
      <c r="DT87" s="871"/>
      <c r="DU87" s="871"/>
      <c r="DV87" s="871"/>
      <c r="DW87" s="871"/>
      <c r="DX87" s="871"/>
      <c r="DY87" s="871"/>
      <c r="DZ87" s="871"/>
      <c r="EA87" s="871"/>
      <c r="EB87" s="871"/>
      <c r="EC87" s="871"/>
      <c r="ED87" s="871"/>
      <c r="EE87" s="871"/>
      <c r="EF87" s="871"/>
      <c r="EG87" s="871"/>
      <c r="EH87" s="871"/>
      <c r="EI87" s="871"/>
      <c r="EJ87" s="871"/>
      <c r="EK87" s="871"/>
      <c r="EL87" s="871"/>
    </row>
    <row r="88" spans="1:191" s="50" customFormat="1" ht="69" hidden="1" customHeight="1">
      <c r="A88" s="6">
        <f t="shared" si="140"/>
        <v>75</v>
      </c>
      <c r="B88" s="956"/>
      <c r="C88" s="886"/>
      <c r="D88" s="1206" t="s">
        <v>187</v>
      </c>
      <c r="E88" s="1207">
        <v>4620014875</v>
      </c>
      <c r="F88" s="886" t="s">
        <v>8</v>
      </c>
      <c r="G88" s="888" t="s">
        <v>951</v>
      </c>
      <c r="H88" s="1254">
        <v>2051.0100000000002</v>
      </c>
      <c r="I88" s="1255">
        <v>2051.0100000000002</v>
      </c>
      <c r="J88" s="891">
        <v>1896.4239000000002</v>
      </c>
      <c r="K88" s="891">
        <v>1896.4239000000002</v>
      </c>
      <c r="L88" s="894">
        <v>0</v>
      </c>
      <c r="M88" s="972">
        <v>0</v>
      </c>
      <c r="N88" s="893">
        <v>2282.5100000000002</v>
      </c>
      <c r="O88" s="894">
        <v>2282.5100000000002</v>
      </c>
      <c r="P88" s="891">
        <v>2169.3200000000002</v>
      </c>
      <c r="Q88" s="891">
        <v>2169.3200000000002</v>
      </c>
      <c r="R88" s="891">
        <v>0</v>
      </c>
      <c r="S88" s="972">
        <v>0</v>
      </c>
      <c r="T88" s="1004">
        <v>104.03</v>
      </c>
      <c r="U88" s="890">
        <v>858.12</v>
      </c>
      <c r="V88" s="890">
        <v>137.61000000000001</v>
      </c>
      <c r="W88" s="890">
        <v>0</v>
      </c>
      <c r="X88" s="890">
        <v>0</v>
      </c>
      <c r="Y88" s="890">
        <v>0</v>
      </c>
      <c r="Z88" s="949">
        <f t="shared" si="130"/>
        <v>1099.76</v>
      </c>
      <c r="AA88" s="950">
        <v>91.58</v>
      </c>
      <c r="AB88" s="890">
        <v>643.6</v>
      </c>
      <c r="AC88" s="890">
        <v>140.09</v>
      </c>
      <c r="AD88" s="890">
        <v>0</v>
      </c>
      <c r="AE88" s="890">
        <v>0</v>
      </c>
      <c r="AF88" s="890">
        <v>0</v>
      </c>
      <c r="AG88" s="951">
        <f t="shared" si="131"/>
        <v>875.2700000000001</v>
      </c>
      <c r="AH88" s="947">
        <f t="shared" si="143"/>
        <v>1975.0300000000002</v>
      </c>
      <c r="AI88" s="890">
        <f t="shared" si="150"/>
        <v>195.61</v>
      </c>
      <c r="AJ88" s="948">
        <f t="shared" si="150"/>
        <v>1501.72</v>
      </c>
      <c r="AK88" s="948">
        <f t="shared" si="150"/>
        <v>277.70000000000005</v>
      </c>
      <c r="AL88" s="890">
        <f t="shared" si="150"/>
        <v>0</v>
      </c>
      <c r="AM88" s="890">
        <f t="shared" si="150"/>
        <v>0</v>
      </c>
      <c r="AN88" s="890"/>
      <c r="AO88" s="890">
        <f>SUM(AI88:AN88)</f>
        <v>1975.03</v>
      </c>
      <c r="AP88" s="890">
        <f>SUM(AI88:AM88)</f>
        <v>1975.03</v>
      </c>
      <c r="AQ88" s="952">
        <f>SUM(AI88:AL88)</f>
        <v>1975.03</v>
      </c>
      <c r="AR88" s="902"/>
      <c r="AS88" s="903">
        <f t="shared" ref="AS88:AW103" si="152">I88*AI88</f>
        <v>401198.06610000005</v>
      </c>
      <c r="AT88" s="897">
        <f t="shared" si="152"/>
        <v>2847897.6991080004</v>
      </c>
      <c r="AU88" s="897">
        <f t="shared" si="152"/>
        <v>526636.91703000013</v>
      </c>
      <c r="AV88" s="897">
        <f t="shared" si="152"/>
        <v>0</v>
      </c>
      <c r="AW88" s="897">
        <f t="shared" si="152"/>
        <v>0</v>
      </c>
      <c r="AX88" s="897">
        <f>SUM(AS88:AW88)</f>
        <v>3775732.6822380004</v>
      </c>
      <c r="AY88" s="897">
        <f>SUM(AS88:AV88)</f>
        <v>3775732.6822380004</v>
      </c>
      <c r="AZ88" s="897">
        <f t="shared" ref="AZ88:BD103" si="153">O88*AI88</f>
        <v>446481.78110000008</v>
      </c>
      <c r="BA88" s="897">
        <f t="shared" si="153"/>
        <v>3257711.2304000002</v>
      </c>
      <c r="BB88" s="897">
        <f t="shared" si="153"/>
        <v>602420.16400000011</v>
      </c>
      <c r="BC88" s="897">
        <f t="shared" si="153"/>
        <v>0</v>
      </c>
      <c r="BD88" s="897">
        <f t="shared" si="153"/>
        <v>0</v>
      </c>
      <c r="BE88" s="897">
        <f>SUM(AZ88:BD88)</f>
        <v>4306613.1755000008</v>
      </c>
      <c r="BF88" s="901">
        <f>SUM(AZ88:BC88)</f>
        <v>4306613.1755000008</v>
      </c>
      <c r="BG88" s="953">
        <v>153.929</v>
      </c>
      <c r="BH88" s="1007">
        <v>88.704999999999998</v>
      </c>
      <c r="BI88" s="948">
        <v>242.63399999999999</v>
      </c>
      <c r="BJ88" s="948">
        <v>4253.43</v>
      </c>
      <c r="BK88" s="1202">
        <v>11956.18</v>
      </c>
      <c r="BL88" s="890">
        <f t="shared" si="108"/>
        <v>213366.57030000002</v>
      </c>
      <c r="BM88" s="890">
        <f t="shared" si="108"/>
        <v>1627359.2770680003</v>
      </c>
      <c r="BN88" s="890">
        <f t="shared" si="108"/>
        <v>260966.89287900005</v>
      </c>
      <c r="BO88" s="890">
        <f t="shared" si="108"/>
        <v>0</v>
      </c>
      <c r="BP88" s="890">
        <f t="shared" si="108"/>
        <v>0</v>
      </c>
      <c r="BQ88" s="890">
        <f t="shared" si="144"/>
        <v>2101692.7402470005</v>
      </c>
      <c r="BR88" s="890">
        <f t="shared" si="145"/>
        <v>2101692.7402470005</v>
      </c>
      <c r="BS88" s="890">
        <f t="shared" si="109"/>
        <v>209032.26580000002</v>
      </c>
      <c r="BT88" s="890">
        <f t="shared" si="109"/>
        <v>1396174.3520000002</v>
      </c>
      <c r="BU88" s="890">
        <f t="shared" si="109"/>
        <v>303900.03880000004</v>
      </c>
      <c r="BV88" s="890">
        <f t="shared" si="146"/>
        <v>0</v>
      </c>
      <c r="BW88" s="890">
        <f t="shared" si="112"/>
        <v>0</v>
      </c>
      <c r="BX88" s="890">
        <f t="shared" si="147"/>
        <v>1909106.6566000001</v>
      </c>
      <c r="BY88" s="890">
        <f t="shared" si="148"/>
        <v>1909106.6566000001</v>
      </c>
      <c r="BZ88" s="945">
        <f t="shared" si="110"/>
        <v>3023533.6290680002</v>
      </c>
      <c r="CA88" s="945">
        <f t="shared" si="110"/>
        <v>564866.93167900015</v>
      </c>
      <c r="CB88" s="945">
        <f t="shared" si="149"/>
        <v>3588400.5607470004</v>
      </c>
      <c r="CC88" s="976">
        <f t="shared" si="111"/>
        <v>2013.3804098420478</v>
      </c>
      <c r="CD88" s="976">
        <f t="shared" si="111"/>
        <v>2034.0904993842278</v>
      </c>
      <c r="CE88" s="976">
        <f t="shared" si="133"/>
        <v>2016.6124696513473</v>
      </c>
      <c r="CF88" s="976">
        <f t="shared" si="113"/>
        <v>2016.6124696513475</v>
      </c>
      <c r="CG88" s="977">
        <f t="shared" si="114"/>
        <v>3831032.4492000006</v>
      </c>
      <c r="CH88" s="977">
        <f t="shared" si="134"/>
        <v>2152.966949455441</v>
      </c>
      <c r="CI88" s="945"/>
      <c r="CJ88" s="975">
        <f t="shared" si="151"/>
        <v>2510.2131976000001</v>
      </c>
      <c r="CK88" s="975">
        <f t="shared" si="115"/>
        <v>1997.8125277000004</v>
      </c>
      <c r="CL88" s="975">
        <f t="shared" si="141"/>
        <v>4508.0257253</v>
      </c>
      <c r="CM88" s="897">
        <f t="shared" si="135"/>
        <v>4508.0257253000009</v>
      </c>
      <c r="CN88" s="897">
        <f t="shared" si="136"/>
        <v>0</v>
      </c>
      <c r="CO88" s="890">
        <f t="shared" si="116"/>
        <v>4253431.2853000006</v>
      </c>
      <c r="CP88" s="890">
        <f t="shared" si="117"/>
        <v>3775732.6822380004</v>
      </c>
      <c r="CQ88" s="890">
        <f t="shared" si="118"/>
        <v>3775732.6822380004</v>
      </c>
      <c r="CR88" s="890">
        <f t="shared" si="119"/>
        <v>2101692.7402470005</v>
      </c>
      <c r="CS88" s="890">
        <f t="shared" si="120"/>
        <v>4306613.1755000008</v>
      </c>
      <c r="CT88" s="890">
        <f t="shared" si="121"/>
        <v>4306613.1755000008</v>
      </c>
      <c r="CU88" s="890">
        <f t="shared" si="122"/>
        <v>1909106.6566000001</v>
      </c>
      <c r="CV88" s="890">
        <f t="shared" si="137"/>
        <v>8082345.8577380013</v>
      </c>
      <c r="CW88" s="906">
        <f t="shared" si="138"/>
        <v>4092.2648555910546</v>
      </c>
      <c r="CX88" s="890">
        <f t="shared" si="123"/>
        <v>3374534.6161380005</v>
      </c>
      <c r="CY88" s="890">
        <f t="shared" si="124"/>
        <v>3860131.3944000006</v>
      </c>
      <c r="CZ88" s="890"/>
      <c r="DA88" s="890">
        <f t="shared" si="125"/>
        <v>4050806.2803000007</v>
      </c>
      <c r="DB88" s="890">
        <f t="shared" si="126"/>
        <v>4508025.725300001</v>
      </c>
      <c r="DC88" s="840"/>
      <c r="DD88" s="841"/>
      <c r="DE88" s="840"/>
      <c r="DF88" s="840"/>
      <c r="DG88" s="840"/>
      <c r="DH88" s="1043">
        <v>1580.405</v>
      </c>
      <c r="DI88" s="1043">
        <v>111.42</v>
      </c>
      <c r="DJ88" s="1043">
        <f>DH88-DI88</f>
        <v>1468.9849999999999</v>
      </c>
      <c r="DK88" s="945"/>
      <c r="DL88" s="908">
        <f t="shared" si="127"/>
        <v>0</v>
      </c>
      <c r="DM88" s="908">
        <f t="shared" si="128"/>
        <v>0</v>
      </c>
      <c r="DN88" s="908">
        <f t="shared" si="129"/>
        <v>0</v>
      </c>
      <c r="DO88" s="816"/>
      <c r="DP88" s="816"/>
      <c r="DQ88" s="816"/>
      <c r="DR88" s="816"/>
      <c r="DS88" s="816"/>
      <c r="DT88" s="816"/>
      <c r="DU88" s="816"/>
      <c r="DV88" s="816"/>
      <c r="DW88" s="816"/>
      <c r="DX88" s="816"/>
      <c r="DY88" s="816"/>
      <c r="DZ88" s="816"/>
      <c r="EA88" s="816"/>
      <c r="EB88" s="816"/>
      <c r="EC88" s="816"/>
      <c r="ED88" s="816"/>
      <c r="EE88" s="816"/>
      <c r="EF88" s="816"/>
      <c r="EG88" s="816"/>
      <c r="EH88" s="816"/>
      <c r="EI88" s="816"/>
      <c r="EJ88" s="816"/>
      <c r="EK88" s="816"/>
      <c r="EL88" s="816"/>
      <c r="EM88" s="834"/>
      <c r="EN88" s="834"/>
      <c r="EO88" s="834"/>
      <c r="EP88" s="834"/>
      <c r="EQ88" s="834"/>
      <c r="ER88" s="834"/>
      <c r="ES88" s="834"/>
      <c r="ET88" s="834"/>
      <c r="EU88" s="834"/>
      <c r="EV88" s="834"/>
      <c r="EW88" s="834"/>
      <c r="EX88" s="834"/>
      <c r="EY88" s="834"/>
      <c r="EZ88" s="834"/>
      <c r="FA88" s="834"/>
      <c r="FB88" s="834"/>
      <c r="FC88" s="834"/>
      <c r="FD88" s="834"/>
      <c r="FE88" s="834"/>
      <c r="FF88" s="834"/>
      <c r="FG88" s="834"/>
      <c r="FH88" s="834"/>
      <c r="FI88" s="834"/>
      <c r="FJ88" s="834"/>
      <c r="FK88" s="834"/>
      <c r="FL88" s="834"/>
      <c r="FM88" s="834"/>
      <c r="FN88" s="834"/>
      <c r="FO88" s="834"/>
      <c r="FP88" s="834"/>
      <c r="FQ88" s="834"/>
      <c r="FR88" s="834"/>
      <c r="FS88" s="834"/>
      <c r="FT88" s="834"/>
      <c r="FU88" s="834"/>
      <c r="FV88" s="834"/>
      <c r="FW88" s="834"/>
      <c r="FX88" s="834"/>
      <c r="FY88" s="834"/>
      <c r="FZ88" s="834"/>
      <c r="GA88" s="834"/>
      <c r="GB88" s="834"/>
      <c r="GC88" s="834"/>
      <c r="GD88" s="834"/>
      <c r="GE88" s="834"/>
      <c r="GF88" s="834"/>
      <c r="GG88" s="834"/>
      <c r="GH88" s="834"/>
      <c r="GI88" s="834"/>
    </row>
    <row r="89" spans="1:191" s="50" customFormat="1" ht="77.25" hidden="1" customHeight="1">
      <c r="A89" s="6">
        <f t="shared" si="140"/>
        <v>76</v>
      </c>
      <c r="B89" s="886"/>
      <c r="C89" s="886" t="s">
        <v>59</v>
      </c>
      <c r="D89" s="1206" t="s">
        <v>187</v>
      </c>
      <c r="E89" s="1207">
        <v>4620014875</v>
      </c>
      <c r="F89" s="886" t="s">
        <v>8</v>
      </c>
      <c r="G89" s="888" t="s">
        <v>951</v>
      </c>
      <c r="H89" s="1241">
        <v>4670.43</v>
      </c>
      <c r="I89" s="1242">
        <v>4670.43</v>
      </c>
      <c r="J89" s="891">
        <v>3738.2056635000004</v>
      </c>
      <c r="K89" s="891">
        <v>0</v>
      </c>
      <c r="L89" s="891">
        <v>4670.43</v>
      </c>
      <c r="M89" s="946">
        <v>0</v>
      </c>
      <c r="N89" s="959">
        <v>4680.88</v>
      </c>
      <c r="O89" s="891">
        <v>4680.88</v>
      </c>
      <c r="P89" s="891">
        <v>3745.68</v>
      </c>
      <c r="Q89" s="891">
        <v>0</v>
      </c>
      <c r="R89" s="891">
        <v>4680.88</v>
      </c>
      <c r="S89" s="946">
        <v>0</v>
      </c>
      <c r="T89" s="947">
        <v>291.10000000000002</v>
      </c>
      <c r="U89" s="894">
        <v>138.76</v>
      </c>
      <c r="V89" s="890">
        <v>0</v>
      </c>
      <c r="W89" s="894">
        <v>3.36</v>
      </c>
      <c r="X89" s="890">
        <v>0</v>
      </c>
      <c r="Y89" s="890">
        <v>0</v>
      </c>
      <c r="Z89" s="949">
        <f>SUM(T89:W89)</f>
        <v>433.22</v>
      </c>
      <c r="AA89" s="950">
        <v>191.81</v>
      </c>
      <c r="AB89" s="894">
        <v>114.34</v>
      </c>
      <c r="AC89" s="890">
        <v>0</v>
      </c>
      <c r="AD89" s="890">
        <v>2.52</v>
      </c>
      <c r="AE89" s="890">
        <v>0</v>
      </c>
      <c r="AF89" s="890">
        <v>0</v>
      </c>
      <c r="AG89" s="951">
        <f>SUM(AA89:AD89)</f>
        <v>308.66999999999996</v>
      </c>
      <c r="AH89" s="947">
        <f>Z89+AG89</f>
        <v>741.89</v>
      </c>
      <c r="AI89" s="948">
        <f>T89+AA89</f>
        <v>482.91</v>
      </c>
      <c r="AJ89" s="894">
        <f t="shared" si="150"/>
        <v>253.1</v>
      </c>
      <c r="AK89" s="890">
        <f t="shared" si="150"/>
        <v>0</v>
      </c>
      <c r="AL89" s="890">
        <f t="shared" si="150"/>
        <v>5.88</v>
      </c>
      <c r="AM89" s="890">
        <f t="shared" si="150"/>
        <v>0</v>
      </c>
      <c r="AN89" s="890">
        <v>0</v>
      </c>
      <c r="AO89" s="948">
        <f>SUM(AI89:AN89)</f>
        <v>741.89</v>
      </c>
      <c r="AP89" s="948">
        <f>SUM(AI89:AM89)</f>
        <v>741.89</v>
      </c>
      <c r="AQ89" s="952">
        <f t="shared" si="98"/>
        <v>741.89</v>
      </c>
      <c r="AR89" s="973">
        <f t="shared" si="132"/>
        <v>0</v>
      </c>
      <c r="AS89" s="903">
        <f t="shared" si="152"/>
        <v>2255397.3513000002</v>
      </c>
      <c r="AT89" s="897">
        <f t="shared" si="152"/>
        <v>946139.85343185009</v>
      </c>
      <c r="AU89" s="897">
        <f t="shared" si="152"/>
        <v>0</v>
      </c>
      <c r="AV89" s="897">
        <f t="shared" si="152"/>
        <v>27462.128400000001</v>
      </c>
      <c r="AW89" s="897">
        <f t="shared" si="152"/>
        <v>0</v>
      </c>
      <c r="AX89" s="897">
        <f>SUM(AS89:AW89)</f>
        <v>3228999.3331318502</v>
      </c>
      <c r="AY89" s="897">
        <f>SUM(AS89:AV89)</f>
        <v>3228999.3331318502</v>
      </c>
      <c r="AZ89" s="897">
        <f t="shared" si="153"/>
        <v>2260443.7608000003</v>
      </c>
      <c r="BA89" s="897">
        <f t="shared" si="153"/>
        <v>948031.60799999989</v>
      </c>
      <c r="BB89" s="897">
        <f t="shared" si="153"/>
        <v>0</v>
      </c>
      <c r="BC89" s="897">
        <f t="shared" si="153"/>
        <v>27523.574400000001</v>
      </c>
      <c r="BD89" s="897">
        <f t="shared" si="153"/>
        <v>0</v>
      </c>
      <c r="BE89" s="897">
        <f>SUM(AZ89:BD89)</f>
        <v>3235998.9432000001</v>
      </c>
      <c r="BF89" s="901">
        <f>SUM(AZ89:BC89)</f>
        <v>3235998.9432000001</v>
      </c>
      <c r="BG89" s="953">
        <v>129.35300000000001</v>
      </c>
      <c r="BH89" s="954">
        <v>106.929</v>
      </c>
      <c r="BI89" s="948">
        <v>236.28200000000001</v>
      </c>
      <c r="BJ89" s="894">
        <v>3468.15</v>
      </c>
      <c r="BK89" s="1200">
        <v>5592.76</v>
      </c>
      <c r="BL89" s="897">
        <f>I89*T89</f>
        <v>1359562.1730000002</v>
      </c>
      <c r="BM89" s="897">
        <f>J89*U89</f>
        <v>518713.41786726</v>
      </c>
      <c r="BN89" s="897">
        <f t="shared" si="108"/>
        <v>0</v>
      </c>
      <c r="BO89" s="897">
        <f>L89*W89</f>
        <v>15692.6448</v>
      </c>
      <c r="BP89" s="897">
        <f t="shared" si="108"/>
        <v>0</v>
      </c>
      <c r="BQ89" s="897">
        <f>BL89+BM89+BN89+BO89+BP89</f>
        <v>1893968.2356672601</v>
      </c>
      <c r="BR89" s="897">
        <f>BQ89-BP89</f>
        <v>1893968.2356672601</v>
      </c>
      <c r="BS89" s="897">
        <f>O89*AA89</f>
        <v>897839.59279999998</v>
      </c>
      <c r="BT89" s="897">
        <f>P89*AB89</f>
        <v>428281.05119999999</v>
      </c>
      <c r="BU89" s="897">
        <f t="shared" si="109"/>
        <v>0</v>
      </c>
      <c r="BV89" s="897">
        <f>R89*W89</f>
        <v>15727.756799999999</v>
      </c>
      <c r="BW89" s="897">
        <f t="shared" si="112"/>
        <v>0</v>
      </c>
      <c r="BX89" s="897">
        <f>BS89+BT89+BU89+BV89+BW89</f>
        <v>1341848.4007999999</v>
      </c>
      <c r="BY89" s="897">
        <f>BX89-BW89</f>
        <v>1341848.4007999999</v>
      </c>
      <c r="BZ89" s="905">
        <f t="shared" si="110"/>
        <v>946994.46906725992</v>
      </c>
      <c r="CA89" s="905">
        <f t="shared" si="110"/>
        <v>0</v>
      </c>
      <c r="CB89" s="905">
        <f t="shared" si="149"/>
        <v>946994.46906725992</v>
      </c>
      <c r="CC89" s="907">
        <f t="shared" si="111"/>
        <v>3741.5822562910312</v>
      </c>
      <c r="CD89" s="907" t="e">
        <f t="shared" si="111"/>
        <v>#DIV/0!</v>
      </c>
      <c r="CE89" s="907">
        <f t="shared" si="133"/>
        <v>3741.5822562910312</v>
      </c>
      <c r="CF89" s="907">
        <f t="shared" si="113"/>
        <v>3741.5822562910312</v>
      </c>
      <c r="CG89" s="923">
        <f t="shared" si="114"/>
        <v>1183280.686</v>
      </c>
      <c r="CH89" s="923">
        <f t="shared" si="134"/>
        <v>4675.150873172659</v>
      </c>
      <c r="CI89" s="945"/>
      <c r="CJ89" s="897">
        <f t="shared" si="151"/>
        <v>2027.8508336000002</v>
      </c>
      <c r="CK89" s="897">
        <f t="shared" si="115"/>
        <v>1444.8472295999998</v>
      </c>
      <c r="CL89" s="897">
        <f t="shared" si="141"/>
        <v>3472.6980632</v>
      </c>
      <c r="CM89" s="897">
        <f t="shared" si="135"/>
        <v>3472.6980632000004</v>
      </c>
      <c r="CN89" s="897">
        <f t="shared" si="136"/>
        <v>0</v>
      </c>
      <c r="CO89" s="897">
        <f t="shared" si="116"/>
        <v>3468170.9142</v>
      </c>
      <c r="CP89" s="897">
        <f t="shared" si="117"/>
        <v>3228999.3331318502</v>
      </c>
      <c r="CQ89" s="897">
        <f t="shared" si="118"/>
        <v>3228999.3331318502</v>
      </c>
      <c r="CR89" s="897">
        <f t="shared" si="119"/>
        <v>1893968.2356672601</v>
      </c>
      <c r="CS89" s="897">
        <f t="shared" si="120"/>
        <v>3235998.9432000001</v>
      </c>
      <c r="CT89" s="897">
        <f t="shared" si="121"/>
        <v>3235998.9432000001</v>
      </c>
      <c r="CU89" s="897">
        <f t="shared" si="122"/>
        <v>1337916.4615999998</v>
      </c>
      <c r="CV89" s="897">
        <f t="shared" si="137"/>
        <v>6464998.2763318503</v>
      </c>
      <c r="CW89" s="906">
        <f t="shared" si="138"/>
        <v>8714.2275490057164</v>
      </c>
      <c r="CX89" s="897">
        <f t="shared" si="123"/>
        <v>946139.85343185009</v>
      </c>
      <c r="CY89" s="897">
        <f t="shared" si="124"/>
        <v>948031.60799999989</v>
      </c>
      <c r="CZ89" s="897"/>
      <c r="DA89" s="897">
        <f t="shared" si="125"/>
        <v>3464945.3127000001</v>
      </c>
      <c r="DB89" s="897">
        <f t="shared" si="126"/>
        <v>3472698.0632000002</v>
      </c>
      <c r="DC89" s="840"/>
      <c r="DD89" s="40">
        <f t="shared" si="139"/>
        <v>125.21729464230158</v>
      </c>
      <c r="DE89" s="840"/>
      <c r="DF89" s="840"/>
      <c r="DG89" s="840"/>
      <c r="DH89" s="1043">
        <v>849.95</v>
      </c>
      <c r="DI89" s="1043">
        <v>343</v>
      </c>
      <c r="DJ89" s="1043">
        <f t="shared" si="142"/>
        <v>506.95000000000005</v>
      </c>
      <c r="DK89" s="945"/>
      <c r="DL89" s="908">
        <f t="shared" si="127"/>
        <v>0</v>
      </c>
      <c r="DM89" s="908">
        <f t="shared" si="128"/>
        <v>0</v>
      </c>
      <c r="DN89" s="908">
        <f t="shared" si="129"/>
        <v>0</v>
      </c>
      <c r="DO89" s="81"/>
      <c r="DP89" s="81"/>
      <c r="DQ89" s="81"/>
      <c r="DR89" s="81"/>
      <c r="DS89" s="81"/>
      <c r="DT89" s="81"/>
      <c r="DU89" s="81"/>
      <c r="DV89" s="81"/>
      <c r="DW89" s="81"/>
      <c r="DX89" s="81"/>
      <c r="DY89" s="81"/>
      <c r="DZ89" s="81"/>
      <c r="EA89" s="81"/>
      <c r="EB89" s="81"/>
      <c r="EC89" s="81"/>
      <c r="ED89" s="81"/>
      <c r="EE89" s="81"/>
      <c r="EF89" s="81"/>
      <c r="EG89" s="81"/>
      <c r="EH89" s="81"/>
      <c r="EI89" s="81"/>
      <c r="EJ89" s="81"/>
      <c r="EK89" s="81"/>
      <c r="EL89" s="81"/>
    </row>
    <row r="90" spans="1:191" s="869" customFormat="1" ht="76.5" hidden="1" customHeight="1">
      <c r="A90" s="6">
        <f t="shared" si="140"/>
        <v>77</v>
      </c>
      <c r="B90" s="886"/>
      <c r="C90" s="1309" t="s">
        <v>182</v>
      </c>
      <c r="D90" s="1262" t="s">
        <v>141</v>
      </c>
      <c r="E90" s="887">
        <v>4632024035</v>
      </c>
      <c r="F90" s="886" t="s">
        <v>8</v>
      </c>
      <c r="G90" s="1238" t="s">
        <v>983</v>
      </c>
      <c r="H90" s="1256">
        <v>3314.9639999999995</v>
      </c>
      <c r="I90" s="1257">
        <f>H90</f>
        <v>3314.9639999999995</v>
      </c>
      <c r="J90" s="891"/>
      <c r="K90" s="891"/>
      <c r="L90" s="1256">
        <v>3314.9639999999995</v>
      </c>
      <c r="M90" s="946"/>
      <c r="N90" s="1259">
        <f>3132.14*1.2</f>
        <v>3758.5679999999998</v>
      </c>
      <c r="O90" s="1260">
        <f>N90</f>
        <v>3758.5679999999998</v>
      </c>
      <c r="P90" s="891"/>
      <c r="Q90" s="891"/>
      <c r="R90" s="891">
        <f>O90</f>
        <v>3758.5679999999998</v>
      </c>
      <c r="S90" s="946"/>
      <c r="T90" s="1307">
        <v>191.774</v>
      </c>
      <c r="U90" s="1366"/>
      <c r="V90" s="1366"/>
      <c r="W90" s="890"/>
      <c r="X90" s="890"/>
      <c r="Y90" s="890"/>
      <c r="Z90" s="949">
        <f t="shared" si="130"/>
        <v>191.774</v>
      </c>
      <c r="AA90" s="1308">
        <v>111.36</v>
      </c>
      <c r="AB90" s="1366"/>
      <c r="AC90" s="1366"/>
      <c r="AD90" s="890"/>
      <c r="AE90" s="890"/>
      <c r="AF90" s="890"/>
      <c r="AG90" s="951">
        <f t="shared" si="131"/>
        <v>111.36</v>
      </c>
      <c r="AH90" s="947">
        <f t="shared" si="143"/>
        <v>303.13400000000001</v>
      </c>
      <c r="AI90" s="890">
        <f t="shared" si="150"/>
        <v>303.13400000000001</v>
      </c>
      <c r="AJ90" s="890">
        <f t="shared" si="150"/>
        <v>0</v>
      </c>
      <c r="AK90" s="890">
        <f t="shared" si="150"/>
        <v>0</v>
      </c>
      <c r="AL90" s="890">
        <f t="shared" si="150"/>
        <v>0</v>
      </c>
      <c r="AM90" s="890">
        <f t="shared" si="150"/>
        <v>0</v>
      </c>
      <c r="AN90" s="890"/>
      <c r="AO90" s="890">
        <f t="shared" si="70"/>
        <v>303.13400000000001</v>
      </c>
      <c r="AP90" s="890">
        <f t="shared" si="71"/>
        <v>303.13400000000001</v>
      </c>
      <c r="AQ90" s="952">
        <f t="shared" si="98"/>
        <v>303.13400000000001</v>
      </c>
      <c r="AR90" s="973">
        <f t="shared" si="132"/>
        <v>0</v>
      </c>
      <c r="AS90" s="889">
        <f t="shared" si="152"/>
        <v>1004878.2971759998</v>
      </c>
      <c r="AT90" s="890">
        <f t="shared" si="152"/>
        <v>0</v>
      </c>
      <c r="AU90" s="890">
        <f t="shared" si="152"/>
        <v>0</v>
      </c>
      <c r="AV90" s="890">
        <f t="shared" si="152"/>
        <v>0</v>
      </c>
      <c r="AW90" s="890">
        <f t="shared" si="152"/>
        <v>0</v>
      </c>
      <c r="AX90" s="890">
        <f t="shared" si="99"/>
        <v>1004878.2971759998</v>
      </c>
      <c r="AY90" s="890">
        <f t="shared" si="100"/>
        <v>1004878.2971759998</v>
      </c>
      <c r="AZ90" s="890">
        <f t="shared" si="153"/>
        <v>1139349.752112</v>
      </c>
      <c r="BA90" s="890">
        <f t="shared" si="153"/>
        <v>0</v>
      </c>
      <c r="BB90" s="890">
        <f t="shared" si="153"/>
        <v>0</v>
      </c>
      <c r="BC90" s="890">
        <f t="shared" si="153"/>
        <v>0</v>
      </c>
      <c r="BD90" s="890">
        <f t="shared" si="153"/>
        <v>0</v>
      </c>
      <c r="BE90" s="890">
        <f t="shared" si="101"/>
        <v>1139349.752112</v>
      </c>
      <c r="BF90" s="952">
        <f t="shared" si="102"/>
        <v>1139349.752112</v>
      </c>
      <c r="BG90" s="953">
        <f>(H90-J90)/1.2*U90/1000+(H90-K90)/1.2*V90/1000</f>
        <v>0</v>
      </c>
      <c r="BH90" s="954">
        <f>(O90-P90)*AB90/1000/1.2+(O90-Q90)/1.2*AC90/1000</f>
        <v>0</v>
      </c>
      <c r="BI90" s="955">
        <f>BG90+BH90</f>
        <v>0</v>
      </c>
      <c r="BJ90" s="955"/>
      <c r="BK90" s="1197"/>
      <c r="BL90" s="890">
        <f t="shared" si="108"/>
        <v>635723.90613599995</v>
      </c>
      <c r="BM90" s="890">
        <f t="shared" si="108"/>
        <v>0</v>
      </c>
      <c r="BN90" s="890">
        <f t="shared" si="108"/>
        <v>0</v>
      </c>
      <c r="BO90" s="890">
        <f t="shared" si="108"/>
        <v>0</v>
      </c>
      <c r="BP90" s="890">
        <f t="shared" si="108"/>
        <v>0</v>
      </c>
      <c r="BQ90" s="890">
        <f t="shared" si="144"/>
        <v>635723.90613599995</v>
      </c>
      <c r="BR90" s="890">
        <f t="shared" si="145"/>
        <v>635723.90613599995</v>
      </c>
      <c r="BS90" s="890">
        <f t="shared" si="109"/>
        <v>418554.13247999997</v>
      </c>
      <c r="BT90" s="890">
        <f t="shared" si="109"/>
        <v>0</v>
      </c>
      <c r="BU90" s="890">
        <f t="shared" si="109"/>
        <v>0</v>
      </c>
      <c r="BV90" s="890">
        <f t="shared" si="146"/>
        <v>0</v>
      </c>
      <c r="BW90" s="890">
        <f t="shared" si="112"/>
        <v>0</v>
      </c>
      <c r="BX90" s="890">
        <f t="shared" si="147"/>
        <v>418554.13247999997</v>
      </c>
      <c r="BY90" s="890">
        <f t="shared" si="148"/>
        <v>418554.13247999997</v>
      </c>
      <c r="BZ90" s="945">
        <f t="shared" si="110"/>
        <v>0</v>
      </c>
      <c r="CA90" s="945">
        <f t="shared" si="110"/>
        <v>0</v>
      </c>
      <c r="CB90" s="945">
        <f t="shared" si="149"/>
        <v>0</v>
      </c>
      <c r="CC90" s="976" t="e">
        <f t="shared" si="111"/>
        <v>#DIV/0!</v>
      </c>
      <c r="CD90" s="976" t="e">
        <f t="shared" si="111"/>
        <v>#DIV/0!</v>
      </c>
      <c r="CE90" s="976" t="e">
        <f t="shared" si="133"/>
        <v>#DIV/0!</v>
      </c>
      <c r="CF90" s="945" t="e">
        <f t="shared" si="113"/>
        <v>#DIV/0!</v>
      </c>
      <c r="CG90" s="977">
        <f t="shared" si="114"/>
        <v>0</v>
      </c>
      <c r="CH90" s="977" t="e">
        <f t="shared" si="134"/>
        <v>#DIV/0!</v>
      </c>
      <c r="CI90" s="945"/>
      <c r="CJ90" s="1312">
        <f>H90*Z90/1000</f>
        <v>635.72390613599998</v>
      </c>
      <c r="CK90" s="1312">
        <f t="shared" si="115"/>
        <v>418.55413247999996</v>
      </c>
      <c r="CL90" s="1312">
        <f t="shared" si="141"/>
        <v>1054.278038616</v>
      </c>
      <c r="CM90" s="890">
        <f t="shared" si="135"/>
        <v>1139.349752112</v>
      </c>
      <c r="CN90" s="890">
        <f t="shared" si="136"/>
        <v>85.071713496000029</v>
      </c>
      <c r="CO90" s="890">
        <f t="shared" si="116"/>
        <v>1054278.038616</v>
      </c>
      <c r="CP90" s="890">
        <f t="shared" si="117"/>
        <v>1004878.2971759998</v>
      </c>
      <c r="CQ90" s="890">
        <f t="shared" si="118"/>
        <v>1004878.2971759998</v>
      </c>
      <c r="CR90" s="890">
        <f t="shared" si="119"/>
        <v>635723.90613599995</v>
      </c>
      <c r="CS90" s="890">
        <f t="shared" si="120"/>
        <v>1139349.752112</v>
      </c>
      <c r="CT90" s="890">
        <f t="shared" si="121"/>
        <v>1139349.752112</v>
      </c>
      <c r="CU90" s="890">
        <f t="shared" si="122"/>
        <v>418554.13247999997</v>
      </c>
      <c r="CV90" s="890">
        <f t="shared" si="137"/>
        <v>2144228.049288</v>
      </c>
      <c r="CW90" s="978">
        <f t="shared" si="138"/>
        <v>7073.5319999999992</v>
      </c>
      <c r="CX90" s="890">
        <f t="shared" si="123"/>
        <v>0</v>
      </c>
      <c r="CY90" s="890">
        <f t="shared" si="124"/>
        <v>0</v>
      </c>
      <c r="CZ90" s="890"/>
      <c r="DA90" s="890">
        <f t="shared" si="125"/>
        <v>1004878.2971759998</v>
      </c>
      <c r="DB90" s="890">
        <f t="shared" si="126"/>
        <v>1139349.752112</v>
      </c>
      <c r="DC90" s="840"/>
      <c r="DD90" s="841" t="e">
        <f t="shared" si="139"/>
        <v>#DIV/0!</v>
      </c>
      <c r="DE90" s="840"/>
      <c r="DF90" s="840"/>
      <c r="DG90" s="840"/>
      <c r="DH90" s="1050"/>
      <c r="DI90" s="1050"/>
      <c r="DJ90" s="1050"/>
      <c r="DK90" s="945"/>
      <c r="DL90" s="975">
        <f t="shared" si="127"/>
        <v>0</v>
      </c>
      <c r="DM90" s="975">
        <f t="shared" si="128"/>
        <v>0</v>
      </c>
      <c r="DN90" s="975">
        <f t="shared" si="129"/>
        <v>0</v>
      </c>
      <c r="DO90" s="816"/>
      <c r="DP90" s="871"/>
      <c r="DQ90" s="871"/>
      <c r="DR90" s="871"/>
      <c r="DS90" s="871"/>
      <c r="DT90" s="871"/>
      <c r="DU90" s="871"/>
      <c r="DV90" s="871"/>
      <c r="DW90" s="871"/>
      <c r="DX90" s="871"/>
      <c r="DY90" s="871"/>
      <c r="DZ90" s="871"/>
      <c r="EA90" s="871"/>
      <c r="EB90" s="871"/>
      <c r="EC90" s="871"/>
      <c r="ED90" s="871"/>
      <c r="EE90" s="871"/>
      <c r="EF90" s="871"/>
      <c r="EG90" s="871"/>
      <c r="EH90" s="871"/>
      <c r="EI90" s="871"/>
      <c r="EJ90" s="871"/>
      <c r="EK90" s="871"/>
      <c r="EL90" s="871"/>
    </row>
    <row r="91" spans="1:191" s="869" customFormat="1" ht="76.5" hidden="1" customHeight="1">
      <c r="A91" s="6">
        <f t="shared" si="140"/>
        <v>78</v>
      </c>
      <c r="B91" s="886" t="s">
        <v>32</v>
      </c>
      <c r="C91" s="886" t="s">
        <v>65</v>
      </c>
      <c r="D91" s="1225" t="s">
        <v>935</v>
      </c>
      <c r="E91" s="886">
        <v>4621009155</v>
      </c>
      <c r="F91" s="886" t="s">
        <v>8</v>
      </c>
      <c r="G91" s="888" t="s">
        <v>936</v>
      </c>
      <c r="H91" s="1251">
        <f>2581.45*1.2</f>
        <v>3097.74</v>
      </c>
      <c r="I91" s="1252">
        <v>0</v>
      </c>
      <c r="J91" s="891">
        <v>3097.74</v>
      </c>
      <c r="K91" s="891">
        <v>0</v>
      </c>
      <c r="L91" s="1010">
        <v>0</v>
      </c>
      <c r="M91" s="946">
        <v>0</v>
      </c>
      <c r="N91" s="959">
        <f>2917.04*1.2</f>
        <v>3500.4479999999999</v>
      </c>
      <c r="O91" s="891">
        <v>0</v>
      </c>
      <c r="P91" s="891">
        <v>3500.45</v>
      </c>
      <c r="Q91" s="891">
        <v>0</v>
      </c>
      <c r="R91" s="891">
        <v>0</v>
      </c>
      <c r="S91" s="946">
        <v>0</v>
      </c>
      <c r="T91" s="889">
        <v>0</v>
      </c>
      <c r="U91" s="971">
        <v>31</v>
      </c>
      <c r="V91" s="890">
        <v>0</v>
      </c>
      <c r="W91" s="890">
        <v>0</v>
      </c>
      <c r="X91" s="890">
        <v>0</v>
      </c>
      <c r="Y91" s="890">
        <v>0</v>
      </c>
      <c r="Z91" s="949">
        <f>SUM(T91:Y91)</f>
        <v>31</v>
      </c>
      <c r="AA91" s="974">
        <v>0</v>
      </c>
      <c r="AB91" s="890">
        <v>26.116</v>
      </c>
      <c r="AC91" s="890">
        <v>0</v>
      </c>
      <c r="AD91" s="890">
        <v>0</v>
      </c>
      <c r="AE91" s="890">
        <v>0</v>
      </c>
      <c r="AF91" s="890">
        <v>0</v>
      </c>
      <c r="AG91" s="951">
        <f t="shared" si="131"/>
        <v>26.116</v>
      </c>
      <c r="AH91" s="947">
        <f t="shared" si="143"/>
        <v>57.116</v>
      </c>
      <c r="AI91" s="890">
        <f t="shared" si="150"/>
        <v>0</v>
      </c>
      <c r="AJ91" s="1008">
        <f t="shared" si="150"/>
        <v>57.116</v>
      </c>
      <c r="AK91" s="890">
        <f t="shared" si="150"/>
        <v>0</v>
      </c>
      <c r="AL91" s="890">
        <f t="shared" si="150"/>
        <v>0</v>
      </c>
      <c r="AM91" s="890">
        <f t="shared" si="150"/>
        <v>0</v>
      </c>
      <c r="AN91" s="890"/>
      <c r="AO91" s="890">
        <f>SUM(AI91:AN91)</f>
        <v>57.116</v>
      </c>
      <c r="AP91" s="890">
        <f>SUM(AI91:AM91)</f>
        <v>57.116</v>
      </c>
      <c r="AQ91" s="952">
        <f>SUM(AI91:AL91)</f>
        <v>57.116</v>
      </c>
      <c r="AR91" s="973">
        <f t="shared" si="132"/>
        <v>0</v>
      </c>
      <c r="AS91" s="889">
        <f t="shared" si="152"/>
        <v>0</v>
      </c>
      <c r="AT91" s="890">
        <f t="shared" si="152"/>
        <v>176930.51783999999</v>
      </c>
      <c r="AU91" s="890">
        <f t="shared" si="152"/>
        <v>0</v>
      </c>
      <c r="AV91" s="890">
        <f t="shared" si="152"/>
        <v>0</v>
      </c>
      <c r="AW91" s="890">
        <f t="shared" si="152"/>
        <v>0</v>
      </c>
      <c r="AX91" s="890">
        <f t="shared" si="99"/>
        <v>176930.51783999999</v>
      </c>
      <c r="AY91" s="890">
        <f t="shared" si="100"/>
        <v>176930.51783999999</v>
      </c>
      <c r="AZ91" s="890">
        <f t="shared" si="153"/>
        <v>0</v>
      </c>
      <c r="BA91" s="890">
        <f t="shared" si="153"/>
        <v>199931.7022</v>
      </c>
      <c r="BB91" s="890">
        <f t="shared" si="153"/>
        <v>0</v>
      </c>
      <c r="BC91" s="890">
        <f t="shared" si="153"/>
        <v>0</v>
      </c>
      <c r="BD91" s="890">
        <f t="shared" si="153"/>
        <v>0</v>
      </c>
      <c r="BE91" s="890">
        <f t="shared" si="101"/>
        <v>199931.7022</v>
      </c>
      <c r="BF91" s="952">
        <f t="shared" si="102"/>
        <v>199931.7022</v>
      </c>
      <c r="BG91" s="974">
        <v>0</v>
      </c>
      <c r="BH91" s="890">
        <v>0</v>
      </c>
      <c r="BI91" s="890">
        <v>0</v>
      </c>
      <c r="BJ91" s="890">
        <v>162.11000000000001</v>
      </c>
      <c r="BK91" s="1199"/>
      <c r="BL91" s="890">
        <f t="shared" si="108"/>
        <v>0</v>
      </c>
      <c r="BM91" s="890">
        <f t="shared" si="108"/>
        <v>96029.939999999988</v>
      </c>
      <c r="BN91" s="890">
        <f t="shared" si="108"/>
        <v>0</v>
      </c>
      <c r="BO91" s="890">
        <f t="shared" si="108"/>
        <v>0</v>
      </c>
      <c r="BP91" s="890">
        <f t="shared" si="108"/>
        <v>0</v>
      </c>
      <c r="BQ91" s="890">
        <f t="shared" si="144"/>
        <v>96029.939999999988</v>
      </c>
      <c r="BR91" s="890">
        <f t="shared" si="145"/>
        <v>96029.939999999988</v>
      </c>
      <c r="BS91" s="890">
        <f t="shared" si="109"/>
        <v>0</v>
      </c>
      <c r="BT91" s="890">
        <f>P91*AB91</f>
        <v>91417.752199999988</v>
      </c>
      <c r="BU91" s="890">
        <f t="shared" si="109"/>
        <v>0</v>
      </c>
      <c r="BV91" s="890">
        <f t="shared" si="146"/>
        <v>0</v>
      </c>
      <c r="BW91" s="890">
        <f t="shared" si="112"/>
        <v>0</v>
      </c>
      <c r="BX91" s="890">
        <f t="shared" si="147"/>
        <v>91417.752199999988</v>
      </c>
      <c r="BY91" s="890">
        <f t="shared" si="148"/>
        <v>91417.752199999988</v>
      </c>
      <c r="BZ91" s="945">
        <f t="shared" si="110"/>
        <v>187447.69219999999</v>
      </c>
      <c r="CA91" s="945">
        <f t="shared" si="110"/>
        <v>0</v>
      </c>
      <c r="CB91" s="945">
        <f t="shared" si="149"/>
        <v>187447.69219999999</v>
      </c>
      <c r="CC91" s="976">
        <f t="shared" si="111"/>
        <v>3281.8770957349952</v>
      </c>
      <c r="CD91" s="976" t="e">
        <f t="shared" si="111"/>
        <v>#DIV/0!</v>
      </c>
      <c r="CE91" s="976">
        <f t="shared" si="133"/>
        <v>3281.8770957349952</v>
      </c>
      <c r="CF91" s="976">
        <f t="shared" si="113"/>
        <v>3281.8770957349952</v>
      </c>
      <c r="CG91" s="977">
        <f t="shared" si="114"/>
        <v>0</v>
      </c>
      <c r="CH91" s="977">
        <f t="shared" si="134"/>
        <v>0</v>
      </c>
      <c r="CI91" s="1009"/>
      <c r="CJ91" s="890">
        <f>N91*Z91/1000</f>
        <v>108.51388799999999</v>
      </c>
      <c r="CK91" s="890">
        <f t="shared" si="115"/>
        <v>91.417699967999994</v>
      </c>
      <c r="CL91" s="890">
        <f t="shared" si="141"/>
        <v>199.93158796799997</v>
      </c>
      <c r="CM91" s="890">
        <f t="shared" si="135"/>
        <v>199.93158796799997</v>
      </c>
      <c r="CN91" s="890">
        <f t="shared" si="136"/>
        <v>0</v>
      </c>
      <c r="CO91" s="890">
        <f t="shared" si="116"/>
        <v>187447.639968</v>
      </c>
      <c r="CP91" s="890">
        <f t="shared" si="117"/>
        <v>176930.51783999999</v>
      </c>
      <c r="CQ91" s="890">
        <f t="shared" si="118"/>
        <v>176930.51783999999</v>
      </c>
      <c r="CR91" s="890">
        <f t="shared" si="119"/>
        <v>96029.939999999988</v>
      </c>
      <c r="CS91" s="890">
        <f t="shared" si="120"/>
        <v>199931.7022</v>
      </c>
      <c r="CT91" s="890">
        <f t="shared" si="121"/>
        <v>199931.7022</v>
      </c>
      <c r="CU91" s="890">
        <f t="shared" si="122"/>
        <v>91417.752199999988</v>
      </c>
      <c r="CV91" s="890">
        <f t="shared" si="137"/>
        <v>376862.22003999999</v>
      </c>
      <c r="CW91" s="978">
        <f t="shared" si="138"/>
        <v>6598.19</v>
      </c>
      <c r="CX91" s="890">
        <f t="shared" si="123"/>
        <v>176930.51783999999</v>
      </c>
      <c r="CY91" s="890">
        <f t="shared" si="124"/>
        <v>199931.7022</v>
      </c>
      <c r="CZ91" s="890"/>
      <c r="DA91" s="890">
        <f t="shared" si="125"/>
        <v>176930.51783999999</v>
      </c>
      <c r="DB91" s="890">
        <f t="shared" si="126"/>
        <v>199931.58796799998</v>
      </c>
      <c r="DC91" s="1132"/>
      <c r="DD91" s="841">
        <f t="shared" si="139"/>
        <v>113.00005810687792</v>
      </c>
      <c r="DE91" s="1132"/>
      <c r="DF91" s="1132"/>
      <c r="DG91" s="1132"/>
      <c r="DH91" s="1136">
        <f>AH91</f>
        <v>57.116</v>
      </c>
      <c r="DI91" s="1136">
        <f>AH91</f>
        <v>57.116</v>
      </c>
      <c r="DJ91" s="1050">
        <f>DH91-DI91</f>
        <v>0</v>
      </c>
      <c r="DK91" s="1009"/>
      <c r="DL91" s="975">
        <f t="shared" si="127"/>
        <v>0</v>
      </c>
      <c r="DM91" s="975">
        <f t="shared" si="128"/>
        <v>0</v>
      </c>
      <c r="DN91" s="975">
        <f t="shared" si="129"/>
        <v>0</v>
      </c>
      <c r="DO91" s="871"/>
      <c r="DP91" s="871"/>
      <c r="DQ91" s="871"/>
      <c r="DR91" s="871"/>
      <c r="DS91" s="871"/>
      <c r="DT91" s="871"/>
      <c r="DU91" s="871"/>
      <c r="DV91" s="871"/>
      <c r="DW91" s="871"/>
      <c r="DX91" s="871"/>
      <c r="DY91" s="871"/>
      <c r="DZ91" s="871"/>
      <c r="EA91" s="871"/>
      <c r="EB91" s="871"/>
      <c r="EC91" s="871"/>
      <c r="ED91" s="871"/>
      <c r="EE91" s="871"/>
      <c r="EF91" s="871"/>
      <c r="EG91" s="871"/>
      <c r="EH91" s="871"/>
      <c r="EI91" s="871"/>
      <c r="EJ91" s="871"/>
      <c r="EK91" s="871"/>
      <c r="EL91" s="871"/>
    </row>
    <row r="92" spans="1:191" s="869" customFormat="1" ht="78.75" hidden="1" customHeight="1">
      <c r="A92" s="6">
        <f t="shared" si="140"/>
        <v>79</v>
      </c>
      <c r="B92" s="886" t="s">
        <v>32</v>
      </c>
      <c r="C92" s="1309" t="s">
        <v>65</v>
      </c>
      <c r="D92" s="1262" t="s">
        <v>141</v>
      </c>
      <c r="E92" s="887">
        <v>4632024035</v>
      </c>
      <c r="F92" s="886" t="s">
        <v>8</v>
      </c>
      <c r="G92" s="1238" t="s">
        <v>983</v>
      </c>
      <c r="H92" s="1256">
        <v>3314.9639999999995</v>
      </c>
      <c r="I92" s="1257">
        <f>H92</f>
        <v>3314.9639999999995</v>
      </c>
      <c r="J92" s="1263">
        <v>2950.21</v>
      </c>
      <c r="K92" s="891"/>
      <c r="L92" s="1256">
        <v>3314.9639999999995</v>
      </c>
      <c r="M92" s="946"/>
      <c r="N92" s="1259">
        <f>3132.14*1.2</f>
        <v>3758.5679999999998</v>
      </c>
      <c r="O92" s="1260">
        <f>N92</f>
        <v>3758.5679999999998</v>
      </c>
      <c r="P92" s="1264">
        <v>2979.71</v>
      </c>
      <c r="Q92" s="891"/>
      <c r="R92" s="891">
        <f>O92</f>
        <v>3758.5679999999998</v>
      </c>
      <c r="S92" s="946"/>
      <c r="T92" s="1385">
        <v>2113.643</v>
      </c>
      <c r="U92" s="1384">
        <v>412.79400000000004</v>
      </c>
      <c r="V92" s="1384"/>
      <c r="W92" s="894"/>
      <c r="X92" s="894"/>
      <c r="Y92" s="894"/>
      <c r="Z92" s="972">
        <f t="shared" si="130"/>
        <v>2526.4369999999999</v>
      </c>
      <c r="AA92" s="1386">
        <v>1221.3319999999999</v>
      </c>
      <c r="AB92" s="1384">
        <v>241</v>
      </c>
      <c r="AC92" s="1366"/>
      <c r="AD92" s="890"/>
      <c r="AE92" s="890"/>
      <c r="AF92" s="890"/>
      <c r="AG92" s="951">
        <f t="shared" si="131"/>
        <v>1462.3319999999999</v>
      </c>
      <c r="AH92" s="947">
        <f t="shared" si="143"/>
        <v>3988.7689999999998</v>
      </c>
      <c r="AI92" s="890">
        <f t="shared" si="150"/>
        <v>3334.9749999999999</v>
      </c>
      <c r="AJ92" s="890">
        <f t="shared" si="150"/>
        <v>653.7940000000001</v>
      </c>
      <c r="AK92" s="890">
        <f t="shared" si="150"/>
        <v>0</v>
      </c>
      <c r="AL92" s="890">
        <f t="shared" si="150"/>
        <v>0</v>
      </c>
      <c r="AM92" s="890">
        <f t="shared" si="150"/>
        <v>0</v>
      </c>
      <c r="AN92" s="890"/>
      <c r="AO92" s="890">
        <f t="shared" ref="AO92:AO137" si="154">SUM(AI92:AN92)</f>
        <v>3988.7690000000002</v>
      </c>
      <c r="AP92" s="890">
        <f t="shared" ref="AP92:AP139" si="155">SUM(AI92:AM92)</f>
        <v>3988.7690000000002</v>
      </c>
      <c r="AQ92" s="952">
        <f t="shared" si="98"/>
        <v>3988.7690000000002</v>
      </c>
      <c r="AR92" s="973">
        <f t="shared" si="132"/>
        <v>0</v>
      </c>
      <c r="AS92" s="889">
        <f t="shared" si="152"/>
        <v>11055322.065899998</v>
      </c>
      <c r="AT92" s="890">
        <f t="shared" si="152"/>
        <v>1928829.5967400004</v>
      </c>
      <c r="AU92" s="890">
        <f t="shared" si="152"/>
        <v>0</v>
      </c>
      <c r="AV92" s="890">
        <f t="shared" si="152"/>
        <v>0</v>
      </c>
      <c r="AW92" s="890">
        <f t="shared" si="152"/>
        <v>0</v>
      </c>
      <c r="AX92" s="890">
        <f t="shared" si="99"/>
        <v>12984151.662639998</v>
      </c>
      <c r="AY92" s="890">
        <f t="shared" si="100"/>
        <v>12984151.662639998</v>
      </c>
      <c r="AZ92" s="890">
        <f t="shared" si="153"/>
        <v>12534730.315799998</v>
      </c>
      <c r="BA92" s="890">
        <f t="shared" si="153"/>
        <v>1948116.5197400004</v>
      </c>
      <c r="BB92" s="890">
        <f t="shared" si="153"/>
        <v>0</v>
      </c>
      <c r="BC92" s="890">
        <f t="shared" si="153"/>
        <v>0</v>
      </c>
      <c r="BD92" s="890">
        <f t="shared" si="153"/>
        <v>0</v>
      </c>
      <c r="BE92" s="890">
        <f t="shared" si="101"/>
        <v>14482846.835539998</v>
      </c>
      <c r="BF92" s="952">
        <f t="shared" si="102"/>
        <v>14482846.835539998</v>
      </c>
      <c r="BG92" s="953">
        <f>(H92-J92)/1.2*U92/1000+(H92-K92)/1.2*V92/1000</f>
        <v>125.47355222999984</v>
      </c>
      <c r="BH92" s="954">
        <f>(O92-P92)*AB92/1000/1.2+(O92-Q92)/1.2*AC92/1000</f>
        <v>156.42064833333328</v>
      </c>
      <c r="BI92" s="955">
        <f t="shared" ref="BI92:BI98" si="156">BG92+BH92</f>
        <v>281.89420056333313</v>
      </c>
      <c r="BJ92" s="955"/>
      <c r="BK92" s="1197"/>
      <c r="BL92" s="890">
        <f t="shared" si="108"/>
        <v>7006650.4538519988</v>
      </c>
      <c r="BM92" s="890">
        <f t="shared" si="108"/>
        <v>1217828.9867400001</v>
      </c>
      <c r="BN92" s="890">
        <f t="shared" si="108"/>
        <v>0</v>
      </c>
      <c r="BO92" s="890">
        <f t="shared" si="108"/>
        <v>0</v>
      </c>
      <c r="BP92" s="890">
        <f t="shared" si="108"/>
        <v>0</v>
      </c>
      <c r="BQ92" s="890">
        <f t="shared" si="144"/>
        <v>8224479.4405919984</v>
      </c>
      <c r="BR92" s="890">
        <f t="shared" si="145"/>
        <v>8224479.4405919984</v>
      </c>
      <c r="BS92" s="890">
        <f t="shared" si="109"/>
        <v>4590459.3725759992</v>
      </c>
      <c r="BT92" s="890">
        <f t="shared" si="109"/>
        <v>718110.11</v>
      </c>
      <c r="BU92" s="890">
        <f t="shared" si="109"/>
        <v>0</v>
      </c>
      <c r="BV92" s="890">
        <f t="shared" si="146"/>
        <v>0</v>
      </c>
      <c r="BW92" s="890">
        <f t="shared" si="112"/>
        <v>0</v>
      </c>
      <c r="BX92" s="890">
        <f t="shared" si="147"/>
        <v>5308569.4825759996</v>
      </c>
      <c r="BY92" s="890">
        <f t="shared" si="148"/>
        <v>5308569.4825759996</v>
      </c>
      <c r="BZ92" s="945">
        <f t="shared" si="110"/>
        <v>1935939.0967399999</v>
      </c>
      <c r="CA92" s="945">
        <f t="shared" si="110"/>
        <v>0</v>
      </c>
      <c r="CB92" s="945">
        <f t="shared" si="149"/>
        <v>1935939.0967399999</v>
      </c>
      <c r="CC92" s="976">
        <f t="shared" si="111"/>
        <v>2961.0842203201614</v>
      </c>
      <c r="CD92" s="976" t="e">
        <f t="shared" si="111"/>
        <v>#DIV/0!</v>
      </c>
      <c r="CE92" s="976">
        <f t="shared" si="133"/>
        <v>2961.0842203201614</v>
      </c>
      <c r="CF92" s="976">
        <f t="shared" si="113"/>
        <v>2961.0842203201614</v>
      </c>
      <c r="CG92" s="977">
        <f t="shared" si="114"/>
        <v>2274212.137416</v>
      </c>
      <c r="CH92" s="977">
        <f t="shared" si="134"/>
        <v>3478.4842586747504</v>
      </c>
      <c r="CI92" s="945"/>
      <c r="CJ92" s="1312">
        <f>H92*Z92/1000</f>
        <v>8375.0477032679973</v>
      </c>
      <c r="CK92" s="1312">
        <f t="shared" si="115"/>
        <v>5496.2742605759995</v>
      </c>
      <c r="CL92" s="1312">
        <f t="shared" si="141"/>
        <v>13871.321963843997</v>
      </c>
      <c r="CM92" s="890">
        <f t="shared" si="135"/>
        <v>14992.059522791998</v>
      </c>
      <c r="CN92" s="890">
        <f t="shared" si="136"/>
        <v>1120.7375589480016</v>
      </c>
      <c r="CO92" s="890">
        <f t="shared" si="116"/>
        <v>13871321.963843998</v>
      </c>
      <c r="CP92" s="890">
        <f t="shared" si="117"/>
        <v>12984151.662639998</v>
      </c>
      <c r="CQ92" s="890">
        <f t="shared" si="118"/>
        <v>12984151.662639998</v>
      </c>
      <c r="CR92" s="890">
        <f t="shared" si="119"/>
        <v>8224479.4405919984</v>
      </c>
      <c r="CS92" s="890">
        <f t="shared" si="120"/>
        <v>14482846.835539998</v>
      </c>
      <c r="CT92" s="890">
        <f t="shared" si="121"/>
        <v>14482846.835539998</v>
      </c>
      <c r="CU92" s="890">
        <f t="shared" si="122"/>
        <v>5308569.4825759996</v>
      </c>
      <c r="CV92" s="890">
        <f t="shared" si="137"/>
        <v>27466998.498179995</v>
      </c>
      <c r="CW92" s="978">
        <f t="shared" si="138"/>
        <v>6886.0840269717291</v>
      </c>
      <c r="CX92" s="890">
        <f t="shared" si="123"/>
        <v>1928829.5967400004</v>
      </c>
      <c r="CY92" s="890">
        <f t="shared" si="124"/>
        <v>1948116.5197400004</v>
      </c>
      <c r="CZ92" s="890"/>
      <c r="DA92" s="890">
        <f t="shared" si="125"/>
        <v>13222625.639315998</v>
      </c>
      <c r="DB92" s="890">
        <f t="shared" si="126"/>
        <v>14992059.522791998</v>
      </c>
      <c r="DC92" s="840"/>
      <c r="DD92" s="841">
        <f t="shared" si="139"/>
        <v>127.40001559211038</v>
      </c>
      <c r="DE92" s="840"/>
      <c r="DF92" s="840"/>
      <c r="DG92" s="840"/>
      <c r="DH92" s="1050"/>
      <c r="DI92" s="1050"/>
      <c r="DJ92" s="1050"/>
      <c r="DK92" s="945"/>
      <c r="DL92" s="975">
        <f t="shared" si="127"/>
        <v>0</v>
      </c>
      <c r="DM92" s="975">
        <f t="shared" si="128"/>
        <v>0</v>
      </c>
      <c r="DN92" s="975">
        <f t="shared" si="129"/>
        <v>0</v>
      </c>
      <c r="DO92" s="816"/>
      <c r="DP92" s="871"/>
      <c r="DQ92" s="871"/>
      <c r="DR92" s="871"/>
      <c r="DS92" s="871"/>
      <c r="DT92" s="871"/>
      <c r="DU92" s="871"/>
      <c r="DV92" s="871"/>
      <c r="DW92" s="871"/>
      <c r="DX92" s="871"/>
      <c r="DY92" s="871"/>
      <c r="DZ92" s="871"/>
      <c r="EA92" s="871"/>
      <c r="EB92" s="871"/>
      <c r="EC92" s="871"/>
      <c r="ED92" s="871"/>
      <c r="EE92" s="871"/>
      <c r="EF92" s="871"/>
      <c r="EG92" s="871"/>
      <c r="EH92" s="871"/>
      <c r="EI92" s="871"/>
      <c r="EJ92" s="871"/>
      <c r="EK92" s="871"/>
      <c r="EL92" s="871"/>
    </row>
    <row r="93" spans="1:191" s="869" customFormat="1" ht="77.25" hidden="1" customHeight="1">
      <c r="A93" s="6">
        <f t="shared" si="140"/>
        <v>80</v>
      </c>
      <c r="B93" s="886"/>
      <c r="C93" s="1309" t="s">
        <v>115</v>
      </c>
      <c r="D93" s="1262" t="s">
        <v>142</v>
      </c>
      <c r="E93" s="887">
        <v>4632024035</v>
      </c>
      <c r="F93" s="886" t="s">
        <v>8</v>
      </c>
      <c r="G93" s="1238" t="s">
        <v>983</v>
      </c>
      <c r="H93" s="1256">
        <v>3314.9639999999995</v>
      </c>
      <c r="I93" s="1257">
        <f>H93</f>
        <v>3314.9639999999995</v>
      </c>
      <c r="J93" s="891"/>
      <c r="K93" s="891"/>
      <c r="L93" s="1256">
        <v>3314.9639999999995</v>
      </c>
      <c r="M93" s="946"/>
      <c r="N93" s="1259">
        <f>3132.14*1.2</f>
        <v>3758.5679999999998</v>
      </c>
      <c r="O93" s="1260">
        <f>N93</f>
        <v>3758.5679999999998</v>
      </c>
      <c r="P93" s="891"/>
      <c r="Q93" s="891"/>
      <c r="R93" s="891">
        <f>O93</f>
        <v>3758.5679999999998</v>
      </c>
      <c r="S93" s="946"/>
      <c r="T93" s="1385">
        <v>251.70200000000003</v>
      </c>
      <c r="U93" s="1384"/>
      <c r="V93" s="1384"/>
      <c r="W93" s="894"/>
      <c r="X93" s="894"/>
      <c r="Y93" s="894"/>
      <c r="Z93" s="972">
        <f t="shared" si="130"/>
        <v>251.70200000000003</v>
      </c>
      <c r="AA93" s="1386">
        <v>146.16</v>
      </c>
      <c r="AB93" s="1366"/>
      <c r="AC93" s="1366"/>
      <c r="AD93" s="890"/>
      <c r="AE93" s="890"/>
      <c r="AF93" s="890"/>
      <c r="AG93" s="951">
        <f t="shared" si="131"/>
        <v>146.16</v>
      </c>
      <c r="AH93" s="947">
        <f t="shared" si="143"/>
        <v>397.86200000000002</v>
      </c>
      <c r="AI93" s="890">
        <f t="shared" si="150"/>
        <v>397.86200000000002</v>
      </c>
      <c r="AJ93" s="890">
        <f t="shared" si="150"/>
        <v>0</v>
      </c>
      <c r="AK93" s="890">
        <f t="shared" si="150"/>
        <v>0</v>
      </c>
      <c r="AL93" s="890">
        <f t="shared" si="150"/>
        <v>0</v>
      </c>
      <c r="AM93" s="890">
        <f t="shared" si="150"/>
        <v>0</v>
      </c>
      <c r="AN93" s="890"/>
      <c r="AO93" s="890">
        <f t="shared" si="154"/>
        <v>397.86200000000002</v>
      </c>
      <c r="AP93" s="890">
        <f t="shared" si="155"/>
        <v>397.86200000000002</v>
      </c>
      <c r="AQ93" s="952">
        <f t="shared" si="98"/>
        <v>397.86200000000002</v>
      </c>
      <c r="AR93" s="973">
        <f t="shared" si="132"/>
        <v>0</v>
      </c>
      <c r="AS93" s="889">
        <f t="shared" si="152"/>
        <v>1318898.2069679999</v>
      </c>
      <c r="AT93" s="890">
        <f t="shared" si="152"/>
        <v>0</v>
      </c>
      <c r="AU93" s="890">
        <f t="shared" si="152"/>
        <v>0</v>
      </c>
      <c r="AV93" s="890">
        <f t="shared" si="152"/>
        <v>0</v>
      </c>
      <c r="AW93" s="890">
        <f t="shared" si="152"/>
        <v>0</v>
      </c>
      <c r="AX93" s="890">
        <f t="shared" si="99"/>
        <v>1318898.2069679999</v>
      </c>
      <c r="AY93" s="890">
        <f t="shared" si="100"/>
        <v>1318898.2069679999</v>
      </c>
      <c r="AZ93" s="890">
        <f t="shared" si="153"/>
        <v>1495391.3816160001</v>
      </c>
      <c r="BA93" s="890">
        <f t="shared" si="153"/>
        <v>0</v>
      </c>
      <c r="BB93" s="890">
        <f t="shared" si="153"/>
        <v>0</v>
      </c>
      <c r="BC93" s="890">
        <f t="shared" si="153"/>
        <v>0</v>
      </c>
      <c r="BD93" s="890">
        <f t="shared" si="153"/>
        <v>0</v>
      </c>
      <c r="BE93" s="890">
        <f t="shared" si="101"/>
        <v>1495391.3816160001</v>
      </c>
      <c r="BF93" s="952">
        <f t="shared" si="102"/>
        <v>1495391.3816160001</v>
      </c>
      <c r="BG93" s="953">
        <f>(H93-J93)/1.2*U93/1000+(H93-K93)/1.2*V93/1000</f>
        <v>0</v>
      </c>
      <c r="BH93" s="954">
        <f>(O93-P93)*AB93/1000/1.2+(O93-Q93)/1.2*AC93/1000</f>
        <v>0</v>
      </c>
      <c r="BI93" s="955">
        <f t="shared" si="156"/>
        <v>0</v>
      </c>
      <c r="BJ93" s="890"/>
      <c r="BK93" s="1199"/>
      <c r="BL93" s="890">
        <f t="shared" si="108"/>
        <v>834383.06872799993</v>
      </c>
      <c r="BM93" s="890">
        <f t="shared" si="108"/>
        <v>0</v>
      </c>
      <c r="BN93" s="890">
        <f t="shared" si="108"/>
        <v>0</v>
      </c>
      <c r="BO93" s="890">
        <f t="shared" si="108"/>
        <v>0</v>
      </c>
      <c r="BP93" s="890">
        <f t="shared" si="108"/>
        <v>0</v>
      </c>
      <c r="BQ93" s="890">
        <f t="shared" si="144"/>
        <v>834383.06872799993</v>
      </c>
      <c r="BR93" s="890">
        <f t="shared" si="145"/>
        <v>834383.06872799993</v>
      </c>
      <c r="BS93" s="890">
        <f t="shared" si="109"/>
        <v>549352.2988799999</v>
      </c>
      <c r="BT93" s="890">
        <f t="shared" si="109"/>
        <v>0</v>
      </c>
      <c r="BU93" s="890">
        <f t="shared" si="109"/>
        <v>0</v>
      </c>
      <c r="BV93" s="890">
        <f t="shared" si="146"/>
        <v>0</v>
      </c>
      <c r="BW93" s="890">
        <f t="shared" si="112"/>
        <v>0</v>
      </c>
      <c r="BX93" s="890">
        <f t="shared" si="147"/>
        <v>549352.2988799999</v>
      </c>
      <c r="BY93" s="890">
        <f t="shared" si="148"/>
        <v>549352.2988799999</v>
      </c>
      <c r="BZ93" s="945">
        <f t="shared" si="110"/>
        <v>0</v>
      </c>
      <c r="CA93" s="945">
        <f t="shared" si="110"/>
        <v>0</v>
      </c>
      <c r="CB93" s="945">
        <f t="shared" si="149"/>
        <v>0</v>
      </c>
      <c r="CC93" s="976" t="e">
        <f t="shared" si="111"/>
        <v>#DIV/0!</v>
      </c>
      <c r="CD93" s="976" t="e">
        <f t="shared" si="111"/>
        <v>#DIV/0!</v>
      </c>
      <c r="CE93" s="976" t="e">
        <f t="shared" si="133"/>
        <v>#DIV/0!</v>
      </c>
      <c r="CF93" s="945" t="e">
        <f t="shared" si="113"/>
        <v>#DIV/0!</v>
      </c>
      <c r="CG93" s="977">
        <f t="shared" si="114"/>
        <v>0</v>
      </c>
      <c r="CH93" s="977" t="e">
        <f t="shared" si="134"/>
        <v>#DIV/0!</v>
      </c>
      <c r="CI93" s="945"/>
      <c r="CJ93" s="1312">
        <f>H93*Z93/1000</f>
        <v>834.3830687279999</v>
      </c>
      <c r="CK93" s="1312">
        <f t="shared" si="115"/>
        <v>549.35229887999992</v>
      </c>
      <c r="CL93" s="1312">
        <f t="shared" si="141"/>
        <v>1383.7353676079997</v>
      </c>
      <c r="CM93" s="890">
        <f t="shared" si="135"/>
        <v>1495.391381616</v>
      </c>
      <c r="CN93" s="890">
        <f t="shared" si="136"/>
        <v>111.65601400800028</v>
      </c>
      <c r="CO93" s="890">
        <f t="shared" si="116"/>
        <v>1383735.3676079998</v>
      </c>
      <c r="CP93" s="890">
        <f t="shared" si="117"/>
        <v>1318898.2069679999</v>
      </c>
      <c r="CQ93" s="890">
        <f t="shared" si="118"/>
        <v>1318898.2069679999</v>
      </c>
      <c r="CR93" s="890">
        <f t="shared" si="119"/>
        <v>834383.06872799993</v>
      </c>
      <c r="CS93" s="890">
        <f t="shared" si="120"/>
        <v>1495391.3816160001</v>
      </c>
      <c r="CT93" s="890">
        <f t="shared" si="121"/>
        <v>1495391.3816160001</v>
      </c>
      <c r="CU93" s="890">
        <f t="shared" si="122"/>
        <v>549352.2988799999</v>
      </c>
      <c r="CV93" s="890">
        <f t="shared" si="137"/>
        <v>2814289.5885840002</v>
      </c>
      <c r="CW93" s="978">
        <f t="shared" si="138"/>
        <v>7073.5320000000002</v>
      </c>
      <c r="CX93" s="890">
        <f t="shared" si="123"/>
        <v>0</v>
      </c>
      <c r="CY93" s="890">
        <f t="shared" si="124"/>
        <v>0</v>
      </c>
      <c r="CZ93" s="890"/>
      <c r="DA93" s="890">
        <f t="shared" si="125"/>
        <v>1318898.2069679999</v>
      </c>
      <c r="DB93" s="890">
        <f t="shared" si="126"/>
        <v>1495391.3816160001</v>
      </c>
      <c r="DC93" s="840"/>
      <c r="DD93" s="841" t="e">
        <f t="shared" si="139"/>
        <v>#DIV/0!</v>
      </c>
      <c r="DE93" s="840"/>
      <c r="DF93" s="840"/>
      <c r="DG93" s="840"/>
      <c r="DH93" s="1050"/>
      <c r="DI93" s="1050"/>
      <c r="DJ93" s="1050"/>
      <c r="DK93" s="945"/>
      <c r="DL93" s="975">
        <f t="shared" si="127"/>
        <v>0</v>
      </c>
      <c r="DM93" s="975">
        <f t="shared" si="128"/>
        <v>0</v>
      </c>
      <c r="DN93" s="975">
        <f t="shared" si="129"/>
        <v>0</v>
      </c>
      <c r="DO93" s="816"/>
      <c r="DP93" s="871"/>
      <c r="DQ93" s="871"/>
      <c r="DR93" s="871"/>
      <c r="DS93" s="871"/>
      <c r="DT93" s="871"/>
      <c r="DU93" s="871"/>
      <c r="DV93" s="871"/>
      <c r="DW93" s="871"/>
      <c r="DX93" s="871"/>
      <c r="DY93" s="871"/>
      <c r="DZ93" s="871"/>
      <c r="EA93" s="871"/>
      <c r="EB93" s="871"/>
      <c r="EC93" s="871"/>
      <c r="ED93" s="871"/>
      <c r="EE93" s="871"/>
      <c r="EF93" s="871"/>
      <c r="EG93" s="871"/>
      <c r="EH93" s="871"/>
      <c r="EI93" s="871"/>
      <c r="EJ93" s="871"/>
      <c r="EK93" s="871"/>
      <c r="EL93" s="871"/>
    </row>
    <row r="94" spans="1:191" s="869" customFormat="1" ht="77.25" hidden="1" customHeight="1">
      <c r="A94" s="6">
        <f t="shared" si="140"/>
        <v>81</v>
      </c>
      <c r="B94" s="886"/>
      <c r="C94" s="1309" t="s">
        <v>116</v>
      </c>
      <c r="D94" s="1262" t="s">
        <v>141</v>
      </c>
      <c r="E94" s="887">
        <v>4632024035</v>
      </c>
      <c r="F94" s="886" t="s">
        <v>8</v>
      </c>
      <c r="G94" s="1238" t="s">
        <v>983</v>
      </c>
      <c r="H94" s="1256">
        <v>3314.9639999999995</v>
      </c>
      <c r="I94" s="1257">
        <f>H94</f>
        <v>3314.9639999999995</v>
      </c>
      <c r="J94" s="891"/>
      <c r="K94" s="891"/>
      <c r="L94" s="1256">
        <v>3314.9639999999995</v>
      </c>
      <c r="M94" s="946"/>
      <c r="N94" s="1259">
        <f>3132.14*1.2</f>
        <v>3758.5679999999998</v>
      </c>
      <c r="O94" s="1260">
        <f>N94</f>
        <v>3758.5679999999998</v>
      </c>
      <c r="P94" s="891"/>
      <c r="Q94" s="891"/>
      <c r="R94" s="891">
        <f>O94</f>
        <v>3758.5679999999998</v>
      </c>
      <c r="S94" s="946"/>
      <c r="T94" s="1307">
        <v>1107.5940000000001</v>
      </c>
      <c r="U94" s="1366"/>
      <c r="V94" s="1366"/>
      <c r="W94" s="890"/>
      <c r="X94" s="890"/>
      <c r="Y94" s="890"/>
      <c r="Z94" s="949">
        <f t="shared" si="130"/>
        <v>1107.5940000000001</v>
      </c>
      <c r="AA94" s="1308">
        <v>667.43200000000002</v>
      </c>
      <c r="AB94" s="1366"/>
      <c r="AC94" s="1366"/>
      <c r="AD94" s="890"/>
      <c r="AE94" s="890"/>
      <c r="AF94" s="890"/>
      <c r="AG94" s="951">
        <f t="shared" si="131"/>
        <v>667.43200000000002</v>
      </c>
      <c r="AH94" s="947">
        <f t="shared" si="143"/>
        <v>1775.0260000000001</v>
      </c>
      <c r="AI94" s="890">
        <f t="shared" si="150"/>
        <v>1775.0260000000001</v>
      </c>
      <c r="AJ94" s="890">
        <f t="shared" si="150"/>
        <v>0</v>
      </c>
      <c r="AK94" s="890">
        <f t="shared" si="150"/>
        <v>0</v>
      </c>
      <c r="AL94" s="890">
        <f t="shared" si="150"/>
        <v>0</v>
      </c>
      <c r="AM94" s="890">
        <f t="shared" si="150"/>
        <v>0</v>
      </c>
      <c r="AN94" s="890"/>
      <c r="AO94" s="890">
        <f t="shared" si="154"/>
        <v>1775.0260000000001</v>
      </c>
      <c r="AP94" s="890">
        <f t="shared" si="155"/>
        <v>1775.0260000000001</v>
      </c>
      <c r="AQ94" s="952">
        <f t="shared" si="98"/>
        <v>1775.0260000000001</v>
      </c>
      <c r="AR94" s="973">
        <f t="shared" si="132"/>
        <v>0</v>
      </c>
      <c r="AS94" s="889">
        <f t="shared" si="152"/>
        <v>5884147.2890639994</v>
      </c>
      <c r="AT94" s="890">
        <f t="shared" si="152"/>
        <v>0</v>
      </c>
      <c r="AU94" s="890">
        <f t="shared" si="152"/>
        <v>0</v>
      </c>
      <c r="AV94" s="890">
        <f t="shared" si="152"/>
        <v>0</v>
      </c>
      <c r="AW94" s="890">
        <f t="shared" si="152"/>
        <v>0</v>
      </c>
      <c r="AX94" s="890">
        <f t="shared" si="99"/>
        <v>5884147.2890639994</v>
      </c>
      <c r="AY94" s="890">
        <f t="shared" si="100"/>
        <v>5884147.2890639994</v>
      </c>
      <c r="AZ94" s="890">
        <f t="shared" si="153"/>
        <v>6671555.9227679996</v>
      </c>
      <c r="BA94" s="890">
        <f t="shared" si="153"/>
        <v>0</v>
      </c>
      <c r="BB94" s="890">
        <f t="shared" si="153"/>
        <v>0</v>
      </c>
      <c r="BC94" s="890">
        <f t="shared" si="153"/>
        <v>0</v>
      </c>
      <c r="BD94" s="890">
        <f t="shared" si="153"/>
        <v>0</v>
      </c>
      <c r="BE94" s="890">
        <f t="shared" si="101"/>
        <v>6671555.9227679996</v>
      </c>
      <c r="BF94" s="952">
        <f t="shared" si="102"/>
        <v>6671555.9227679996</v>
      </c>
      <c r="BG94" s="953">
        <f>(H94-J94)/1.2*U94/1000+(H94-K94)/1.2*V94/1000</f>
        <v>0</v>
      </c>
      <c r="BH94" s="954">
        <f>(O94-P94)*AB94/1000/1.2+(O94-Q94)/1.2*AC94/1000</f>
        <v>0</v>
      </c>
      <c r="BI94" s="955">
        <f t="shared" si="156"/>
        <v>0</v>
      </c>
      <c r="BJ94" s="890"/>
      <c r="BK94" s="1199"/>
      <c r="BL94" s="890">
        <f t="shared" si="108"/>
        <v>3671634.2366159996</v>
      </c>
      <c r="BM94" s="890">
        <f t="shared" si="108"/>
        <v>0</v>
      </c>
      <c r="BN94" s="890">
        <f t="shared" si="108"/>
        <v>0</v>
      </c>
      <c r="BO94" s="890">
        <f t="shared" si="108"/>
        <v>0</v>
      </c>
      <c r="BP94" s="890">
        <f t="shared" si="108"/>
        <v>0</v>
      </c>
      <c r="BQ94" s="890">
        <f t="shared" si="144"/>
        <v>3671634.2366159996</v>
      </c>
      <c r="BR94" s="890">
        <f t="shared" si="145"/>
        <v>3671634.2366159996</v>
      </c>
      <c r="BS94" s="890">
        <f t="shared" si="109"/>
        <v>2508588.5573760001</v>
      </c>
      <c r="BT94" s="890">
        <f t="shared" si="109"/>
        <v>0</v>
      </c>
      <c r="BU94" s="890">
        <f t="shared" si="109"/>
        <v>0</v>
      </c>
      <c r="BV94" s="890">
        <f t="shared" si="146"/>
        <v>0</v>
      </c>
      <c r="BW94" s="890">
        <f t="shared" si="112"/>
        <v>0</v>
      </c>
      <c r="BX94" s="890">
        <f t="shared" si="147"/>
        <v>2508588.5573760001</v>
      </c>
      <c r="BY94" s="890">
        <f t="shared" si="148"/>
        <v>2508588.5573760001</v>
      </c>
      <c r="BZ94" s="945">
        <f t="shared" si="110"/>
        <v>0</v>
      </c>
      <c r="CA94" s="945">
        <f t="shared" si="110"/>
        <v>0</v>
      </c>
      <c r="CB94" s="945">
        <f t="shared" si="149"/>
        <v>0</v>
      </c>
      <c r="CC94" s="976" t="e">
        <f t="shared" si="111"/>
        <v>#DIV/0!</v>
      </c>
      <c r="CD94" s="976" t="e">
        <f t="shared" si="111"/>
        <v>#DIV/0!</v>
      </c>
      <c r="CE94" s="976" t="e">
        <f t="shared" si="133"/>
        <v>#DIV/0!</v>
      </c>
      <c r="CF94" s="945" t="e">
        <f t="shared" si="113"/>
        <v>#DIV/0!</v>
      </c>
      <c r="CG94" s="977">
        <f t="shared" si="114"/>
        <v>0</v>
      </c>
      <c r="CH94" s="977" t="e">
        <f t="shared" si="134"/>
        <v>#DIV/0!</v>
      </c>
      <c r="CI94" s="945"/>
      <c r="CJ94" s="1312">
        <f>H94*Z94/1000</f>
        <v>3671.6342366159997</v>
      </c>
      <c r="CK94" s="1312">
        <f t="shared" si="115"/>
        <v>2508.5885573760002</v>
      </c>
      <c r="CL94" s="1312">
        <f t="shared" si="141"/>
        <v>6180.2227939919994</v>
      </c>
      <c r="CM94" s="890">
        <f t="shared" si="135"/>
        <v>6671.5559227679996</v>
      </c>
      <c r="CN94" s="890">
        <f t="shared" si="136"/>
        <v>491.33312877600019</v>
      </c>
      <c r="CO94" s="890">
        <f t="shared" si="116"/>
        <v>6180222.7939919997</v>
      </c>
      <c r="CP94" s="890">
        <f t="shared" si="117"/>
        <v>5884147.2890639994</v>
      </c>
      <c r="CQ94" s="890">
        <f t="shared" si="118"/>
        <v>5884147.2890639994</v>
      </c>
      <c r="CR94" s="890">
        <f t="shared" si="119"/>
        <v>3671634.2366159996</v>
      </c>
      <c r="CS94" s="890">
        <f t="shared" si="120"/>
        <v>6671555.9227679996</v>
      </c>
      <c r="CT94" s="890">
        <f t="shared" si="121"/>
        <v>6671555.9227679996</v>
      </c>
      <c r="CU94" s="890">
        <f t="shared" si="122"/>
        <v>2508588.5573760001</v>
      </c>
      <c r="CV94" s="890">
        <f t="shared" si="137"/>
        <v>12555703.211831998</v>
      </c>
      <c r="CW94" s="978">
        <f t="shared" si="138"/>
        <v>7073.5319999999983</v>
      </c>
      <c r="CX94" s="890">
        <f t="shared" si="123"/>
        <v>0</v>
      </c>
      <c r="CY94" s="890">
        <f t="shared" si="124"/>
        <v>0</v>
      </c>
      <c r="CZ94" s="890"/>
      <c r="DA94" s="890">
        <f t="shared" si="125"/>
        <v>5884147.2890639994</v>
      </c>
      <c r="DB94" s="890">
        <f t="shared" si="126"/>
        <v>6671555.9227679996</v>
      </c>
      <c r="DC94" s="840"/>
      <c r="DD94" s="841" t="e">
        <f t="shared" si="139"/>
        <v>#DIV/0!</v>
      </c>
      <c r="DE94" s="840"/>
      <c r="DF94" s="840"/>
      <c r="DG94" s="840"/>
      <c r="DH94" s="1050"/>
      <c r="DI94" s="1050"/>
      <c r="DJ94" s="1050"/>
      <c r="DK94" s="945"/>
      <c r="DL94" s="975">
        <f t="shared" si="127"/>
        <v>0</v>
      </c>
      <c r="DM94" s="975">
        <f t="shared" si="128"/>
        <v>0</v>
      </c>
      <c r="DN94" s="975">
        <f t="shared" si="129"/>
        <v>0</v>
      </c>
      <c r="DO94" s="816"/>
      <c r="DP94" s="871"/>
      <c r="DQ94" s="871"/>
      <c r="DR94" s="871"/>
      <c r="DS94" s="871"/>
      <c r="DT94" s="871"/>
      <c r="DU94" s="871"/>
      <c r="DV94" s="871"/>
      <c r="DW94" s="871"/>
      <c r="DX94" s="871"/>
      <c r="DY94" s="871"/>
      <c r="DZ94" s="871"/>
      <c r="EA94" s="871"/>
      <c r="EB94" s="871"/>
      <c r="EC94" s="871"/>
      <c r="ED94" s="871"/>
      <c r="EE94" s="871"/>
      <c r="EF94" s="871"/>
      <c r="EG94" s="871"/>
      <c r="EH94" s="871"/>
      <c r="EI94" s="871"/>
      <c r="EJ94" s="871"/>
      <c r="EK94" s="871"/>
      <c r="EL94" s="871"/>
    </row>
    <row r="95" spans="1:191" s="869" customFormat="1" ht="78" hidden="1" customHeight="1">
      <c r="A95" s="6">
        <f t="shared" si="140"/>
        <v>82</v>
      </c>
      <c r="B95" s="886"/>
      <c r="C95" s="1309" t="s">
        <v>117</v>
      </c>
      <c r="D95" s="1262" t="s">
        <v>141</v>
      </c>
      <c r="E95" s="887">
        <v>4632024035</v>
      </c>
      <c r="F95" s="886" t="s">
        <v>8</v>
      </c>
      <c r="G95" s="1238" t="s">
        <v>983</v>
      </c>
      <c r="H95" s="1256">
        <v>3314.9639999999995</v>
      </c>
      <c r="I95" s="1257">
        <f>H95</f>
        <v>3314.9639999999995</v>
      </c>
      <c r="J95" s="891"/>
      <c r="K95" s="891"/>
      <c r="L95" s="1256">
        <v>3314.9639999999995</v>
      </c>
      <c r="M95" s="946"/>
      <c r="N95" s="1259">
        <f>3132.14*1.2</f>
        <v>3758.5679999999998</v>
      </c>
      <c r="O95" s="1260">
        <f>N95</f>
        <v>3758.5679999999998</v>
      </c>
      <c r="P95" s="891"/>
      <c r="Q95" s="891"/>
      <c r="R95" s="891">
        <f>O95</f>
        <v>3758.5679999999998</v>
      </c>
      <c r="S95" s="946"/>
      <c r="T95" s="1307">
        <v>119.858</v>
      </c>
      <c r="U95" s="1366"/>
      <c r="V95" s="1366"/>
      <c r="W95" s="890"/>
      <c r="X95" s="890"/>
      <c r="Y95" s="890"/>
      <c r="Z95" s="949">
        <f t="shared" si="130"/>
        <v>119.858</v>
      </c>
      <c r="AA95" s="1308">
        <v>69.599999999999994</v>
      </c>
      <c r="AB95" s="1366"/>
      <c r="AC95" s="1366"/>
      <c r="AD95" s="890"/>
      <c r="AE95" s="890"/>
      <c r="AF95" s="890"/>
      <c r="AG95" s="951">
        <f t="shared" si="131"/>
        <v>69.599999999999994</v>
      </c>
      <c r="AH95" s="947">
        <f t="shared" si="143"/>
        <v>189.458</v>
      </c>
      <c r="AI95" s="890">
        <f t="shared" si="150"/>
        <v>189.458</v>
      </c>
      <c r="AJ95" s="890">
        <f t="shared" si="150"/>
        <v>0</v>
      </c>
      <c r="AK95" s="890">
        <f t="shared" si="150"/>
        <v>0</v>
      </c>
      <c r="AL95" s="890">
        <f t="shared" si="150"/>
        <v>0</v>
      </c>
      <c r="AM95" s="890">
        <f t="shared" si="150"/>
        <v>0</v>
      </c>
      <c r="AN95" s="890"/>
      <c r="AO95" s="890">
        <f t="shared" si="154"/>
        <v>189.458</v>
      </c>
      <c r="AP95" s="890">
        <f t="shared" si="155"/>
        <v>189.458</v>
      </c>
      <c r="AQ95" s="952">
        <f t="shared" si="98"/>
        <v>189.458</v>
      </c>
      <c r="AR95" s="973">
        <f t="shared" si="132"/>
        <v>0</v>
      </c>
      <c r="AS95" s="889">
        <f t="shared" si="152"/>
        <v>628046.44951199985</v>
      </c>
      <c r="AT95" s="890">
        <f t="shared" si="152"/>
        <v>0</v>
      </c>
      <c r="AU95" s="890">
        <f t="shared" si="152"/>
        <v>0</v>
      </c>
      <c r="AV95" s="890">
        <f t="shared" si="152"/>
        <v>0</v>
      </c>
      <c r="AW95" s="890">
        <f t="shared" si="152"/>
        <v>0</v>
      </c>
      <c r="AX95" s="890">
        <f t="shared" si="99"/>
        <v>628046.44951199985</v>
      </c>
      <c r="AY95" s="890">
        <f t="shared" si="100"/>
        <v>628046.44951199985</v>
      </c>
      <c r="AZ95" s="890">
        <f t="shared" si="153"/>
        <v>712090.776144</v>
      </c>
      <c r="BA95" s="890">
        <f t="shared" si="153"/>
        <v>0</v>
      </c>
      <c r="BB95" s="890">
        <f t="shared" si="153"/>
        <v>0</v>
      </c>
      <c r="BC95" s="890">
        <f t="shared" si="153"/>
        <v>0</v>
      </c>
      <c r="BD95" s="890">
        <f t="shared" si="153"/>
        <v>0</v>
      </c>
      <c r="BE95" s="890">
        <f t="shared" si="101"/>
        <v>712090.776144</v>
      </c>
      <c r="BF95" s="952">
        <f t="shared" si="102"/>
        <v>712090.776144</v>
      </c>
      <c r="BG95" s="953">
        <f>(H95-J95)/1.2*U95/1000+(H95-K95)/1.2*V95/1000</f>
        <v>0</v>
      </c>
      <c r="BH95" s="954">
        <f>(O95-P95)*AB95/1000/1.2+(O95-Q95)/1.2*AC95/1000</f>
        <v>0</v>
      </c>
      <c r="BI95" s="955">
        <f t="shared" si="156"/>
        <v>0</v>
      </c>
      <c r="BJ95" s="890"/>
      <c r="BK95" s="1199"/>
      <c r="BL95" s="890">
        <f t="shared" si="108"/>
        <v>397324.95511199994</v>
      </c>
      <c r="BM95" s="890">
        <f t="shared" si="108"/>
        <v>0</v>
      </c>
      <c r="BN95" s="890">
        <f t="shared" si="108"/>
        <v>0</v>
      </c>
      <c r="BO95" s="890">
        <f t="shared" si="108"/>
        <v>0</v>
      </c>
      <c r="BP95" s="890">
        <f t="shared" si="108"/>
        <v>0</v>
      </c>
      <c r="BQ95" s="890">
        <f t="shared" si="144"/>
        <v>397324.95511199994</v>
      </c>
      <c r="BR95" s="890">
        <f t="shared" si="145"/>
        <v>397324.95511199994</v>
      </c>
      <c r="BS95" s="890">
        <f t="shared" si="109"/>
        <v>261596.33279999997</v>
      </c>
      <c r="BT95" s="890">
        <f t="shared" si="109"/>
        <v>0</v>
      </c>
      <c r="BU95" s="890">
        <f t="shared" si="109"/>
        <v>0</v>
      </c>
      <c r="BV95" s="890">
        <f t="shared" si="146"/>
        <v>0</v>
      </c>
      <c r="BW95" s="890">
        <f t="shared" si="112"/>
        <v>0</v>
      </c>
      <c r="BX95" s="890">
        <f t="shared" si="147"/>
        <v>261596.33279999997</v>
      </c>
      <c r="BY95" s="890">
        <f t="shared" si="148"/>
        <v>261596.33279999997</v>
      </c>
      <c r="BZ95" s="945">
        <f t="shared" si="110"/>
        <v>0</v>
      </c>
      <c r="CA95" s="945">
        <f t="shared" si="110"/>
        <v>0</v>
      </c>
      <c r="CB95" s="945">
        <f t="shared" si="149"/>
        <v>0</v>
      </c>
      <c r="CC95" s="976" t="e">
        <f t="shared" si="111"/>
        <v>#DIV/0!</v>
      </c>
      <c r="CD95" s="976" t="e">
        <f t="shared" si="111"/>
        <v>#DIV/0!</v>
      </c>
      <c r="CE95" s="976" t="e">
        <f t="shared" si="133"/>
        <v>#DIV/0!</v>
      </c>
      <c r="CF95" s="945" t="e">
        <f t="shared" si="113"/>
        <v>#DIV/0!</v>
      </c>
      <c r="CG95" s="977">
        <f t="shared" si="114"/>
        <v>0</v>
      </c>
      <c r="CH95" s="977" t="e">
        <f t="shared" si="134"/>
        <v>#DIV/0!</v>
      </c>
      <c r="CI95" s="945"/>
      <c r="CJ95" s="1312">
        <f>H95*Z95/1000</f>
        <v>397.32495511199994</v>
      </c>
      <c r="CK95" s="1312">
        <f t="shared" si="115"/>
        <v>261.59633279999997</v>
      </c>
      <c r="CL95" s="1312">
        <f t="shared" si="141"/>
        <v>658.92128791199991</v>
      </c>
      <c r="CM95" s="890">
        <f t="shared" si="135"/>
        <v>712.09077614399996</v>
      </c>
      <c r="CN95" s="890">
        <f t="shared" si="136"/>
        <v>53.169488232000049</v>
      </c>
      <c r="CO95" s="890">
        <f t="shared" si="116"/>
        <v>658921.28791199997</v>
      </c>
      <c r="CP95" s="890">
        <f t="shared" si="117"/>
        <v>628046.44951199985</v>
      </c>
      <c r="CQ95" s="890">
        <f t="shared" si="118"/>
        <v>628046.44951199985</v>
      </c>
      <c r="CR95" s="890">
        <f t="shared" si="119"/>
        <v>397324.95511199994</v>
      </c>
      <c r="CS95" s="890">
        <f t="shared" si="120"/>
        <v>712090.776144</v>
      </c>
      <c r="CT95" s="890">
        <f t="shared" si="121"/>
        <v>712090.776144</v>
      </c>
      <c r="CU95" s="890">
        <f t="shared" si="122"/>
        <v>261596.33279999997</v>
      </c>
      <c r="CV95" s="890">
        <f t="shared" si="137"/>
        <v>1340137.225656</v>
      </c>
      <c r="CW95" s="978">
        <f t="shared" si="138"/>
        <v>7073.5320000000002</v>
      </c>
      <c r="CX95" s="890">
        <f t="shared" si="123"/>
        <v>0</v>
      </c>
      <c r="CY95" s="890">
        <f t="shared" si="124"/>
        <v>0</v>
      </c>
      <c r="CZ95" s="890"/>
      <c r="DA95" s="890">
        <f t="shared" si="125"/>
        <v>628046.44951199985</v>
      </c>
      <c r="DB95" s="890">
        <f t="shared" si="126"/>
        <v>712090.776144</v>
      </c>
      <c r="DC95" s="840"/>
      <c r="DD95" s="841" t="e">
        <f t="shared" si="139"/>
        <v>#DIV/0!</v>
      </c>
      <c r="DE95" s="840"/>
      <c r="DF95" s="840"/>
      <c r="DG95" s="840"/>
      <c r="DH95" s="1050"/>
      <c r="DI95" s="1050"/>
      <c r="DJ95" s="1050"/>
      <c r="DK95" s="945"/>
      <c r="DL95" s="975">
        <f t="shared" si="127"/>
        <v>0</v>
      </c>
      <c r="DM95" s="975">
        <f t="shared" si="128"/>
        <v>0</v>
      </c>
      <c r="DN95" s="975">
        <f t="shared" si="129"/>
        <v>0</v>
      </c>
      <c r="DO95" s="816"/>
      <c r="DP95" s="871"/>
      <c r="DQ95" s="871"/>
      <c r="DR95" s="871"/>
      <c r="DS95" s="871"/>
      <c r="DT95" s="871"/>
      <c r="DU95" s="871"/>
      <c r="DV95" s="871"/>
      <c r="DW95" s="871"/>
      <c r="DX95" s="871"/>
      <c r="DY95" s="871"/>
      <c r="DZ95" s="871"/>
      <c r="EA95" s="871"/>
      <c r="EB95" s="871"/>
      <c r="EC95" s="871"/>
      <c r="ED95" s="871"/>
      <c r="EE95" s="871"/>
      <c r="EF95" s="871"/>
      <c r="EG95" s="871"/>
      <c r="EH95" s="871"/>
      <c r="EI95" s="871"/>
      <c r="EJ95" s="871"/>
      <c r="EK95" s="871"/>
      <c r="EL95" s="871"/>
    </row>
    <row r="96" spans="1:191" s="869" customFormat="1" ht="82.5" hidden="1" customHeight="1">
      <c r="A96" s="6">
        <f t="shared" si="140"/>
        <v>83</v>
      </c>
      <c r="B96" s="909" t="s">
        <v>169</v>
      </c>
      <c r="C96" s="1309" t="s">
        <v>118</v>
      </c>
      <c r="D96" s="1262" t="s">
        <v>141</v>
      </c>
      <c r="E96" s="887">
        <v>4632024035</v>
      </c>
      <c r="F96" s="886" t="s">
        <v>8</v>
      </c>
      <c r="G96" s="1238" t="s">
        <v>983</v>
      </c>
      <c r="H96" s="1256">
        <v>3314.9639999999995</v>
      </c>
      <c r="I96" s="1257">
        <f>H96</f>
        <v>3314.9639999999995</v>
      </c>
      <c r="J96" s="891"/>
      <c r="K96" s="891"/>
      <c r="L96" s="1256">
        <v>3314.9639999999995</v>
      </c>
      <c r="M96" s="946"/>
      <c r="N96" s="1259">
        <f>3132.14*1.2</f>
        <v>3758.5679999999998</v>
      </c>
      <c r="O96" s="1260">
        <f>N96</f>
        <v>3758.5679999999998</v>
      </c>
      <c r="P96" s="891"/>
      <c r="Q96" s="891"/>
      <c r="R96" s="891">
        <f>O96</f>
        <v>3758.5679999999998</v>
      </c>
      <c r="S96" s="946"/>
      <c r="T96" s="1307">
        <v>659.22</v>
      </c>
      <c r="U96" s="1366"/>
      <c r="V96" s="1366"/>
      <c r="W96" s="890"/>
      <c r="X96" s="890"/>
      <c r="Y96" s="890"/>
      <c r="Z96" s="949">
        <f t="shared" si="130"/>
        <v>659.22</v>
      </c>
      <c r="AA96" s="1308">
        <v>382.8</v>
      </c>
      <c r="AB96" s="1366"/>
      <c r="AC96" s="1366"/>
      <c r="AD96" s="890"/>
      <c r="AE96" s="890"/>
      <c r="AF96" s="890"/>
      <c r="AG96" s="951">
        <f t="shared" si="131"/>
        <v>382.8</v>
      </c>
      <c r="AH96" s="947">
        <f t="shared" si="143"/>
        <v>1042.02</v>
      </c>
      <c r="AI96" s="890">
        <f t="shared" si="150"/>
        <v>1042.02</v>
      </c>
      <c r="AJ96" s="890">
        <f t="shared" si="150"/>
        <v>0</v>
      </c>
      <c r="AK96" s="890">
        <f t="shared" si="150"/>
        <v>0</v>
      </c>
      <c r="AL96" s="890">
        <f t="shared" si="150"/>
        <v>0</v>
      </c>
      <c r="AM96" s="890">
        <f t="shared" si="150"/>
        <v>0</v>
      </c>
      <c r="AN96" s="890"/>
      <c r="AO96" s="890">
        <f t="shared" si="154"/>
        <v>1042.02</v>
      </c>
      <c r="AP96" s="890">
        <f t="shared" si="155"/>
        <v>1042.02</v>
      </c>
      <c r="AQ96" s="952">
        <f t="shared" si="98"/>
        <v>1042.02</v>
      </c>
      <c r="AR96" s="973">
        <f t="shared" si="132"/>
        <v>0</v>
      </c>
      <c r="AS96" s="889">
        <f t="shared" si="152"/>
        <v>3454258.7872799993</v>
      </c>
      <c r="AT96" s="890">
        <f t="shared" si="152"/>
        <v>0</v>
      </c>
      <c r="AU96" s="890">
        <f t="shared" si="152"/>
        <v>0</v>
      </c>
      <c r="AV96" s="890">
        <f t="shared" si="152"/>
        <v>0</v>
      </c>
      <c r="AW96" s="890">
        <f t="shared" si="152"/>
        <v>0</v>
      </c>
      <c r="AX96" s="890">
        <f t="shared" si="99"/>
        <v>3454258.7872799993</v>
      </c>
      <c r="AY96" s="890">
        <f t="shared" si="100"/>
        <v>3454258.7872799993</v>
      </c>
      <c r="AZ96" s="890">
        <f t="shared" si="153"/>
        <v>3916503.0273599997</v>
      </c>
      <c r="BA96" s="890">
        <f t="shared" si="153"/>
        <v>0</v>
      </c>
      <c r="BB96" s="890">
        <f t="shared" si="153"/>
        <v>0</v>
      </c>
      <c r="BC96" s="890">
        <f t="shared" si="153"/>
        <v>0</v>
      </c>
      <c r="BD96" s="890">
        <f t="shared" si="153"/>
        <v>0</v>
      </c>
      <c r="BE96" s="890">
        <f t="shared" si="101"/>
        <v>3916503.0273599997</v>
      </c>
      <c r="BF96" s="952">
        <f t="shared" si="102"/>
        <v>3916503.0273599997</v>
      </c>
      <c r="BG96" s="953">
        <f>(H96-J96)/1.2*U96/1000+(H96-K96)/1.2*V96/1000</f>
        <v>0</v>
      </c>
      <c r="BH96" s="954">
        <f>(O96-P96)*AB96/1000/1.2+(O96-Q96)/1.2*AC96/1000</f>
        <v>0</v>
      </c>
      <c r="BI96" s="955">
        <f t="shared" si="156"/>
        <v>0</v>
      </c>
      <c r="BJ96" s="890"/>
      <c r="BK96" s="1199"/>
      <c r="BL96" s="890">
        <f t="shared" si="108"/>
        <v>2185290.5680799996</v>
      </c>
      <c r="BM96" s="890">
        <f t="shared" si="108"/>
        <v>0</v>
      </c>
      <c r="BN96" s="890">
        <f t="shared" si="108"/>
        <v>0</v>
      </c>
      <c r="BO96" s="890">
        <f t="shared" si="108"/>
        <v>0</v>
      </c>
      <c r="BP96" s="890">
        <f t="shared" si="108"/>
        <v>0</v>
      </c>
      <c r="BQ96" s="890">
        <f t="shared" si="144"/>
        <v>2185290.5680799996</v>
      </c>
      <c r="BR96" s="890">
        <f t="shared" si="145"/>
        <v>2185290.5680799996</v>
      </c>
      <c r="BS96" s="890">
        <f t="shared" si="109"/>
        <v>1438779.8303999999</v>
      </c>
      <c r="BT96" s="890">
        <f t="shared" si="109"/>
        <v>0</v>
      </c>
      <c r="BU96" s="890">
        <f t="shared" si="109"/>
        <v>0</v>
      </c>
      <c r="BV96" s="890">
        <f t="shared" si="146"/>
        <v>0</v>
      </c>
      <c r="BW96" s="890">
        <f t="shared" si="112"/>
        <v>0</v>
      </c>
      <c r="BX96" s="890">
        <f t="shared" si="147"/>
        <v>1438779.8303999999</v>
      </c>
      <c r="BY96" s="890">
        <f t="shared" si="148"/>
        <v>1438779.8303999999</v>
      </c>
      <c r="BZ96" s="945">
        <f t="shared" si="110"/>
        <v>0</v>
      </c>
      <c r="CA96" s="945">
        <f t="shared" si="110"/>
        <v>0</v>
      </c>
      <c r="CB96" s="945">
        <f t="shared" si="149"/>
        <v>0</v>
      </c>
      <c r="CC96" s="976" t="e">
        <f t="shared" si="111"/>
        <v>#DIV/0!</v>
      </c>
      <c r="CD96" s="976" t="e">
        <f t="shared" si="111"/>
        <v>#DIV/0!</v>
      </c>
      <c r="CE96" s="976" t="e">
        <f t="shared" si="133"/>
        <v>#DIV/0!</v>
      </c>
      <c r="CF96" s="945" t="e">
        <f t="shared" si="113"/>
        <v>#DIV/0!</v>
      </c>
      <c r="CG96" s="977">
        <f t="shared" si="114"/>
        <v>0</v>
      </c>
      <c r="CH96" s="977" t="e">
        <f t="shared" si="134"/>
        <v>#DIV/0!</v>
      </c>
      <c r="CI96" s="945"/>
      <c r="CJ96" s="1312">
        <f>H96*Z96/1000</f>
        <v>2185.2905680799995</v>
      </c>
      <c r="CK96" s="1312">
        <f t="shared" si="115"/>
        <v>1438.7798303999998</v>
      </c>
      <c r="CL96" s="1312">
        <f t="shared" si="141"/>
        <v>3624.0703984799993</v>
      </c>
      <c r="CM96" s="890">
        <f t="shared" si="135"/>
        <v>3916.5030273599996</v>
      </c>
      <c r="CN96" s="890">
        <f t="shared" si="136"/>
        <v>292.43262888000027</v>
      </c>
      <c r="CO96" s="890">
        <f t="shared" si="116"/>
        <v>3624070.3984799995</v>
      </c>
      <c r="CP96" s="890">
        <f t="shared" si="117"/>
        <v>3454258.7872799993</v>
      </c>
      <c r="CQ96" s="890">
        <f t="shared" si="118"/>
        <v>3454258.7872799993</v>
      </c>
      <c r="CR96" s="890">
        <f t="shared" si="119"/>
        <v>2185290.5680799996</v>
      </c>
      <c r="CS96" s="890">
        <f t="shared" si="120"/>
        <v>3916503.0273599997</v>
      </c>
      <c r="CT96" s="890">
        <f t="shared" si="121"/>
        <v>3916503.0273599997</v>
      </c>
      <c r="CU96" s="890">
        <f t="shared" si="122"/>
        <v>1438779.8303999999</v>
      </c>
      <c r="CV96" s="890">
        <f t="shared" si="137"/>
        <v>7370761.8146399986</v>
      </c>
      <c r="CW96" s="978">
        <f t="shared" si="138"/>
        <v>7073.5319999999983</v>
      </c>
      <c r="CX96" s="890">
        <f t="shared" si="123"/>
        <v>0</v>
      </c>
      <c r="CY96" s="890">
        <f t="shared" si="124"/>
        <v>0</v>
      </c>
      <c r="CZ96" s="890"/>
      <c r="DA96" s="890">
        <f t="shared" si="125"/>
        <v>3454258.7872799993</v>
      </c>
      <c r="DB96" s="890">
        <f t="shared" si="126"/>
        <v>3916503.0273599997</v>
      </c>
      <c r="DC96" s="840"/>
      <c r="DD96" s="841" t="e">
        <f t="shared" si="139"/>
        <v>#DIV/0!</v>
      </c>
      <c r="DE96" s="840"/>
      <c r="DF96" s="840"/>
      <c r="DG96" s="840"/>
      <c r="DH96" s="1050"/>
      <c r="DI96" s="1050"/>
      <c r="DJ96" s="1050"/>
      <c r="DK96" s="945"/>
      <c r="DL96" s="975">
        <f t="shared" si="127"/>
        <v>0</v>
      </c>
      <c r="DM96" s="975">
        <f t="shared" si="128"/>
        <v>0</v>
      </c>
      <c r="DN96" s="975">
        <f t="shared" si="129"/>
        <v>0</v>
      </c>
      <c r="DO96" s="816"/>
      <c r="DP96" s="871"/>
      <c r="DQ96" s="871"/>
      <c r="DR96" s="871"/>
      <c r="DS96" s="871"/>
      <c r="DT96" s="871"/>
      <c r="DU96" s="871"/>
      <c r="DV96" s="871"/>
      <c r="DW96" s="871"/>
      <c r="DX96" s="871"/>
      <c r="DY96" s="871"/>
      <c r="DZ96" s="871"/>
      <c r="EA96" s="871"/>
      <c r="EB96" s="871"/>
      <c r="EC96" s="871"/>
      <c r="ED96" s="871"/>
      <c r="EE96" s="871"/>
      <c r="EF96" s="871"/>
      <c r="EG96" s="871"/>
      <c r="EH96" s="871"/>
      <c r="EI96" s="871"/>
      <c r="EJ96" s="871"/>
      <c r="EK96" s="871"/>
      <c r="EL96" s="871"/>
    </row>
    <row r="97" spans="1:142" s="50" customFormat="1" ht="78" hidden="1" customHeight="1">
      <c r="A97" s="6">
        <f t="shared" si="140"/>
        <v>84</v>
      </c>
      <c r="B97" s="909"/>
      <c r="C97" s="886"/>
      <c r="D97" s="1225" t="s">
        <v>140</v>
      </c>
      <c r="E97" s="886">
        <v>4622005001</v>
      </c>
      <c r="F97" s="886" t="s">
        <v>8</v>
      </c>
      <c r="G97" s="888" t="s">
        <v>967</v>
      </c>
      <c r="H97" s="1249">
        <v>3727.67</v>
      </c>
      <c r="I97" s="1250">
        <v>3727.67</v>
      </c>
      <c r="J97" s="891">
        <v>3727.67</v>
      </c>
      <c r="K97" s="891">
        <v>0</v>
      </c>
      <c r="L97" s="891">
        <v>0</v>
      </c>
      <c r="M97" s="892">
        <v>0</v>
      </c>
      <c r="N97" s="1223">
        <v>4263.22</v>
      </c>
      <c r="O97" s="984">
        <v>4263.22</v>
      </c>
      <c r="P97" s="984">
        <v>4263.22</v>
      </c>
      <c r="Q97" s="895">
        <v>0</v>
      </c>
      <c r="R97" s="891">
        <v>0</v>
      </c>
      <c r="S97" s="892">
        <v>0</v>
      </c>
      <c r="T97" s="960">
        <v>726</v>
      </c>
      <c r="U97" s="919">
        <v>82.8</v>
      </c>
      <c r="V97" s="897">
        <v>0</v>
      </c>
      <c r="W97" s="897">
        <v>0</v>
      </c>
      <c r="X97" s="897">
        <v>0</v>
      </c>
      <c r="Y97" s="897">
        <v>0</v>
      </c>
      <c r="Z97" s="920">
        <f>SUM(T97:W97)</f>
        <v>808.8</v>
      </c>
      <c r="AA97" s="961">
        <v>484</v>
      </c>
      <c r="AB97" s="919">
        <v>55.2</v>
      </c>
      <c r="AC97" s="897">
        <v>0</v>
      </c>
      <c r="AD97" s="897">
        <v>0</v>
      </c>
      <c r="AE97" s="897">
        <v>0</v>
      </c>
      <c r="AF97" s="897">
        <v>0</v>
      </c>
      <c r="AG97" s="1014">
        <f t="shared" si="131"/>
        <v>539.20000000000005</v>
      </c>
      <c r="AH97" s="960">
        <f t="shared" si="143"/>
        <v>1348</v>
      </c>
      <c r="AI97" s="919">
        <f t="shared" si="150"/>
        <v>1210</v>
      </c>
      <c r="AJ97" s="919">
        <f t="shared" si="150"/>
        <v>138</v>
      </c>
      <c r="AK97" s="897">
        <f t="shared" si="150"/>
        <v>0</v>
      </c>
      <c r="AL97" s="897">
        <f t="shared" si="150"/>
        <v>0</v>
      </c>
      <c r="AM97" s="897">
        <f t="shared" si="150"/>
        <v>0</v>
      </c>
      <c r="AN97" s="897"/>
      <c r="AO97" s="919">
        <f t="shared" si="154"/>
        <v>1348</v>
      </c>
      <c r="AP97" s="919">
        <f t="shared" si="155"/>
        <v>1348</v>
      </c>
      <c r="AQ97" s="920">
        <f t="shared" si="98"/>
        <v>1348</v>
      </c>
      <c r="AR97" s="902">
        <f t="shared" si="132"/>
        <v>0</v>
      </c>
      <c r="AS97" s="960">
        <f t="shared" si="152"/>
        <v>4510480.7</v>
      </c>
      <c r="AT97" s="897">
        <f t="shared" si="152"/>
        <v>514418.46</v>
      </c>
      <c r="AU97" s="897">
        <f t="shared" si="152"/>
        <v>0</v>
      </c>
      <c r="AV97" s="897">
        <f t="shared" si="152"/>
        <v>0</v>
      </c>
      <c r="AW97" s="897">
        <f t="shared" si="152"/>
        <v>0</v>
      </c>
      <c r="AX97" s="897">
        <f t="shared" si="99"/>
        <v>5024899.16</v>
      </c>
      <c r="AY97" s="897">
        <f t="shared" si="100"/>
        <v>5024899.16</v>
      </c>
      <c r="AZ97" s="919">
        <f t="shared" si="153"/>
        <v>5158496.2</v>
      </c>
      <c r="BA97" s="897">
        <f t="shared" si="153"/>
        <v>588324.36</v>
      </c>
      <c r="BB97" s="897">
        <f t="shared" si="153"/>
        <v>0</v>
      </c>
      <c r="BC97" s="897">
        <f t="shared" si="153"/>
        <v>0</v>
      </c>
      <c r="BD97" s="897">
        <f t="shared" si="153"/>
        <v>0</v>
      </c>
      <c r="BE97" s="897">
        <f t="shared" si="101"/>
        <v>5746820.5600000005</v>
      </c>
      <c r="BF97" s="901">
        <f t="shared" si="102"/>
        <v>5746820.5600000005</v>
      </c>
      <c r="BG97" s="904">
        <v>0</v>
      </c>
      <c r="BH97" s="897">
        <v>0</v>
      </c>
      <c r="BI97" s="897">
        <f t="shared" si="156"/>
        <v>0</v>
      </c>
      <c r="BJ97" s="897">
        <v>5313.67</v>
      </c>
      <c r="BK97" s="1194"/>
      <c r="BL97" s="897">
        <f t="shared" si="108"/>
        <v>2706288.42</v>
      </c>
      <c r="BM97" s="897">
        <f t="shared" si="108"/>
        <v>308651.076</v>
      </c>
      <c r="BN97" s="897">
        <f t="shared" si="108"/>
        <v>0</v>
      </c>
      <c r="BO97" s="897">
        <f t="shared" si="108"/>
        <v>0</v>
      </c>
      <c r="BP97" s="897">
        <f t="shared" si="108"/>
        <v>0</v>
      </c>
      <c r="BQ97" s="897">
        <f t="shared" si="144"/>
        <v>3014939.4959999998</v>
      </c>
      <c r="BR97" s="897">
        <f t="shared" si="145"/>
        <v>3014939.4959999998</v>
      </c>
      <c r="BS97" s="897">
        <f t="shared" si="109"/>
        <v>2063398.4800000002</v>
      </c>
      <c r="BT97" s="897">
        <f t="shared" si="109"/>
        <v>235329.74400000004</v>
      </c>
      <c r="BU97" s="897">
        <f t="shared" si="109"/>
        <v>0</v>
      </c>
      <c r="BV97" s="897">
        <f t="shared" si="146"/>
        <v>0</v>
      </c>
      <c r="BW97" s="897">
        <f t="shared" si="112"/>
        <v>0</v>
      </c>
      <c r="BX97" s="897">
        <f t="shared" si="147"/>
        <v>2298728.2240000004</v>
      </c>
      <c r="BY97" s="897">
        <f t="shared" si="148"/>
        <v>2298728.2240000004</v>
      </c>
      <c r="BZ97" s="905">
        <f t="shared" si="110"/>
        <v>543980.82000000007</v>
      </c>
      <c r="CA97" s="905">
        <f t="shared" si="110"/>
        <v>0</v>
      </c>
      <c r="CB97" s="905">
        <f t="shared" si="149"/>
        <v>543980.82000000007</v>
      </c>
      <c r="CC97" s="907">
        <f t="shared" si="111"/>
        <v>3941.8900000000003</v>
      </c>
      <c r="CD97" s="907" t="e">
        <f t="shared" si="111"/>
        <v>#DIV/0!</v>
      </c>
      <c r="CE97" s="907">
        <f t="shared" si="133"/>
        <v>3941.8900000000003</v>
      </c>
      <c r="CF97" s="905">
        <f t="shared" si="113"/>
        <v>3941.8900000000003</v>
      </c>
      <c r="CG97" s="923">
        <f t="shared" si="114"/>
        <v>543980.82000000007</v>
      </c>
      <c r="CH97" s="923">
        <f t="shared" si="134"/>
        <v>3941.8900000000003</v>
      </c>
      <c r="CI97" s="905"/>
      <c r="CJ97" s="897">
        <f t="shared" si="151"/>
        <v>3448.0923360000002</v>
      </c>
      <c r="CK97" s="897">
        <f t="shared" si="115"/>
        <v>2298.7282240000004</v>
      </c>
      <c r="CL97" s="897">
        <f t="shared" si="141"/>
        <v>5746.8205600000001</v>
      </c>
      <c r="CM97" s="897">
        <f t="shared" si="135"/>
        <v>5746.8205600000001</v>
      </c>
      <c r="CN97" s="897">
        <f t="shared" si="136"/>
        <v>0</v>
      </c>
      <c r="CO97" s="897">
        <f t="shared" si="116"/>
        <v>5313667.7200000007</v>
      </c>
      <c r="CP97" s="897">
        <f t="shared" si="117"/>
        <v>5024899.16</v>
      </c>
      <c r="CQ97" s="897">
        <f t="shared" si="118"/>
        <v>5024899.16</v>
      </c>
      <c r="CR97" s="897">
        <f t="shared" si="119"/>
        <v>3014939.4959999998</v>
      </c>
      <c r="CS97" s="897">
        <f t="shared" si="120"/>
        <v>5746820.5600000005</v>
      </c>
      <c r="CT97" s="897">
        <f t="shared" si="121"/>
        <v>5746820.5600000005</v>
      </c>
      <c r="CU97" s="897">
        <f t="shared" si="122"/>
        <v>2298728.2240000004</v>
      </c>
      <c r="CV97" s="897">
        <f t="shared" si="137"/>
        <v>10771719.720000001</v>
      </c>
      <c r="CW97" s="906">
        <f t="shared" si="138"/>
        <v>7990.89</v>
      </c>
      <c r="CX97" s="897">
        <f t="shared" si="123"/>
        <v>514418.46</v>
      </c>
      <c r="CY97" s="897">
        <f t="shared" si="124"/>
        <v>588324.36</v>
      </c>
      <c r="CZ97" s="897"/>
      <c r="DA97" s="897">
        <f t="shared" si="125"/>
        <v>5024899.16</v>
      </c>
      <c r="DB97" s="897">
        <f t="shared" si="126"/>
        <v>5746820.5600000005</v>
      </c>
      <c r="DC97" s="27"/>
      <c r="DD97" s="40">
        <f t="shared" si="139"/>
        <v>114.36688333462995</v>
      </c>
      <c r="DE97" s="27"/>
      <c r="DF97" s="27"/>
      <c r="DG97" s="27"/>
      <c r="DH97" s="1043">
        <v>1348</v>
      </c>
      <c r="DI97" s="1043">
        <v>138</v>
      </c>
      <c r="DJ97" s="1043">
        <f t="shared" si="142"/>
        <v>1210</v>
      </c>
      <c r="DK97" s="905"/>
      <c r="DL97" s="908">
        <f t="shared" si="127"/>
        <v>0</v>
      </c>
      <c r="DM97" s="908">
        <f t="shared" si="128"/>
        <v>0</v>
      </c>
      <c r="DN97" s="908">
        <f t="shared" si="129"/>
        <v>0</v>
      </c>
      <c r="DO97" s="6"/>
      <c r="DP97" s="81"/>
      <c r="DQ97" s="81"/>
      <c r="DR97" s="81"/>
      <c r="DS97" s="81"/>
      <c r="DT97" s="81"/>
      <c r="DU97" s="81"/>
      <c r="DV97" s="81"/>
      <c r="DW97" s="81"/>
      <c r="DX97" s="81"/>
      <c r="DY97" s="81"/>
      <c r="DZ97" s="81"/>
      <c r="EA97" s="81"/>
      <c r="EB97" s="81"/>
      <c r="EC97" s="81"/>
      <c r="ED97" s="81"/>
      <c r="EE97" s="81"/>
      <c r="EF97" s="81"/>
      <c r="EG97" s="81"/>
      <c r="EH97" s="81"/>
      <c r="EI97" s="81"/>
      <c r="EJ97" s="81"/>
      <c r="EK97" s="81"/>
      <c r="EL97" s="81"/>
    </row>
    <row r="98" spans="1:142" s="50" customFormat="1" ht="78.75" hidden="1" customHeight="1">
      <c r="A98" s="6">
        <f t="shared" si="140"/>
        <v>85</v>
      </c>
      <c r="B98" s="956" t="s">
        <v>34</v>
      </c>
      <c r="C98" s="956" t="s">
        <v>66</v>
      </c>
      <c r="D98" s="1225" t="s">
        <v>35</v>
      </c>
      <c r="E98" s="886">
        <v>4623002116</v>
      </c>
      <c r="F98" s="886" t="s">
        <v>8</v>
      </c>
      <c r="G98" s="888" t="s">
        <v>952</v>
      </c>
      <c r="H98" s="925">
        <v>3470.07</v>
      </c>
      <c r="I98" s="891">
        <v>3470.07</v>
      </c>
      <c r="J98" s="891">
        <v>3470.07</v>
      </c>
      <c r="K98" s="891">
        <v>0</v>
      </c>
      <c r="L98" s="891">
        <v>3470.07</v>
      </c>
      <c r="M98" s="946">
        <v>0</v>
      </c>
      <c r="N98" s="959">
        <v>3700.05</v>
      </c>
      <c r="O98" s="891">
        <v>3700.05</v>
      </c>
      <c r="P98" s="891">
        <v>3700.05</v>
      </c>
      <c r="Q98" s="891">
        <v>0</v>
      </c>
      <c r="R98" s="891">
        <v>3700.05</v>
      </c>
      <c r="S98" s="946">
        <v>0</v>
      </c>
      <c r="T98" s="960">
        <v>2741.6</v>
      </c>
      <c r="U98" s="897">
        <v>0</v>
      </c>
      <c r="V98" s="897">
        <v>0</v>
      </c>
      <c r="W98" s="919">
        <v>46.1</v>
      </c>
      <c r="X98" s="897"/>
      <c r="Y98" s="897"/>
      <c r="Z98" s="920">
        <f>SUM(T98:W98)</f>
        <v>2787.7</v>
      </c>
      <c r="AA98" s="960">
        <v>2179.8000000000002</v>
      </c>
      <c r="AB98" s="897">
        <v>0</v>
      </c>
      <c r="AC98" s="897">
        <v>0</v>
      </c>
      <c r="AD98" s="919">
        <v>41.7</v>
      </c>
      <c r="AE98" s="897"/>
      <c r="AF98" s="897">
        <v>0</v>
      </c>
      <c r="AG98" s="1014">
        <f t="shared" si="131"/>
        <v>2221.5</v>
      </c>
      <c r="AH98" s="960">
        <f t="shared" si="143"/>
        <v>5009.2</v>
      </c>
      <c r="AI98" s="919">
        <f t="shared" si="150"/>
        <v>4921.3999999999996</v>
      </c>
      <c r="AJ98" s="897">
        <f t="shared" si="150"/>
        <v>0</v>
      </c>
      <c r="AK98" s="897">
        <f t="shared" si="150"/>
        <v>0</v>
      </c>
      <c r="AL98" s="919">
        <f t="shared" si="150"/>
        <v>87.800000000000011</v>
      </c>
      <c r="AM98" s="897">
        <f t="shared" si="150"/>
        <v>0</v>
      </c>
      <c r="AN98" s="897"/>
      <c r="AO98" s="919">
        <f t="shared" si="154"/>
        <v>5009.2</v>
      </c>
      <c r="AP98" s="919">
        <f t="shared" si="155"/>
        <v>5009.2</v>
      </c>
      <c r="AQ98" s="920">
        <f t="shared" si="98"/>
        <v>5009.2</v>
      </c>
      <c r="AR98" s="902">
        <f t="shared" si="132"/>
        <v>0</v>
      </c>
      <c r="AS98" s="903">
        <f t="shared" si="152"/>
        <v>17077602.498</v>
      </c>
      <c r="AT98" s="897">
        <f t="shared" si="152"/>
        <v>0</v>
      </c>
      <c r="AU98" s="897">
        <f t="shared" si="152"/>
        <v>0</v>
      </c>
      <c r="AV98" s="897">
        <f t="shared" si="152"/>
        <v>304672.14600000007</v>
      </c>
      <c r="AW98" s="897">
        <f t="shared" si="152"/>
        <v>0</v>
      </c>
      <c r="AX98" s="897">
        <f t="shared" si="99"/>
        <v>17382274.644000001</v>
      </c>
      <c r="AY98" s="897">
        <f t="shared" si="100"/>
        <v>17382274.644000001</v>
      </c>
      <c r="AZ98" s="897">
        <f t="shared" si="153"/>
        <v>18209426.07</v>
      </c>
      <c r="BA98" s="897">
        <f t="shared" si="153"/>
        <v>0</v>
      </c>
      <c r="BB98" s="897">
        <f t="shared" si="153"/>
        <v>0</v>
      </c>
      <c r="BC98" s="897">
        <f t="shared" si="153"/>
        <v>324864.39000000007</v>
      </c>
      <c r="BD98" s="897">
        <f t="shared" si="153"/>
        <v>0</v>
      </c>
      <c r="BE98" s="897">
        <f t="shared" si="101"/>
        <v>18534290.460000001</v>
      </c>
      <c r="BF98" s="901">
        <f t="shared" si="102"/>
        <v>18534290.460000001</v>
      </c>
      <c r="BG98" s="904">
        <v>0</v>
      </c>
      <c r="BH98" s="897">
        <v>0</v>
      </c>
      <c r="BI98" s="897">
        <f t="shared" si="156"/>
        <v>0</v>
      </c>
      <c r="BJ98" s="897">
        <v>35083.42</v>
      </c>
      <c r="BK98" s="1194"/>
      <c r="BL98" s="897">
        <f t="shared" si="108"/>
        <v>9513543.9120000005</v>
      </c>
      <c r="BM98" s="897">
        <f t="shared" si="108"/>
        <v>0</v>
      </c>
      <c r="BN98" s="897">
        <f t="shared" si="108"/>
        <v>0</v>
      </c>
      <c r="BO98" s="897">
        <f t="shared" si="108"/>
        <v>159970.22700000001</v>
      </c>
      <c r="BP98" s="897">
        <f t="shared" si="108"/>
        <v>0</v>
      </c>
      <c r="BQ98" s="897">
        <f t="shared" si="144"/>
        <v>9673514.1390000004</v>
      </c>
      <c r="BR98" s="897">
        <f t="shared" si="145"/>
        <v>9673514.1390000004</v>
      </c>
      <c r="BS98" s="897">
        <f t="shared" si="109"/>
        <v>8065368.9900000012</v>
      </c>
      <c r="BT98" s="897">
        <f t="shared" si="109"/>
        <v>0</v>
      </c>
      <c r="BU98" s="897">
        <f t="shared" si="109"/>
        <v>0</v>
      </c>
      <c r="BV98" s="897">
        <f t="shared" si="146"/>
        <v>170572.30500000002</v>
      </c>
      <c r="BW98" s="897">
        <f t="shared" si="112"/>
        <v>0</v>
      </c>
      <c r="BX98" s="897">
        <f t="shared" si="147"/>
        <v>8235941.2950000009</v>
      </c>
      <c r="BY98" s="897">
        <f t="shared" si="148"/>
        <v>8235941.2950000009</v>
      </c>
      <c r="BZ98" s="905">
        <f t="shared" si="110"/>
        <v>0</v>
      </c>
      <c r="CA98" s="905">
        <f t="shared" si="110"/>
        <v>0</v>
      </c>
      <c r="CB98" s="905">
        <f t="shared" si="149"/>
        <v>0</v>
      </c>
      <c r="CC98" s="907" t="e">
        <f t="shared" si="111"/>
        <v>#DIV/0!</v>
      </c>
      <c r="CD98" s="907" t="e">
        <f t="shared" si="111"/>
        <v>#DIV/0!</v>
      </c>
      <c r="CE98" s="907" t="e">
        <f t="shared" si="133"/>
        <v>#DIV/0!</v>
      </c>
      <c r="CF98" s="907" t="e">
        <f t="shared" si="113"/>
        <v>#DIV/0!</v>
      </c>
      <c r="CG98" s="923">
        <f t="shared" si="114"/>
        <v>0</v>
      </c>
      <c r="CH98" s="923" t="e">
        <f t="shared" si="134"/>
        <v>#DIV/0!</v>
      </c>
      <c r="CI98" s="979"/>
      <c r="CJ98" s="897">
        <f t="shared" si="151"/>
        <v>10314.629385</v>
      </c>
      <c r="CK98" s="897">
        <f t="shared" si="115"/>
        <v>8219.661075</v>
      </c>
      <c r="CL98" s="897">
        <f t="shared" si="141"/>
        <v>18534.29046</v>
      </c>
      <c r="CM98" s="897">
        <f t="shared" si="135"/>
        <v>18534.29046</v>
      </c>
      <c r="CN98" s="897">
        <f t="shared" si="136"/>
        <v>0</v>
      </c>
      <c r="CO98" s="897">
        <f t="shared" si="116"/>
        <v>17893175.214000002</v>
      </c>
      <c r="CP98" s="897">
        <f t="shared" si="117"/>
        <v>17382274.644000001</v>
      </c>
      <c r="CQ98" s="897">
        <f t="shared" si="118"/>
        <v>17382274.644000001</v>
      </c>
      <c r="CR98" s="897">
        <f t="shared" si="119"/>
        <v>9673514.1390000004</v>
      </c>
      <c r="CS98" s="897">
        <f t="shared" si="120"/>
        <v>18534290.460000001</v>
      </c>
      <c r="CT98" s="897">
        <f t="shared" si="121"/>
        <v>18534290.460000001</v>
      </c>
      <c r="CU98" s="897">
        <f t="shared" si="122"/>
        <v>8219661.0750000011</v>
      </c>
      <c r="CV98" s="897">
        <f t="shared" si="137"/>
        <v>35916565.104000002</v>
      </c>
      <c r="CW98" s="906">
        <f t="shared" si="138"/>
        <v>7170.1200000000008</v>
      </c>
      <c r="CX98" s="897">
        <f t="shared" si="123"/>
        <v>0</v>
      </c>
      <c r="CY98" s="897">
        <f t="shared" si="124"/>
        <v>0</v>
      </c>
      <c r="CZ98" s="897"/>
      <c r="DA98" s="922">
        <f t="shared" si="125"/>
        <v>17382274.644000001</v>
      </c>
      <c r="DB98" s="922">
        <f t="shared" si="126"/>
        <v>18534290.460000001</v>
      </c>
      <c r="DC98" s="1131"/>
      <c r="DD98" s="40">
        <f t="shared" si="139"/>
        <v>106.62753200944073</v>
      </c>
      <c r="DE98" s="1131"/>
      <c r="DF98" s="1131"/>
      <c r="DG98" s="1131"/>
      <c r="DH98" s="1135">
        <v>9835.7999999999993</v>
      </c>
      <c r="DI98" s="1043">
        <v>0</v>
      </c>
      <c r="DJ98" s="1135">
        <f t="shared" si="142"/>
        <v>9835.7999999999993</v>
      </c>
      <c r="DK98" s="979"/>
      <c r="DL98" s="908">
        <f t="shared" si="127"/>
        <v>0</v>
      </c>
      <c r="DM98" s="908">
        <f t="shared" si="128"/>
        <v>0</v>
      </c>
      <c r="DN98" s="908">
        <f t="shared" si="129"/>
        <v>0</v>
      </c>
      <c r="DO98" s="81"/>
      <c r="DP98" s="81"/>
      <c r="DQ98" s="81"/>
      <c r="DR98" s="81"/>
      <c r="DS98" s="81"/>
      <c r="DT98" s="81"/>
      <c r="DU98" s="81"/>
      <c r="DV98" s="81"/>
      <c r="DW98" s="81"/>
      <c r="DX98" s="81"/>
      <c r="DY98" s="81"/>
      <c r="DZ98" s="81"/>
      <c r="EA98" s="81"/>
      <c r="EB98" s="81"/>
      <c r="EC98" s="81"/>
      <c r="ED98" s="81"/>
      <c r="EE98" s="81"/>
      <c r="EF98" s="81"/>
      <c r="EG98" s="81"/>
      <c r="EH98" s="81"/>
      <c r="EI98" s="81"/>
      <c r="EJ98" s="81"/>
      <c r="EK98" s="81"/>
      <c r="EL98" s="81"/>
    </row>
    <row r="99" spans="1:142" s="50" customFormat="1" ht="78" hidden="1" customHeight="1">
      <c r="A99" s="6">
        <f t="shared" si="140"/>
        <v>86</v>
      </c>
      <c r="B99" s="956" t="s">
        <v>34</v>
      </c>
      <c r="C99" s="956" t="s">
        <v>913</v>
      </c>
      <c r="D99" s="1225" t="s">
        <v>35</v>
      </c>
      <c r="E99" s="886">
        <v>4623002116</v>
      </c>
      <c r="F99" s="886" t="s">
        <v>8</v>
      </c>
      <c r="G99" s="888" t="s">
        <v>952</v>
      </c>
      <c r="H99" s="1004">
        <v>3470.07</v>
      </c>
      <c r="I99" s="894">
        <v>3470.07</v>
      </c>
      <c r="J99" s="894">
        <v>0</v>
      </c>
      <c r="K99" s="894">
        <v>0</v>
      </c>
      <c r="L99" s="894">
        <v>0</v>
      </c>
      <c r="M99" s="972">
        <v>0</v>
      </c>
      <c r="N99" s="959">
        <v>3700.05</v>
      </c>
      <c r="O99" s="959">
        <v>3700.05</v>
      </c>
      <c r="P99" s="894">
        <v>0</v>
      </c>
      <c r="Q99" s="894">
        <v>0</v>
      </c>
      <c r="R99" s="891">
        <v>0</v>
      </c>
      <c r="S99" s="972">
        <v>0</v>
      </c>
      <c r="T99" s="903">
        <v>2268.8000000000002</v>
      </c>
      <c r="U99" s="897">
        <v>0</v>
      </c>
      <c r="V99" s="897">
        <v>0</v>
      </c>
      <c r="W99" s="897">
        <v>0</v>
      </c>
      <c r="X99" s="897"/>
      <c r="Y99" s="897"/>
      <c r="Z99" s="898">
        <f t="shared" si="130"/>
        <v>2268.8000000000002</v>
      </c>
      <c r="AA99" s="904">
        <v>1282.5</v>
      </c>
      <c r="AB99" s="897">
        <v>0</v>
      </c>
      <c r="AC99" s="897">
        <v>0</v>
      </c>
      <c r="AD99" s="897">
        <v>0</v>
      </c>
      <c r="AE99" s="897">
        <v>0</v>
      </c>
      <c r="AF99" s="897"/>
      <c r="AG99" s="900">
        <f t="shared" si="131"/>
        <v>1282.5</v>
      </c>
      <c r="AH99" s="960">
        <f t="shared" si="143"/>
        <v>3551.3</v>
      </c>
      <c r="AI99" s="897">
        <f t="shared" si="150"/>
        <v>3551.3</v>
      </c>
      <c r="AJ99" s="897">
        <f t="shared" si="150"/>
        <v>0</v>
      </c>
      <c r="AK99" s="897">
        <f t="shared" si="150"/>
        <v>0</v>
      </c>
      <c r="AL99" s="897">
        <f t="shared" si="150"/>
        <v>0</v>
      </c>
      <c r="AM99" s="897">
        <f t="shared" si="150"/>
        <v>0</v>
      </c>
      <c r="AN99" s="897"/>
      <c r="AO99" s="897">
        <f>SUM(AI99:AN99)</f>
        <v>3551.3</v>
      </c>
      <c r="AP99" s="897">
        <f t="shared" si="155"/>
        <v>3551.3</v>
      </c>
      <c r="AQ99" s="1011">
        <f>SUM(AI99:AL99)</f>
        <v>3551.3</v>
      </c>
      <c r="AR99" s="902"/>
      <c r="AS99" s="903">
        <f t="shared" si="152"/>
        <v>12323259.591000002</v>
      </c>
      <c r="AT99" s="897"/>
      <c r="AU99" s="897"/>
      <c r="AV99" s="897"/>
      <c r="AW99" s="897"/>
      <c r="AX99" s="897"/>
      <c r="AY99" s="897"/>
      <c r="AZ99" s="897">
        <f t="shared" si="153"/>
        <v>13139987.565000001</v>
      </c>
      <c r="BA99" s="897"/>
      <c r="BB99" s="897"/>
      <c r="BC99" s="897"/>
      <c r="BD99" s="897"/>
      <c r="BE99" s="897"/>
      <c r="BF99" s="901"/>
      <c r="BG99" s="904"/>
      <c r="BH99" s="897"/>
      <c r="BI99" s="897"/>
      <c r="BJ99" s="897"/>
      <c r="BK99" s="1194"/>
      <c r="BL99" s="897">
        <f t="shared" si="108"/>
        <v>7872894.8160000006</v>
      </c>
      <c r="BM99" s="897"/>
      <c r="BN99" s="897"/>
      <c r="BO99" s="897"/>
      <c r="BP99" s="897"/>
      <c r="BQ99" s="897"/>
      <c r="BR99" s="897"/>
      <c r="BS99" s="897">
        <f t="shared" si="109"/>
        <v>4745314.125</v>
      </c>
      <c r="BT99" s="897"/>
      <c r="BU99" s="897"/>
      <c r="BV99" s="897"/>
      <c r="BW99" s="897"/>
      <c r="BX99" s="897"/>
      <c r="BY99" s="897"/>
      <c r="BZ99" s="905"/>
      <c r="CA99" s="905"/>
      <c r="CB99" s="905"/>
      <c r="CC99" s="907"/>
      <c r="CD99" s="907"/>
      <c r="CE99" s="907"/>
      <c r="CF99" s="907"/>
      <c r="CG99" s="923"/>
      <c r="CH99" s="923"/>
      <c r="CI99" s="979"/>
      <c r="CJ99" s="897">
        <f t="shared" si="151"/>
        <v>8394.6734400000005</v>
      </c>
      <c r="CK99" s="897">
        <f t="shared" si="115"/>
        <v>4745.3141249999999</v>
      </c>
      <c r="CL99" s="897">
        <f t="shared" si="141"/>
        <v>13139.987564999999</v>
      </c>
      <c r="CM99" s="897">
        <f t="shared" si="135"/>
        <v>13139.987565000001</v>
      </c>
      <c r="CN99" s="897">
        <f t="shared" si="136"/>
        <v>0</v>
      </c>
      <c r="CO99" s="897"/>
      <c r="CP99" s="897"/>
      <c r="CQ99" s="897"/>
      <c r="CR99" s="897"/>
      <c r="CS99" s="897"/>
      <c r="CT99" s="897"/>
      <c r="CU99" s="897"/>
      <c r="CV99" s="897"/>
      <c r="CW99" s="906">
        <f t="shared" si="138"/>
        <v>0</v>
      </c>
      <c r="CX99" s="897"/>
      <c r="CY99" s="897"/>
      <c r="CZ99" s="897"/>
      <c r="DA99" s="897"/>
      <c r="DB99" s="897"/>
      <c r="DC99" s="1131"/>
      <c r="DD99" s="40"/>
      <c r="DE99" s="1131"/>
      <c r="DF99" s="1131"/>
      <c r="DG99" s="1131"/>
      <c r="DH99" s="1043">
        <v>2901.7</v>
      </c>
      <c r="DI99" s="1043">
        <v>0</v>
      </c>
      <c r="DJ99" s="1043">
        <f t="shared" si="142"/>
        <v>2901.7</v>
      </c>
      <c r="DK99" s="979"/>
      <c r="DL99" s="908"/>
      <c r="DM99" s="908"/>
      <c r="DN99" s="908"/>
      <c r="DO99" s="81"/>
      <c r="DP99" s="81"/>
      <c r="DQ99" s="81"/>
      <c r="DR99" s="81"/>
      <c r="DS99" s="81"/>
      <c r="DT99" s="81"/>
      <c r="DU99" s="81"/>
      <c r="DV99" s="81"/>
      <c r="DW99" s="81"/>
      <c r="DX99" s="81"/>
      <c r="DY99" s="81"/>
      <c r="DZ99" s="81"/>
      <c r="EA99" s="81"/>
      <c r="EB99" s="81"/>
      <c r="EC99" s="81"/>
      <c r="ED99" s="81"/>
      <c r="EE99" s="81"/>
      <c r="EF99" s="81"/>
      <c r="EG99" s="81"/>
      <c r="EH99" s="81"/>
      <c r="EI99" s="81"/>
      <c r="EJ99" s="81"/>
      <c r="EK99" s="81"/>
      <c r="EL99" s="81"/>
    </row>
    <row r="100" spans="1:142" s="50" customFormat="1" ht="75.75" hidden="1" customHeight="1">
      <c r="A100" s="6">
        <f t="shared" si="140"/>
        <v>87</v>
      </c>
      <c r="B100" s="956" t="s">
        <v>34</v>
      </c>
      <c r="C100" s="956" t="s">
        <v>912</v>
      </c>
      <c r="D100" s="1225" t="s">
        <v>35</v>
      </c>
      <c r="E100" s="886">
        <v>4623002116</v>
      </c>
      <c r="F100" s="886" t="s">
        <v>8</v>
      </c>
      <c r="G100" s="888" t="s">
        <v>952</v>
      </c>
      <c r="H100" s="1243">
        <v>3470.07</v>
      </c>
      <c r="I100" s="1244">
        <v>3470.07</v>
      </c>
      <c r="J100" s="894">
        <v>0</v>
      </c>
      <c r="K100" s="894">
        <v>0</v>
      </c>
      <c r="L100" s="894">
        <v>0</v>
      </c>
      <c r="M100" s="972">
        <v>0</v>
      </c>
      <c r="N100" s="959">
        <v>3700.05</v>
      </c>
      <c r="O100" s="959">
        <v>3700.05</v>
      </c>
      <c r="P100" s="894">
        <v>0</v>
      </c>
      <c r="Q100" s="894">
        <v>0</v>
      </c>
      <c r="R100" s="891">
        <v>0</v>
      </c>
      <c r="S100" s="972">
        <v>0</v>
      </c>
      <c r="T100" s="903">
        <v>637.6</v>
      </c>
      <c r="U100" s="897">
        <v>0</v>
      </c>
      <c r="V100" s="897">
        <v>0</v>
      </c>
      <c r="W100" s="897">
        <v>0</v>
      </c>
      <c r="X100" s="897"/>
      <c r="Y100" s="897"/>
      <c r="Z100" s="898">
        <f t="shared" si="130"/>
        <v>637.6</v>
      </c>
      <c r="AA100" s="904">
        <v>637.70000000000005</v>
      </c>
      <c r="AB100" s="897">
        <v>0</v>
      </c>
      <c r="AC100" s="897">
        <v>0</v>
      </c>
      <c r="AD100" s="897">
        <v>0</v>
      </c>
      <c r="AE100" s="897"/>
      <c r="AF100" s="897"/>
      <c r="AG100" s="900">
        <f t="shared" si="131"/>
        <v>637.70000000000005</v>
      </c>
      <c r="AH100" s="960">
        <f t="shared" si="143"/>
        <v>1275.3000000000002</v>
      </c>
      <c r="AI100" s="897">
        <f t="shared" si="150"/>
        <v>1275.3000000000002</v>
      </c>
      <c r="AJ100" s="897">
        <f t="shared" si="150"/>
        <v>0</v>
      </c>
      <c r="AK100" s="897">
        <f t="shared" si="150"/>
        <v>0</v>
      </c>
      <c r="AL100" s="897">
        <f t="shared" si="150"/>
        <v>0</v>
      </c>
      <c r="AM100" s="897">
        <f t="shared" si="150"/>
        <v>0</v>
      </c>
      <c r="AN100" s="897"/>
      <c r="AO100" s="897">
        <f>SUM(AI100:AN100)</f>
        <v>1275.3000000000002</v>
      </c>
      <c r="AP100" s="897">
        <f t="shared" si="155"/>
        <v>1275.3000000000002</v>
      </c>
      <c r="AQ100" s="1011">
        <f>SUM(AI100:AL100)</f>
        <v>1275.3000000000002</v>
      </c>
      <c r="AR100" s="902"/>
      <c r="AS100" s="903"/>
      <c r="AT100" s="897"/>
      <c r="AU100" s="897"/>
      <c r="AV100" s="897"/>
      <c r="AW100" s="897"/>
      <c r="AX100" s="897"/>
      <c r="AY100" s="897"/>
      <c r="AZ100" s="897"/>
      <c r="BA100" s="897"/>
      <c r="BB100" s="897"/>
      <c r="BC100" s="897"/>
      <c r="BD100" s="897"/>
      <c r="BE100" s="897"/>
      <c r="BF100" s="901"/>
      <c r="BG100" s="904"/>
      <c r="BH100" s="897"/>
      <c r="BI100" s="897"/>
      <c r="BJ100" s="897"/>
      <c r="BK100" s="1194"/>
      <c r="BL100" s="897"/>
      <c r="BM100" s="897"/>
      <c r="BN100" s="897"/>
      <c r="BO100" s="897"/>
      <c r="BP100" s="897"/>
      <c r="BQ100" s="897"/>
      <c r="BR100" s="897"/>
      <c r="BS100" s="897"/>
      <c r="BT100" s="897"/>
      <c r="BU100" s="897"/>
      <c r="BV100" s="897"/>
      <c r="BW100" s="897"/>
      <c r="BX100" s="897"/>
      <c r="BY100" s="897"/>
      <c r="BZ100" s="905"/>
      <c r="CA100" s="905"/>
      <c r="CB100" s="905"/>
      <c r="CC100" s="907"/>
      <c r="CD100" s="907"/>
      <c r="CE100" s="907"/>
      <c r="CF100" s="907"/>
      <c r="CG100" s="923"/>
      <c r="CH100" s="923"/>
      <c r="CI100" s="979"/>
      <c r="CJ100" s="897">
        <f t="shared" si="151"/>
        <v>2359.1518800000003</v>
      </c>
      <c r="CK100" s="897">
        <f t="shared" si="115"/>
        <v>2359.5218850000001</v>
      </c>
      <c r="CL100" s="897">
        <f t="shared" si="141"/>
        <v>4718.6737650000005</v>
      </c>
      <c r="CM100" s="897">
        <f t="shared" si="135"/>
        <v>4718.6737650000005</v>
      </c>
      <c r="CN100" s="897">
        <f t="shared" si="136"/>
        <v>0</v>
      </c>
      <c r="CO100" s="897"/>
      <c r="CP100" s="897"/>
      <c r="CQ100" s="897"/>
      <c r="CR100" s="897"/>
      <c r="CS100" s="897"/>
      <c r="CT100" s="897"/>
      <c r="CU100" s="897"/>
      <c r="CV100" s="897"/>
      <c r="CW100" s="906">
        <f t="shared" si="138"/>
        <v>0</v>
      </c>
      <c r="CX100" s="897"/>
      <c r="CY100" s="897"/>
      <c r="CZ100" s="897"/>
      <c r="DA100" s="897"/>
      <c r="DB100" s="897"/>
      <c r="DC100" s="1131"/>
      <c r="DD100" s="40"/>
      <c r="DE100" s="1131"/>
      <c r="DF100" s="1131"/>
      <c r="DG100" s="1131"/>
      <c r="DH100" s="1043">
        <v>1278.5999999999999</v>
      </c>
      <c r="DI100" s="1043">
        <v>0</v>
      </c>
      <c r="DJ100" s="1043">
        <f t="shared" si="142"/>
        <v>1278.5999999999999</v>
      </c>
      <c r="DK100" s="979"/>
      <c r="DL100" s="908"/>
      <c r="DM100" s="908"/>
      <c r="DN100" s="908"/>
      <c r="DO100" s="81"/>
      <c r="DP100" s="81"/>
      <c r="DQ100" s="81"/>
      <c r="DR100" s="81"/>
      <c r="DS100" s="81"/>
      <c r="DT100" s="81"/>
      <c r="DU100" s="81"/>
      <c r="DV100" s="81"/>
      <c r="DW100" s="81"/>
      <c r="DX100" s="81"/>
      <c r="DY100" s="81"/>
      <c r="DZ100" s="81"/>
      <c r="EA100" s="81"/>
      <c r="EB100" s="81"/>
      <c r="EC100" s="81"/>
      <c r="ED100" s="81"/>
      <c r="EE100" s="81"/>
      <c r="EF100" s="81"/>
      <c r="EG100" s="81"/>
      <c r="EH100" s="81"/>
      <c r="EI100" s="81"/>
      <c r="EJ100" s="81"/>
      <c r="EK100" s="81"/>
      <c r="EL100" s="81"/>
    </row>
    <row r="101" spans="1:142" s="869" customFormat="1" ht="75.75" hidden="1" customHeight="1">
      <c r="A101" s="6">
        <f t="shared" si="140"/>
        <v>88</v>
      </c>
      <c r="B101" s="956" t="s">
        <v>36</v>
      </c>
      <c r="C101" s="1309" t="s">
        <v>119</v>
      </c>
      <c r="D101" s="1262" t="s">
        <v>146</v>
      </c>
      <c r="E101" s="887">
        <v>4632024035</v>
      </c>
      <c r="F101" s="886" t="s">
        <v>8</v>
      </c>
      <c r="G101" s="1238" t="s">
        <v>983</v>
      </c>
      <c r="H101" s="1256">
        <v>3314.9639999999995</v>
      </c>
      <c r="I101" s="1257">
        <f>H101</f>
        <v>3314.9639999999995</v>
      </c>
      <c r="J101" s="1263">
        <v>2484</v>
      </c>
      <c r="K101" s="891"/>
      <c r="L101" s="1256">
        <v>3314.9639999999995</v>
      </c>
      <c r="M101" s="946"/>
      <c r="N101" s="1259">
        <f>3132.14*1.2</f>
        <v>3758.5679999999998</v>
      </c>
      <c r="O101" s="1260">
        <f>N101</f>
        <v>3758.5679999999998</v>
      </c>
      <c r="P101" s="1264">
        <v>2719.98</v>
      </c>
      <c r="Q101" s="891"/>
      <c r="R101" s="891">
        <f>O101</f>
        <v>3758.5679999999998</v>
      </c>
      <c r="S101" s="946"/>
      <c r="T101" s="1378">
        <v>2289.1999999999998</v>
      </c>
      <c r="U101" s="1297">
        <v>35.302999999999997</v>
      </c>
      <c r="V101" s="1292"/>
      <c r="W101" s="948"/>
      <c r="X101" s="948"/>
      <c r="Y101" s="948"/>
      <c r="Z101" s="949">
        <f t="shared" si="130"/>
        <v>2324.5029999999997</v>
      </c>
      <c r="AA101" s="1308">
        <v>1329.3</v>
      </c>
      <c r="AB101" s="1292">
        <v>46.8</v>
      </c>
      <c r="AC101" s="1366"/>
      <c r="AD101" s="890"/>
      <c r="AE101" s="890"/>
      <c r="AF101" s="890"/>
      <c r="AG101" s="951">
        <f t="shared" si="131"/>
        <v>1376.1</v>
      </c>
      <c r="AH101" s="947">
        <f t="shared" si="143"/>
        <v>3700.6029999999996</v>
      </c>
      <c r="AI101" s="890">
        <f t="shared" si="150"/>
        <v>3618.5</v>
      </c>
      <c r="AJ101" s="890">
        <f t="shared" si="150"/>
        <v>82.102999999999994</v>
      </c>
      <c r="AK101" s="890">
        <f t="shared" si="150"/>
        <v>0</v>
      </c>
      <c r="AL101" s="890">
        <f t="shared" si="150"/>
        <v>0</v>
      </c>
      <c r="AM101" s="890">
        <f t="shared" si="150"/>
        <v>0</v>
      </c>
      <c r="AN101" s="890"/>
      <c r="AO101" s="890">
        <f t="shared" si="154"/>
        <v>3700.6030000000001</v>
      </c>
      <c r="AP101" s="890">
        <f t="shared" si="155"/>
        <v>3700.6030000000001</v>
      </c>
      <c r="AQ101" s="952">
        <f t="shared" si="98"/>
        <v>3700.6030000000001</v>
      </c>
      <c r="AR101" s="973">
        <f t="shared" si="132"/>
        <v>0</v>
      </c>
      <c r="AS101" s="889">
        <f t="shared" ref="AS101:AW119" si="157">I101*AI101</f>
        <v>11995197.233999997</v>
      </c>
      <c r="AT101" s="890">
        <f t="shared" si="152"/>
        <v>203943.85199999998</v>
      </c>
      <c r="AU101" s="890">
        <f t="shared" si="152"/>
        <v>0</v>
      </c>
      <c r="AV101" s="890">
        <f t="shared" si="152"/>
        <v>0</v>
      </c>
      <c r="AW101" s="890">
        <f t="shared" si="152"/>
        <v>0</v>
      </c>
      <c r="AX101" s="890">
        <f t="shared" si="99"/>
        <v>12199141.085999997</v>
      </c>
      <c r="AY101" s="890">
        <f t="shared" si="100"/>
        <v>12199141.085999997</v>
      </c>
      <c r="AZ101" s="890">
        <f t="shared" si="153"/>
        <v>13600378.307999998</v>
      </c>
      <c r="BA101" s="890">
        <f t="shared" si="153"/>
        <v>223318.51793999999</v>
      </c>
      <c r="BB101" s="890">
        <f t="shared" si="153"/>
        <v>0</v>
      </c>
      <c r="BC101" s="890">
        <f t="shared" si="153"/>
        <v>0</v>
      </c>
      <c r="BD101" s="890">
        <f t="shared" si="153"/>
        <v>0</v>
      </c>
      <c r="BE101" s="890">
        <f t="shared" si="101"/>
        <v>13823696.825939998</v>
      </c>
      <c r="BF101" s="952">
        <f t="shared" si="102"/>
        <v>13823696.825939998</v>
      </c>
      <c r="BG101" s="953">
        <f>(H101-J101)/1.2*U101/1000+(H101-K101)/1.2*V101/1000</f>
        <v>24.446268409999984</v>
      </c>
      <c r="BH101" s="954">
        <f>(O101-P101)*AB101/1000/1.2+(O101-Q101)/1.2*AC101/1000</f>
        <v>40.50493199999999</v>
      </c>
      <c r="BI101" s="955">
        <f>BG101+BH101</f>
        <v>64.95120040999997</v>
      </c>
      <c r="BJ101" s="955"/>
      <c r="BK101" s="1197"/>
      <c r="BL101" s="890">
        <f t="shared" si="108"/>
        <v>7588615.5887999982</v>
      </c>
      <c r="BM101" s="890">
        <f t="shared" si="108"/>
        <v>87692.651999999987</v>
      </c>
      <c r="BN101" s="890">
        <f t="shared" si="108"/>
        <v>0</v>
      </c>
      <c r="BO101" s="890">
        <f t="shared" si="108"/>
        <v>0</v>
      </c>
      <c r="BP101" s="890">
        <f t="shared" si="108"/>
        <v>0</v>
      </c>
      <c r="BQ101" s="890">
        <f t="shared" si="144"/>
        <v>7676308.2407999979</v>
      </c>
      <c r="BR101" s="890">
        <f t="shared" si="145"/>
        <v>7676308.2407999979</v>
      </c>
      <c r="BS101" s="890">
        <f t="shared" si="109"/>
        <v>4996264.4423999991</v>
      </c>
      <c r="BT101" s="890">
        <f t="shared" si="109"/>
        <v>127295.064</v>
      </c>
      <c r="BU101" s="890">
        <f t="shared" si="109"/>
        <v>0</v>
      </c>
      <c r="BV101" s="890">
        <f t="shared" si="146"/>
        <v>0</v>
      </c>
      <c r="BW101" s="890">
        <f t="shared" si="112"/>
        <v>0</v>
      </c>
      <c r="BX101" s="890">
        <f t="shared" si="147"/>
        <v>5123559.5063999994</v>
      </c>
      <c r="BY101" s="890">
        <f t="shared" si="148"/>
        <v>5123559.5063999994</v>
      </c>
      <c r="BZ101" s="945">
        <f t="shared" si="110"/>
        <v>214987.71599999999</v>
      </c>
      <c r="CA101" s="945">
        <f t="shared" si="110"/>
        <v>0</v>
      </c>
      <c r="CB101" s="945">
        <f t="shared" si="149"/>
        <v>214987.71599999999</v>
      </c>
      <c r="CC101" s="976">
        <f t="shared" si="111"/>
        <v>2618.5123077110461</v>
      </c>
      <c r="CD101" s="976" t="e">
        <f t="shared" si="111"/>
        <v>#DIV/0!</v>
      </c>
      <c r="CE101" s="976">
        <f t="shared" si="133"/>
        <v>2618.5123077110461</v>
      </c>
      <c r="CF101" s="976">
        <f t="shared" si="113"/>
        <v>2618.5123077110461</v>
      </c>
      <c r="CG101" s="977">
        <f t="shared" si="114"/>
        <v>292929.15649199998</v>
      </c>
      <c r="CH101" s="977">
        <f t="shared" si="134"/>
        <v>3567.8252498934266</v>
      </c>
      <c r="CI101" s="945"/>
      <c r="CJ101" s="1312">
        <f>H101*Z101/1000</f>
        <v>7705.6437628919975</v>
      </c>
      <c r="CK101" s="1312">
        <f t="shared" si="115"/>
        <v>5172.1654247999995</v>
      </c>
      <c r="CL101" s="1312">
        <f t="shared" si="141"/>
        <v>12877.809187691997</v>
      </c>
      <c r="CM101" s="890">
        <f t="shared" si="135"/>
        <v>13908.968016503997</v>
      </c>
      <c r="CN101" s="890">
        <f t="shared" si="136"/>
        <v>1031.1588288120001</v>
      </c>
      <c r="CO101" s="890">
        <f t="shared" si="116"/>
        <v>12877809.187691998</v>
      </c>
      <c r="CP101" s="890">
        <f t="shared" si="117"/>
        <v>12199141.085999997</v>
      </c>
      <c r="CQ101" s="890">
        <f t="shared" si="118"/>
        <v>12199141.085999997</v>
      </c>
      <c r="CR101" s="890">
        <f t="shared" si="119"/>
        <v>7676308.2407999979</v>
      </c>
      <c r="CS101" s="890">
        <f t="shared" si="120"/>
        <v>13823696.825939998</v>
      </c>
      <c r="CT101" s="890">
        <f t="shared" si="121"/>
        <v>13823696.825939998</v>
      </c>
      <c r="CU101" s="890">
        <f t="shared" si="122"/>
        <v>5123559.5063999994</v>
      </c>
      <c r="CV101" s="890">
        <f t="shared" si="137"/>
        <v>26022837.911939994</v>
      </c>
      <c r="CW101" s="978">
        <f t="shared" si="138"/>
        <v>7032.0534010105912</v>
      </c>
      <c r="CX101" s="890">
        <f t="shared" si="123"/>
        <v>203943.85199999998</v>
      </c>
      <c r="CY101" s="890">
        <f t="shared" si="124"/>
        <v>223318.51793999999</v>
      </c>
      <c r="CZ101" s="890"/>
      <c r="DA101" s="890">
        <f t="shared" si="125"/>
        <v>12267365.723291997</v>
      </c>
      <c r="DB101" s="890">
        <f t="shared" si="126"/>
        <v>13908968.016503999</v>
      </c>
      <c r="DC101" s="840"/>
      <c r="DD101" s="841">
        <f t="shared" si="139"/>
        <v>151.3111111111111</v>
      </c>
      <c r="DE101" s="840"/>
      <c r="DF101" s="840"/>
      <c r="DG101" s="840"/>
      <c r="DH101" s="1050"/>
      <c r="DI101" s="1050"/>
      <c r="DJ101" s="1050"/>
      <c r="DK101" s="945"/>
      <c r="DL101" s="975">
        <f t="shared" si="127"/>
        <v>0</v>
      </c>
      <c r="DM101" s="975">
        <f t="shared" si="128"/>
        <v>0</v>
      </c>
      <c r="DN101" s="975">
        <f t="shared" si="129"/>
        <v>0</v>
      </c>
      <c r="DO101" s="816"/>
      <c r="DP101" s="871"/>
      <c r="DQ101" s="871"/>
      <c r="DR101" s="871"/>
      <c r="DS101" s="871"/>
      <c r="DT101" s="871"/>
      <c r="DU101" s="871"/>
      <c r="DV101" s="871"/>
      <c r="DW101" s="871"/>
      <c r="DX101" s="871"/>
      <c r="DY101" s="871"/>
      <c r="DZ101" s="871"/>
      <c r="EA101" s="871"/>
      <c r="EB101" s="871"/>
      <c r="EC101" s="871"/>
      <c r="ED101" s="871"/>
      <c r="EE101" s="871"/>
      <c r="EF101" s="871"/>
      <c r="EG101" s="871"/>
      <c r="EH101" s="871"/>
      <c r="EI101" s="871"/>
      <c r="EJ101" s="871"/>
      <c r="EK101" s="871"/>
      <c r="EL101" s="871"/>
    </row>
    <row r="102" spans="1:142" s="869" customFormat="1" ht="100.5" hidden="1" customHeight="1">
      <c r="A102" s="6">
        <f t="shared" si="140"/>
        <v>89</v>
      </c>
      <c r="B102" s="886" t="s">
        <v>37</v>
      </c>
      <c r="C102" s="1309" t="s">
        <v>61</v>
      </c>
      <c r="D102" s="1262" t="s">
        <v>146</v>
      </c>
      <c r="E102" s="887">
        <v>4632024035</v>
      </c>
      <c r="F102" s="886" t="s">
        <v>8</v>
      </c>
      <c r="G102" s="1238" t="s">
        <v>983</v>
      </c>
      <c r="H102" s="1256">
        <v>3314.9639999999995</v>
      </c>
      <c r="I102" s="1257">
        <f>H102</f>
        <v>3314.9639999999995</v>
      </c>
      <c r="J102" s="891"/>
      <c r="K102" s="891"/>
      <c r="L102" s="1256">
        <v>3314.9639999999995</v>
      </c>
      <c r="M102" s="946"/>
      <c r="N102" s="1259">
        <f>3132.14*1.2</f>
        <v>3758.5679999999998</v>
      </c>
      <c r="O102" s="1260">
        <f>N102</f>
        <v>3758.5679999999998</v>
      </c>
      <c r="P102" s="891"/>
      <c r="Q102" s="891"/>
      <c r="R102" s="891">
        <f>O102</f>
        <v>3758.5679999999998</v>
      </c>
      <c r="S102" s="946"/>
      <c r="T102" s="1307">
        <v>612.97599999999989</v>
      </c>
      <c r="U102" s="1389"/>
      <c r="V102" s="1366"/>
      <c r="W102" s="890"/>
      <c r="X102" s="890"/>
      <c r="Y102" s="890"/>
      <c r="Z102" s="949">
        <f t="shared" si="130"/>
        <v>612.97599999999989</v>
      </c>
      <c r="AA102" s="1308">
        <v>222.73400000000001</v>
      </c>
      <c r="AB102" s="1366"/>
      <c r="AC102" s="1366"/>
      <c r="AD102" s="890"/>
      <c r="AE102" s="890"/>
      <c r="AF102" s="890"/>
      <c r="AG102" s="951">
        <f t="shared" si="131"/>
        <v>222.73400000000001</v>
      </c>
      <c r="AH102" s="947">
        <f t="shared" si="143"/>
        <v>835.70999999999992</v>
      </c>
      <c r="AI102" s="890">
        <f t="shared" si="150"/>
        <v>835.70999999999992</v>
      </c>
      <c r="AJ102" s="890">
        <f t="shared" si="150"/>
        <v>0</v>
      </c>
      <c r="AK102" s="890">
        <f t="shared" si="150"/>
        <v>0</v>
      </c>
      <c r="AL102" s="890">
        <f t="shared" si="150"/>
        <v>0</v>
      </c>
      <c r="AM102" s="890">
        <f t="shared" si="150"/>
        <v>0</v>
      </c>
      <c r="AN102" s="890"/>
      <c r="AO102" s="890">
        <f t="shared" si="154"/>
        <v>835.70999999999992</v>
      </c>
      <c r="AP102" s="890">
        <f t="shared" si="155"/>
        <v>835.70999999999992</v>
      </c>
      <c r="AQ102" s="952">
        <f>SUM(AI102:AL102)</f>
        <v>835.70999999999992</v>
      </c>
      <c r="AR102" s="973">
        <f t="shared" si="132"/>
        <v>0</v>
      </c>
      <c r="AS102" s="889">
        <f t="shared" si="157"/>
        <v>2770348.5644399994</v>
      </c>
      <c r="AT102" s="890">
        <f t="shared" si="152"/>
        <v>0</v>
      </c>
      <c r="AU102" s="890">
        <f t="shared" si="152"/>
        <v>0</v>
      </c>
      <c r="AV102" s="890">
        <f t="shared" si="152"/>
        <v>0</v>
      </c>
      <c r="AW102" s="890">
        <f t="shared" si="152"/>
        <v>0</v>
      </c>
      <c r="AX102" s="890">
        <f t="shared" si="99"/>
        <v>2770348.5644399994</v>
      </c>
      <c r="AY102" s="890">
        <f t="shared" si="100"/>
        <v>2770348.5644399994</v>
      </c>
      <c r="AZ102" s="890">
        <f t="shared" si="153"/>
        <v>3141072.8632799997</v>
      </c>
      <c r="BA102" s="890">
        <f t="shared" si="153"/>
        <v>0</v>
      </c>
      <c r="BB102" s="890">
        <f t="shared" si="153"/>
        <v>0</v>
      </c>
      <c r="BC102" s="890">
        <f t="shared" si="153"/>
        <v>0</v>
      </c>
      <c r="BD102" s="890">
        <f t="shared" si="153"/>
        <v>0</v>
      </c>
      <c r="BE102" s="890">
        <f t="shared" si="101"/>
        <v>3141072.8632799997</v>
      </c>
      <c r="BF102" s="952">
        <f t="shared" si="102"/>
        <v>3141072.8632799997</v>
      </c>
      <c r="BG102" s="953">
        <f>(H102-J102)/1.2*U102/1000+(H102-K102)/1.2*V102/1000</f>
        <v>0</v>
      </c>
      <c r="BH102" s="954">
        <f>(O102-P102)*AB102/1000/1.2+(O102-Q102)/1.2*AC102/1000</f>
        <v>0</v>
      </c>
      <c r="BI102" s="955">
        <f>BG102+BH102</f>
        <v>0</v>
      </c>
      <c r="BJ102" s="955"/>
      <c r="BK102" s="1197"/>
      <c r="BL102" s="890">
        <f t="shared" si="108"/>
        <v>2031993.3728639993</v>
      </c>
      <c r="BM102" s="890">
        <f t="shared" si="108"/>
        <v>0</v>
      </c>
      <c r="BN102" s="890">
        <f t="shared" si="108"/>
        <v>0</v>
      </c>
      <c r="BO102" s="890">
        <f t="shared" si="108"/>
        <v>0</v>
      </c>
      <c r="BP102" s="890">
        <f t="shared" si="108"/>
        <v>0</v>
      </c>
      <c r="BQ102" s="890">
        <f t="shared" si="144"/>
        <v>2031993.3728639993</v>
      </c>
      <c r="BR102" s="890">
        <f t="shared" si="145"/>
        <v>2031993.3728639993</v>
      </c>
      <c r="BS102" s="890">
        <f t="shared" si="109"/>
        <v>837160.88491199992</v>
      </c>
      <c r="BT102" s="890">
        <f t="shared" si="109"/>
        <v>0</v>
      </c>
      <c r="BU102" s="890">
        <f t="shared" si="109"/>
        <v>0</v>
      </c>
      <c r="BV102" s="890">
        <f t="shared" si="146"/>
        <v>0</v>
      </c>
      <c r="BW102" s="890">
        <f t="shared" si="112"/>
        <v>0</v>
      </c>
      <c r="BX102" s="890">
        <f t="shared" si="147"/>
        <v>837160.88491199992</v>
      </c>
      <c r="BY102" s="890">
        <f t="shared" si="148"/>
        <v>837160.88491199992</v>
      </c>
      <c r="BZ102" s="945">
        <f t="shared" si="110"/>
        <v>0</v>
      </c>
      <c r="CA102" s="945">
        <f t="shared" si="110"/>
        <v>0</v>
      </c>
      <c r="CB102" s="945">
        <f t="shared" si="149"/>
        <v>0</v>
      </c>
      <c r="CC102" s="976" t="e">
        <f t="shared" si="111"/>
        <v>#DIV/0!</v>
      </c>
      <c r="CD102" s="976" t="e">
        <f t="shared" si="111"/>
        <v>#DIV/0!</v>
      </c>
      <c r="CE102" s="976" t="e">
        <f t="shared" si="133"/>
        <v>#DIV/0!</v>
      </c>
      <c r="CF102" s="945" t="e">
        <f t="shared" si="113"/>
        <v>#DIV/0!</v>
      </c>
      <c r="CG102" s="977">
        <f t="shared" si="114"/>
        <v>0</v>
      </c>
      <c r="CH102" s="977" t="e">
        <f t="shared" si="134"/>
        <v>#DIV/0!</v>
      </c>
      <c r="CI102" s="945"/>
      <c r="CJ102" s="1312">
        <f>H102*Z102/1000</f>
        <v>2031.9933728639994</v>
      </c>
      <c r="CK102" s="1312">
        <f t="shared" si="115"/>
        <v>837.16088491199991</v>
      </c>
      <c r="CL102" s="1312">
        <f t="shared" si="141"/>
        <v>2869.1542577759992</v>
      </c>
      <c r="CM102" s="890">
        <f t="shared" si="135"/>
        <v>3141.0728632799996</v>
      </c>
      <c r="CN102" s="890">
        <f t="shared" si="136"/>
        <v>271.91860550400042</v>
      </c>
      <c r="CO102" s="890">
        <f t="shared" si="116"/>
        <v>2869154.2577759991</v>
      </c>
      <c r="CP102" s="890">
        <f t="shared" si="117"/>
        <v>2770348.5644399994</v>
      </c>
      <c r="CQ102" s="890">
        <f t="shared" si="118"/>
        <v>2770348.5644399994</v>
      </c>
      <c r="CR102" s="890">
        <f t="shared" si="119"/>
        <v>2031993.3728639993</v>
      </c>
      <c r="CS102" s="890">
        <f t="shared" si="120"/>
        <v>3141072.8632799997</v>
      </c>
      <c r="CT102" s="890">
        <f t="shared" si="121"/>
        <v>3141072.8632799997</v>
      </c>
      <c r="CU102" s="890">
        <f t="shared" si="122"/>
        <v>837160.88491199992</v>
      </c>
      <c r="CV102" s="890">
        <f t="shared" si="137"/>
        <v>5911421.4277199991</v>
      </c>
      <c r="CW102" s="978">
        <f t="shared" si="138"/>
        <v>7073.5319999999992</v>
      </c>
      <c r="CX102" s="890">
        <f t="shared" si="123"/>
        <v>0</v>
      </c>
      <c r="CY102" s="890">
        <f t="shared" si="124"/>
        <v>0</v>
      </c>
      <c r="CZ102" s="890"/>
      <c r="DA102" s="890">
        <f t="shared" si="125"/>
        <v>2770348.5644399994</v>
      </c>
      <c r="DB102" s="890">
        <f t="shared" si="126"/>
        <v>3141072.8632799997</v>
      </c>
      <c r="DC102" s="840"/>
      <c r="DD102" s="841" t="e">
        <f t="shared" si="139"/>
        <v>#DIV/0!</v>
      </c>
      <c r="DE102" s="840"/>
      <c r="DF102" s="840"/>
      <c r="DG102" s="840"/>
      <c r="DH102" s="1050"/>
      <c r="DI102" s="1050"/>
      <c r="DJ102" s="1050"/>
      <c r="DK102" s="945"/>
      <c r="DL102" s="975">
        <f t="shared" si="127"/>
        <v>0</v>
      </c>
      <c r="DM102" s="975">
        <f t="shared" si="128"/>
        <v>0</v>
      </c>
      <c r="DN102" s="975">
        <f t="shared" si="129"/>
        <v>0</v>
      </c>
      <c r="DO102" s="816"/>
      <c r="DP102" s="871"/>
      <c r="DQ102" s="871"/>
      <c r="DR102" s="871"/>
      <c r="DS102" s="871"/>
      <c r="DT102" s="871"/>
      <c r="DU102" s="871"/>
      <c r="DV102" s="871"/>
      <c r="DW102" s="871"/>
      <c r="DX102" s="871"/>
      <c r="DY102" s="871"/>
      <c r="DZ102" s="871"/>
      <c r="EA102" s="871"/>
      <c r="EB102" s="871"/>
      <c r="EC102" s="871"/>
      <c r="ED102" s="871"/>
      <c r="EE102" s="871"/>
      <c r="EF102" s="871"/>
      <c r="EG102" s="871"/>
      <c r="EH102" s="871"/>
      <c r="EI102" s="871"/>
      <c r="EJ102" s="871"/>
      <c r="EK102" s="871"/>
      <c r="EL102" s="871"/>
    </row>
    <row r="103" spans="1:142" s="50" customFormat="1" ht="72.75" hidden="1" customHeight="1">
      <c r="A103" s="6">
        <f t="shared" si="140"/>
        <v>90</v>
      </c>
      <c r="B103" s="886" t="s">
        <v>37</v>
      </c>
      <c r="C103" s="886" t="s">
        <v>926</v>
      </c>
      <c r="D103" s="1206" t="s">
        <v>38</v>
      </c>
      <c r="E103" s="886">
        <v>4625004944</v>
      </c>
      <c r="F103" s="886" t="s">
        <v>8</v>
      </c>
      <c r="G103" s="888" t="s">
        <v>958</v>
      </c>
      <c r="H103" s="1249">
        <v>2951.0829318332949</v>
      </c>
      <c r="I103" s="1250">
        <v>2951.0829318332949</v>
      </c>
      <c r="J103" s="891">
        <v>2951.0829318332949</v>
      </c>
      <c r="K103" s="891">
        <v>0</v>
      </c>
      <c r="L103" s="891">
        <v>2951.0829318332949</v>
      </c>
      <c r="M103" s="946">
        <v>0</v>
      </c>
      <c r="N103" s="959">
        <v>3285.23</v>
      </c>
      <c r="O103" s="959">
        <v>3285.23</v>
      </c>
      <c r="P103" s="959">
        <v>3285.23</v>
      </c>
      <c r="Q103" s="891">
        <v>0</v>
      </c>
      <c r="R103" s="891">
        <v>3285.23</v>
      </c>
      <c r="S103" s="946">
        <v>0</v>
      </c>
      <c r="T103" s="935">
        <v>1125.7</v>
      </c>
      <c r="U103" s="928">
        <v>17.37</v>
      </c>
      <c r="V103" s="928">
        <v>0</v>
      </c>
      <c r="W103" s="928">
        <v>0</v>
      </c>
      <c r="X103" s="928">
        <v>0</v>
      </c>
      <c r="Y103" s="928">
        <v>0</v>
      </c>
      <c r="Z103" s="926">
        <f>T103+U103+V103+W103</f>
        <v>1143.07</v>
      </c>
      <c r="AA103" s="927">
        <v>813.96</v>
      </c>
      <c r="AB103" s="928">
        <v>13.02</v>
      </c>
      <c r="AC103" s="928">
        <v>0</v>
      </c>
      <c r="AD103" s="928">
        <v>0</v>
      </c>
      <c r="AE103" s="928">
        <v>0</v>
      </c>
      <c r="AF103" s="928">
        <v>0</v>
      </c>
      <c r="AG103" s="934">
        <f>AA103+AB103+AC103+AD103</f>
        <v>826.98</v>
      </c>
      <c r="AH103" s="947">
        <f t="shared" si="143"/>
        <v>1970.05</v>
      </c>
      <c r="AI103" s="890">
        <f t="shared" si="150"/>
        <v>1939.66</v>
      </c>
      <c r="AJ103" s="890">
        <f t="shared" si="150"/>
        <v>30.39</v>
      </c>
      <c r="AK103" s="890">
        <f t="shared" si="150"/>
        <v>0</v>
      </c>
      <c r="AL103" s="894">
        <f t="shared" si="150"/>
        <v>0</v>
      </c>
      <c r="AM103" s="890">
        <f t="shared" si="150"/>
        <v>0</v>
      </c>
      <c r="AN103" s="890">
        <v>0</v>
      </c>
      <c r="AO103" s="890">
        <f t="shared" si="154"/>
        <v>1970.0500000000002</v>
      </c>
      <c r="AP103" s="890">
        <f t="shared" si="155"/>
        <v>1970.0500000000002</v>
      </c>
      <c r="AQ103" s="952">
        <f t="shared" si="98"/>
        <v>1970.0500000000002</v>
      </c>
      <c r="AR103" s="973">
        <f t="shared" si="132"/>
        <v>0</v>
      </c>
      <c r="AS103" s="889">
        <f t="shared" si="157"/>
        <v>5724097.519559769</v>
      </c>
      <c r="AT103" s="890">
        <f t="shared" si="152"/>
        <v>89683.41029841383</v>
      </c>
      <c r="AU103" s="890">
        <f t="shared" si="152"/>
        <v>0</v>
      </c>
      <c r="AV103" s="890">
        <f t="shared" si="152"/>
        <v>0</v>
      </c>
      <c r="AW103" s="890">
        <f t="shared" si="152"/>
        <v>0</v>
      </c>
      <c r="AX103" s="890">
        <f>SUM(AS103:AW103)</f>
        <v>5813780.9298581826</v>
      </c>
      <c r="AY103" s="890">
        <f>SUM(AS103:AV103)</f>
        <v>5813780.9298581826</v>
      </c>
      <c r="AZ103" s="890">
        <f t="shared" si="153"/>
        <v>6372229.2218000004</v>
      </c>
      <c r="BA103" s="890">
        <f t="shared" si="153"/>
        <v>99838.1397</v>
      </c>
      <c r="BB103" s="890">
        <f t="shared" si="153"/>
        <v>0</v>
      </c>
      <c r="BC103" s="890">
        <f t="shared" si="153"/>
        <v>0</v>
      </c>
      <c r="BD103" s="890">
        <f t="shared" si="153"/>
        <v>0</v>
      </c>
      <c r="BE103" s="890">
        <f>SUM(AZ103:BD103)</f>
        <v>6472067.3615000006</v>
      </c>
      <c r="BF103" s="952">
        <f>SUM(AZ103:BC103)</f>
        <v>6472067.3615000006</v>
      </c>
      <c r="BG103" s="974">
        <v>0</v>
      </c>
      <c r="BH103" s="890">
        <v>0</v>
      </c>
      <c r="BI103" s="890">
        <v>0</v>
      </c>
      <c r="BJ103" s="894">
        <v>6090.12</v>
      </c>
      <c r="BK103" s="1199">
        <v>6189.41</v>
      </c>
      <c r="BL103" s="897">
        <f t="shared" si="108"/>
        <v>3322034.0563647402</v>
      </c>
      <c r="BM103" s="897">
        <f t="shared" si="108"/>
        <v>51260.310525944333</v>
      </c>
      <c r="BN103" s="897">
        <f t="shared" si="108"/>
        <v>0</v>
      </c>
      <c r="BO103" s="897">
        <f t="shared" si="108"/>
        <v>0</v>
      </c>
      <c r="BP103" s="897">
        <f t="shared" si="108"/>
        <v>0</v>
      </c>
      <c r="BQ103" s="897">
        <f t="shared" si="144"/>
        <v>3373294.3668906847</v>
      </c>
      <c r="BR103" s="897">
        <f t="shared" si="145"/>
        <v>3373294.3668906847</v>
      </c>
      <c r="BS103" s="897">
        <f t="shared" si="109"/>
        <v>2674045.8108000001</v>
      </c>
      <c r="BT103" s="897">
        <f t="shared" si="109"/>
        <v>42773.694599999995</v>
      </c>
      <c r="BU103" s="897">
        <f t="shared" si="109"/>
        <v>0</v>
      </c>
      <c r="BV103" s="897">
        <f t="shared" si="146"/>
        <v>0</v>
      </c>
      <c r="BW103" s="897">
        <f t="shared" si="112"/>
        <v>0</v>
      </c>
      <c r="BX103" s="897">
        <f t="shared" si="147"/>
        <v>2716819.5054000001</v>
      </c>
      <c r="BY103" s="897">
        <f t="shared" si="148"/>
        <v>2716819.5054000001</v>
      </c>
      <c r="BZ103" s="905">
        <f t="shared" si="110"/>
        <v>94034.005125944328</v>
      </c>
      <c r="CA103" s="905">
        <f t="shared" si="110"/>
        <v>0</v>
      </c>
      <c r="CB103" s="905">
        <f t="shared" si="149"/>
        <v>94034.005125944328</v>
      </c>
      <c r="CC103" s="907">
        <f t="shared" si="111"/>
        <v>3094.2416954901059</v>
      </c>
      <c r="CD103" s="907" t="e">
        <f t="shared" si="111"/>
        <v>#DIV/0!</v>
      </c>
      <c r="CE103" s="907">
        <f t="shared" si="133"/>
        <v>3094.2416954901059</v>
      </c>
      <c r="CF103" s="907">
        <f t="shared" si="113"/>
        <v>3094.2416954901059</v>
      </c>
      <c r="CG103" s="923">
        <f t="shared" si="114"/>
        <v>94034.005125944328</v>
      </c>
      <c r="CH103" s="923">
        <f t="shared" si="134"/>
        <v>3094.2416954901059</v>
      </c>
      <c r="CI103" s="905"/>
      <c r="CJ103" s="897">
        <f t="shared" si="151"/>
        <v>3755.2478560999998</v>
      </c>
      <c r="CK103" s="897">
        <f t="shared" si="115"/>
        <v>2716.8195054000003</v>
      </c>
      <c r="CL103" s="897">
        <f t="shared" si="141"/>
        <v>6472.0673614999996</v>
      </c>
      <c r="CM103" s="897">
        <f t="shared" si="135"/>
        <v>6472.0673614999996</v>
      </c>
      <c r="CN103" s="897">
        <f t="shared" si="136"/>
        <v>0</v>
      </c>
      <c r="CO103" s="897">
        <f t="shared" si="116"/>
        <v>6090113.8722906839</v>
      </c>
      <c r="CP103" s="897">
        <f t="shared" si="117"/>
        <v>5813780.9298581826</v>
      </c>
      <c r="CQ103" s="897">
        <f t="shared" si="118"/>
        <v>5813780.9298581826</v>
      </c>
      <c r="CR103" s="897">
        <f t="shared" si="119"/>
        <v>3373294.3668906847</v>
      </c>
      <c r="CS103" s="897">
        <f t="shared" si="120"/>
        <v>6472067.3615000006</v>
      </c>
      <c r="CT103" s="897">
        <f t="shared" si="121"/>
        <v>6472067.3615000006</v>
      </c>
      <c r="CU103" s="897">
        <f t="shared" si="122"/>
        <v>2716819.5054000001</v>
      </c>
      <c r="CV103" s="897">
        <f t="shared" si="137"/>
        <v>12285848.291358184</v>
      </c>
      <c r="CW103" s="906">
        <f t="shared" si="138"/>
        <v>6236.3129318332958</v>
      </c>
      <c r="CX103" s="897">
        <f t="shared" si="123"/>
        <v>89683.41029841383</v>
      </c>
      <c r="CY103" s="897">
        <f t="shared" si="124"/>
        <v>99838.1397</v>
      </c>
      <c r="CZ103" s="897"/>
      <c r="DA103" s="897">
        <f t="shared" si="125"/>
        <v>5813780.9298581826</v>
      </c>
      <c r="DB103" s="897">
        <f t="shared" si="126"/>
        <v>6472067.3615000006</v>
      </c>
      <c r="DC103" s="27"/>
      <c r="DD103" s="40">
        <f t="shared" si="139"/>
        <v>111.32286268753293</v>
      </c>
      <c r="DE103" s="27"/>
      <c r="DF103" s="27"/>
      <c r="DG103" s="27"/>
      <c r="DH103" s="1043">
        <v>10850.630000000001</v>
      </c>
      <c r="DI103" s="1043">
        <v>3967.25</v>
      </c>
      <c r="DJ103" s="1043">
        <f t="shared" si="142"/>
        <v>6883.380000000001</v>
      </c>
      <c r="DK103" s="945"/>
      <c r="DL103" s="908">
        <f t="shared" si="127"/>
        <v>0</v>
      </c>
      <c r="DM103" s="908">
        <f t="shared" si="128"/>
        <v>0</v>
      </c>
      <c r="DN103" s="908">
        <f t="shared" si="129"/>
        <v>0</v>
      </c>
      <c r="DO103" s="816"/>
      <c r="DP103" s="81"/>
      <c r="DQ103" s="81"/>
      <c r="DR103" s="81"/>
      <c r="DS103" s="81"/>
      <c r="DT103" s="81"/>
      <c r="DU103" s="81"/>
      <c r="DV103" s="81"/>
      <c r="DW103" s="81"/>
      <c r="DX103" s="81"/>
      <c r="DY103" s="81"/>
      <c r="DZ103" s="81"/>
      <c r="EA103" s="81"/>
      <c r="EB103" s="81"/>
      <c r="EC103" s="81"/>
      <c r="ED103" s="81"/>
      <c r="EE103" s="81"/>
      <c r="EF103" s="81"/>
      <c r="EG103" s="81"/>
      <c r="EH103" s="81"/>
      <c r="EI103" s="81"/>
      <c r="EJ103" s="81"/>
      <c r="EK103" s="81"/>
      <c r="EL103" s="81"/>
    </row>
    <row r="104" spans="1:142" s="50" customFormat="1" ht="70.5" hidden="1" customHeight="1">
      <c r="A104" s="6">
        <f t="shared" si="140"/>
        <v>91</v>
      </c>
      <c r="B104" s="886" t="s">
        <v>37</v>
      </c>
      <c r="C104" s="886" t="s">
        <v>61</v>
      </c>
      <c r="D104" s="1206" t="s">
        <v>38</v>
      </c>
      <c r="E104" s="886">
        <v>4625004944</v>
      </c>
      <c r="F104" s="886" t="s">
        <v>8</v>
      </c>
      <c r="G104" s="888" t="s">
        <v>958</v>
      </c>
      <c r="H104" s="925">
        <v>2951.0829318332949</v>
      </c>
      <c r="I104" s="891">
        <v>2951.0829318332949</v>
      </c>
      <c r="J104" s="891">
        <v>2951.0829318332949</v>
      </c>
      <c r="K104" s="891">
        <v>0</v>
      </c>
      <c r="L104" s="891">
        <v>2951.0829318332949</v>
      </c>
      <c r="M104" s="946">
        <v>0</v>
      </c>
      <c r="N104" s="959">
        <v>3285.23</v>
      </c>
      <c r="O104" s="959">
        <v>3285.23</v>
      </c>
      <c r="P104" s="959">
        <v>3285.23</v>
      </c>
      <c r="Q104" s="891">
        <v>0</v>
      </c>
      <c r="R104" s="891">
        <v>3285.23</v>
      </c>
      <c r="S104" s="946">
        <v>0</v>
      </c>
      <c r="T104" s="935">
        <v>2369.37</v>
      </c>
      <c r="U104" s="928">
        <v>2281.73</v>
      </c>
      <c r="V104" s="928">
        <v>0</v>
      </c>
      <c r="W104" s="928">
        <v>510.7</v>
      </c>
      <c r="X104" s="928">
        <v>0</v>
      </c>
      <c r="Y104" s="928">
        <v>0</v>
      </c>
      <c r="Z104" s="926">
        <f>SUM(T104:W104)</f>
        <v>5161.8</v>
      </c>
      <c r="AA104" s="927">
        <v>1646.66</v>
      </c>
      <c r="AB104" s="928">
        <v>1655.13</v>
      </c>
      <c r="AC104" s="928">
        <v>0</v>
      </c>
      <c r="AD104" s="928">
        <v>416.99</v>
      </c>
      <c r="AE104" s="928">
        <v>0</v>
      </c>
      <c r="AF104" s="928">
        <v>0</v>
      </c>
      <c r="AG104" s="934">
        <f t="shared" si="131"/>
        <v>3718.7799999999997</v>
      </c>
      <c r="AH104" s="947">
        <f t="shared" si="143"/>
        <v>8880.58</v>
      </c>
      <c r="AI104" s="890">
        <f t="shared" si="150"/>
        <v>4016.0299999999997</v>
      </c>
      <c r="AJ104" s="890">
        <f t="shared" si="150"/>
        <v>3936.86</v>
      </c>
      <c r="AK104" s="890">
        <f t="shared" si="150"/>
        <v>0</v>
      </c>
      <c r="AL104" s="894">
        <f t="shared" si="150"/>
        <v>927.69</v>
      </c>
      <c r="AM104" s="890">
        <f t="shared" si="150"/>
        <v>0</v>
      </c>
      <c r="AN104" s="890">
        <v>0</v>
      </c>
      <c r="AO104" s="890">
        <f t="shared" si="154"/>
        <v>8880.58</v>
      </c>
      <c r="AP104" s="890">
        <f t="shared" si="155"/>
        <v>8880.58</v>
      </c>
      <c r="AQ104" s="952">
        <f t="shared" si="98"/>
        <v>8880.58</v>
      </c>
      <c r="AR104" s="973">
        <f t="shared" si="132"/>
        <v>0</v>
      </c>
      <c r="AS104" s="889">
        <f t="shared" si="157"/>
        <v>11851637.586730467</v>
      </c>
      <c r="AT104" s="890">
        <f t="shared" si="157"/>
        <v>11618000.351017226</v>
      </c>
      <c r="AU104" s="890">
        <f t="shared" si="157"/>
        <v>0</v>
      </c>
      <c r="AV104" s="890">
        <f t="shared" si="157"/>
        <v>2737690.1250324296</v>
      </c>
      <c r="AW104" s="890">
        <f t="shared" si="157"/>
        <v>0</v>
      </c>
      <c r="AX104" s="890">
        <f t="shared" si="99"/>
        <v>26207328.062780123</v>
      </c>
      <c r="AY104" s="890">
        <f t="shared" si="100"/>
        <v>26207328.062780123</v>
      </c>
      <c r="AZ104" s="890">
        <f t="shared" ref="AZ104:BD119" si="158">O104*AI104</f>
        <v>13193582.2369</v>
      </c>
      <c r="BA104" s="890">
        <f t="shared" si="158"/>
        <v>12933490.5778</v>
      </c>
      <c r="BB104" s="890">
        <f t="shared" si="158"/>
        <v>0</v>
      </c>
      <c r="BC104" s="890">
        <f t="shared" si="158"/>
        <v>3047675.0187000004</v>
      </c>
      <c r="BD104" s="890">
        <f t="shared" si="158"/>
        <v>0</v>
      </c>
      <c r="BE104" s="890">
        <f t="shared" si="101"/>
        <v>29174747.8334</v>
      </c>
      <c r="BF104" s="952">
        <f t="shared" si="102"/>
        <v>29174747.8334</v>
      </c>
      <c r="BG104" s="974">
        <v>0</v>
      </c>
      <c r="BH104" s="890">
        <v>0</v>
      </c>
      <c r="BI104" s="890">
        <v>0</v>
      </c>
      <c r="BJ104" s="894">
        <v>27449.95</v>
      </c>
      <c r="BK104" s="1199">
        <v>28248.61</v>
      </c>
      <c r="BL104" s="897">
        <f t="shared" si="108"/>
        <v>6992207.3661978533</v>
      </c>
      <c r="BM104" s="897">
        <f t="shared" si="108"/>
        <v>6733574.4580519842</v>
      </c>
      <c r="BN104" s="897">
        <f t="shared" si="108"/>
        <v>0</v>
      </c>
      <c r="BO104" s="897">
        <f t="shared" si="108"/>
        <v>1507118.0532872637</v>
      </c>
      <c r="BP104" s="897">
        <f t="shared" si="108"/>
        <v>0</v>
      </c>
      <c r="BQ104" s="897">
        <f t="shared" si="144"/>
        <v>15232899.877537102</v>
      </c>
      <c r="BR104" s="897">
        <f t="shared" si="145"/>
        <v>15232899.877537102</v>
      </c>
      <c r="BS104" s="897">
        <f t="shared" si="109"/>
        <v>5409656.8318000007</v>
      </c>
      <c r="BT104" s="897">
        <f t="shared" si="109"/>
        <v>5437482.7299000006</v>
      </c>
      <c r="BU104" s="897">
        <f t="shared" si="109"/>
        <v>0</v>
      </c>
      <c r="BV104" s="897">
        <f t="shared" si="146"/>
        <v>1677766.9609999999</v>
      </c>
      <c r="BW104" s="897">
        <f t="shared" si="112"/>
        <v>0</v>
      </c>
      <c r="BX104" s="897">
        <f t="shared" si="147"/>
        <v>12524906.522700001</v>
      </c>
      <c r="BY104" s="897">
        <f t="shared" si="148"/>
        <v>12524906.522700001</v>
      </c>
      <c r="BZ104" s="905">
        <f t="shared" si="110"/>
        <v>12171057.187951986</v>
      </c>
      <c r="CA104" s="905">
        <f t="shared" si="110"/>
        <v>0</v>
      </c>
      <c r="CB104" s="905">
        <f t="shared" si="149"/>
        <v>12171057.187951986</v>
      </c>
      <c r="CC104" s="907">
        <f t="shared" si="111"/>
        <v>3091.5646449078672</v>
      </c>
      <c r="CD104" s="907" t="e">
        <f t="shared" si="111"/>
        <v>#DIV/0!</v>
      </c>
      <c r="CE104" s="907">
        <f t="shared" si="133"/>
        <v>3091.5646449078672</v>
      </c>
      <c r="CF104" s="907">
        <f t="shared" si="113"/>
        <v>3091.5646449078672</v>
      </c>
      <c r="CG104" s="923">
        <f t="shared" si="114"/>
        <v>12171057.187951986</v>
      </c>
      <c r="CH104" s="923">
        <f t="shared" si="134"/>
        <v>3091.5646449078672</v>
      </c>
      <c r="CI104" s="979"/>
      <c r="CJ104" s="897">
        <f t="shared" si="151"/>
        <v>16957.700214</v>
      </c>
      <c r="CK104" s="897">
        <f t="shared" si="115"/>
        <v>12217.047619399998</v>
      </c>
      <c r="CL104" s="897">
        <f t="shared" si="141"/>
        <v>29174.747833399997</v>
      </c>
      <c r="CM104" s="897">
        <f t="shared" si="135"/>
        <v>29174.747833400001</v>
      </c>
      <c r="CN104" s="897">
        <f t="shared" si="136"/>
        <v>0</v>
      </c>
      <c r="CO104" s="897">
        <f t="shared" si="116"/>
        <v>27449947.4969371</v>
      </c>
      <c r="CP104" s="897">
        <f t="shared" si="117"/>
        <v>26207328.062780123</v>
      </c>
      <c r="CQ104" s="897">
        <f t="shared" si="118"/>
        <v>26207328.062780123</v>
      </c>
      <c r="CR104" s="897">
        <f t="shared" si="119"/>
        <v>15232899.877537102</v>
      </c>
      <c r="CS104" s="897">
        <f t="shared" si="120"/>
        <v>29174747.8334</v>
      </c>
      <c r="CT104" s="897">
        <f t="shared" si="121"/>
        <v>29174747.8334</v>
      </c>
      <c r="CU104" s="897">
        <f t="shared" si="122"/>
        <v>12217047.619400002</v>
      </c>
      <c r="CV104" s="897">
        <f t="shared" si="137"/>
        <v>55382075.896180123</v>
      </c>
      <c r="CW104" s="906">
        <f t="shared" si="138"/>
        <v>6236.3129318332949</v>
      </c>
      <c r="CX104" s="897">
        <f t="shared" si="123"/>
        <v>11618000.351017226</v>
      </c>
      <c r="CY104" s="897">
        <f t="shared" si="124"/>
        <v>12933490.5778</v>
      </c>
      <c r="CZ104" s="897"/>
      <c r="DA104" s="897">
        <f t="shared" si="125"/>
        <v>26207328.062780123</v>
      </c>
      <c r="DB104" s="897">
        <f t="shared" si="126"/>
        <v>29174747.8334</v>
      </c>
      <c r="DC104" s="1131"/>
      <c r="DD104" s="40">
        <f t="shared" si="139"/>
        <v>111.32286268753293</v>
      </c>
      <c r="DE104" s="1131"/>
      <c r="DF104" s="1131"/>
      <c r="DG104" s="1131"/>
      <c r="DH104" s="1043">
        <v>10850.630000000001</v>
      </c>
      <c r="DI104" s="1043">
        <v>3967.25</v>
      </c>
      <c r="DJ104" s="1043">
        <f t="shared" si="142"/>
        <v>6883.380000000001</v>
      </c>
      <c r="DK104" s="979"/>
      <c r="DL104" s="908">
        <f t="shared" si="127"/>
        <v>0</v>
      </c>
      <c r="DM104" s="908">
        <f t="shared" si="128"/>
        <v>0</v>
      </c>
      <c r="DN104" s="908">
        <f t="shared" si="129"/>
        <v>0</v>
      </c>
      <c r="DO104" s="81"/>
      <c r="DP104" s="81"/>
      <c r="DQ104" s="81"/>
      <c r="DR104" s="81"/>
      <c r="DS104" s="81"/>
      <c r="DT104" s="81"/>
      <c r="DU104" s="81"/>
      <c r="DV104" s="81"/>
      <c r="DW104" s="81"/>
      <c r="DX104" s="81"/>
      <c r="DY104" s="81"/>
      <c r="DZ104" s="81"/>
      <c r="EA104" s="81"/>
      <c r="EB104" s="81"/>
      <c r="EC104" s="81"/>
      <c r="ED104" s="81"/>
      <c r="EE104" s="81"/>
      <c r="EF104" s="81"/>
      <c r="EG104" s="81"/>
      <c r="EH104" s="81"/>
      <c r="EI104" s="81"/>
      <c r="EJ104" s="81"/>
      <c r="EK104" s="81"/>
      <c r="EL104" s="81"/>
    </row>
    <row r="105" spans="1:142" s="50" customFormat="1" ht="77.25" hidden="1" customHeight="1">
      <c r="A105" s="6">
        <f t="shared" si="140"/>
        <v>92</v>
      </c>
      <c r="B105" s="886" t="s">
        <v>39</v>
      </c>
      <c r="C105" s="886" t="s">
        <v>133</v>
      </c>
      <c r="D105" s="886" t="s">
        <v>920</v>
      </c>
      <c r="E105" s="886">
        <v>4626006422</v>
      </c>
      <c r="F105" s="886" t="s">
        <v>8</v>
      </c>
      <c r="G105" s="888" t="s">
        <v>954</v>
      </c>
      <c r="H105" s="925">
        <v>2928.96</v>
      </c>
      <c r="I105" s="891">
        <v>2928.96</v>
      </c>
      <c r="J105" s="891">
        <v>2550.9499999999998</v>
      </c>
      <c r="K105" s="891">
        <v>0</v>
      </c>
      <c r="L105" s="891">
        <v>2928.96</v>
      </c>
      <c r="M105" s="946">
        <v>0</v>
      </c>
      <c r="N105" s="959">
        <v>3288.7</v>
      </c>
      <c r="O105" s="891">
        <v>3288.7</v>
      </c>
      <c r="P105" s="891">
        <v>2918.29</v>
      </c>
      <c r="Q105" s="891"/>
      <c r="R105" s="891">
        <v>3288.7</v>
      </c>
      <c r="S105" s="946"/>
      <c r="T105" s="1012">
        <v>1470.7</v>
      </c>
      <c r="U105" s="1003">
        <v>641.79999999999995</v>
      </c>
      <c r="V105" s="1003">
        <v>0</v>
      </c>
      <c r="W105" s="1003">
        <v>5.5</v>
      </c>
      <c r="X105" s="1003">
        <v>0</v>
      </c>
      <c r="Y105" s="1003">
        <v>0</v>
      </c>
      <c r="Z105" s="898">
        <v>2118</v>
      </c>
      <c r="AA105" s="1013">
        <v>950.75</v>
      </c>
      <c r="AB105" s="1003">
        <v>481.4</v>
      </c>
      <c r="AC105" s="1003">
        <v>0</v>
      </c>
      <c r="AD105" s="1003">
        <v>3.85</v>
      </c>
      <c r="AE105" s="1003">
        <v>0</v>
      </c>
      <c r="AF105" s="1003">
        <v>0</v>
      </c>
      <c r="AG105" s="1014">
        <v>1436</v>
      </c>
      <c r="AH105" s="896">
        <f t="shared" si="143"/>
        <v>3554</v>
      </c>
      <c r="AI105" s="919">
        <f>T105+AA105</f>
        <v>2421.4499999999998</v>
      </c>
      <c r="AJ105" s="897">
        <f t="shared" si="150"/>
        <v>1123.1999999999998</v>
      </c>
      <c r="AK105" s="897">
        <f t="shared" si="150"/>
        <v>0</v>
      </c>
      <c r="AL105" s="1003">
        <f t="shared" si="150"/>
        <v>9.35</v>
      </c>
      <c r="AM105" s="897">
        <f t="shared" si="150"/>
        <v>0</v>
      </c>
      <c r="AN105" s="897">
        <v>0</v>
      </c>
      <c r="AO105" s="897">
        <f t="shared" si="154"/>
        <v>3553.9999999999995</v>
      </c>
      <c r="AP105" s="897">
        <f t="shared" si="155"/>
        <v>3553.9999999999995</v>
      </c>
      <c r="AQ105" s="1011">
        <f t="shared" si="98"/>
        <v>3553.9999999999995</v>
      </c>
      <c r="AR105" s="902">
        <f t="shared" si="132"/>
        <v>0</v>
      </c>
      <c r="AS105" s="903">
        <f t="shared" si="157"/>
        <v>7092330.1919999998</v>
      </c>
      <c r="AT105" s="897">
        <f t="shared" si="157"/>
        <v>2865227.0399999991</v>
      </c>
      <c r="AU105" s="897">
        <f t="shared" si="157"/>
        <v>0</v>
      </c>
      <c r="AV105" s="897">
        <f t="shared" si="157"/>
        <v>27385.775999999998</v>
      </c>
      <c r="AW105" s="897">
        <f t="shared" si="157"/>
        <v>0</v>
      </c>
      <c r="AX105" s="897">
        <f t="shared" si="99"/>
        <v>9984943.0079999994</v>
      </c>
      <c r="AY105" s="897">
        <f t="shared" si="100"/>
        <v>9984943.0079999994</v>
      </c>
      <c r="AZ105" s="897">
        <f>O105*AI105</f>
        <v>7963422.6149999993</v>
      </c>
      <c r="BA105" s="897">
        <f>P105*AJ105</f>
        <v>3277823.3279999993</v>
      </c>
      <c r="BB105" s="897">
        <f t="shared" si="158"/>
        <v>0</v>
      </c>
      <c r="BC105" s="897">
        <f>R105*AL105</f>
        <v>30749.344999999998</v>
      </c>
      <c r="BD105" s="897">
        <f t="shared" si="158"/>
        <v>0</v>
      </c>
      <c r="BE105" s="897">
        <f>SUM(AZ105:BD105)</f>
        <v>11271995.287999999</v>
      </c>
      <c r="BF105" s="901">
        <f>SUM(AZ105:BC105)</f>
        <v>11271995.287999999</v>
      </c>
      <c r="BG105" s="950">
        <v>242.607</v>
      </c>
      <c r="BH105" s="948">
        <v>178.297</v>
      </c>
      <c r="BI105" s="948">
        <f>BG105+BH105</f>
        <v>420.904</v>
      </c>
      <c r="BJ105" s="919">
        <v>10926.106689012175</v>
      </c>
      <c r="BK105" s="1194">
        <v>11252.25</v>
      </c>
      <c r="BL105" s="897">
        <f t="shared" si="108"/>
        <v>4307621.4720000001</v>
      </c>
      <c r="BM105" s="897">
        <f t="shared" si="108"/>
        <v>1637199.7099999997</v>
      </c>
      <c r="BN105" s="897">
        <f t="shared" si="108"/>
        <v>0</v>
      </c>
      <c r="BO105" s="897">
        <f t="shared" si="108"/>
        <v>16109.28</v>
      </c>
      <c r="BP105" s="897">
        <f t="shared" si="108"/>
        <v>0</v>
      </c>
      <c r="BQ105" s="897">
        <f t="shared" si="144"/>
        <v>5960930.4620000003</v>
      </c>
      <c r="BR105" s="897">
        <f t="shared" si="145"/>
        <v>5960930.4620000003</v>
      </c>
      <c r="BS105" s="897">
        <f t="shared" si="109"/>
        <v>3126731.5249999999</v>
      </c>
      <c r="BT105" s="897">
        <f>P105*AB105</f>
        <v>1404864.8059999999</v>
      </c>
      <c r="BU105" s="897">
        <f t="shared" si="109"/>
        <v>0</v>
      </c>
      <c r="BV105" s="897">
        <f t="shared" si="146"/>
        <v>18087.849999999999</v>
      </c>
      <c r="BW105" s="897">
        <f t="shared" si="112"/>
        <v>0</v>
      </c>
      <c r="BX105" s="897">
        <f t="shared" si="147"/>
        <v>4549684.1809999999</v>
      </c>
      <c r="BY105" s="897">
        <f t="shared" si="148"/>
        <v>4549684.1809999999</v>
      </c>
      <c r="BZ105" s="905">
        <f>BM105+BT105</f>
        <v>3042064.5159999998</v>
      </c>
      <c r="CA105" s="905">
        <f t="shared" si="110"/>
        <v>0</v>
      </c>
      <c r="CB105" s="905">
        <f t="shared" si="149"/>
        <v>3042064.5159999998</v>
      </c>
      <c r="CC105" s="907">
        <f t="shared" si="111"/>
        <v>2708.3907727920232</v>
      </c>
      <c r="CD105" s="907" t="e">
        <f t="shared" si="111"/>
        <v>#DIV/0!</v>
      </c>
      <c r="CE105" s="907">
        <f t="shared" si="133"/>
        <v>2708.3907727920232</v>
      </c>
      <c r="CF105" s="907">
        <f t="shared" si="113"/>
        <v>2708.3907727920232</v>
      </c>
      <c r="CG105" s="923">
        <f t="shared" si="114"/>
        <v>3462986.7079999996</v>
      </c>
      <c r="CH105" s="923">
        <f t="shared" si="134"/>
        <v>3083.1434366096869</v>
      </c>
      <c r="CI105" s="979"/>
      <c r="CJ105" s="897">
        <f t="shared" si="151"/>
        <v>6965.4665999999997</v>
      </c>
      <c r="CK105" s="897">
        <f t="shared" si="115"/>
        <v>4722.5731999999998</v>
      </c>
      <c r="CL105" s="897">
        <f t="shared" si="141"/>
        <v>11688.039799999999</v>
      </c>
      <c r="CM105" s="897">
        <f t="shared" si="135"/>
        <v>11688.039799999999</v>
      </c>
      <c r="CN105" s="897">
        <f t="shared" si="136"/>
        <v>0</v>
      </c>
      <c r="CO105" s="897">
        <f t="shared" si="116"/>
        <v>10926110.48</v>
      </c>
      <c r="CP105" s="897">
        <f t="shared" si="117"/>
        <v>9984943.0079999994</v>
      </c>
      <c r="CQ105" s="897">
        <f t="shared" si="118"/>
        <v>9984943.0079999994</v>
      </c>
      <c r="CR105" s="897">
        <f t="shared" si="119"/>
        <v>5960930.4620000003</v>
      </c>
      <c r="CS105" s="897">
        <f t="shared" si="120"/>
        <v>11271995.287999999</v>
      </c>
      <c r="CT105" s="897">
        <f t="shared" si="121"/>
        <v>11271995.287999999</v>
      </c>
      <c r="CU105" s="897">
        <f t="shared" si="122"/>
        <v>4544257.8260000004</v>
      </c>
      <c r="CV105" s="897">
        <f t="shared" si="137"/>
        <v>21256938.295999996</v>
      </c>
      <c r="CW105" s="906">
        <f t="shared" si="138"/>
        <v>5981.1306404051766</v>
      </c>
      <c r="CX105" s="897">
        <f t="shared" si="123"/>
        <v>2865227.0399999991</v>
      </c>
      <c r="CY105" s="897">
        <f t="shared" si="124"/>
        <v>3277823.3279999993</v>
      </c>
      <c r="CZ105" s="897"/>
      <c r="DA105" s="897">
        <f t="shared" si="125"/>
        <v>10409523.84</v>
      </c>
      <c r="DB105" s="897">
        <f t="shared" si="126"/>
        <v>11688039.799999999</v>
      </c>
      <c r="DC105" s="1131"/>
      <c r="DD105" s="40">
        <f t="shared" si="139"/>
        <v>128.92059820851057</v>
      </c>
      <c r="DE105" s="1131"/>
      <c r="DF105" s="1131"/>
      <c r="DG105" s="1131"/>
      <c r="DH105" s="1043">
        <v>3554</v>
      </c>
      <c r="DI105" s="1043">
        <v>1123.1999999999998</v>
      </c>
      <c r="DJ105" s="1043">
        <f t="shared" si="142"/>
        <v>2430.8000000000002</v>
      </c>
      <c r="DK105" s="979"/>
      <c r="DL105" s="908">
        <f t="shared" si="127"/>
        <v>0</v>
      </c>
      <c r="DM105" s="908">
        <f t="shared" si="128"/>
        <v>0</v>
      </c>
      <c r="DN105" s="908">
        <f t="shared" si="129"/>
        <v>0</v>
      </c>
      <c r="DO105" s="81"/>
      <c r="DP105" s="81"/>
      <c r="DQ105" s="81"/>
      <c r="DR105" s="81"/>
      <c r="DS105" s="81"/>
      <c r="DT105" s="81"/>
      <c r="DU105" s="81"/>
      <c r="DV105" s="81"/>
      <c r="DW105" s="81"/>
      <c r="DX105" s="81"/>
      <c r="DY105" s="81"/>
      <c r="DZ105" s="81"/>
      <c r="EA105" s="81"/>
      <c r="EB105" s="81"/>
      <c r="EC105" s="81"/>
      <c r="ED105" s="81"/>
      <c r="EE105" s="81"/>
      <c r="EF105" s="81"/>
      <c r="EG105" s="81"/>
      <c r="EH105" s="81"/>
      <c r="EI105" s="81"/>
      <c r="EJ105" s="81"/>
      <c r="EK105" s="81"/>
      <c r="EL105" s="81"/>
    </row>
    <row r="106" spans="1:142" s="50" customFormat="1" ht="84.75" hidden="1" customHeight="1">
      <c r="A106" s="6">
        <f t="shared" si="140"/>
        <v>93</v>
      </c>
      <c r="B106" s="886" t="s">
        <v>39</v>
      </c>
      <c r="C106" s="956" t="s">
        <v>64</v>
      </c>
      <c r="D106" s="886" t="s">
        <v>866</v>
      </c>
      <c r="E106" s="887">
        <v>4626006380</v>
      </c>
      <c r="F106" s="886" t="s">
        <v>8</v>
      </c>
      <c r="G106" s="888" t="s">
        <v>972</v>
      </c>
      <c r="H106" s="1241">
        <v>2975.83</v>
      </c>
      <c r="I106" s="1242">
        <v>2975.83</v>
      </c>
      <c r="J106" s="891">
        <v>2975.83</v>
      </c>
      <c r="K106" s="891"/>
      <c r="L106" s="891">
        <v>2975.83</v>
      </c>
      <c r="M106" s="892"/>
      <c r="N106" s="984">
        <v>3252.8</v>
      </c>
      <c r="O106" s="895">
        <v>3252.8</v>
      </c>
      <c r="P106" s="895">
        <v>3252.8</v>
      </c>
      <c r="Q106" s="895"/>
      <c r="R106" s="891">
        <v>3252.8</v>
      </c>
      <c r="S106" s="892"/>
      <c r="T106" s="1012">
        <v>1510.4</v>
      </c>
      <c r="U106" s="1003">
        <v>2410.41</v>
      </c>
      <c r="V106" s="1003">
        <v>0</v>
      </c>
      <c r="W106" s="1003">
        <v>430.67</v>
      </c>
      <c r="X106" s="1003">
        <v>0</v>
      </c>
      <c r="Y106" s="1003"/>
      <c r="Z106" s="898">
        <f t="shared" si="130"/>
        <v>4351.4799999999996</v>
      </c>
      <c r="AA106" s="1013">
        <v>988.01</v>
      </c>
      <c r="AB106" s="1003">
        <v>1742.21</v>
      </c>
      <c r="AC106" s="1003">
        <v>0</v>
      </c>
      <c r="AD106" s="1003">
        <v>269.8</v>
      </c>
      <c r="AE106" s="1003">
        <v>0</v>
      </c>
      <c r="AF106" s="1003">
        <v>0</v>
      </c>
      <c r="AG106" s="900">
        <f t="shared" si="131"/>
        <v>3000.0200000000004</v>
      </c>
      <c r="AH106" s="896">
        <f t="shared" si="143"/>
        <v>7351.5</v>
      </c>
      <c r="AI106" s="897">
        <f t="shared" si="150"/>
        <v>2498.41</v>
      </c>
      <c r="AJ106" s="897">
        <f t="shared" si="150"/>
        <v>4152.62</v>
      </c>
      <c r="AK106" s="897">
        <f t="shared" si="150"/>
        <v>0</v>
      </c>
      <c r="AL106" s="897">
        <f t="shared" si="150"/>
        <v>700.47</v>
      </c>
      <c r="AM106" s="897">
        <f t="shared" si="150"/>
        <v>0</v>
      </c>
      <c r="AN106" s="897"/>
      <c r="AO106" s="897">
        <f t="shared" si="154"/>
        <v>7351.5</v>
      </c>
      <c r="AP106" s="897">
        <f t="shared" si="155"/>
        <v>7351.5</v>
      </c>
      <c r="AQ106" s="1011">
        <f t="shared" si="98"/>
        <v>7351.5</v>
      </c>
      <c r="AR106" s="902">
        <f t="shared" si="132"/>
        <v>0</v>
      </c>
      <c r="AS106" s="903">
        <f t="shared" si="157"/>
        <v>7434843.4302999992</v>
      </c>
      <c r="AT106" s="897">
        <f t="shared" si="157"/>
        <v>12357491.1746</v>
      </c>
      <c r="AU106" s="897">
        <f t="shared" si="157"/>
        <v>0</v>
      </c>
      <c r="AV106" s="897">
        <f t="shared" si="157"/>
        <v>2084479.6401</v>
      </c>
      <c r="AW106" s="897">
        <f t="shared" si="157"/>
        <v>0</v>
      </c>
      <c r="AX106" s="897">
        <f t="shared" si="99"/>
        <v>21876814.244999997</v>
      </c>
      <c r="AY106" s="897">
        <f t="shared" si="100"/>
        <v>21876814.244999997</v>
      </c>
      <c r="AZ106" s="897">
        <f t="shared" ref="AZ106:BC139" si="159">O106*AI106</f>
        <v>8126828.0480000004</v>
      </c>
      <c r="BA106" s="897">
        <f t="shared" si="159"/>
        <v>13507642.336000001</v>
      </c>
      <c r="BB106" s="897">
        <f t="shared" si="158"/>
        <v>0</v>
      </c>
      <c r="BC106" s="897">
        <f t="shared" si="158"/>
        <v>2278488.8160000001</v>
      </c>
      <c r="BD106" s="897">
        <f t="shared" si="158"/>
        <v>0</v>
      </c>
      <c r="BE106" s="897">
        <f t="shared" si="101"/>
        <v>23912959.200000003</v>
      </c>
      <c r="BF106" s="901">
        <f t="shared" si="102"/>
        <v>23912959.200000003</v>
      </c>
      <c r="BG106" s="904"/>
      <c r="BH106" s="897"/>
      <c r="BI106" s="922"/>
      <c r="BJ106" s="919">
        <v>22707.73</v>
      </c>
      <c r="BK106" s="1203">
        <v>24292.35</v>
      </c>
      <c r="BL106" s="897">
        <f>I106*T106</f>
        <v>4494693.6320000002</v>
      </c>
      <c r="BM106" s="897">
        <f>J106*U106</f>
        <v>7172970.3902999992</v>
      </c>
      <c r="BN106" s="897">
        <f t="shared" si="108"/>
        <v>0</v>
      </c>
      <c r="BO106" s="897">
        <f>L106*W106</f>
        <v>1281600.7061000001</v>
      </c>
      <c r="BP106" s="897">
        <f t="shared" si="108"/>
        <v>0</v>
      </c>
      <c r="BQ106" s="897">
        <f>BL106+BM106+BN106+BO106+BP106</f>
        <v>12949264.728399999</v>
      </c>
      <c r="BR106" s="897">
        <f>BQ106-BP106</f>
        <v>12949264.728399999</v>
      </c>
      <c r="BS106" s="897">
        <f>O106*AA106</f>
        <v>3213798.9280000003</v>
      </c>
      <c r="BT106" s="897">
        <f>P106*AB106</f>
        <v>5667060.6880000001</v>
      </c>
      <c r="BU106" s="897">
        <f t="shared" si="109"/>
        <v>0</v>
      </c>
      <c r="BV106" s="897">
        <f>R106*W106</f>
        <v>1400883.3760000002</v>
      </c>
      <c r="BW106" s="897">
        <f t="shared" si="112"/>
        <v>0</v>
      </c>
      <c r="BX106" s="897">
        <f>BS106+BT106+BU106+BV106+BW106</f>
        <v>10281742.992000001</v>
      </c>
      <c r="BY106" s="897">
        <f>BX106-BW106</f>
        <v>10281742.992000001</v>
      </c>
      <c r="BZ106" s="905">
        <f>BM106+BT106</f>
        <v>12840031.078299999</v>
      </c>
      <c r="CA106" s="905">
        <f t="shared" si="110"/>
        <v>0</v>
      </c>
      <c r="CB106" s="905">
        <f t="shared" si="149"/>
        <v>12840031.078299999</v>
      </c>
      <c r="CC106" s="907">
        <f t="shared" si="111"/>
        <v>3092.0313147603197</v>
      </c>
      <c r="CD106" s="907" t="e">
        <f t="shared" si="111"/>
        <v>#DIV/0!</v>
      </c>
      <c r="CE106" s="907">
        <f t="shared" si="133"/>
        <v>3092.0313147603197</v>
      </c>
      <c r="CF106" s="907">
        <f t="shared" si="113"/>
        <v>3092.0313147603197</v>
      </c>
      <c r="CG106" s="923">
        <f t="shared" si="114"/>
        <v>12840031.078299999</v>
      </c>
      <c r="CH106" s="923">
        <f t="shared" si="134"/>
        <v>3092.0313147603197</v>
      </c>
      <c r="CI106" s="905"/>
      <c r="CJ106" s="897">
        <f t="shared" si="151"/>
        <v>14154.494144</v>
      </c>
      <c r="CK106" s="897">
        <f t="shared" si="115"/>
        <v>9758.4650560000009</v>
      </c>
      <c r="CL106" s="922">
        <f t="shared" si="141"/>
        <v>23912.959200000001</v>
      </c>
      <c r="CM106" s="897">
        <f t="shared" si="135"/>
        <v>23912.959200000005</v>
      </c>
      <c r="CN106" s="897">
        <f t="shared" si="136"/>
        <v>0</v>
      </c>
      <c r="CO106" s="897">
        <f t="shared" si="116"/>
        <v>22707729.784400001</v>
      </c>
      <c r="CP106" s="897">
        <f t="shared" si="117"/>
        <v>21876814.244999997</v>
      </c>
      <c r="CQ106" s="897">
        <f t="shared" si="118"/>
        <v>21876814.244999997</v>
      </c>
      <c r="CR106" s="897">
        <f t="shared" si="119"/>
        <v>12949264.728399999</v>
      </c>
      <c r="CS106" s="897">
        <f t="shared" si="120"/>
        <v>23912959.200000003</v>
      </c>
      <c r="CT106" s="897">
        <f t="shared" si="121"/>
        <v>23912959.200000003</v>
      </c>
      <c r="CU106" s="897">
        <f t="shared" si="122"/>
        <v>9758465.0559999999</v>
      </c>
      <c r="CV106" s="897">
        <f t="shared" si="137"/>
        <v>45789773.445</v>
      </c>
      <c r="CW106" s="906">
        <f t="shared" si="138"/>
        <v>6228.63</v>
      </c>
      <c r="CX106" s="897">
        <f t="shared" si="123"/>
        <v>12357491.1746</v>
      </c>
      <c r="CY106" s="897">
        <f t="shared" si="124"/>
        <v>13507642.336000001</v>
      </c>
      <c r="CZ106" s="897"/>
      <c r="DA106" s="897">
        <f t="shared" si="125"/>
        <v>21876814.244999997</v>
      </c>
      <c r="DB106" s="897">
        <f t="shared" si="126"/>
        <v>23912959.200000003</v>
      </c>
      <c r="DC106" s="27"/>
      <c r="DD106" s="40">
        <f t="shared" si="139"/>
        <v>109.30731930251395</v>
      </c>
      <c r="DE106" s="27"/>
      <c r="DF106" s="27"/>
      <c r="DG106" s="27"/>
      <c r="DH106" s="1226">
        <v>7351.48</v>
      </c>
      <c r="DI106" s="1226">
        <v>4152.6099999999997</v>
      </c>
      <c r="DJ106" s="1043">
        <f t="shared" si="142"/>
        <v>3198.87</v>
      </c>
      <c r="DK106" s="905"/>
      <c r="DL106" s="908">
        <f t="shared" si="127"/>
        <v>0</v>
      </c>
      <c r="DM106" s="908">
        <f t="shared" si="128"/>
        <v>0</v>
      </c>
      <c r="DN106" s="908">
        <f t="shared" si="129"/>
        <v>0</v>
      </c>
      <c r="DO106" s="6"/>
      <c r="DP106" s="81"/>
      <c r="DQ106" s="81"/>
      <c r="DR106" s="81"/>
      <c r="DS106" s="81"/>
      <c r="DT106" s="81"/>
      <c r="DU106" s="81"/>
      <c r="DV106" s="81"/>
      <c r="DW106" s="81"/>
      <c r="DX106" s="81"/>
      <c r="DY106" s="81"/>
      <c r="DZ106" s="81"/>
      <c r="EA106" s="81"/>
      <c r="EB106" s="81"/>
      <c r="EC106" s="81"/>
      <c r="ED106" s="81"/>
      <c r="EE106" s="81"/>
      <c r="EF106" s="81"/>
      <c r="EG106" s="81"/>
      <c r="EH106" s="81"/>
      <c r="EI106" s="81"/>
      <c r="EJ106" s="81"/>
      <c r="EK106" s="81"/>
      <c r="EL106" s="81"/>
    </row>
    <row r="107" spans="1:142" s="869" customFormat="1" ht="77.25" hidden="1" customHeight="1">
      <c r="A107" s="6">
        <f t="shared" si="140"/>
        <v>94</v>
      </c>
      <c r="B107" s="886" t="s">
        <v>39</v>
      </c>
      <c r="C107" s="1309" t="s">
        <v>120</v>
      </c>
      <c r="D107" s="1262" t="s">
        <v>141</v>
      </c>
      <c r="E107" s="887">
        <v>4632024035</v>
      </c>
      <c r="F107" s="886" t="s">
        <v>8</v>
      </c>
      <c r="G107" s="1238" t="s">
        <v>983</v>
      </c>
      <c r="H107" s="1256">
        <v>3314.9639999999995</v>
      </c>
      <c r="I107" s="1257">
        <f t="shared" ref="I107:I119" si="160">H107</f>
        <v>3314.9639999999995</v>
      </c>
      <c r="J107" s="891"/>
      <c r="K107" s="891"/>
      <c r="L107" s="1256">
        <v>3314.9639999999995</v>
      </c>
      <c r="M107" s="946"/>
      <c r="N107" s="1259">
        <f t="shared" ref="N107:N119" si="161">3132.14*1.2</f>
        <v>3758.5679999999998</v>
      </c>
      <c r="O107" s="1260">
        <f t="shared" ref="O107:O119" si="162">N107</f>
        <v>3758.5679999999998</v>
      </c>
      <c r="P107" s="891"/>
      <c r="Q107" s="891"/>
      <c r="R107" s="891">
        <f t="shared" ref="R107:R119" si="163">O107</f>
        <v>3758.5679999999998</v>
      </c>
      <c r="S107" s="946"/>
      <c r="T107" s="1390">
        <v>86.298000000000002</v>
      </c>
      <c r="U107" s="1380"/>
      <c r="V107" s="1380"/>
      <c r="W107" s="931"/>
      <c r="X107" s="931"/>
      <c r="Y107" s="931"/>
      <c r="Z107" s="932">
        <f t="shared" si="130"/>
        <v>86.298000000000002</v>
      </c>
      <c r="AA107" s="1381">
        <v>50.112000000000002</v>
      </c>
      <c r="AB107" s="1366"/>
      <c r="AC107" s="1366"/>
      <c r="AD107" s="890"/>
      <c r="AE107" s="890"/>
      <c r="AF107" s="890"/>
      <c r="AG107" s="951">
        <f t="shared" si="131"/>
        <v>50.112000000000002</v>
      </c>
      <c r="AH107" s="947">
        <f t="shared" si="143"/>
        <v>136.41</v>
      </c>
      <c r="AI107" s="890">
        <f t="shared" si="150"/>
        <v>136.41</v>
      </c>
      <c r="AJ107" s="890">
        <f t="shared" si="150"/>
        <v>0</v>
      </c>
      <c r="AK107" s="890">
        <f t="shared" si="150"/>
        <v>0</v>
      </c>
      <c r="AL107" s="890">
        <f t="shared" si="150"/>
        <v>0</v>
      </c>
      <c r="AM107" s="890">
        <f t="shared" si="150"/>
        <v>0</v>
      </c>
      <c r="AN107" s="890"/>
      <c r="AO107" s="890">
        <f t="shared" si="154"/>
        <v>136.41</v>
      </c>
      <c r="AP107" s="890">
        <f t="shared" si="155"/>
        <v>136.41</v>
      </c>
      <c r="AQ107" s="952">
        <f t="shared" si="98"/>
        <v>136.41</v>
      </c>
      <c r="AR107" s="973">
        <f t="shared" si="132"/>
        <v>0</v>
      </c>
      <c r="AS107" s="889">
        <f t="shared" si="157"/>
        <v>452194.23923999991</v>
      </c>
      <c r="AT107" s="890">
        <f t="shared" si="157"/>
        <v>0</v>
      </c>
      <c r="AU107" s="890">
        <f t="shared" si="157"/>
        <v>0</v>
      </c>
      <c r="AV107" s="890">
        <f t="shared" si="157"/>
        <v>0</v>
      </c>
      <c r="AW107" s="890">
        <f t="shared" si="157"/>
        <v>0</v>
      </c>
      <c r="AX107" s="890">
        <f t="shared" si="99"/>
        <v>452194.23923999991</v>
      </c>
      <c r="AY107" s="890">
        <f t="shared" si="100"/>
        <v>452194.23923999991</v>
      </c>
      <c r="AZ107" s="890">
        <f t="shared" si="159"/>
        <v>512706.26087999996</v>
      </c>
      <c r="BA107" s="890">
        <f t="shared" si="159"/>
        <v>0</v>
      </c>
      <c r="BB107" s="890">
        <f t="shared" si="158"/>
        <v>0</v>
      </c>
      <c r="BC107" s="890">
        <f t="shared" si="158"/>
        <v>0</v>
      </c>
      <c r="BD107" s="890">
        <f t="shared" si="158"/>
        <v>0</v>
      </c>
      <c r="BE107" s="890">
        <f t="shared" si="101"/>
        <v>512706.26087999996</v>
      </c>
      <c r="BF107" s="952">
        <f t="shared" si="102"/>
        <v>512706.26087999996</v>
      </c>
      <c r="BG107" s="953">
        <f t="shared" ref="BG107:BG118" si="164">(H107-J107)/1.2*U107/1000+(H107-K107)/1.2*V107/1000</f>
        <v>0</v>
      </c>
      <c r="BH107" s="954">
        <f t="shared" ref="BH107:BH118" si="165">(O107-P107)*AB107/1000/1.2+(O107-Q107)/1.2*AC107/1000</f>
        <v>0</v>
      </c>
      <c r="BI107" s="955">
        <f t="shared" ref="BI107:BI118" si="166">BG107+BH107</f>
        <v>0</v>
      </c>
      <c r="BJ107" s="890"/>
      <c r="BK107" s="1199"/>
      <c r="BL107" s="890">
        <f t="shared" si="108"/>
        <v>286074.76327199995</v>
      </c>
      <c r="BM107" s="890">
        <f t="shared" si="108"/>
        <v>0</v>
      </c>
      <c r="BN107" s="890">
        <f t="shared" si="108"/>
        <v>0</v>
      </c>
      <c r="BO107" s="890">
        <f t="shared" si="108"/>
        <v>0</v>
      </c>
      <c r="BP107" s="890">
        <f t="shared" si="108"/>
        <v>0</v>
      </c>
      <c r="BQ107" s="890">
        <f t="shared" si="144"/>
        <v>286074.76327199995</v>
      </c>
      <c r="BR107" s="890">
        <f t="shared" si="145"/>
        <v>286074.76327199995</v>
      </c>
      <c r="BS107" s="890">
        <f t="shared" si="109"/>
        <v>188349.359616</v>
      </c>
      <c r="BT107" s="890">
        <f t="shared" si="109"/>
        <v>0</v>
      </c>
      <c r="BU107" s="890">
        <f t="shared" si="109"/>
        <v>0</v>
      </c>
      <c r="BV107" s="890">
        <f t="shared" si="146"/>
        <v>0</v>
      </c>
      <c r="BW107" s="890">
        <f t="shared" si="112"/>
        <v>0</v>
      </c>
      <c r="BX107" s="890">
        <f t="shared" si="147"/>
        <v>188349.359616</v>
      </c>
      <c r="BY107" s="890">
        <f t="shared" si="148"/>
        <v>188349.359616</v>
      </c>
      <c r="BZ107" s="945">
        <f t="shared" si="110"/>
        <v>0</v>
      </c>
      <c r="CA107" s="945">
        <f t="shared" si="110"/>
        <v>0</v>
      </c>
      <c r="CB107" s="945">
        <f t="shared" si="149"/>
        <v>0</v>
      </c>
      <c r="CC107" s="976" t="e">
        <f t="shared" si="111"/>
        <v>#DIV/0!</v>
      </c>
      <c r="CD107" s="976" t="e">
        <f t="shared" si="111"/>
        <v>#DIV/0!</v>
      </c>
      <c r="CE107" s="976" t="e">
        <f t="shared" si="133"/>
        <v>#DIV/0!</v>
      </c>
      <c r="CF107" s="945" t="e">
        <f t="shared" si="113"/>
        <v>#DIV/0!</v>
      </c>
      <c r="CG107" s="977">
        <f t="shared" si="114"/>
        <v>0</v>
      </c>
      <c r="CH107" s="977" t="e">
        <f t="shared" si="134"/>
        <v>#DIV/0!</v>
      </c>
      <c r="CI107" s="945"/>
      <c r="CJ107" s="1312">
        <f t="shared" ref="CJ107:CJ119" si="167">H107*Z107/1000</f>
        <v>286.07476327199993</v>
      </c>
      <c r="CK107" s="1312">
        <f t="shared" si="115"/>
        <v>188.34935961600002</v>
      </c>
      <c r="CL107" s="1312">
        <f t="shared" ref="CL107:CL119" si="168">CJ107+CK107</f>
        <v>474.42412288799994</v>
      </c>
      <c r="CM107" s="890">
        <f t="shared" si="135"/>
        <v>512.70626087999995</v>
      </c>
      <c r="CN107" s="890">
        <f t="shared" si="136"/>
        <v>38.282137992000003</v>
      </c>
      <c r="CO107" s="890">
        <f t="shared" si="116"/>
        <v>474424.12288799998</v>
      </c>
      <c r="CP107" s="890">
        <f t="shared" si="117"/>
        <v>452194.23923999991</v>
      </c>
      <c r="CQ107" s="890">
        <f t="shared" si="118"/>
        <v>452194.23923999991</v>
      </c>
      <c r="CR107" s="890">
        <f t="shared" si="119"/>
        <v>286074.76327199995</v>
      </c>
      <c r="CS107" s="890">
        <f t="shared" si="120"/>
        <v>512706.26087999996</v>
      </c>
      <c r="CT107" s="890">
        <f t="shared" si="121"/>
        <v>512706.26087999996</v>
      </c>
      <c r="CU107" s="890">
        <f t="shared" si="122"/>
        <v>188349.359616</v>
      </c>
      <c r="CV107" s="890">
        <f t="shared" si="137"/>
        <v>964900.50011999987</v>
      </c>
      <c r="CW107" s="978">
        <f t="shared" si="138"/>
        <v>7073.5319999999992</v>
      </c>
      <c r="CX107" s="890">
        <f t="shared" si="123"/>
        <v>0</v>
      </c>
      <c r="CY107" s="890">
        <f t="shared" si="124"/>
        <v>0</v>
      </c>
      <c r="CZ107" s="890"/>
      <c r="DA107" s="890">
        <f t="shared" si="125"/>
        <v>452194.23923999991</v>
      </c>
      <c r="DB107" s="890">
        <f t="shared" si="126"/>
        <v>512706.26087999996</v>
      </c>
      <c r="DC107" s="840"/>
      <c r="DD107" s="841" t="e">
        <f t="shared" si="139"/>
        <v>#DIV/0!</v>
      </c>
      <c r="DE107" s="840"/>
      <c r="DF107" s="840"/>
      <c r="DG107" s="840"/>
      <c r="DH107" s="1050"/>
      <c r="DI107" s="1050"/>
      <c r="DJ107" s="1050"/>
      <c r="DK107" s="945"/>
      <c r="DL107" s="975">
        <f t="shared" si="127"/>
        <v>0</v>
      </c>
      <c r="DM107" s="975">
        <f t="shared" si="128"/>
        <v>0</v>
      </c>
      <c r="DN107" s="975">
        <f t="shared" si="129"/>
        <v>0</v>
      </c>
      <c r="DO107" s="816"/>
      <c r="DP107" s="871"/>
      <c r="DQ107" s="871"/>
      <c r="DR107" s="871"/>
      <c r="DS107" s="871"/>
      <c r="DT107" s="871"/>
      <c r="DU107" s="871"/>
      <c r="DV107" s="871"/>
      <c r="DW107" s="871"/>
      <c r="DX107" s="871"/>
      <c r="DY107" s="871"/>
      <c r="DZ107" s="871"/>
      <c r="EA107" s="871"/>
      <c r="EB107" s="871"/>
      <c r="EC107" s="871"/>
      <c r="ED107" s="871"/>
      <c r="EE107" s="871"/>
      <c r="EF107" s="871"/>
      <c r="EG107" s="871"/>
      <c r="EH107" s="871"/>
      <c r="EI107" s="871"/>
      <c r="EJ107" s="871"/>
      <c r="EK107" s="871"/>
      <c r="EL107" s="871"/>
    </row>
    <row r="108" spans="1:142" s="869" customFormat="1" ht="76.5" hidden="1" customHeight="1">
      <c r="A108" s="6">
        <f t="shared" si="140"/>
        <v>95</v>
      </c>
      <c r="B108" s="886" t="s">
        <v>39</v>
      </c>
      <c r="C108" s="1309" t="s">
        <v>121</v>
      </c>
      <c r="D108" s="1262" t="s">
        <v>141</v>
      </c>
      <c r="E108" s="887">
        <v>4632024035</v>
      </c>
      <c r="F108" s="886" t="s">
        <v>8</v>
      </c>
      <c r="G108" s="1238" t="s">
        <v>983</v>
      </c>
      <c r="H108" s="1256">
        <v>3314.9639999999995</v>
      </c>
      <c r="I108" s="1257">
        <f t="shared" si="160"/>
        <v>3314.9639999999995</v>
      </c>
      <c r="J108" s="891"/>
      <c r="K108" s="891"/>
      <c r="L108" s="1256">
        <v>3314.9639999999995</v>
      </c>
      <c r="M108" s="946"/>
      <c r="N108" s="1259">
        <f t="shared" si="161"/>
        <v>3758.5679999999998</v>
      </c>
      <c r="O108" s="1260">
        <f t="shared" si="162"/>
        <v>3758.5679999999998</v>
      </c>
      <c r="P108" s="891"/>
      <c r="Q108" s="891"/>
      <c r="R108" s="891">
        <f t="shared" si="163"/>
        <v>3758.5679999999998</v>
      </c>
      <c r="S108" s="946"/>
      <c r="T108" s="1390">
        <v>64.724000000000004</v>
      </c>
      <c r="U108" s="1380"/>
      <c r="V108" s="1380"/>
      <c r="W108" s="931"/>
      <c r="X108" s="931"/>
      <c r="Y108" s="931"/>
      <c r="Z108" s="932">
        <f t="shared" si="130"/>
        <v>64.724000000000004</v>
      </c>
      <c r="AA108" s="1381">
        <v>37.584000000000003</v>
      </c>
      <c r="AB108" s="1387"/>
      <c r="AC108" s="1387"/>
      <c r="AD108" s="890"/>
      <c r="AE108" s="890"/>
      <c r="AF108" s="890"/>
      <c r="AG108" s="951">
        <f t="shared" si="131"/>
        <v>37.584000000000003</v>
      </c>
      <c r="AH108" s="947">
        <f t="shared" si="143"/>
        <v>102.30800000000001</v>
      </c>
      <c r="AI108" s="890">
        <f t="shared" si="150"/>
        <v>102.30800000000001</v>
      </c>
      <c r="AJ108" s="890">
        <f t="shared" si="150"/>
        <v>0</v>
      </c>
      <c r="AK108" s="890">
        <f t="shared" si="150"/>
        <v>0</v>
      </c>
      <c r="AL108" s="890">
        <f t="shared" si="150"/>
        <v>0</v>
      </c>
      <c r="AM108" s="890">
        <f t="shared" si="150"/>
        <v>0</v>
      </c>
      <c r="AN108" s="890"/>
      <c r="AO108" s="890">
        <f t="shared" si="154"/>
        <v>102.30800000000001</v>
      </c>
      <c r="AP108" s="890">
        <f t="shared" si="155"/>
        <v>102.30800000000001</v>
      </c>
      <c r="AQ108" s="952">
        <f t="shared" si="98"/>
        <v>102.30800000000001</v>
      </c>
      <c r="AR108" s="973">
        <f t="shared" si="132"/>
        <v>0</v>
      </c>
      <c r="AS108" s="889">
        <f t="shared" si="157"/>
        <v>339147.33691199997</v>
      </c>
      <c r="AT108" s="890">
        <f t="shared" si="157"/>
        <v>0</v>
      </c>
      <c r="AU108" s="890">
        <f t="shared" si="157"/>
        <v>0</v>
      </c>
      <c r="AV108" s="890">
        <f t="shared" si="157"/>
        <v>0</v>
      </c>
      <c r="AW108" s="890">
        <f t="shared" si="157"/>
        <v>0</v>
      </c>
      <c r="AX108" s="890">
        <f t="shared" si="99"/>
        <v>339147.33691199997</v>
      </c>
      <c r="AY108" s="890">
        <f t="shared" si="100"/>
        <v>339147.33691199997</v>
      </c>
      <c r="AZ108" s="890">
        <f t="shared" si="159"/>
        <v>384531.57494399999</v>
      </c>
      <c r="BA108" s="890">
        <f t="shared" si="159"/>
        <v>0</v>
      </c>
      <c r="BB108" s="890">
        <f t="shared" si="158"/>
        <v>0</v>
      </c>
      <c r="BC108" s="890">
        <f t="shared" si="158"/>
        <v>0</v>
      </c>
      <c r="BD108" s="890">
        <f t="shared" si="158"/>
        <v>0</v>
      </c>
      <c r="BE108" s="890">
        <f t="shared" si="101"/>
        <v>384531.57494399999</v>
      </c>
      <c r="BF108" s="952">
        <f t="shared" si="102"/>
        <v>384531.57494399999</v>
      </c>
      <c r="BG108" s="953">
        <f t="shared" si="164"/>
        <v>0</v>
      </c>
      <c r="BH108" s="954">
        <f t="shared" si="165"/>
        <v>0</v>
      </c>
      <c r="BI108" s="955">
        <f t="shared" si="166"/>
        <v>0</v>
      </c>
      <c r="BJ108" s="890"/>
      <c r="BK108" s="1199"/>
      <c r="BL108" s="890">
        <f t="shared" si="108"/>
        <v>214557.72993599999</v>
      </c>
      <c r="BM108" s="890">
        <f t="shared" si="108"/>
        <v>0</v>
      </c>
      <c r="BN108" s="890">
        <f t="shared" si="108"/>
        <v>0</v>
      </c>
      <c r="BO108" s="890">
        <f t="shared" si="108"/>
        <v>0</v>
      </c>
      <c r="BP108" s="890">
        <f t="shared" si="108"/>
        <v>0</v>
      </c>
      <c r="BQ108" s="890">
        <f t="shared" si="144"/>
        <v>214557.72993599999</v>
      </c>
      <c r="BR108" s="890">
        <f t="shared" si="145"/>
        <v>214557.72993599999</v>
      </c>
      <c r="BS108" s="890">
        <f t="shared" si="109"/>
        <v>141262.01971200001</v>
      </c>
      <c r="BT108" s="890">
        <f t="shared" si="109"/>
        <v>0</v>
      </c>
      <c r="BU108" s="890">
        <f t="shared" si="109"/>
        <v>0</v>
      </c>
      <c r="BV108" s="890">
        <f t="shared" si="146"/>
        <v>0</v>
      </c>
      <c r="BW108" s="890">
        <f t="shared" si="112"/>
        <v>0</v>
      </c>
      <c r="BX108" s="890">
        <f t="shared" si="147"/>
        <v>141262.01971200001</v>
      </c>
      <c r="BY108" s="890">
        <f t="shared" si="148"/>
        <v>141262.01971200001</v>
      </c>
      <c r="BZ108" s="945">
        <f t="shared" si="110"/>
        <v>0</v>
      </c>
      <c r="CA108" s="945">
        <f t="shared" si="110"/>
        <v>0</v>
      </c>
      <c r="CB108" s="945">
        <f t="shared" si="149"/>
        <v>0</v>
      </c>
      <c r="CC108" s="976" t="e">
        <f t="shared" si="111"/>
        <v>#DIV/0!</v>
      </c>
      <c r="CD108" s="976" t="e">
        <f t="shared" si="111"/>
        <v>#DIV/0!</v>
      </c>
      <c r="CE108" s="976" t="e">
        <f t="shared" si="133"/>
        <v>#DIV/0!</v>
      </c>
      <c r="CF108" s="945" t="e">
        <f t="shared" si="113"/>
        <v>#DIV/0!</v>
      </c>
      <c r="CG108" s="977">
        <f t="shared" si="114"/>
        <v>0</v>
      </c>
      <c r="CH108" s="977" t="e">
        <f t="shared" si="134"/>
        <v>#DIV/0!</v>
      </c>
      <c r="CI108" s="945"/>
      <c r="CJ108" s="1312">
        <f t="shared" si="167"/>
        <v>214.55772993599999</v>
      </c>
      <c r="CK108" s="1312">
        <f t="shared" si="115"/>
        <v>141.26201971200001</v>
      </c>
      <c r="CL108" s="1312">
        <f t="shared" si="168"/>
        <v>355.81974964799997</v>
      </c>
      <c r="CM108" s="890">
        <f t="shared" si="135"/>
        <v>384.531574944</v>
      </c>
      <c r="CN108" s="890">
        <f t="shared" si="136"/>
        <v>28.711825296000029</v>
      </c>
      <c r="CO108" s="890">
        <f t="shared" si="116"/>
        <v>355819.749648</v>
      </c>
      <c r="CP108" s="890">
        <f t="shared" si="117"/>
        <v>339147.33691199997</v>
      </c>
      <c r="CQ108" s="890">
        <f t="shared" si="118"/>
        <v>339147.33691199997</v>
      </c>
      <c r="CR108" s="890">
        <f t="shared" si="119"/>
        <v>214557.72993599999</v>
      </c>
      <c r="CS108" s="890">
        <f t="shared" si="120"/>
        <v>384531.57494399999</v>
      </c>
      <c r="CT108" s="890">
        <f t="shared" si="121"/>
        <v>384531.57494399999</v>
      </c>
      <c r="CU108" s="890">
        <f t="shared" si="122"/>
        <v>141262.01971200001</v>
      </c>
      <c r="CV108" s="890">
        <f t="shared" si="137"/>
        <v>723678.91185599996</v>
      </c>
      <c r="CW108" s="978">
        <f t="shared" si="138"/>
        <v>7073.5319999999992</v>
      </c>
      <c r="CX108" s="890">
        <f t="shared" si="123"/>
        <v>0</v>
      </c>
      <c r="CY108" s="890">
        <f t="shared" si="124"/>
        <v>0</v>
      </c>
      <c r="CZ108" s="890"/>
      <c r="DA108" s="890">
        <f t="shared" si="125"/>
        <v>339147.33691199997</v>
      </c>
      <c r="DB108" s="890">
        <f t="shared" si="126"/>
        <v>384531.57494399999</v>
      </c>
      <c r="DC108" s="840"/>
      <c r="DD108" s="841" t="e">
        <f t="shared" si="139"/>
        <v>#DIV/0!</v>
      </c>
      <c r="DE108" s="840"/>
      <c r="DF108" s="840"/>
      <c r="DG108" s="840"/>
      <c r="DH108" s="1050"/>
      <c r="DI108" s="1050"/>
      <c r="DJ108" s="1050"/>
      <c r="DK108" s="945"/>
      <c r="DL108" s="975">
        <f t="shared" si="127"/>
        <v>0</v>
      </c>
      <c r="DM108" s="975">
        <f t="shared" si="128"/>
        <v>0</v>
      </c>
      <c r="DN108" s="975">
        <f t="shared" si="129"/>
        <v>0</v>
      </c>
      <c r="DO108" s="816"/>
      <c r="DP108" s="871"/>
      <c r="DQ108" s="871"/>
      <c r="DR108" s="871"/>
      <c r="DS108" s="871"/>
      <c r="DT108" s="871"/>
      <c r="DU108" s="871"/>
      <c r="DV108" s="871"/>
      <c r="DW108" s="871"/>
      <c r="DX108" s="871"/>
      <c r="DY108" s="871"/>
      <c r="DZ108" s="871"/>
      <c r="EA108" s="871"/>
      <c r="EB108" s="871"/>
      <c r="EC108" s="871"/>
      <c r="ED108" s="871"/>
      <c r="EE108" s="871"/>
      <c r="EF108" s="871"/>
      <c r="EG108" s="871"/>
      <c r="EH108" s="871"/>
      <c r="EI108" s="871"/>
      <c r="EJ108" s="871"/>
      <c r="EK108" s="871"/>
      <c r="EL108" s="871"/>
    </row>
    <row r="109" spans="1:142" s="869" customFormat="1" ht="80.25" hidden="1" customHeight="1">
      <c r="A109" s="6">
        <f t="shared" si="140"/>
        <v>96</v>
      </c>
      <c r="B109" s="886" t="s">
        <v>41</v>
      </c>
      <c r="C109" s="1309" t="s">
        <v>122</v>
      </c>
      <c r="D109" s="1262" t="s">
        <v>147</v>
      </c>
      <c r="E109" s="887">
        <v>4632024035</v>
      </c>
      <c r="F109" s="886" t="s">
        <v>8</v>
      </c>
      <c r="G109" s="1238" t="s">
        <v>983</v>
      </c>
      <c r="H109" s="1256">
        <v>3314.9639999999995</v>
      </c>
      <c r="I109" s="1257">
        <f t="shared" si="160"/>
        <v>3314.9639999999995</v>
      </c>
      <c r="J109" s="1263">
        <v>2484</v>
      </c>
      <c r="K109" s="891"/>
      <c r="L109" s="1256">
        <v>3314.9639999999995</v>
      </c>
      <c r="M109" s="946"/>
      <c r="N109" s="1259">
        <f t="shared" si="161"/>
        <v>3758.5679999999998</v>
      </c>
      <c r="O109" s="1260">
        <f t="shared" si="162"/>
        <v>3758.5679999999998</v>
      </c>
      <c r="P109" s="1264">
        <v>2719.98</v>
      </c>
      <c r="Q109" s="891"/>
      <c r="R109" s="891">
        <f t="shared" si="163"/>
        <v>3758.5679999999998</v>
      </c>
      <c r="S109" s="946"/>
      <c r="T109" s="1378">
        <v>1953.9</v>
      </c>
      <c r="U109" s="1297">
        <v>1154.6129999999998</v>
      </c>
      <c r="V109" s="1366"/>
      <c r="W109" s="890"/>
      <c r="X109" s="890"/>
      <c r="Y109" s="890"/>
      <c r="Z109" s="949">
        <f t="shared" si="130"/>
        <v>3108.5129999999999</v>
      </c>
      <c r="AA109" s="1308">
        <v>1034.5999999999999</v>
      </c>
      <c r="AB109" s="1292">
        <v>970</v>
      </c>
      <c r="AC109" s="1387"/>
      <c r="AD109" s="890"/>
      <c r="AE109" s="890"/>
      <c r="AF109" s="890"/>
      <c r="AG109" s="951">
        <f t="shared" si="131"/>
        <v>2004.6</v>
      </c>
      <c r="AH109" s="947">
        <f t="shared" si="143"/>
        <v>5113.1129999999994</v>
      </c>
      <c r="AI109" s="890">
        <f t="shared" si="150"/>
        <v>2988.5</v>
      </c>
      <c r="AJ109" s="890">
        <f t="shared" si="150"/>
        <v>2124.6129999999998</v>
      </c>
      <c r="AK109" s="890">
        <f t="shared" si="150"/>
        <v>0</v>
      </c>
      <c r="AL109" s="890">
        <f t="shared" si="150"/>
        <v>0</v>
      </c>
      <c r="AM109" s="890">
        <f t="shared" si="150"/>
        <v>0</v>
      </c>
      <c r="AN109" s="890"/>
      <c r="AO109" s="890">
        <f t="shared" si="154"/>
        <v>5113.1129999999994</v>
      </c>
      <c r="AP109" s="890">
        <f t="shared" si="155"/>
        <v>5113.1129999999994</v>
      </c>
      <c r="AQ109" s="952">
        <f t="shared" si="98"/>
        <v>5113.1129999999994</v>
      </c>
      <c r="AR109" s="973">
        <f t="shared" si="132"/>
        <v>0</v>
      </c>
      <c r="AS109" s="889">
        <f t="shared" si="157"/>
        <v>9906769.9139999989</v>
      </c>
      <c r="AT109" s="890">
        <f t="shared" si="157"/>
        <v>5277538.6919999998</v>
      </c>
      <c r="AU109" s="890">
        <f t="shared" si="157"/>
        <v>0</v>
      </c>
      <c r="AV109" s="890">
        <f t="shared" si="157"/>
        <v>0</v>
      </c>
      <c r="AW109" s="890">
        <f t="shared" si="157"/>
        <v>0</v>
      </c>
      <c r="AX109" s="890">
        <f t="shared" si="99"/>
        <v>15184308.605999999</v>
      </c>
      <c r="AY109" s="890">
        <f t="shared" si="100"/>
        <v>15184308.605999999</v>
      </c>
      <c r="AZ109" s="890">
        <f t="shared" si="159"/>
        <v>11232480.467999998</v>
      </c>
      <c r="BA109" s="890">
        <f t="shared" si="159"/>
        <v>5778904.8677399997</v>
      </c>
      <c r="BB109" s="890">
        <f t="shared" si="158"/>
        <v>0</v>
      </c>
      <c r="BC109" s="890">
        <f t="shared" si="158"/>
        <v>0</v>
      </c>
      <c r="BD109" s="890">
        <f t="shared" si="158"/>
        <v>0</v>
      </c>
      <c r="BE109" s="890">
        <f t="shared" si="101"/>
        <v>17011385.33574</v>
      </c>
      <c r="BF109" s="952">
        <f t="shared" si="102"/>
        <v>17011385.33574</v>
      </c>
      <c r="BG109" s="953">
        <f t="shared" si="164"/>
        <v>799.53486410999938</v>
      </c>
      <c r="BH109" s="954">
        <f t="shared" si="165"/>
        <v>839.52529999999979</v>
      </c>
      <c r="BI109" s="955">
        <f t="shared" si="166"/>
        <v>1639.0601641099993</v>
      </c>
      <c r="BJ109" s="955"/>
      <c r="BK109" s="1197"/>
      <c r="BL109" s="890">
        <f t="shared" ref="BL109:BP131" si="169">I109*T109</f>
        <v>6477108.159599999</v>
      </c>
      <c r="BM109" s="890">
        <f t="shared" si="169"/>
        <v>2868058.6919999998</v>
      </c>
      <c r="BN109" s="890">
        <f t="shared" si="169"/>
        <v>0</v>
      </c>
      <c r="BO109" s="890">
        <f t="shared" si="169"/>
        <v>0</v>
      </c>
      <c r="BP109" s="890">
        <f t="shared" si="169"/>
        <v>0</v>
      </c>
      <c r="BQ109" s="890">
        <f t="shared" si="144"/>
        <v>9345166.8515999988</v>
      </c>
      <c r="BR109" s="890">
        <f t="shared" si="145"/>
        <v>9345166.8515999988</v>
      </c>
      <c r="BS109" s="890">
        <f t="shared" ref="BS109:BU142" si="170">O109*AA109</f>
        <v>3888614.4527999996</v>
      </c>
      <c r="BT109" s="890">
        <f t="shared" si="170"/>
        <v>2638380.6</v>
      </c>
      <c r="BU109" s="890">
        <f t="shared" si="170"/>
        <v>0</v>
      </c>
      <c r="BV109" s="890">
        <f t="shared" si="146"/>
        <v>0</v>
      </c>
      <c r="BW109" s="890">
        <f t="shared" si="112"/>
        <v>0</v>
      </c>
      <c r="BX109" s="890">
        <f t="shared" si="147"/>
        <v>6526995.0527999997</v>
      </c>
      <c r="BY109" s="890">
        <f t="shared" si="148"/>
        <v>6526995.0527999997</v>
      </c>
      <c r="BZ109" s="945">
        <f t="shared" si="110"/>
        <v>5506439.2919999994</v>
      </c>
      <c r="CA109" s="945">
        <f t="shared" si="110"/>
        <v>0</v>
      </c>
      <c r="CB109" s="945">
        <f t="shared" si="149"/>
        <v>5506439.2919999994</v>
      </c>
      <c r="CC109" s="976">
        <f t="shared" si="111"/>
        <v>2591.7375503209291</v>
      </c>
      <c r="CD109" s="976" t="e">
        <f t="shared" si="111"/>
        <v>#DIV/0!</v>
      </c>
      <c r="CE109" s="976">
        <f t="shared" si="133"/>
        <v>2591.7375503209291</v>
      </c>
      <c r="CF109" s="976">
        <f t="shared" si="113"/>
        <v>2591.7375503209291</v>
      </c>
      <c r="CG109" s="977">
        <f t="shared" si="114"/>
        <v>7473311.4889319986</v>
      </c>
      <c r="CH109" s="977">
        <f t="shared" si="134"/>
        <v>3517.4930629399328</v>
      </c>
      <c r="CI109" s="945"/>
      <c r="CJ109" s="1312">
        <f t="shared" si="167"/>
        <v>10304.608688531998</v>
      </c>
      <c r="CK109" s="1312">
        <f t="shared" si="115"/>
        <v>7534.4254127999993</v>
      </c>
      <c r="CL109" s="1312">
        <f t="shared" si="168"/>
        <v>17839.034101331999</v>
      </c>
      <c r="CM109" s="890">
        <f t="shared" si="135"/>
        <v>19217.982902183994</v>
      </c>
      <c r="CN109" s="890">
        <f t="shared" si="136"/>
        <v>1378.9488008519947</v>
      </c>
      <c r="CO109" s="890">
        <f t="shared" si="116"/>
        <v>17839034.101331998</v>
      </c>
      <c r="CP109" s="890">
        <f t="shared" si="117"/>
        <v>15184308.605999999</v>
      </c>
      <c r="CQ109" s="890">
        <f t="shared" si="118"/>
        <v>15184308.605999999</v>
      </c>
      <c r="CR109" s="890">
        <f t="shared" si="119"/>
        <v>9345166.8515999988</v>
      </c>
      <c r="CS109" s="890">
        <f t="shared" si="120"/>
        <v>17011385.33574</v>
      </c>
      <c r="CT109" s="890">
        <f t="shared" si="121"/>
        <v>17011385.33574</v>
      </c>
      <c r="CU109" s="890">
        <f t="shared" si="122"/>
        <v>6526995.0527999997</v>
      </c>
      <c r="CV109" s="890">
        <f t="shared" si="137"/>
        <v>32195693.941739999</v>
      </c>
      <c r="CW109" s="978">
        <f t="shared" si="138"/>
        <v>6296.6912606351552</v>
      </c>
      <c r="CX109" s="890">
        <f t="shared" si="123"/>
        <v>5277538.6919999998</v>
      </c>
      <c r="CY109" s="890">
        <f t="shared" si="124"/>
        <v>5778904.8677399997</v>
      </c>
      <c r="CZ109" s="890"/>
      <c r="DA109" s="890">
        <f t="shared" si="125"/>
        <v>16949785.522931997</v>
      </c>
      <c r="DB109" s="890">
        <f t="shared" si="126"/>
        <v>19217982.902183998</v>
      </c>
      <c r="DC109" s="840"/>
      <c r="DD109" s="841">
        <f t="shared" si="139"/>
        <v>151.3111111111111</v>
      </c>
      <c r="DE109" s="840"/>
      <c r="DF109" s="840"/>
      <c r="DG109" s="840"/>
      <c r="DH109" s="1050"/>
      <c r="DI109" s="1050"/>
      <c r="DJ109" s="1050"/>
      <c r="DK109" s="945"/>
      <c r="DL109" s="975">
        <f t="shared" si="127"/>
        <v>0</v>
      </c>
      <c r="DM109" s="975">
        <f t="shared" si="128"/>
        <v>0</v>
      </c>
      <c r="DN109" s="975">
        <f t="shared" si="129"/>
        <v>0</v>
      </c>
      <c r="DO109" s="816"/>
      <c r="DP109" s="871"/>
      <c r="DQ109" s="871"/>
      <c r="DR109" s="871"/>
      <c r="DS109" s="871"/>
      <c r="DT109" s="871"/>
      <c r="DU109" s="871"/>
      <c r="DV109" s="871"/>
      <c r="DW109" s="871"/>
      <c r="DX109" s="871"/>
      <c r="DY109" s="871"/>
      <c r="DZ109" s="871"/>
      <c r="EA109" s="871"/>
      <c r="EB109" s="871"/>
      <c r="EC109" s="871"/>
      <c r="ED109" s="871"/>
      <c r="EE109" s="871"/>
      <c r="EF109" s="871"/>
      <c r="EG109" s="871"/>
      <c r="EH109" s="871"/>
      <c r="EI109" s="871"/>
      <c r="EJ109" s="871"/>
      <c r="EK109" s="871"/>
      <c r="EL109" s="871"/>
    </row>
    <row r="110" spans="1:142" s="869" customFormat="1" ht="79.5" hidden="1" customHeight="1">
      <c r="A110" s="6">
        <f t="shared" si="140"/>
        <v>97</v>
      </c>
      <c r="B110" s="886" t="s">
        <v>41</v>
      </c>
      <c r="C110" s="1309" t="s">
        <v>123</v>
      </c>
      <c r="D110" s="1262" t="s">
        <v>141</v>
      </c>
      <c r="E110" s="887">
        <v>4632024035</v>
      </c>
      <c r="F110" s="886" t="s">
        <v>8</v>
      </c>
      <c r="G110" s="1238" t="s">
        <v>983</v>
      </c>
      <c r="H110" s="1256">
        <v>3314.9639999999995</v>
      </c>
      <c r="I110" s="1257">
        <f t="shared" si="160"/>
        <v>3314.9639999999995</v>
      </c>
      <c r="J110" s="891"/>
      <c r="K110" s="891"/>
      <c r="L110" s="1256">
        <v>3314.9639999999995</v>
      </c>
      <c r="M110" s="946"/>
      <c r="N110" s="1259">
        <f t="shared" si="161"/>
        <v>3758.5679999999998</v>
      </c>
      <c r="O110" s="1260">
        <f t="shared" si="162"/>
        <v>3758.5679999999998</v>
      </c>
      <c r="P110" s="891"/>
      <c r="Q110" s="891"/>
      <c r="R110" s="891">
        <f t="shared" si="163"/>
        <v>3758.5679999999998</v>
      </c>
      <c r="S110" s="946"/>
      <c r="T110" s="1307">
        <v>316.47300000000001</v>
      </c>
      <c r="U110" s="1366"/>
      <c r="V110" s="1366"/>
      <c r="W110" s="890"/>
      <c r="X110" s="890"/>
      <c r="Y110" s="890"/>
      <c r="Z110" s="949">
        <f t="shared" si="130"/>
        <v>316.47300000000001</v>
      </c>
      <c r="AA110" s="1308">
        <v>187.00200000000001</v>
      </c>
      <c r="AB110" s="1366"/>
      <c r="AC110" s="1366"/>
      <c r="AD110" s="890"/>
      <c r="AE110" s="890"/>
      <c r="AF110" s="890"/>
      <c r="AG110" s="951">
        <f t="shared" si="131"/>
        <v>187.00200000000001</v>
      </c>
      <c r="AH110" s="947">
        <f t="shared" si="143"/>
        <v>503.47500000000002</v>
      </c>
      <c r="AI110" s="890">
        <f t="shared" si="150"/>
        <v>503.47500000000002</v>
      </c>
      <c r="AJ110" s="890">
        <f t="shared" si="150"/>
        <v>0</v>
      </c>
      <c r="AK110" s="890">
        <f t="shared" si="150"/>
        <v>0</v>
      </c>
      <c r="AL110" s="890">
        <f t="shared" si="150"/>
        <v>0</v>
      </c>
      <c r="AM110" s="890">
        <f t="shared" si="150"/>
        <v>0</v>
      </c>
      <c r="AN110" s="890"/>
      <c r="AO110" s="890">
        <f t="shared" si="154"/>
        <v>503.47500000000002</v>
      </c>
      <c r="AP110" s="890">
        <f t="shared" si="155"/>
        <v>503.47500000000002</v>
      </c>
      <c r="AQ110" s="952">
        <f t="shared" si="98"/>
        <v>503.47500000000002</v>
      </c>
      <c r="AR110" s="973">
        <f t="shared" si="132"/>
        <v>0</v>
      </c>
      <c r="AS110" s="889">
        <f t="shared" si="157"/>
        <v>1669001.4998999997</v>
      </c>
      <c r="AT110" s="890">
        <f t="shared" si="157"/>
        <v>0</v>
      </c>
      <c r="AU110" s="890">
        <f t="shared" si="157"/>
        <v>0</v>
      </c>
      <c r="AV110" s="890">
        <f t="shared" si="157"/>
        <v>0</v>
      </c>
      <c r="AW110" s="890">
        <f t="shared" si="157"/>
        <v>0</v>
      </c>
      <c r="AX110" s="890">
        <f t="shared" si="99"/>
        <v>1669001.4998999997</v>
      </c>
      <c r="AY110" s="890">
        <f t="shared" si="100"/>
        <v>1669001.4998999997</v>
      </c>
      <c r="AZ110" s="890">
        <f t="shared" si="159"/>
        <v>1892345.0237999998</v>
      </c>
      <c r="BA110" s="890">
        <f t="shared" si="159"/>
        <v>0</v>
      </c>
      <c r="BB110" s="890">
        <f t="shared" si="158"/>
        <v>0</v>
      </c>
      <c r="BC110" s="890">
        <f t="shared" si="158"/>
        <v>0</v>
      </c>
      <c r="BD110" s="890">
        <f t="shared" si="158"/>
        <v>0</v>
      </c>
      <c r="BE110" s="890">
        <f t="shared" si="101"/>
        <v>1892345.0237999998</v>
      </c>
      <c r="BF110" s="952">
        <f t="shared" si="102"/>
        <v>1892345.0237999998</v>
      </c>
      <c r="BG110" s="953">
        <f t="shared" si="164"/>
        <v>0</v>
      </c>
      <c r="BH110" s="954">
        <f t="shared" si="165"/>
        <v>0</v>
      </c>
      <c r="BI110" s="955">
        <f t="shared" si="166"/>
        <v>0</v>
      </c>
      <c r="BJ110" s="890"/>
      <c r="BK110" s="1199"/>
      <c r="BL110" s="890">
        <f t="shared" si="169"/>
        <v>1049096.601972</v>
      </c>
      <c r="BM110" s="890">
        <f t="shared" si="169"/>
        <v>0</v>
      </c>
      <c r="BN110" s="890">
        <f t="shared" si="169"/>
        <v>0</v>
      </c>
      <c r="BO110" s="890">
        <f t="shared" si="169"/>
        <v>0</v>
      </c>
      <c r="BP110" s="890">
        <f t="shared" si="169"/>
        <v>0</v>
      </c>
      <c r="BQ110" s="890">
        <f t="shared" si="144"/>
        <v>1049096.601972</v>
      </c>
      <c r="BR110" s="890">
        <f t="shared" si="145"/>
        <v>1049096.601972</v>
      </c>
      <c r="BS110" s="890">
        <f t="shared" si="170"/>
        <v>702859.733136</v>
      </c>
      <c r="BT110" s="890">
        <f t="shared" si="170"/>
        <v>0</v>
      </c>
      <c r="BU110" s="890">
        <f t="shared" si="170"/>
        <v>0</v>
      </c>
      <c r="BV110" s="890">
        <f t="shared" si="146"/>
        <v>0</v>
      </c>
      <c r="BW110" s="890">
        <f t="shared" si="112"/>
        <v>0</v>
      </c>
      <c r="BX110" s="890">
        <f t="shared" si="147"/>
        <v>702859.733136</v>
      </c>
      <c r="BY110" s="890">
        <f t="shared" si="148"/>
        <v>702859.733136</v>
      </c>
      <c r="BZ110" s="945">
        <f t="shared" si="110"/>
        <v>0</v>
      </c>
      <c r="CA110" s="945">
        <f t="shared" si="110"/>
        <v>0</v>
      </c>
      <c r="CB110" s="945">
        <f t="shared" si="149"/>
        <v>0</v>
      </c>
      <c r="CC110" s="976" t="e">
        <f t="shared" si="111"/>
        <v>#DIV/0!</v>
      </c>
      <c r="CD110" s="976" t="e">
        <f t="shared" si="111"/>
        <v>#DIV/0!</v>
      </c>
      <c r="CE110" s="976" t="e">
        <f t="shared" si="133"/>
        <v>#DIV/0!</v>
      </c>
      <c r="CF110" s="945" t="e">
        <f t="shared" si="113"/>
        <v>#DIV/0!</v>
      </c>
      <c r="CG110" s="977">
        <f t="shared" si="114"/>
        <v>0</v>
      </c>
      <c r="CH110" s="977" t="e">
        <f t="shared" si="134"/>
        <v>#DIV/0!</v>
      </c>
      <c r="CI110" s="945"/>
      <c r="CJ110" s="1312">
        <f t="shared" si="167"/>
        <v>1049.0966019719999</v>
      </c>
      <c r="CK110" s="1312">
        <f t="shared" si="115"/>
        <v>702.85973313600005</v>
      </c>
      <c r="CL110" s="1312">
        <f t="shared" si="168"/>
        <v>1751.9563351080001</v>
      </c>
      <c r="CM110" s="890">
        <f t="shared" si="135"/>
        <v>1892.3450237999998</v>
      </c>
      <c r="CN110" s="890">
        <f t="shared" si="136"/>
        <v>140.38868869199973</v>
      </c>
      <c r="CO110" s="890">
        <f t="shared" si="116"/>
        <v>1751956.3351079999</v>
      </c>
      <c r="CP110" s="890">
        <f t="shared" si="117"/>
        <v>1669001.4998999997</v>
      </c>
      <c r="CQ110" s="890">
        <f t="shared" si="118"/>
        <v>1669001.4998999997</v>
      </c>
      <c r="CR110" s="890">
        <f t="shared" si="119"/>
        <v>1049096.601972</v>
      </c>
      <c r="CS110" s="890">
        <f t="shared" si="120"/>
        <v>1892345.0237999998</v>
      </c>
      <c r="CT110" s="890">
        <f t="shared" si="121"/>
        <v>1892345.0237999998</v>
      </c>
      <c r="CU110" s="890">
        <f t="shared" si="122"/>
        <v>702859.733136</v>
      </c>
      <c r="CV110" s="890">
        <f t="shared" si="137"/>
        <v>3561346.5236999998</v>
      </c>
      <c r="CW110" s="978">
        <f t="shared" si="138"/>
        <v>7073.5319999999992</v>
      </c>
      <c r="CX110" s="890">
        <f t="shared" si="123"/>
        <v>0</v>
      </c>
      <c r="CY110" s="890">
        <f t="shared" si="124"/>
        <v>0</v>
      </c>
      <c r="CZ110" s="890"/>
      <c r="DA110" s="890">
        <f t="shared" si="125"/>
        <v>1669001.4998999997</v>
      </c>
      <c r="DB110" s="890">
        <f t="shared" si="126"/>
        <v>1892345.0237999998</v>
      </c>
      <c r="DC110" s="840"/>
      <c r="DD110" s="841" t="e">
        <f t="shared" si="139"/>
        <v>#DIV/0!</v>
      </c>
      <c r="DE110" s="840"/>
      <c r="DF110" s="840"/>
      <c r="DG110" s="840"/>
      <c r="DH110" s="1050"/>
      <c r="DI110" s="1050"/>
      <c r="DJ110" s="1050"/>
      <c r="DK110" s="945"/>
      <c r="DL110" s="975">
        <f t="shared" si="127"/>
        <v>0</v>
      </c>
      <c r="DM110" s="975">
        <f t="shared" si="128"/>
        <v>0</v>
      </c>
      <c r="DN110" s="975">
        <f t="shared" si="129"/>
        <v>0</v>
      </c>
      <c r="DO110" s="816"/>
      <c r="DP110" s="871"/>
      <c r="DQ110" s="871"/>
      <c r="DR110" s="871"/>
      <c r="DS110" s="871"/>
      <c r="DT110" s="871"/>
      <c r="DU110" s="871"/>
      <c r="DV110" s="871"/>
      <c r="DW110" s="871"/>
      <c r="DX110" s="871"/>
      <c r="DY110" s="871"/>
      <c r="DZ110" s="871"/>
      <c r="EA110" s="871"/>
      <c r="EB110" s="871"/>
      <c r="EC110" s="871"/>
      <c r="ED110" s="871"/>
      <c r="EE110" s="871"/>
      <c r="EF110" s="871"/>
      <c r="EG110" s="871"/>
      <c r="EH110" s="871"/>
      <c r="EI110" s="871"/>
      <c r="EJ110" s="871"/>
      <c r="EK110" s="871"/>
      <c r="EL110" s="871"/>
    </row>
    <row r="111" spans="1:142" s="869" customFormat="1" ht="76.5" hidden="1" customHeight="1">
      <c r="A111" s="6">
        <f t="shared" si="140"/>
        <v>98</v>
      </c>
      <c r="B111" s="886" t="s">
        <v>42</v>
      </c>
      <c r="C111" s="1309" t="s">
        <v>170</v>
      </c>
      <c r="D111" s="1262" t="s">
        <v>145</v>
      </c>
      <c r="E111" s="887">
        <v>4632024035</v>
      </c>
      <c r="F111" s="886" t="s">
        <v>8</v>
      </c>
      <c r="G111" s="1238" t="s">
        <v>983</v>
      </c>
      <c r="H111" s="1256">
        <v>3314.9639999999995</v>
      </c>
      <c r="I111" s="1257">
        <f t="shared" si="160"/>
        <v>3314.9639999999995</v>
      </c>
      <c r="J111" s="1263">
        <v>2484</v>
      </c>
      <c r="K111" s="1263">
        <v>1822.33</v>
      </c>
      <c r="L111" s="1256">
        <v>3314.9639999999995</v>
      </c>
      <c r="M111" s="946"/>
      <c r="N111" s="1259">
        <f t="shared" si="161"/>
        <v>3758.5679999999998</v>
      </c>
      <c r="O111" s="1260">
        <f t="shared" si="162"/>
        <v>3758.5679999999998</v>
      </c>
      <c r="P111" s="1264">
        <v>2719.98</v>
      </c>
      <c r="Q111" s="1264">
        <v>2084.56</v>
      </c>
      <c r="R111" s="891">
        <f t="shared" si="163"/>
        <v>3758.5679999999998</v>
      </c>
      <c r="S111" s="946"/>
      <c r="T111" s="1301">
        <v>8759.94</v>
      </c>
      <c r="U111" s="1302">
        <v>13016.704000000002</v>
      </c>
      <c r="V111" s="1303">
        <v>433.197</v>
      </c>
      <c r="W111" s="931"/>
      <c r="X111" s="931"/>
      <c r="Y111" s="931"/>
      <c r="Z111" s="1298">
        <f t="shared" si="130"/>
        <v>22209.841</v>
      </c>
      <c r="AA111" s="1381">
        <v>4300.3900000000003</v>
      </c>
      <c r="AB111" s="1380">
        <v>8150.3069999999998</v>
      </c>
      <c r="AC111" s="1391">
        <v>780.34699999999998</v>
      </c>
      <c r="AD111" s="931"/>
      <c r="AE111" s="931"/>
      <c r="AF111" s="931"/>
      <c r="AG111" s="951">
        <f t="shared" si="131"/>
        <v>13231.044</v>
      </c>
      <c r="AH111" s="947">
        <f t="shared" si="143"/>
        <v>35440.885000000002</v>
      </c>
      <c r="AI111" s="890">
        <f t="shared" si="150"/>
        <v>13060.330000000002</v>
      </c>
      <c r="AJ111" s="890">
        <f t="shared" si="150"/>
        <v>21167.011000000002</v>
      </c>
      <c r="AK111" s="890">
        <f t="shared" si="150"/>
        <v>1213.5439999999999</v>
      </c>
      <c r="AL111" s="890">
        <f t="shared" si="150"/>
        <v>0</v>
      </c>
      <c r="AM111" s="890">
        <f t="shared" si="150"/>
        <v>0</v>
      </c>
      <c r="AN111" s="890"/>
      <c r="AO111" s="890">
        <f t="shared" si="154"/>
        <v>35440.885000000002</v>
      </c>
      <c r="AP111" s="890">
        <f t="shared" si="155"/>
        <v>35440.885000000002</v>
      </c>
      <c r="AQ111" s="952">
        <f t="shared" si="98"/>
        <v>35440.885000000002</v>
      </c>
      <c r="AR111" s="973">
        <f t="shared" si="132"/>
        <v>0</v>
      </c>
      <c r="AS111" s="889">
        <f t="shared" si="157"/>
        <v>43294523.778119996</v>
      </c>
      <c r="AT111" s="890">
        <f t="shared" si="157"/>
        <v>52578855.324000008</v>
      </c>
      <c r="AU111" s="890">
        <f t="shared" si="157"/>
        <v>2211477.6375199999</v>
      </c>
      <c r="AV111" s="890">
        <f t="shared" si="157"/>
        <v>0</v>
      </c>
      <c r="AW111" s="890">
        <f t="shared" si="157"/>
        <v>0</v>
      </c>
      <c r="AX111" s="890">
        <f t="shared" si="99"/>
        <v>98084856.739640012</v>
      </c>
      <c r="AY111" s="890">
        <f t="shared" si="100"/>
        <v>98084856.739640012</v>
      </c>
      <c r="AZ111" s="890">
        <f t="shared" si="159"/>
        <v>49088138.407440007</v>
      </c>
      <c r="BA111" s="890">
        <f t="shared" si="159"/>
        <v>57573846.579780005</v>
      </c>
      <c r="BB111" s="890">
        <f t="shared" si="158"/>
        <v>2529705.2806399995</v>
      </c>
      <c r="BC111" s="890">
        <f t="shared" si="158"/>
        <v>0</v>
      </c>
      <c r="BD111" s="890">
        <f t="shared" si="158"/>
        <v>0</v>
      </c>
      <c r="BE111" s="890">
        <f t="shared" si="101"/>
        <v>109191690.26786003</v>
      </c>
      <c r="BF111" s="952">
        <f t="shared" si="102"/>
        <v>109191690.26786003</v>
      </c>
      <c r="BG111" s="953">
        <f t="shared" si="164"/>
        <v>9552.5141612949938</v>
      </c>
      <c r="BH111" s="954">
        <f t="shared" si="165"/>
        <v>8142.5984727433306</v>
      </c>
      <c r="BI111" s="955">
        <f t="shared" si="166"/>
        <v>17695.112634038323</v>
      </c>
      <c r="BJ111" s="955"/>
      <c r="BK111" s="1197"/>
      <c r="BL111" s="890">
        <f t="shared" si="169"/>
        <v>29038885.742159996</v>
      </c>
      <c r="BM111" s="890">
        <f t="shared" si="169"/>
        <v>32333492.736000005</v>
      </c>
      <c r="BN111" s="890">
        <f t="shared" si="169"/>
        <v>789427.88900999993</v>
      </c>
      <c r="BO111" s="890">
        <f t="shared" si="169"/>
        <v>0</v>
      </c>
      <c r="BP111" s="890">
        <f t="shared" si="169"/>
        <v>0</v>
      </c>
      <c r="BQ111" s="890">
        <f t="shared" si="144"/>
        <v>62161806.367169999</v>
      </c>
      <c r="BR111" s="890">
        <f t="shared" si="145"/>
        <v>62161806.367169999</v>
      </c>
      <c r="BS111" s="890">
        <f t="shared" si="170"/>
        <v>16163308.241520001</v>
      </c>
      <c r="BT111" s="890">
        <f t="shared" si="170"/>
        <v>22168672.033859998</v>
      </c>
      <c r="BU111" s="890">
        <f t="shared" si="170"/>
        <v>1626680.1423199999</v>
      </c>
      <c r="BV111" s="890">
        <f t="shared" si="146"/>
        <v>0</v>
      </c>
      <c r="BW111" s="890">
        <f t="shared" si="112"/>
        <v>0</v>
      </c>
      <c r="BX111" s="890">
        <f t="shared" si="147"/>
        <v>39958660.4177</v>
      </c>
      <c r="BY111" s="890">
        <f t="shared" si="148"/>
        <v>39958660.4177</v>
      </c>
      <c r="BZ111" s="945">
        <f t="shared" si="110"/>
        <v>54502164.769859999</v>
      </c>
      <c r="CA111" s="945">
        <f t="shared" si="110"/>
        <v>2416108.0313299997</v>
      </c>
      <c r="CB111" s="945">
        <f t="shared" si="149"/>
        <v>56918272.801189996</v>
      </c>
      <c r="CC111" s="976">
        <f t="shared" si="111"/>
        <v>2574.8635350480045</v>
      </c>
      <c r="CD111" s="976">
        <f t="shared" si="111"/>
        <v>1990.9521462180192</v>
      </c>
      <c r="CE111" s="976">
        <f t="shared" si="133"/>
        <v>2543.202025204022</v>
      </c>
      <c r="CF111" s="976">
        <f t="shared" si="113"/>
        <v>2543.2020252040215</v>
      </c>
      <c r="CG111" s="977">
        <f t="shared" si="114"/>
        <v>78152407.962035999</v>
      </c>
      <c r="CH111" s="977">
        <f t="shared" si="134"/>
        <v>3491.9781016170509</v>
      </c>
      <c r="CI111" s="941"/>
      <c r="CJ111" s="1312">
        <f t="shared" si="167"/>
        <v>73624.823360723982</v>
      </c>
      <c r="CK111" s="1312">
        <f t="shared" si="115"/>
        <v>49729.778584991996</v>
      </c>
      <c r="CL111" s="1312">
        <f t="shared" si="168"/>
        <v>123354.60194571599</v>
      </c>
      <c r="CM111" s="890">
        <f t="shared" si="135"/>
        <v>133206.97625268</v>
      </c>
      <c r="CN111" s="890">
        <f t="shared" si="136"/>
        <v>9852.3743069640186</v>
      </c>
      <c r="CO111" s="890">
        <f t="shared" si="116"/>
        <v>123354601.94571599</v>
      </c>
      <c r="CP111" s="890">
        <f t="shared" si="117"/>
        <v>98084856.739640012</v>
      </c>
      <c r="CQ111" s="890">
        <f t="shared" si="118"/>
        <v>98887822.398119986</v>
      </c>
      <c r="CR111" s="890">
        <f t="shared" si="119"/>
        <v>62161806.367169999</v>
      </c>
      <c r="CS111" s="890">
        <f t="shared" si="120"/>
        <v>109191690.26786003</v>
      </c>
      <c r="CT111" s="890">
        <f t="shared" si="121"/>
        <v>109962800.39634001</v>
      </c>
      <c r="CU111" s="890">
        <f t="shared" si="122"/>
        <v>39958660.4177</v>
      </c>
      <c r="CV111" s="890">
        <f t="shared" si="137"/>
        <v>207276547.00750005</v>
      </c>
      <c r="CW111" s="978">
        <f t="shared" si="138"/>
        <v>5848.5149850941943</v>
      </c>
      <c r="CX111" s="890">
        <f t="shared" si="123"/>
        <v>54790332.961520009</v>
      </c>
      <c r="CY111" s="890">
        <f t="shared" si="124"/>
        <v>60103551.860420004</v>
      </c>
      <c r="CZ111" s="890"/>
      <c r="DA111" s="890">
        <f t="shared" si="125"/>
        <v>117485257.90313999</v>
      </c>
      <c r="DB111" s="890">
        <f t="shared" si="126"/>
        <v>133206976.25268</v>
      </c>
      <c r="DC111" s="870"/>
      <c r="DD111" s="841">
        <f t="shared" si="139"/>
        <v>151.3111111111111</v>
      </c>
      <c r="DE111" s="870"/>
      <c r="DF111" s="870"/>
      <c r="DG111" s="870"/>
      <c r="DH111" s="1050"/>
      <c r="DI111" s="1050"/>
      <c r="DJ111" s="1050"/>
      <c r="DK111" s="941"/>
      <c r="DL111" s="975">
        <f t="shared" si="127"/>
        <v>0</v>
      </c>
      <c r="DM111" s="975">
        <f t="shared" si="128"/>
        <v>0</v>
      </c>
      <c r="DN111" s="975">
        <f t="shared" si="129"/>
        <v>0</v>
      </c>
      <c r="DO111" s="799"/>
      <c r="DP111" s="871"/>
      <c r="DQ111" s="871"/>
      <c r="DR111" s="871"/>
      <c r="DS111" s="871"/>
      <c r="DT111" s="871"/>
      <c r="DU111" s="871"/>
      <c r="DV111" s="871"/>
      <c r="DW111" s="871"/>
      <c r="DX111" s="871"/>
      <c r="DY111" s="871"/>
      <c r="DZ111" s="871"/>
      <c r="EA111" s="871"/>
      <c r="EB111" s="871"/>
      <c r="EC111" s="871"/>
      <c r="ED111" s="871"/>
      <c r="EE111" s="871"/>
      <c r="EF111" s="871"/>
      <c r="EG111" s="871"/>
      <c r="EH111" s="871"/>
      <c r="EI111" s="871"/>
      <c r="EJ111" s="871"/>
      <c r="EK111" s="871"/>
      <c r="EL111" s="871"/>
    </row>
    <row r="112" spans="1:142" s="869" customFormat="1" ht="76.5" hidden="1" customHeight="1">
      <c r="A112" s="6">
        <f t="shared" si="140"/>
        <v>99</v>
      </c>
      <c r="B112" s="886" t="s">
        <v>42</v>
      </c>
      <c r="C112" s="1309" t="s">
        <v>124</v>
      </c>
      <c r="D112" s="1262" t="s">
        <v>141</v>
      </c>
      <c r="E112" s="887">
        <v>4632024035</v>
      </c>
      <c r="F112" s="886" t="s">
        <v>8</v>
      </c>
      <c r="G112" s="1238" t="s">
        <v>983</v>
      </c>
      <c r="H112" s="1256">
        <v>3314.9639999999995</v>
      </c>
      <c r="I112" s="1257">
        <f t="shared" si="160"/>
        <v>3314.9639999999995</v>
      </c>
      <c r="J112" s="891"/>
      <c r="K112" s="891"/>
      <c r="L112" s="1256">
        <v>3314.9639999999995</v>
      </c>
      <c r="M112" s="946"/>
      <c r="N112" s="1259">
        <f t="shared" si="161"/>
        <v>3758.5679999999998</v>
      </c>
      <c r="O112" s="1260">
        <f t="shared" si="162"/>
        <v>3758.5679999999998</v>
      </c>
      <c r="P112" s="891"/>
      <c r="Q112" s="891"/>
      <c r="R112" s="891">
        <f t="shared" si="163"/>
        <v>3758.5679999999998</v>
      </c>
      <c r="S112" s="946"/>
      <c r="T112" s="1307">
        <v>442.27800000000002</v>
      </c>
      <c r="U112" s="1366"/>
      <c r="V112" s="1366"/>
      <c r="W112" s="890"/>
      <c r="X112" s="890"/>
      <c r="Y112" s="890"/>
      <c r="Z112" s="949">
        <f>SUM(T112:W112)</f>
        <v>442.27800000000002</v>
      </c>
      <c r="AA112" s="1388">
        <v>256.82400000000001</v>
      </c>
      <c r="AB112" s="1387"/>
      <c r="AC112" s="1387"/>
      <c r="AD112" s="890"/>
      <c r="AE112" s="890"/>
      <c r="AF112" s="890"/>
      <c r="AG112" s="951">
        <f t="shared" si="131"/>
        <v>256.82400000000001</v>
      </c>
      <c r="AH112" s="947">
        <f t="shared" si="143"/>
        <v>699.10200000000009</v>
      </c>
      <c r="AI112" s="890">
        <f>T112+AA112</f>
        <v>699.10200000000009</v>
      </c>
      <c r="AJ112" s="890">
        <f t="shared" si="150"/>
        <v>0</v>
      </c>
      <c r="AK112" s="890">
        <f t="shared" si="150"/>
        <v>0</v>
      </c>
      <c r="AL112" s="890">
        <f t="shared" si="150"/>
        <v>0</v>
      </c>
      <c r="AM112" s="890">
        <f t="shared" si="150"/>
        <v>0</v>
      </c>
      <c r="AN112" s="890"/>
      <c r="AO112" s="890">
        <f t="shared" si="154"/>
        <v>699.10200000000009</v>
      </c>
      <c r="AP112" s="890">
        <f t="shared" si="155"/>
        <v>699.10200000000009</v>
      </c>
      <c r="AQ112" s="952">
        <f t="shared" si="98"/>
        <v>699.10200000000009</v>
      </c>
      <c r="AR112" s="973">
        <f t="shared" si="132"/>
        <v>0</v>
      </c>
      <c r="AS112" s="889">
        <f t="shared" si="157"/>
        <v>2317497.962328</v>
      </c>
      <c r="AT112" s="890">
        <f t="shared" si="157"/>
        <v>0</v>
      </c>
      <c r="AU112" s="890">
        <f t="shared" si="157"/>
        <v>0</v>
      </c>
      <c r="AV112" s="890">
        <f t="shared" si="157"/>
        <v>0</v>
      </c>
      <c r="AW112" s="890">
        <f t="shared" si="157"/>
        <v>0</v>
      </c>
      <c r="AX112" s="890">
        <f t="shared" si="99"/>
        <v>2317497.962328</v>
      </c>
      <c r="AY112" s="890">
        <f t="shared" si="100"/>
        <v>2317497.962328</v>
      </c>
      <c r="AZ112" s="890">
        <f t="shared" si="159"/>
        <v>2627622.4059359999</v>
      </c>
      <c r="BA112" s="890">
        <f t="shared" si="159"/>
        <v>0</v>
      </c>
      <c r="BB112" s="890">
        <f t="shared" si="158"/>
        <v>0</v>
      </c>
      <c r="BC112" s="890">
        <f t="shared" si="158"/>
        <v>0</v>
      </c>
      <c r="BD112" s="890">
        <f t="shared" si="158"/>
        <v>0</v>
      </c>
      <c r="BE112" s="890">
        <f t="shared" si="101"/>
        <v>2627622.4059359999</v>
      </c>
      <c r="BF112" s="952">
        <f t="shared" si="102"/>
        <v>2627622.4059359999</v>
      </c>
      <c r="BG112" s="953">
        <f t="shared" si="164"/>
        <v>0</v>
      </c>
      <c r="BH112" s="954">
        <f t="shared" si="165"/>
        <v>0</v>
      </c>
      <c r="BI112" s="955">
        <f t="shared" si="166"/>
        <v>0</v>
      </c>
      <c r="BJ112" s="890"/>
      <c r="BK112" s="1199"/>
      <c r="BL112" s="890">
        <f>I112*T112</f>
        <v>1466135.6479919998</v>
      </c>
      <c r="BM112" s="890">
        <f t="shared" si="169"/>
        <v>0</v>
      </c>
      <c r="BN112" s="890">
        <f t="shared" si="169"/>
        <v>0</v>
      </c>
      <c r="BO112" s="890">
        <f t="shared" si="169"/>
        <v>0</v>
      </c>
      <c r="BP112" s="890">
        <f t="shared" si="169"/>
        <v>0</v>
      </c>
      <c r="BQ112" s="890">
        <f t="shared" si="144"/>
        <v>1466135.6479919998</v>
      </c>
      <c r="BR112" s="890">
        <f t="shared" si="145"/>
        <v>1466135.6479919998</v>
      </c>
      <c r="BS112" s="890">
        <f t="shared" si="170"/>
        <v>965290.468032</v>
      </c>
      <c r="BT112" s="890">
        <f t="shared" si="170"/>
        <v>0</v>
      </c>
      <c r="BU112" s="890">
        <f t="shared" si="170"/>
        <v>0</v>
      </c>
      <c r="BV112" s="890">
        <f t="shared" si="146"/>
        <v>0</v>
      </c>
      <c r="BW112" s="890">
        <f t="shared" si="112"/>
        <v>0</v>
      </c>
      <c r="BX112" s="890">
        <f t="shared" si="147"/>
        <v>965290.468032</v>
      </c>
      <c r="BY112" s="890">
        <f t="shared" si="148"/>
        <v>965290.468032</v>
      </c>
      <c r="BZ112" s="945">
        <f t="shared" si="110"/>
        <v>0</v>
      </c>
      <c r="CA112" s="945">
        <f t="shared" si="110"/>
        <v>0</v>
      </c>
      <c r="CB112" s="945">
        <f t="shared" si="149"/>
        <v>0</v>
      </c>
      <c r="CC112" s="976" t="e">
        <f t="shared" si="111"/>
        <v>#DIV/0!</v>
      </c>
      <c r="CD112" s="976" t="e">
        <f t="shared" si="111"/>
        <v>#DIV/0!</v>
      </c>
      <c r="CE112" s="976" t="e">
        <f t="shared" si="133"/>
        <v>#DIV/0!</v>
      </c>
      <c r="CF112" s="945" t="e">
        <f t="shared" si="113"/>
        <v>#DIV/0!</v>
      </c>
      <c r="CG112" s="977">
        <f t="shared" si="114"/>
        <v>0</v>
      </c>
      <c r="CH112" s="977" t="e">
        <f t="shared" si="134"/>
        <v>#DIV/0!</v>
      </c>
      <c r="CI112" s="945"/>
      <c r="CJ112" s="1312">
        <f t="shared" si="167"/>
        <v>1466.1356479919998</v>
      </c>
      <c r="CK112" s="1312">
        <f t="shared" si="115"/>
        <v>965.29046803200004</v>
      </c>
      <c r="CL112" s="1312">
        <f t="shared" si="168"/>
        <v>2431.4261160239998</v>
      </c>
      <c r="CM112" s="890">
        <f t="shared" si="135"/>
        <v>2627.6224059359997</v>
      </c>
      <c r="CN112" s="890">
        <f t="shared" si="136"/>
        <v>196.19628991199988</v>
      </c>
      <c r="CO112" s="890">
        <f t="shared" si="116"/>
        <v>2431426.1160239996</v>
      </c>
      <c r="CP112" s="890">
        <f t="shared" si="117"/>
        <v>2317497.962328</v>
      </c>
      <c r="CQ112" s="890">
        <f t="shared" si="118"/>
        <v>2317497.962328</v>
      </c>
      <c r="CR112" s="890">
        <f>I112*T112+J112*U112+K112*V112+L112*W112</f>
        <v>1466135.6479919998</v>
      </c>
      <c r="CS112" s="890">
        <f t="shared" si="120"/>
        <v>2627622.4059359999</v>
      </c>
      <c r="CT112" s="890">
        <f t="shared" si="121"/>
        <v>2627622.4059359999</v>
      </c>
      <c r="CU112" s="890">
        <f t="shared" si="122"/>
        <v>965290.468032</v>
      </c>
      <c r="CV112" s="890">
        <f t="shared" si="137"/>
        <v>4945120.3682639999</v>
      </c>
      <c r="CW112" s="978">
        <f t="shared" si="138"/>
        <v>7073.5319999999992</v>
      </c>
      <c r="CX112" s="890">
        <f t="shared" si="123"/>
        <v>0</v>
      </c>
      <c r="CY112" s="890">
        <f t="shared" si="124"/>
        <v>0</v>
      </c>
      <c r="CZ112" s="890"/>
      <c r="DA112" s="890">
        <f t="shared" si="125"/>
        <v>2317497.962328</v>
      </c>
      <c r="DB112" s="890">
        <f t="shared" si="126"/>
        <v>2627622.4059359999</v>
      </c>
      <c r="DC112" s="840"/>
      <c r="DD112" s="841" t="e">
        <f t="shared" si="139"/>
        <v>#DIV/0!</v>
      </c>
      <c r="DE112" s="840"/>
      <c r="DF112" s="840"/>
      <c r="DG112" s="840"/>
      <c r="DH112" s="1050"/>
      <c r="DI112" s="1050"/>
      <c r="DJ112" s="1050"/>
      <c r="DK112" s="945"/>
      <c r="DL112" s="975">
        <f t="shared" si="127"/>
        <v>0</v>
      </c>
      <c r="DM112" s="975">
        <f t="shared" si="128"/>
        <v>0</v>
      </c>
      <c r="DN112" s="975">
        <f t="shared" si="129"/>
        <v>0</v>
      </c>
      <c r="DO112" s="816"/>
      <c r="DP112" s="871"/>
      <c r="DQ112" s="871"/>
      <c r="DR112" s="871"/>
      <c r="DS112" s="871"/>
      <c r="DT112" s="871"/>
      <c r="DU112" s="871"/>
      <c r="DV112" s="871"/>
      <c r="DW112" s="871"/>
      <c r="DX112" s="871"/>
      <c r="DY112" s="871"/>
      <c r="DZ112" s="871"/>
      <c r="EA112" s="871"/>
      <c r="EB112" s="871"/>
      <c r="EC112" s="871"/>
      <c r="ED112" s="871"/>
      <c r="EE112" s="871"/>
      <c r="EF112" s="871"/>
      <c r="EG112" s="871"/>
      <c r="EH112" s="871"/>
      <c r="EI112" s="871"/>
      <c r="EJ112" s="871"/>
      <c r="EK112" s="871"/>
      <c r="EL112" s="871"/>
    </row>
    <row r="113" spans="1:142" s="869" customFormat="1" ht="77.25" hidden="1" customHeight="1">
      <c r="A113" s="6">
        <f t="shared" si="140"/>
        <v>100</v>
      </c>
      <c r="B113" s="886" t="s">
        <v>42</v>
      </c>
      <c r="C113" s="1309" t="s">
        <v>125</v>
      </c>
      <c r="D113" s="1262" t="s">
        <v>141</v>
      </c>
      <c r="E113" s="887">
        <v>4632024035</v>
      </c>
      <c r="F113" s="886" t="s">
        <v>8</v>
      </c>
      <c r="G113" s="1238" t="s">
        <v>983</v>
      </c>
      <c r="H113" s="1256">
        <v>3314.9639999999995</v>
      </c>
      <c r="I113" s="1257">
        <f t="shared" si="160"/>
        <v>3314.9639999999995</v>
      </c>
      <c r="J113" s="891"/>
      <c r="K113" s="891"/>
      <c r="L113" s="1256">
        <v>3314.9639999999995</v>
      </c>
      <c r="M113" s="946"/>
      <c r="N113" s="1259">
        <f t="shared" si="161"/>
        <v>3758.5679999999998</v>
      </c>
      <c r="O113" s="1260">
        <f t="shared" si="162"/>
        <v>3758.5679999999998</v>
      </c>
      <c r="P113" s="891"/>
      <c r="Q113" s="891"/>
      <c r="R113" s="891">
        <f t="shared" si="163"/>
        <v>3758.5679999999998</v>
      </c>
      <c r="S113" s="946"/>
      <c r="T113" s="1307">
        <v>134.24199999999999</v>
      </c>
      <c r="U113" s="1366"/>
      <c r="V113" s="1366"/>
      <c r="W113" s="890"/>
      <c r="X113" s="890"/>
      <c r="Y113" s="890"/>
      <c r="Z113" s="949">
        <f t="shared" si="130"/>
        <v>134.24199999999999</v>
      </c>
      <c r="AA113" s="1308">
        <v>77.951999999999998</v>
      </c>
      <c r="AB113" s="1366"/>
      <c r="AC113" s="1366"/>
      <c r="AD113" s="890"/>
      <c r="AE113" s="890"/>
      <c r="AF113" s="890"/>
      <c r="AG113" s="951">
        <f t="shared" si="131"/>
        <v>77.951999999999998</v>
      </c>
      <c r="AH113" s="947">
        <f t="shared" si="143"/>
        <v>212.19399999999999</v>
      </c>
      <c r="AI113" s="890">
        <f t="shared" si="150"/>
        <v>212.19399999999999</v>
      </c>
      <c r="AJ113" s="890">
        <f t="shared" si="150"/>
        <v>0</v>
      </c>
      <c r="AK113" s="890">
        <f t="shared" si="150"/>
        <v>0</v>
      </c>
      <c r="AL113" s="890">
        <f t="shared" si="150"/>
        <v>0</v>
      </c>
      <c r="AM113" s="890">
        <f t="shared" si="150"/>
        <v>0</v>
      </c>
      <c r="AN113" s="890"/>
      <c r="AO113" s="890">
        <f t="shared" si="154"/>
        <v>212.19399999999999</v>
      </c>
      <c r="AP113" s="890">
        <f t="shared" si="155"/>
        <v>212.19399999999999</v>
      </c>
      <c r="AQ113" s="952">
        <f t="shared" si="98"/>
        <v>212.19399999999999</v>
      </c>
      <c r="AR113" s="973">
        <f t="shared" si="132"/>
        <v>0</v>
      </c>
      <c r="AS113" s="889">
        <f t="shared" si="157"/>
        <v>703415.47101599991</v>
      </c>
      <c r="AT113" s="890">
        <f t="shared" si="157"/>
        <v>0</v>
      </c>
      <c r="AU113" s="890">
        <f t="shared" si="157"/>
        <v>0</v>
      </c>
      <c r="AV113" s="890">
        <f t="shared" si="157"/>
        <v>0</v>
      </c>
      <c r="AW113" s="890">
        <f t="shared" si="157"/>
        <v>0</v>
      </c>
      <c r="AX113" s="890">
        <f t="shared" si="99"/>
        <v>703415.47101599991</v>
      </c>
      <c r="AY113" s="890">
        <f t="shared" si="100"/>
        <v>703415.47101599991</v>
      </c>
      <c r="AZ113" s="890">
        <f t="shared" si="159"/>
        <v>797545.57819199993</v>
      </c>
      <c r="BA113" s="890">
        <f t="shared" si="159"/>
        <v>0</v>
      </c>
      <c r="BB113" s="890">
        <f t="shared" si="158"/>
        <v>0</v>
      </c>
      <c r="BC113" s="890">
        <f t="shared" si="158"/>
        <v>0</v>
      </c>
      <c r="BD113" s="890">
        <f t="shared" si="158"/>
        <v>0</v>
      </c>
      <c r="BE113" s="890">
        <f t="shared" si="101"/>
        <v>797545.57819199993</v>
      </c>
      <c r="BF113" s="952">
        <f t="shared" si="102"/>
        <v>797545.57819199993</v>
      </c>
      <c r="BG113" s="953">
        <f t="shared" si="164"/>
        <v>0</v>
      </c>
      <c r="BH113" s="954">
        <f t="shared" si="165"/>
        <v>0</v>
      </c>
      <c r="BI113" s="955">
        <f t="shared" si="166"/>
        <v>0</v>
      </c>
      <c r="BJ113" s="890"/>
      <c r="BK113" s="1199"/>
      <c r="BL113" s="890">
        <f t="shared" si="169"/>
        <v>445007.39728799992</v>
      </c>
      <c r="BM113" s="890">
        <f t="shared" si="169"/>
        <v>0</v>
      </c>
      <c r="BN113" s="890">
        <f t="shared" si="169"/>
        <v>0</v>
      </c>
      <c r="BO113" s="890">
        <f t="shared" si="169"/>
        <v>0</v>
      </c>
      <c r="BP113" s="890">
        <f t="shared" si="169"/>
        <v>0</v>
      </c>
      <c r="BQ113" s="890">
        <f t="shared" si="144"/>
        <v>445007.39728799992</v>
      </c>
      <c r="BR113" s="890">
        <f t="shared" si="145"/>
        <v>445007.39728799992</v>
      </c>
      <c r="BS113" s="890">
        <f t="shared" si="170"/>
        <v>292987.89273599995</v>
      </c>
      <c r="BT113" s="890">
        <f t="shared" si="170"/>
        <v>0</v>
      </c>
      <c r="BU113" s="890">
        <f t="shared" si="170"/>
        <v>0</v>
      </c>
      <c r="BV113" s="890">
        <f t="shared" si="146"/>
        <v>0</v>
      </c>
      <c r="BW113" s="890">
        <f t="shared" si="112"/>
        <v>0</v>
      </c>
      <c r="BX113" s="890">
        <f t="shared" si="147"/>
        <v>292987.89273599995</v>
      </c>
      <c r="BY113" s="890">
        <f t="shared" si="148"/>
        <v>292987.89273599995</v>
      </c>
      <c r="BZ113" s="945">
        <f t="shared" si="110"/>
        <v>0</v>
      </c>
      <c r="CA113" s="945">
        <f t="shared" si="110"/>
        <v>0</v>
      </c>
      <c r="CB113" s="945">
        <f t="shared" si="149"/>
        <v>0</v>
      </c>
      <c r="CC113" s="976" t="e">
        <f t="shared" si="111"/>
        <v>#DIV/0!</v>
      </c>
      <c r="CD113" s="976" t="e">
        <f t="shared" si="111"/>
        <v>#DIV/0!</v>
      </c>
      <c r="CE113" s="976" t="e">
        <f t="shared" si="133"/>
        <v>#DIV/0!</v>
      </c>
      <c r="CF113" s="945" t="e">
        <f t="shared" si="113"/>
        <v>#DIV/0!</v>
      </c>
      <c r="CG113" s="977">
        <f t="shared" si="114"/>
        <v>0</v>
      </c>
      <c r="CH113" s="977" t="e">
        <f t="shared" si="134"/>
        <v>#DIV/0!</v>
      </c>
      <c r="CI113" s="945"/>
      <c r="CJ113" s="1312">
        <f t="shared" si="167"/>
        <v>445.00739728799994</v>
      </c>
      <c r="CK113" s="1312">
        <f t="shared" si="115"/>
        <v>292.98789273599994</v>
      </c>
      <c r="CL113" s="1312">
        <f t="shared" si="168"/>
        <v>737.99529002399981</v>
      </c>
      <c r="CM113" s="890">
        <f t="shared" si="135"/>
        <v>797.54557819199988</v>
      </c>
      <c r="CN113" s="890">
        <f t="shared" si="136"/>
        <v>59.550288168000066</v>
      </c>
      <c r="CO113" s="890">
        <f t="shared" si="116"/>
        <v>737995.29002399987</v>
      </c>
      <c r="CP113" s="890">
        <f t="shared" si="117"/>
        <v>703415.47101599991</v>
      </c>
      <c r="CQ113" s="890">
        <f t="shared" si="118"/>
        <v>703415.47101599991</v>
      </c>
      <c r="CR113" s="890">
        <f t="shared" si="119"/>
        <v>445007.39728799992</v>
      </c>
      <c r="CS113" s="890">
        <f t="shared" si="120"/>
        <v>797545.57819199993</v>
      </c>
      <c r="CT113" s="890">
        <f t="shared" si="121"/>
        <v>797545.57819199993</v>
      </c>
      <c r="CU113" s="890">
        <f t="shared" si="122"/>
        <v>292987.89273599995</v>
      </c>
      <c r="CV113" s="890">
        <f t="shared" si="137"/>
        <v>1500961.0492079998</v>
      </c>
      <c r="CW113" s="978">
        <f t="shared" si="138"/>
        <v>7073.5319999999992</v>
      </c>
      <c r="CX113" s="890">
        <f t="shared" si="123"/>
        <v>0</v>
      </c>
      <c r="CY113" s="890">
        <f t="shared" si="124"/>
        <v>0</v>
      </c>
      <c r="CZ113" s="890"/>
      <c r="DA113" s="890">
        <f t="shared" si="125"/>
        <v>703415.47101599991</v>
      </c>
      <c r="DB113" s="890">
        <f t="shared" si="126"/>
        <v>797545.57819199993</v>
      </c>
      <c r="DC113" s="840"/>
      <c r="DD113" s="841" t="e">
        <f t="shared" si="139"/>
        <v>#DIV/0!</v>
      </c>
      <c r="DE113" s="840"/>
      <c r="DF113" s="840"/>
      <c r="DG113" s="840"/>
      <c r="DH113" s="1050"/>
      <c r="DI113" s="1050"/>
      <c r="DJ113" s="1050"/>
      <c r="DK113" s="945"/>
      <c r="DL113" s="975">
        <f t="shared" si="127"/>
        <v>0</v>
      </c>
      <c r="DM113" s="975">
        <f t="shared" si="128"/>
        <v>0</v>
      </c>
      <c r="DN113" s="975">
        <f t="shared" si="129"/>
        <v>0</v>
      </c>
      <c r="DO113" s="816"/>
      <c r="DP113" s="871"/>
      <c r="DQ113" s="871"/>
      <c r="DR113" s="871"/>
      <c r="DS113" s="871"/>
      <c r="DT113" s="871"/>
      <c r="DU113" s="871"/>
      <c r="DV113" s="871"/>
      <c r="DW113" s="871"/>
      <c r="DX113" s="871"/>
      <c r="DY113" s="871"/>
      <c r="DZ113" s="871"/>
      <c r="EA113" s="871"/>
      <c r="EB113" s="871"/>
      <c r="EC113" s="871"/>
      <c r="ED113" s="871"/>
      <c r="EE113" s="871"/>
      <c r="EF113" s="871"/>
      <c r="EG113" s="871"/>
      <c r="EH113" s="871"/>
      <c r="EI113" s="871"/>
      <c r="EJ113" s="871"/>
      <c r="EK113" s="871"/>
      <c r="EL113" s="871"/>
    </row>
    <row r="114" spans="1:142" s="869" customFormat="1" ht="67.5" hidden="1" customHeight="1">
      <c r="A114" s="6">
        <f t="shared" si="140"/>
        <v>101</v>
      </c>
      <c r="B114" s="886" t="s">
        <v>42</v>
      </c>
      <c r="C114" s="1309" t="s">
        <v>126</v>
      </c>
      <c r="D114" s="1262" t="s">
        <v>141</v>
      </c>
      <c r="E114" s="887">
        <v>4632024035</v>
      </c>
      <c r="F114" s="886" t="s">
        <v>8</v>
      </c>
      <c r="G114" s="1238" t="s">
        <v>983</v>
      </c>
      <c r="H114" s="1256">
        <v>3314.9639999999995</v>
      </c>
      <c r="I114" s="1257">
        <f t="shared" si="160"/>
        <v>3314.9639999999995</v>
      </c>
      <c r="J114" s="891"/>
      <c r="K114" s="891"/>
      <c r="L114" s="1256">
        <v>3314.9639999999995</v>
      </c>
      <c r="M114" s="946"/>
      <c r="N114" s="1259">
        <f t="shared" si="161"/>
        <v>3758.5679999999998</v>
      </c>
      <c r="O114" s="1260">
        <f t="shared" si="162"/>
        <v>3758.5679999999998</v>
      </c>
      <c r="P114" s="891"/>
      <c r="Q114" s="891"/>
      <c r="R114" s="891">
        <f t="shared" si="163"/>
        <v>3758.5679999999998</v>
      </c>
      <c r="S114" s="946"/>
      <c r="T114" s="1307">
        <v>170</v>
      </c>
      <c r="U114" s="1366"/>
      <c r="V114" s="1366"/>
      <c r="W114" s="890"/>
      <c r="X114" s="890"/>
      <c r="Y114" s="890"/>
      <c r="Z114" s="949">
        <f t="shared" si="130"/>
        <v>170</v>
      </c>
      <c r="AA114" s="1308">
        <v>121</v>
      </c>
      <c r="AB114" s="1366"/>
      <c r="AC114" s="1366"/>
      <c r="AD114" s="890"/>
      <c r="AE114" s="890"/>
      <c r="AF114" s="890"/>
      <c r="AG114" s="951">
        <f t="shared" si="131"/>
        <v>121</v>
      </c>
      <c r="AH114" s="947">
        <f t="shared" si="143"/>
        <v>291</v>
      </c>
      <c r="AI114" s="890">
        <f t="shared" si="150"/>
        <v>291</v>
      </c>
      <c r="AJ114" s="890">
        <f t="shared" si="150"/>
        <v>0</v>
      </c>
      <c r="AK114" s="890">
        <f>V114+AC114</f>
        <v>0</v>
      </c>
      <c r="AL114" s="890">
        <f t="shared" si="150"/>
        <v>0</v>
      </c>
      <c r="AM114" s="890">
        <f t="shared" si="150"/>
        <v>0</v>
      </c>
      <c r="AN114" s="890"/>
      <c r="AO114" s="890">
        <f t="shared" si="154"/>
        <v>291</v>
      </c>
      <c r="AP114" s="890">
        <f t="shared" si="155"/>
        <v>291</v>
      </c>
      <c r="AQ114" s="952">
        <f t="shared" si="98"/>
        <v>291</v>
      </c>
      <c r="AR114" s="973">
        <f t="shared" si="132"/>
        <v>0</v>
      </c>
      <c r="AS114" s="889">
        <f t="shared" si="157"/>
        <v>964654.52399999986</v>
      </c>
      <c r="AT114" s="890">
        <f t="shared" si="157"/>
        <v>0</v>
      </c>
      <c r="AU114" s="890">
        <f t="shared" si="157"/>
        <v>0</v>
      </c>
      <c r="AV114" s="890">
        <f t="shared" si="157"/>
        <v>0</v>
      </c>
      <c r="AW114" s="890">
        <f t="shared" si="157"/>
        <v>0</v>
      </c>
      <c r="AX114" s="890">
        <f t="shared" si="99"/>
        <v>964654.52399999986</v>
      </c>
      <c r="AY114" s="890">
        <f t="shared" si="100"/>
        <v>964654.52399999986</v>
      </c>
      <c r="AZ114" s="890">
        <f t="shared" si="159"/>
        <v>1093743.2879999999</v>
      </c>
      <c r="BA114" s="890">
        <f t="shared" si="159"/>
        <v>0</v>
      </c>
      <c r="BB114" s="890">
        <f t="shared" si="158"/>
        <v>0</v>
      </c>
      <c r="BC114" s="890">
        <f t="shared" si="158"/>
        <v>0</v>
      </c>
      <c r="BD114" s="890">
        <f t="shared" si="158"/>
        <v>0</v>
      </c>
      <c r="BE114" s="890">
        <f t="shared" si="101"/>
        <v>1093743.2879999999</v>
      </c>
      <c r="BF114" s="952">
        <f t="shared" si="102"/>
        <v>1093743.2879999999</v>
      </c>
      <c r="BG114" s="953">
        <f t="shared" si="164"/>
        <v>0</v>
      </c>
      <c r="BH114" s="954">
        <f t="shared" si="165"/>
        <v>0</v>
      </c>
      <c r="BI114" s="955">
        <f t="shared" si="166"/>
        <v>0</v>
      </c>
      <c r="BJ114" s="890"/>
      <c r="BK114" s="1199"/>
      <c r="BL114" s="890">
        <f t="shared" si="169"/>
        <v>563543.87999999989</v>
      </c>
      <c r="BM114" s="890">
        <f t="shared" si="169"/>
        <v>0</v>
      </c>
      <c r="BN114" s="890">
        <f t="shared" si="169"/>
        <v>0</v>
      </c>
      <c r="BO114" s="890">
        <f t="shared" si="169"/>
        <v>0</v>
      </c>
      <c r="BP114" s="890">
        <f t="shared" si="169"/>
        <v>0</v>
      </c>
      <c r="BQ114" s="890">
        <f t="shared" si="144"/>
        <v>563543.87999999989</v>
      </c>
      <c r="BR114" s="890">
        <f t="shared" si="145"/>
        <v>563543.87999999989</v>
      </c>
      <c r="BS114" s="890">
        <f t="shared" si="170"/>
        <v>454786.72799999994</v>
      </c>
      <c r="BT114" s="890">
        <f t="shared" si="170"/>
        <v>0</v>
      </c>
      <c r="BU114" s="890">
        <f t="shared" si="170"/>
        <v>0</v>
      </c>
      <c r="BV114" s="890">
        <f t="shared" si="146"/>
        <v>0</v>
      </c>
      <c r="BW114" s="890">
        <f t="shared" si="112"/>
        <v>0</v>
      </c>
      <c r="BX114" s="890">
        <f t="shared" si="147"/>
        <v>454786.72799999994</v>
      </c>
      <c r="BY114" s="890">
        <f t="shared" si="148"/>
        <v>454786.72799999994</v>
      </c>
      <c r="BZ114" s="945">
        <f t="shared" si="110"/>
        <v>0</v>
      </c>
      <c r="CA114" s="945">
        <f t="shared" si="110"/>
        <v>0</v>
      </c>
      <c r="CB114" s="945">
        <f t="shared" si="149"/>
        <v>0</v>
      </c>
      <c r="CC114" s="976" t="e">
        <f t="shared" si="111"/>
        <v>#DIV/0!</v>
      </c>
      <c r="CD114" s="976" t="e">
        <f t="shared" si="111"/>
        <v>#DIV/0!</v>
      </c>
      <c r="CE114" s="976" t="e">
        <f t="shared" si="133"/>
        <v>#DIV/0!</v>
      </c>
      <c r="CF114" s="945" t="e">
        <f t="shared" si="113"/>
        <v>#DIV/0!</v>
      </c>
      <c r="CG114" s="977">
        <f t="shared" si="114"/>
        <v>0</v>
      </c>
      <c r="CH114" s="977" t="e">
        <f t="shared" si="134"/>
        <v>#DIV/0!</v>
      </c>
      <c r="CI114" s="945"/>
      <c r="CJ114" s="1312">
        <f t="shared" si="167"/>
        <v>563.54387999999994</v>
      </c>
      <c r="CK114" s="1312">
        <f t="shared" si="115"/>
        <v>454.78672799999993</v>
      </c>
      <c r="CL114" s="1312">
        <f t="shared" si="168"/>
        <v>1018.3306079999999</v>
      </c>
      <c r="CM114" s="890">
        <f t="shared" si="135"/>
        <v>1093.7432879999999</v>
      </c>
      <c r="CN114" s="890">
        <f t="shared" si="136"/>
        <v>75.412680000000023</v>
      </c>
      <c r="CO114" s="890">
        <f t="shared" si="116"/>
        <v>1018330.6079999998</v>
      </c>
      <c r="CP114" s="890">
        <f t="shared" si="117"/>
        <v>964654.52399999986</v>
      </c>
      <c r="CQ114" s="890">
        <f t="shared" si="118"/>
        <v>964654.52399999986</v>
      </c>
      <c r="CR114" s="890">
        <f t="shared" si="119"/>
        <v>563543.87999999989</v>
      </c>
      <c r="CS114" s="890">
        <f t="shared" si="120"/>
        <v>1093743.2879999999</v>
      </c>
      <c r="CT114" s="890">
        <f t="shared" si="121"/>
        <v>1093743.2879999999</v>
      </c>
      <c r="CU114" s="890">
        <f t="shared" si="122"/>
        <v>454786.72799999994</v>
      </c>
      <c r="CV114" s="890">
        <f t="shared" si="137"/>
        <v>2058397.8119999999</v>
      </c>
      <c r="CW114" s="978">
        <f t="shared" si="138"/>
        <v>7073.5320000000002</v>
      </c>
      <c r="CX114" s="890">
        <f t="shared" si="123"/>
        <v>0</v>
      </c>
      <c r="CY114" s="890">
        <f t="shared" si="124"/>
        <v>0</v>
      </c>
      <c r="CZ114" s="890"/>
      <c r="DA114" s="890">
        <f t="shared" si="125"/>
        <v>964654.52399999986</v>
      </c>
      <c r="DB114" s="890">
        <f t="shared" si="126"/>
        <v>1093743.2879999999</v>
      </c>
      <c r="DC114" s="840"/>
      <c r="DD114" s="841" t="e">
        <f t="shared" si="139"/>
        <v>#DIV/0!</v>
      </c>
      <c r="DE114" s="840"/>
      <c r="DF114" s="840"/>
      <c r="DG114" s="840"/>
      <c r="DH114" s="1050"/>
      <c r="DI114" s="1050"/>
      <c r="DJ114" s="1050"/>
      <c r="DK114" s="945"/>
      <c r="DL114" s="975">
        <f t="shared" si="127"/>
        <v>0</v>
      </c>
      <c r="DM114" s="975">
        <f t="shared" si="128"/>
        <v>0</v>
      </c>
      <c r="DN114" s="975">
        <f t="shared" si="129"/>
        <v>0</v>
      </c>
      <c r="DO114" s="816"/>
      <c r="DP114" s="871"/>
      <c r="DQ114" s="871"/>
      <c r="DR114" s="871"/>
      <c r="DS114" s="871"/>
      <c r="DT114" s="871"/>
      <c r="DU114" s="871"/>
      <c r="DV114" s="871"/>
      <c r="DW114" s="871"/>
      <c r="DX114" s="871"/>
      <c r="DY114" s="871"/>
      <c r="DZ114" s="871"/>
      <c r="EA114" s="871"/>
      <c r="EB114" s="871"/>
      <c r="EC114" s="871"/>
      <c r="ED114" s="871"/>
      <c r="EE114" s="871"/>
      <c r="EF114" s="871"/>
      <c r="EG114" s="871"/>
      <c r="EH114" s="871"/>
      <c r="EI114" s="871"/>
      <c r="EJ114" s="871"/>
      <c r="EK114" s="871"/>
      <c r="EL114" s="871"/>
    </row>
    <row r="115" spans="1:142" s="869" customFormat="1" ht="77.25" hidden="1" customHeight="1">
      <c r="A115" s="6">
        <f t="shared" si="140"/>
        <v>102</v>
      </c>
      <c r="B115" s="886" t="s">
        <v>42</v>
      </c>
      <c r="C115" s="1309" t="s">
        <v>127</v>
      </c>
      <c r="D115" s="1262" t="s">
        <v>142</v>
      </c>
      <c r="E115" s="887">
        <v>4632024035</v>
      </c>
      <c r="F115" s="886" t="s">
        <v>8</v>
      </c>
      <c r="G115" s="1238" t="s">
        <v>983</v>
      </c>
      <c r="H115" s="1256">
        <v>3314.9639999999995</v>
      </c>
      <c r="I115" s="1257">
        <f t="shared" si="160"/>
        <v>3314.9639999999995</v>
      </c>
      <c r="J115" s="891"/>
      <c r="K115" s="891"/>
      <c r="L115" s="1256">
        <v>3314.9639999999995</v>
      </c>
      <c r="M115" s="946"/>
      <c r="N115" s="1259">
        <f t="shared" si="161"/>
        <v>3758.5679999999998</v>
      </c>
      <c r="O115" s="1260">
        <f t="shared" si="162"/>
        <v>3758.5679999999998</v>
      </c>
      <c r="P115" s="891"/>
      <c r="Q115" s="891"/>
      <c r="R115" s="891">
        <f t="shared" si="163"/>
        <v>3758.5679999999998</v>
      </c>
      <c r="S115" s="946"/>
      <c r="T115" s="1307">
        <v>226.53200000000001</v>
      </c>
      <c r="U115" s="1366"/>
      <c r="V115" s="1366"/>
      <c r="W115" s="890"/>
      <c r="X115" s="890"/>
      <c r="Y115" s="890"/>
      <c r="Z115" s="949">
        <f t="shared" si="130"/>
        <v>226.53200000000001</v>
      </c>
      <c r="AA115" s="1308">
        <v>131.54400000000001</v>
      </c>
      <c r="AB115" s="1366"/>
      <c r="AC115" s="1366"/>
      <c r="AD115" s="890"/>
      <c r="AE115" s="890"/>
      <c r="AF115" s="890"/>
      <c r="AG115" s="951">
        <f t="shared" si="131"/>
        <v>131.54400000000001</v>
      </c>
      <c r="AH115" s="947">
        <f t="shared" si="143"/>
        <v>358.07600000000002</v>
      </c>
      <c r="AI115" s="890">
        <f t="shared" si="150"/>
        <v>358.07600000000002</v>
      </c>
      <c r="AJ115" s="890">
        <f t="shared" si="150"/>
        <v>0</v>
      </c>
      <c r="AK115" s="890">
        <f t="shared" si="150"/>
        <v>0</v>
      </c>
      <c r="AL115" s="890">
        <f t="shared" si="150"/>
        <v>0</v>
      </c>
      <c r="AM115" s="890">
        <f t="shared" si="150"/>
        <v>0</v>
      </c>
      <c r="AN115" s="890"/>
      <c r="AO115" s="890">
        <f t="shared" si="154"/>
        <v>358.07600000000002</v>
      </c>
      <c r="AP115" s="890">
        <f t="shared" si="155"/>
        <v>358.07600000000002</v>
      </c>
      <c r="AQ115" s="952">
        <f t="shared" si="98"/>
        <v>358.07600000000002</v>
      </c>
      <c r="AR115" s="973">
        <f t="shared" si="132"/>
        <v>0</v>
      </c>
      <c r="AS115" s="889">
        <f t="shared" si="157"/>
        <v>1187009.0492639998</v>
      </c>
      <c r="AT115" s="890">
        <f t="shared" si="157"/>
        <v>0</v>
      </c>
      <c r="AU115" s="890">
        <f t="shared" si="157"/>
        <v>0</v>
      </c>
      <c r="AV115" s="890">
        <f t="shared" si="157"/>
        <v>0</v>
      </c>
      <c r="AW115" s="890">
        <f t="shared" si="157"/>
        <v>0</v>
      </c>
      <c r="AX115" s="890">
        <f t="shared" si="99"/>
        <v>1187009.0492639998</v>
      </c>
      <c r="AY115" s="890">
        <f t="shared" si="100"/>
        <v>1187009.0492639998</v>
      </c>
      <c r="AZ115" s="890">
        <f t="shared" si="159"/>
        <v>1345852.995168</v>
      </c>
      <c r="BA115" s="890">
        <f t="shared" si="159"/>
        <v>0</v>
      </c>
      <c r="BB115" s="890">
        <f t="shared" si="158"/>
        <v>0</v>
      </c>
      <c r="BC115" s="890">
        <f t="shared" si="158"/>
        <v>0</v>
      </c>
      <c r="BD115" s="890">
        <f t="shared" si="158"/>
        <v>0</v>
      </c>
      <c r="BE115" s="890">
        <f t="shared" si="101"/>
        <v>1345852.995168</v>
      </c>
      <c r="BF115" s="952">
        <f t="shared" si="102"/>
        <v>1345852.995168</v>
      </c>
      <c r="BG115" s="953">
        <f t="shared" si="164"/>
        <v>0</v>
      </c>
      <c r="BH115" s="954">
        <f t="shared" si="165"/>
        <v>0</v>
      </c>
      <c r="BI115" s="955">
        <f t="shared" si="166"/>
        <v>0</v>
      </c>
      <c r="BJ115" s="890"/>
      <c r="BK115" s="1199"/>
      <c r="BL115" s="890">
        <f t="shared" si="169"/>
        <v>750945.42484799994</v>
      </c>
      <c r="BM115" s="890">
        <f t="shared" si="169"/>
        <v>0</v>
      </c>
      <c r="BN115" s="890">
        <f t="shared" si="169"/>
        <v>0</v>
      </c>
      <c r="BO115" s="890">
        <f t="shared" si="169"/>
        <v>0</v>
      </c>
      <c r="BP115" s="890">
        <f t="shared" si="169"/>
        <v>0</v>
      </c>
      <c r="BQ115" s="890">
        <f t="shared" si="144"/>
        <v>750945.42484799994</v>
      </c>
      <c r="BR115" s="890">
        <f t="shared" si="145"/>
        <v>750945.42484799994</v>
      </c>
      <c r="BS115" s="890">
        <f t="shared" si="170"/>
        <v>494417.06899200001</v>
      </c>
      <c r="BT115" s="890">
        <f t="shared" si="170"/>
        <v>0</v>
      </c>
      <c r="BU115" s="890">
        <f t="shared" si="170"/>
        <v>0</v>
      </c>
      <c r="BV115" s="890">
        <f t="shared" si="146"/>
        <v>0</v>
      </c>
      <c r="BW115" s="890">
        <f t="shared" si="112"/>
        <v>0</v>
      </c>
      <c r="BX115" s="890">
        <f t="shared" si="147"/>
        <v>494417.06899200001</v>
      </c>
      <c r="BY115" s="890">
        <f t="shared" si="148"/>
        <v>494417.06899200001</v>
      </c>
      <c r="BZ115" s="945">
        <f t="shared" si="110"/>
        <v>0</v>
      </c>
      <c r="CA115" s="945">
        <f t="shared" si="110"/>
        <v>0</v>
      </c>
      <c r="CB115" s="945">
        <f t="shared" si="149"/>
        <v>0</v>
      </c>
      <c r="CC115" s="976" t="e">
        <f t="shared" si="111"/>
        <v>#DIV/0!</v>
      </c>
      <c r="CD115" s="976" t="e">
        <f t="shared" si="111"/>
        <v>#DIV/0!</v>
      </c>
      <c r="CE115" s="976" t="e">
        <f t="shared" si="133"/>
        <v>#DIV/0!</v>
      </c>
      <c r="CF115" s="945" t="e">
        <f t="shared" si="113"/>
        <v>#DIV/0!</v>
      </c>
      <c r="CG115" s="977">
        <f t="shared" si="114"/>
        <v>0</v>
      </c>
      <c r="CH115" s="977" t="e">
        <f t="shared" si="134"/>
        <v>#DIV/0!</v>
      </c>
      <c r="CI115" s="945"/>
      <c r="CJ115" s="1312">
        <f t="shared" si="167"/>
        <v>750.9454248479999</v>
      </c>
      <c r="CK115" s="1312">
        <f t="shared" si="115"/>
        <v>494.417068992</v>
      </c>
      <c r="CL115" s="1312">
        <f t="shared" si="168"/>
        <v>1245.3624938399998</v>
      </c>
      <c r="CM115" s="890">
        <f t="shared" si="135"/>
        <v>1345.852995168</v>
      </c>
      <c r="CN115" s="890">
        <f t="shared" si="136"/>
        <v>100.49050132800016</v>
      </c>
      <c r="CO115" s="890">
        <f t="shared" si="116"/>
        <v>1245362.4938399999</v>
      </c>
      <c r="CP115" s="890">
        <f t="shared" si="117"/>
        <v>1187009.0492639998</v>
      </c>
      <c r="CQ115" s="890">
        <f t="shared" si="118"/>
        <v>1187009.0492639998</v>
      </c>
      <c r="CR115" s="890">
        <f t="shared" si="119"/>
        <v>750945.42484799994</v>
      </c>
      <c r="CS115" s="890">
        <f t="shared" si="120"/>
        <v>1345852.995168</v>
      </c>
      <c r="CT115" s="890">
        <f t="shared" si="121"/>
        <v>1345852.995168</v>
      </c>
      <c r="CU115" s="890">
        <f t="shared" si="122"/>
        <v>494417.06899200001</v>
      </c>
      <c r="CV115" s="890">
        <f t="shared" si="137"/>
        <v>2532862.0444319998</v>
      </c>
      <c r="CW115" s="978">
        <f t="shared" si="138"/>
        <v>7073.5319999999992</v>
      </c>
      <c r="CX115" s="890">
        <f t="shared" si="123"/>
        <v>0</v>
      </c>
      <c r="CY115" s="890">
        <f t="shared" si="124"/>
        <v>0</v>
      </c>
      <c r="CZ115" s="890"/>
      <c r="DA115" s="890">
        <f t="shared" si="125"/>
        <v>1187009.0492639998</v>
      </c>
      <c r="DB115" s="890">
        <f t="shared" si="126"/>
        <v>1345852.995168</v>
      </c>
      <c r="DC115" s="840"/>
      <c r="DD115" s="841" t="e">
        <f t="shared" si="139"/>
        <v>#DIV/0!</v>
      </c>
      <c r="DE115" s="840"/>
      <c r="DF115" s="840"/>
      <c r="DG115" s="840"/>
      <c r="DH115" s="1050"/>
      <c r="DI115" s="1050"/>
      <c r="DJ115" s="1050"/>
      <c r="DK115" s="945"/>
      <c r="DL115" s="975">
        <f t="shared" si="127"/>
        <v>0</v>
      </c>
      <c r="DM115" s="975">
        <f t="shared" si="128"/>
        <v>0</v>
      </c>
      <c r="DN115" s="975">
        <f t="shared" si="129"/>
        <v>0</v>
      </c>
      <c r="DO115" s="816"/>
      <c r="DP115" s="871"/>
      <c r="DQ115" s="871"/>
      <c r="DR115" s="871"/>
      <c r="DS115" s="871"/>
      <c r="DT115" s="871"/>
      <c r="DU115" s="871"/>
      <c r="DV115" s="871"/>
      <c r="DW115" s="871"/>
      <c r="DX115" s="871"/>
      <c r="DY115" s="871"/>
      <c r="DZ115" s="871"/>
      <c r="EA115" s="871"/>
      <c r="EB115" s="871"/>
      <c r="EC115" s="871"/>
      <c r="ED115" s="871"/>
      <c r="EE115" s="871"/>
      <c r="EF115" s="871"/>
      <c r="EG115" s="871"/>
      <c r="EH115" s="871"/>
      <c r="EI115" s="871"/>
      <c r="EJ115" s="871"/>
      <c r="EK115" s="871"/>
      <c r="EL115" s="871"/>
    </row>
    <row r="116" spans="1:142" s="869" customFormat="1" ht="71.25" hidden="1" customHeight="1">
      <c r="A116" s="6">
        <f t="shared" si="140"/>
        <v>103</v>
      </c>
      <c r="B116" s="886" t="s">
        <v>42</v>
      </c>
      <c r="C116" s="1309" t="s">
        <v>128</v>
      </c>
      <c r="D116" s="1262" t="s">
        <v>141</v>
      </c>
      <c r="E116" s="887">
        <v>4632024035</v>
      </c>
      <c r="F116" s="886" t="s">
        <v>8</v>
      </c>
      <c r="G116" s="1238" t="s">
        <v>983</v>
      </c>
      <c r="H116" s="1256">
        <v>3314.9639999999995</v>
      </c>
      <c r="I116" s="1257">
        <f t="shared" si="160"/>
        <v>3314.9639999999995</v>
      </c>
      <c r="J116" s="891"/>
      <c r="K116" s="891"/>
      <c r="L116" s="1256">
        <v>3314.9639999999995</v>
      </c>
      <c r="M116" s="946"/>
      <c r="N116" s="1259">
        <f t="shared" si="161"/>
        <v>3758.5679999999998</v>
      </c>
      <c r="O116" s="1260">
        <f t="shared" si="162"/>
        <v>3758.5679999999998</v>
      </c>
      <c r="P116" s="891"/>
      <c r="Q116" s="891"/>
      <c r="R116" s="891">
        <f t="shared" si="163"/>
        <v>3758.5679999999998</v>
      </c>
      <c r="S116" s="946"/>
      <c r="T116" s="1307">
        <v>67.12</v>
      </c>
      <c r="U116" s="1292"/>
      <c r="V116" s="1292"/>
      <c r="W116" s="948"/>
      <c r="X116" s="948"/>
      <c r="Y116" s="948"/>
      <c r="Z116" s="949">
        <f t="shared" si="130"/>
        <v>67.12</v>
      </c>
      <c r="AA116" s="1308">
        <v>38.975999999999999</v>
      </c>
      <c r="AB116" s="1366"/>
      <c r="AC116" s="1366"/>
      <c r="AD116" s="890"/>
      <c r="AE116" s="890"/>
      <c r="AF116" s="890"/>
      <c r="AG116" s="951">
        <f t="shared" si="131"/>
        <v>38.975999999999999</v>
      </c>
      <c r="AH116" s="947">
        <f t="shared" si="143"/>
        <v>106.096</v>
      </c>
      <c r="AI116" s="890">
        <f t="shared" si="150"/>
        <v>106.096</v>
      </c>
      <c r="AJ116" s="890">
        <f t="shared" si="150"/>
        <v>0</v>
      </c>
      <c r="AK116" s="890">
        <f t="shared" si="150"/>
        <v>0</v>
      </c>
      <c r="AL116" s="890">
        <f t="shared" si="150"/>
        <v>0</v>
      </c>
      <c r="AM116" s="890">
        <f t="shared" si="150"/>
        <v>0</v>
      </c>
      <c r="AN116" s="890"/>
      <c r="AO116" s="890">
        <f t="shared" si="154"/>
        <v>106.096</v>
      </c>
      <c r="AP116" s="890">
        <f t="shared" si="155"/>
        <v>106.096</v>
      </c>
      <c r="AQ116" s="952">
        <f t="shared" si="98"/>
        <v>106.096</v>
      </c>
      <c r="AR116" s="973">
        <f t="shared" si="132"/>
        <v>0</v>
      </c>
      <c r="AS116" s="889">
        <f t="shared" si="157"/>
        <v>351704.42054399994</v>
      </c>
      <c r="AT116" s="890">
        <f t="shared" si="157"/>
        <v>0</v>
      </c>
      <c r="AU116" s="890">
        <f t="shared" si="157"/>
        <v>0</v>
      </c>
      <c r="AV116" s="890">
        <f t="shared" si="157"/>
        <v>0</v>
      </c>
      <c r="AW116" s="890">
        <f t="shared" si="157"/>
        <v>0</v>
      </c>
      <c r="AX116" s="890">
        <f t="shared" si="99"/>
        <v>351704.42054399994</v>
      </c>
      <c r="AY116" s="890">
        <f t="shared" si="100"/>
        <v>351704.42054399994</v>
      </c>
      <c r="AZ116" s="890">
        <f t="shared" si="159"/>
        <v>398769.03052799997</v>
      </c>
      <c r="BA116" s="890">
        <f t="shared" si="159"/>
        <v>0</v>
      </c>
      <c r="BB116" s="890">
        <f t="shared" si="158"/>
        <v>0</v>
      </c>
      <c r="BC116" s="890">
        <f t="shared" si="158"/>
        <v>0</v>
      </c>
      <c r="BD116" s="890">
        <f t="shared" si="158"/>
        <v>0</v>
      </c>
      <c r="BE116" s="890">
        <f t="shared" si="101"/>
        <v>398769.03052799997</v>
      </c>
      <c r="BF116" s="952">
        <f t="shared" si="102"/>
        <v>398769.03052799997</v>
      </c>
      <c r="BG116" s="953">
        <f t="shared" si="164"/>
        <v>0</v>
      </c>
      <c r="BH116" s="954">
        <f t="shared" si="165"/>
        <v>0</v>
      </c>
      <c r="BI116" s="955">
        <f t="shared" si="166"/>
        <v>0</v>
      </c>
      <c r="BJ116" s="890"/>
      <c r="BK116" s="1199"/>
      <c r="BL116" s="890">
        <f t="shared" si="169"/>
        <v>222500.38367999997</v>
      </c>
      <c r="BM116" s="890">
        <f t="shared" si="169"/>
        <v>0</v>
      </c>
      <c r="BN116" s="890">
        <f t="shared" si="169"/>
        <v>0</v>
      </c>
      <c r="BO116" s="890">
        <f t="shared" si="169"/>
        <v>0</v>
      </c>
      <c r="BP116" s="890">
        <f t="shared" si="169"/>
        <v>0</v>
      </c>
      <c r="BQ116" s="890">
        <f t="shared" si="144"/>
        <v>222500.38367999997</v>
      </c>
      <c r="BR116" s="890">
        <f t="shared" si="145"/>
        <v>222500.38367999997</v>
      </c>
      <c r="BS116" s="890">
        <f t="shared" si="170"/>
        <v>146493.94636799998</v>
      </c>
      <c r="BT116" s="890">
        <f t="shared" si="170"/>
        <v>0</v>
      </c>
      <c r="BU116" s="890">
        <f t="shared" si="170"/>
        <v>0</v>
      </c>
      <c r="BV116" s="890">
        <f t="shared" si="146"/>
        <v>0</v>
      </c>
      <c r="BW116" s="890">
        <f t="shared" si="112"/>
        <v>0</v>
      </c>
      <c r="BX116" s="890">
        <f t="shared" si="147"/>
        <v>146493.94636799998</v>
      </c>
      <c r="BY116" s="890">
        <f t="shared" si="148"/>
        <v>146493.94636799998</v>
      </c>
      <c r="BZ116" s="945">
        <f t="shared" si="110"/>
        <v>0</v>
      </c>
      <c r="CA116" s="945">
        <f t="shared" si="110"/>
        <v>0</v>
      </c>
      <c r="CB116" s="945">
        <f t="shared" si="149"/>
        <v>0</v>
      </c>
      <c r="CC116" s="976" t="e">
        <f t="shared" si="111"/>
        <v>#DIV/0!</v>
      </c>
      <c r="CD116" s="976" t="e">
        <f t="shared" si="111"/>
        <v>#DIV/0!</v>
      </c>
      <c r="CE116" s="976" t="e">
        <f t="shared" si="133"/>
        <v>#DIV/0!</v>
      </c>
      <c r="CF116" s="945" t="e">
        <f t="shared" si="113"/>
        <v>#DIV/0!</v>
      </c>
      <c r="CG116" s="977">
        <f t="shared" si="114"/>
        <v>0</v>
      </c>
      <c r="CH116" s="977" t="e">
        <f t="shared" si="134"/>
        <v>#DIV/0!</v>
      </c>
      <c r="CI116" s="945"/>
      <c r="CJ116" s="1312">
        <f t="shared" si="167"/>
        <v>222.50038367999997</v>
      </c>
      <c r="CK116" s="1312">
        <f t="shared" si="115"/>
        <v>146.49394636799997</v>
      </c>
      <c r="CL116" s="1312">
        <f t="shared" si="168"/>
        <v>368.99433004799994</v>
      </c>
      <c r="CM116" s="890">
        <f t="shared" si="135"/>
        <v>398.76903052799997</v>
      </c>
      <c r="CN116" s="890">
        <f t="shared" si="136"/>
        <v>29.774700480000035</v>
      </c>
      <c r="CO116" s="890">
        <f t="shared" si="116"/>
        <v>368994.33004799997</v>
      </c>
      <c r="CP116" s="890">
        <f t="shared" si="117"/>
        <v>351704.42054399994</v>
      </c>
      <c r="CQ116" s="890">
        <f t="shared" si="118"/>
        <v>351704.42054399994</v>
      </c>
      <c r="CR116" s="890">
        <f t="shared" si="119"/>
        <v>222500.38367999997</v>
      </c>
      <c r="CS116" s="890">
        <f t="shared" si="120"/>
        <v>398769.03052799997</v>
      </c>
      <c r="CT116" s="890">
        <f t="shared" si="121"/>
        <v>398769.03052799997</v>
      </c>
      <c r="CU116" s="890">
        <f t="shared" si="122"/>
        <v>146493.94636799998</v>
      </c>
      <c r="CV116" s="890">
        <f t="shared" si="137"/>
        <v>750473.45107199997</v>
      </c>
      <c r="CW116" s="978">
        <f t="shared" si="138"/>
        <v>7073.5319999999992</v>
      </c>
      <c r="CX116" s="890">
        <f t="shared" si="123"/>
        <v>0</v>
      </c>
      <c r="CY116" s="890">
        <f t="shared" si="124"/>
        <v>0</v>
      </c>
      <c r="CZ116" s="890"/>
      <c r="DA116" s="890">
        <f t="shared" si="125"/>
        <v>351704.42054399994</v>
      </c>
      <c r="DB116" s="890">
        <f t="shared" si="126"/>
        <v>398769.03052799997</v>
      </c>
      <c r="DC116" s="840"/>
      <c r="DD116" s="841" t="e">
        <f t="shared" si="139"/>
        <v>#DIV/0!</v>
      </c>
      <c r="DE116" s="840"/>
      <c r="DF116" s="840"/>
      <c r="DG116" s="840"/>
      <c r="DH116" s="1050"/>
      <c r="DI116" s="1050"/>
      <c r="DJ116" s="1050"/>
      <c r="DK116" s="945"/>
      <c r="DL116" s="975">
        <f t="shared" si="127"/>
        <v>0</v>
      </c>
      <c r="DM116" s="975">
        <f t="shared" si="128"/>
        <v>0</v>
      </c>
      <c r="DN116" s="975">
        <f t="shared" si="129"/>
        <v>0</v>
      </c>
      <c r="DO116" s="816"/>
      <c r="DP116" s="871"/>
      <c r="DQ116" s="871"/>
      <c r="DR116" s="871"/>
      <c r="DS116" s="871"/>
      <c r="DT116" s="871"/>
      <c r="DU116" s="871"/>
      <c r="DV116" s="871"/>
      <c r="DW116" s="871"/>
      <c r="DX116" s="871"/>
      <c r="DY116" s="871"/>
      <c r="DZ116" s="871"/>
      <c r="EA116" s="871"/>
      <c r="EB116" s="871"/>
      <c r="EC116" s="871"/>
      <c r="ED116" s="871"/>
      <c r="EE116" s="871"/>
      <c r="EF116" s="871"/>
      <c r="EG116" s="871"/>
      <c r="EH116" s="871"/>
      <c r="EI116" s="871"/>
      <c r="EJ116" s="871"/>
      <c r="EK116" s="871"/>
      <c r="EL116" s="871"/>
    </row>
    <row r="117" spans="1:142" s="869" customFormat="1" ht="75.75" hidden="1" customHeight="1">
      <c r="A117" s="6">
        <f t="shared" si="140"/>
        <v>104</v>
      </c>
      <c r="B117" s="886" t="s">
        <v>42</v>
      </c>
      <c r="C117" s="1309" t="s">
        <v>129</v>
      </c>
      <c r="D117" s="1262" t="s">
        <v>141</v>
      </c>
      <c r="E117" s="887">
        <v>4632024035</v>
      </c>
      <c r="F117" s="886" t="s">
        <v>8</v>
      </c>
      <c r="G117" s="1238" t="s">
        <v>983</v>
      </c>
      <c r="H117" s="1256">
        <v>3314.9639999999995</v>
      </c>
      <c r="I117" s="1257">
        <f t="shared" si="160"/>
        <v>3314.9639999999995</v>
      </c>
      <c r="J117" s="891"/>
      <c r="K117" s="891"/>
      <c r="L117" s="1256">
        <v>3314.9639999999995</v>
      </c>
      <c r="M117" s="946"/>
      <c r="N117" s="1259">
        <f t="shared" si="161"/>
        <v>3758.5679999999998</v>
      </c>
      <c r="O117" s="1260">
        <f t="shared" si="162"/>
        <v>3758.5679999999998</v>
      </c>
      <c r="P117" s="891"/>
      <c r="Q117" s="891"/>
      <c r="R117" s="891">
        <f t="shared" si="163"/>
        <v>3758.5679999999998</v>
      </c>
      <c r="S117" s="946"/>
      <c r="T117" s="1307">
        <v>117.99499999999999</v>
      </c>
      <c r="U117" s="1292"/>
      <c r="V117" s="1292"/>
      <c r="W117" s="948"/>
      <c r="X117" s="948"/>
      <c r="Y117" s="948"/>
      <c r="Z117" s="949">
        <f t="shared" si="130"/>
        <v>117.99499999999999</v>
      </c>
      <c r="AA117" s="1308">
        <v>70.992000000000004</v>
      </c>
      <c r="AB117" s="1366"/>
      <c r="AC117" s="1366"/>
      <c r="AD117" s="890"/>
      <c r="AE117" s="890"/>
      <c r="AF117" s="890"/>
      <c r="AG117" s="951">
        <f t="shared" si="131"/>
        <v>70.992000000000004</v>
      </c>
      <c r="AH117" s="947">
        <f t="shared" si="143"/>
        <v>188.98699999999999</v>
      </c>
      <c r="AI117" s="890">
        <f t="shared" si="150"/>
        <v>188.98699999999999</v>
      </c>
      <c r="AJ117" s="890">
        <f t="shared" si="150"/>
        <v>0</v>
      </c>
      <c r="AK117" s="890">
        <f t="shared" si="150"/>
        <v>0</v>
      </c>
      <c r="AL117" s="890">
        <f t="shared" si="150"/>
        <v>0</v>
      </c>
      <c r="AM117" s="890">
        <f t="shared" si="150"/>
        <v>0</v>
      </c>
      <c r="AN117" s="890"/>
      <c r="AO117" s="890">
        <f t="shared" si="154"/>
        <v>188.98699999999999</v>
      </c>
      <c r="AP117" s="890">
        <f t="shared" si="155"/>
        <v>188.98699999999999</v>
      </c>
      <c r="AQ117" s="952">
        <f t="shared" si="98"/>
        <v>188.98699999999999</v>
      </c>
      <c r="AR117" s="973">
        <f t="shared" si="132"/>
        <v>0</v>
      </c>
      <c r="AS117" s="889">
        <f t="shared" si="157"/>
        <v>626485.10146799986</v>
      </c>
      <c r="AT117" s="890">
        <f t="shared" si="157"/>
        <v>0</v>
      </c>
      <c r="AU117" s="890">
        <f t="shared" si="157"/>
        <v>0</v>
      </c>
      <c r="AV117" s="890">
        <f t="shared" si="157"/>
        <v>0</v>
      </c>
      <c r="AW117" s="890">
        <f t="shared" si="157"/>
        <v>0</v>
      </c>
      <c r="AX117" s="890">
        <f t="shared" si="99"/>
        <v>626485.10146799986</v>
      </c>
      <c r="AY117" s="890">
        <f t="shared" si="100"/>
        <v>626485.10146799986</v>
      </c>
      <c r="AZ117" s="890">
        <f t="shared" si="159"/>
        <v>710320.49061599991</v>
      </c>
      <c r="BA117" s="890">
        <f t="shared" si="159"/>
        <v>0</v>
      </c>
      <c r="BB117" s="890">
        <f t="shared" si="158"/>
        <v>0</v>
      </c>
      <c r="BC117" s="890">
        <f t="shared" si="158"/>
        <v>0</v>
      </c>
      <c r="BD117" s="890">
        <f t="shared" si="158"/>
        <v>0</v>
      </c>
      <c r="BE117" s="890">
        <f t="shared" si="101"/>
        <v>710320.49061599991</v>
      </c>
      <c r="BF117" s="952">
        <f t="shared" si="102"/>
        <v>710320.49061599991</v>
      </c>
      <c r="BG117" s="953">
        <f t="shared" si="164"/>
        <v>0</v>
      </c>
      <c r="BH117" s="954">
        <f t="shared" si="165"/>
        <v>0</v>
      </c>
      <c r="BI117" s="955">
        <f t="shared" si="166"/>
        <v>0</v>
      </c>
      <c r="BJ117" s="890"/>
      <c r="BK117" s="1199"/>
      <c r="BL117" s="890">
        <f t="shared" si="169"/>
        <v>391149.17717999988</v>
      </c>
      <c r="BM117" s="890">
        <f t="shared" si="169"/>
        <v>0</v>
      </c>
      <c r="BN117" s="890">
        <f t="shared" si="169"/>
        <v>0</v>
      </c>
      <c r="BO117" s="890">
        <f t="shared" si="169"/>
        <v>0</v>
      </c>
      <c r="BP117" s="890">
        <f t="shared" si="169"/>
        <v>0</v>
      </c>
      <c r="BQ117" s="890">
        <f t="shared" si="144"/>
        <v>391149.17717999988</v>
      </c>
      <c r="BR117" s="890">
        <f t="shared" si="145"/>
        <v>391149.17717999988</v>
      </c>
      <c r="BS117" s="890">
        <f t="shared" si="170"/>
        <v>266828.259456</v>
      </c>
      <c r="BT117" s="890">
        <f t="shared" si="170"/>
        <v>0</v>
      </c>
      <c r="BU117" s="890">
        <f t="shared" si="170"/>
        <v>0</v>
      </c>
      <c r="BV117" s="890">
        <f t="shared" si="146"/>
        <v>0</v>
      </c>
      <c r="BW117" s="890">
        <f t="shared" si="112"/>
        <v>0</v>
      </c>
      <c r="BX117" s="890">
        <f t="shared" si="147"/>
        <v>266828.259456</v>
      </c>
      <c r="BY117" s="890">
        <f t="shared" si="148"/>
        <v>266828.259456</v>
      </c>
      <c r="BZ117" s="945">
        <f t="shared" si="110"/>
        <v>0</v>
      </c>
      <c r="CA117" s="945">
        <f t="shared" si="110"/>
        <v>0</v>
      </c>
      <c r="CB117" s="945">
        <f t="shared" si="149"/>
        <v>0</v>
      </c>
      <c r="CC117" s="976" t="e">
        <f t="shared" si="111"/>
        <v>#DIV/0!</v>
      </c>
      <c r="CD117" s="976" t="e">
        <f t="shared" si="111"/>
        <v>#DIV/0!</v>
      </c>
      <c r="CE117" s="976" t="e">
        <f t="shared" si="133"/>
        <v>#DIV/0!</v>
      </c>
      <c r="CF117" s="945" t="e">
        <f t="shared" si="113"/>
        <v>#DIV/0!</v>
      </c>
      <c r="CG117" s="977">
        <f t="shared" si="114"/>
        <v>0</v>
      </c>
      <c r="CH117" s="977" t="e">
        <f t="shared" si="134"/>
        <v>#DIV/0!</v>
      </c>
      <c r="CI117" s="945"/>
      <c r="CJ117" s="1312">
        <f t="shared" si="167"/>
        <v>391.14917717999987</v>
      </c>
      <c r="CK117" s="1312">
        <f t="shared" si="115"/>
        <v>266.82825945600001</v>
      </c>
      <c r="CL117" s="1312">
        <f t="shared" si="168"/>
        <v>657.97743663599988</v>
      </c>
      <c r="CM117" s="890">
        <f t="shared" si="135"/>
        <v>710.32049061599992</v>
      </c>
      <c r="CN117" s="890">
        <f t="shared" si="136"/>
        <v>52.343053980000036</v>
      </c>
      <c r="CO117" s="890">
        <f t="shared" si="116"/>
        <v>657977.43663599994</v>
      </c>
      <c r="CP117" s="890">
        <f t="shared" si="117"/>
        <v>626485.10146799986</v>
      </c>
      <c r="CQ117" s="890">
        <f t="shared" si="118"/>
        <v>626485.10146799986</v>
      </c>
      <c r="CR117" s="890">
        <f t="shared" si="119"/>
        <v>391149.17717999988</v>
      </c>
      <c r="CS117" s="890">
        <f t="shared" si="120"/>
        <v>710320.49061599991</v>
      </c>
      <c r="CT117" s="890">
        <f t="shared" si="121"/>
        <v>710320.49061599991</v>
      </c>
      <c r="CU117" s="890">
        <f t="shared" si="122"/>
        <v>266828.259456</v>
      </c>
      <c r="CV117" s="890">
        <f t="shared" si="137"/>
        <v>1336805.5920839999</v>
      </c>
      <c r="CW117" s="978">
        <f t="shared" si="138"/>
        <v>7073.5319999999992</v>
      </c>
      <c r="CX117" s="890">
        <f t="shared" si="123"/>
        <v>0</v>
      </c>
      <c r="CY117" s="890">
        <f t="shared" si="124"/>
        <v>0</v>
      </c>
      <c r="CZ117" s="890"/>
      <c r="DA117" s="890">
        <f t="shared" si="125"/>
        <v>626485.10146799986</v>
      </c>
      <c r="DB117" s="890">
        <f t="shared" si="126"/>
        <v>710320.49061599991</v>
      </c>
      <c r="DC117" s="840"/>
      <c r="DD117" s="841" t="e">
        <f t="shared" si="139"/>
        <v>#DIV/0!</v>
      </c>
      <c r="DE117" s="840"/>
      <c r="DF117" s="840"/>
      <c r="DG117" s="840"/>
      <c r="DH117" s="1050"/>
      <c r="DI117" s="1050"/>
      <c r="DJ117" s="1050"/>
      <c r="DK117" s="945"/>
      <c r="DL117" s="975">
        <f t="shared" si="127"/>
        <v>0</v>
      </c>
      <c r="DM117" s="975">
        <f t="shared" si="128"/>
        <v>0</v>
      </c>
      <c r="DN117" s="975">
        <f t="shared" si="129"/>
        <v>0</v>
      </c>
      <c r="DO117" s="816"/>
      <c r="DP117" s="871"/>
      <c r="DQ117" s="871"/>
      <c r="DR117" s="871"/>
      <c r="DS117" s="871"/>
      <c r="DT117" s="871"/>
      <c r="DU117" s="871"/>
      <c r="DV117" s="871"/>
      <c r="DW117" s="871"/>
      <c r="DX117" s="871"/>
      <c r="DY117" s="871"/>
      <c r="DZ117" s="871"/>
      <c r="EA117" s="871"/>
      <c r="EB117" s="871"/>
      <c r="EC117" s="871"/>
      <c r="ED117" s="871"/>
      <c r="EE117" s="871"/>
      <c r="EF117" s="871"/>
      <c r="EG117" s="871"/>
      <c r="EH117" s="871"/>
      <c r="EI117" s="871"/>
      <c r="EJ117" s="871"/>
      <c r="EK117" s="871"/>
      <c r="EL117" s="871"/>
    </row>
    <row r="118" spans="1:142" s="869" customFormat="1" ht="72.75" hidden="1" customHeight="1">
      <c r="A118" s="6">
        <f t="shared" si="140"/>
        <v>105</v>
      </c>
      <c r="B118" s="886" t="s">
        <v>42</v>
      </c>
      <c r="C118" s="1309" t="s">
        <v>130</v>
      </c>
      <c r="D118" s="1262" t="s">
        <v>141</v>
      </c>
      <c r="E118" s="887">
        <v>4632024035</v>
      </c>
      <c r="F118" s="886" t="s">
        <v>8</v>
      </c>
      <c r="G118" s="1238" t="s">
        <v>983</v>
      </c>
      <c r="H118" s="1256">
        <v>3314.9639999999995</v>
      </c>
      <c r="I118" s="1257">
        <f t="shared" si="160"/>
        <v>3314.9639999999995</v>
      </c>
      <c r="J118" s="891"/>
      <c r="K118" s="891"/>
      <c r="L118" s="1256">
        <v>3314.9639999999995</v>
      </c>
      <c r="M118" s="946"/>
      <c r="N118" s="1259">
        <f t="shared" si="161"/>
        <v>3758.5679999999998</v>
      </c>
      <c r="O118" s="1260">
        <f t="shared" si="162"/>
        <v>3758.5679999999998</v>
      </c>
      <c r="P118" s="891"/>
      <c r="Q118" s="891"/>
      <c r="R118" s="891">
        <f t="shared" si="163"/>
        <v>3758.5679999999998</v>
      </c>
      <c r="S118" s="946"/>
      <c r="T118" s="1307">
        <v>152.22</v>
      </c>
      <c r="U118" s="1292"/>
      <c r="V118" s="1292"/>
      <c r="W118" s="948"/>
      <c r="X118" s="948"/>
      <c r="Y118" s="948"/>
      <c r="Z118" s="949">
        <f t="shared" si="130"/>
        <v>152.22</v>
      </c>
      <c r="AA118" s="1308">
        <v>88.391999999999996</v>
      </c>
      <c r="AB118" s="1366"/>
      <c r="AC118" s="1366"/>
      <c r="AD118" s="890"/>
      <c r="AE118" s="890"/>
      <c r="AF118" s="890"/>
      <c r="AG118" s="951">
        <f t="shared" si="131"/>
        <v>88.391999999999996</v>
      </c>
      <c r="AH118" s="947">
        <f t="shared" si="143"/>
        <v>240.61199999999999</v>
      </c>
      <c r="AI118" s="890">
        <f t="shared" si="150"/>
        <v>240.61199999999999</v>
      </c>
      <c r="AJ118" s="890">
        <f t="shared" si="150"/>
        <v>0</v>
      </c>
      <c r="AK118" s="890">
        <f t="shared" si="150"/>
        <v>0</v>
      </c>
      <c r="AL118" s="890">
        <f t="shared" si="150"/>
        <v>0</v>
      </c>
      <c r="AM118" s="890">
        <f t="shared" si="150"/>
        <v>0</v>
      </c>
      <c r="AN118" s="890"/>
      <c r="AO118" s="890">
        <f t="shared" si="154"/>
        <v>240.61199999999999</v>
      </c>
      <c r="AP118" s="890">
        <f t="shared" si="155"/>
        <v>240.61199999999999</v>
      </c>
      <c r="AQ118" s="952">
        <f t="shared" si="98"/>
        <v>240.61199999999999</v>
      </c>
      <c r="AR118" s="973">
        <f t="shared" si="132"/>
        <v>0</v>
      </c>
      <c r="AS118" s="889">
        <f t="shared" si="157"/>
        <v>797620.11796799989</v>
      </c>
      <c r="AT118" s="890">
        <f t="shared" si="157"/>
        <v>0</v>
      </c>
      <c r="AU118" s="890">
        <f t="shared" si="157"/>
        <v>0</v>
      </c>
      <c r="AV118" s="890">
        <f t="shared" si="157"/>
        <v>0</v>
      </c>
      <c r="AW118" s="890">
        <f t="shared" si="157"/>
        <v>0</v>
      </c>
      <c r="AX118" s="890">
        <f t="shared" si="99"/>
        <v>797620.11796799989</v>
      </c>
      <c r="AY118" s="890">
        <f t="shared" si="100"/>
        <v>797620.11796799989</v>
      </c>
      <c r="AZ118" s="890">
        <f t="shared" si="159"/>
        <v>904356.56361599988</v>
      </c>
      <c r="BA118" s="890">
        <f t="shared" si="159"/>
        <v>0</v>
      </c>
      <c r="BB118" s="890">
        <f t="shared" si="158"/>
        <v>0</v>
      </c>
      <c r="BC118" s="890">
        <f t="shared" si="158"/>
        <v>0</v>
      </c>
      <c r="BD118" s="890">
        <f t="shared" si="158"/>
        <v>0</v>
      </c>
      <c r="BE118" s="890">
        <f t="shared" si="101"/>
        <v>904356.56361599988</v>
      </c>
      <c r="BF118" s="952">
        <f t="shared" si="102"/>
        <v>904356.56361599988</v>
      </c>
      <c r="BG118" s="953">
        <f t="shared" si="164"/>
        <v>0</v>
      </c>
      <c r="BH118" s="954">
        <f t="shared" si="165"/>
        <v>0</v>
      </c>
      <c r="BI118" s="955">
        <f t="shared" si="166"/>
        <v>0</v>
      </c>
      <c r="BJ118" s="890"/>
      <c r="BK118" s="1199"/>
      <c r="BL118" s="890">
        <f t="shared" si="169"/>
        <v>504603.82007999992</v>
      </c>
      <c r="BM118" s="890">
        <f t="shared" si="169"/>
        <v>0</v>
      </c>
      <c r="BN118" s="890">
        <f t="shared" si="169"/>
        <v>0</v>
      </c>
      <c r="BO118" s="890">
        <f t="shared" si="169"/>
        <v>0</v>
      </c>
      <c r="BP118" s="890">
        <f t="shared" si="169"/>
        <v>0</v>
      </c>
      <c r="BQ118" s="890">
        <f t="shared" si="144"/>
        <v>504603.82007999992</v>
      </c>
      <c r="BR118" s="890">
        <f t="shared" si="145"/>
        <v>504603.82007999992</v>
      </c>
      <c r="BS118" s="890">
        <f t="shared" si="170"/>
        <v>332227.34265599994</v>
      </c>
      <c r="BT118" s="890">
        <f t="shared" si="170"/>
        <v>0</v>
      </c>
      <c r="BU118" s="890">
        <f t="shared" si="170"/>
        <v>0</v>
      </c>
      <c r="BV118" s="890">
        <f t="shared" si="146"/>
        <v>0</v>
      </c>
      <c r="BW118" s="890">
        <f t="shared" si="112"/>
        <v>0</v>
      </c>
      <c r="BX118" s="890">
        <f t="shared" si="147"/>
        <v>332227.34265599994</v>
      </c>
      <c r="BY118" s="890">
        <f t="shared" si="148"/>
        <v>332227.34265599994</v>
      </c>
      <c r="BZ118" s="945">
        <f t="shared" si="110"/>
        <v>0</v>
      </c>
      <c r="CA118" s="945">
        <f t="shared" si="110"/>
        <v>0</v>
      </c>
      <c r="CB118" s="945">
        <f t="shared" si="149"/>
        <v>0</v>
      </c>
      <c r="CC118" s="976" t="e">
        <f t="shared" si="111"/>
        <v>#DIV/0!</v>
      </c>
      <c r="CD118" s="976" t="e">
        <f t="shared" si="111"/>
        <v>#DIV/0!</v>
      </c>
      <c r="CE118" s="976" t="e">
        <f t="shared" si="133"/>
        <v>#DIV/0!</v>
      </c>
      <c r="CF118" s="945" t="e">
        <f t="shared" si="113"/>
        <v>#DIV/0!</v>
      </c>
      <c r="CG118" s="977">
        <f t="shared" si="114"/>
        <v>0</v>
      </c>
      <c r="CH118" s="977" t="e">
        <f t="shared" si="134"/>
        <v>#DIV/0!</v>
      </c>
      <c r="CI118" s="945"/>
      <c r="CJ118" s="1312">
        <f t="shared" si="167"/>
        <v>504.60382007999993</v>
      </c>
      <c r="CK118" s="1312">
        <f t="shared" si="115"/>
        <v>332.22734265599996</v>
      </c>
      <c r="CL118" s="1312">
        <f t="shared" si="168"/>
        <v>836.8311627359999</v>
      </c>
      <c r="CM118" s="890">
        <f t="shared" si="135"/>
        <v>904.3565636159999</v>
      </c>
      <c r="CN118" s="890">
        <f t="shared" si="136"/>
        <v>67.525400880000007</v>
      </c>
      <c r="CO118" s="890">
        <f t="shared" si="116"/>
        <v>836831.16273599979</v>
      </c>
      <c r="CP118" s="890">
        <f t="shared" si="117"/>
        <v>797620.11796799989</v>
      </c>
      <c r="CQ118" s="890">
        <f t="shared" si="118"/>
        <v>797620.11796799989</v>
      </c>
      <c r="CR118" s="890">
        <f t="shared" si="119"/>
        <v>504603.82007999992</v>
      </c>
      <c r="CS118" s="890">
        <f t="shared" si="120"/>
        <v>904356.56361599988</v>
      </c>
      <c r="CT118" s="890">
        <f t="shared" si="121"/>
        <v>904356.56361599988</v>
      </c>
      <c r="CU118" s="890">
        <f t="shared" si="122"/>
        <v>332227.34265599994</v>
      </c>
      <c r="CV118" s="890">
        <f t="shared" si="137"/>
        <v>1701976.6815839997</v>
      </c>
      <c r="CW118" s="978">
        <f t="shared" si="138"/>
        <v>7073.5319999999983</v>
      </c>
      <c r="CX118" s="890">
        <f t="shared" si="123"/>
        <v>0</v>
      </c>
      <c r="CY118" s="890">
        <f t="shared" si="124"/>
        <v>0</v>
      </c>
      <c r="CZ118" s="890"/>
      <c r="DA118" s="890">
        <f t="shared" si="125"/>
        <v>797620.11796799989</v>
      </c>
      <c r="DB118" s="890">
        <f t="shared" si="126"/>
        <v>904356.56361599988</v>
      </c>
      <c r="DC118" s="840"/>
      <c r="DD118" s="841" t="e">
        <f t="shared" si="139"/>
        <v>#DIV/0!</v>
      </c>
      <c r="DE118" s="840"/>
      <c r="DF118" s="840"/>
      <c r="DG118" s="840"/>
      <c r="DH118" s="1050"/>
      <c r="DI118" s="1050"/>
      <c r="DJ118" s="1050"/>
      <c r="DK118" s="945"/>
      <c r="DL118" s="975">
        <f t="shared" si="127"/>
        <v>0</v>
      </c>
      <c r="DM118" s="975">
        <f t="shared" si="128"/>
        <v>0</v>
      </c>
      <c r="DN118" s="975">
        <f t="shared" si="129"/>
        <v>0</v>
      </c>
      <c r="DO118" s="816"/>
      <c r="DP118" s="871"/>
      <c r="DQ118" s="871"/>
      <c r="DR118" s="871"/>
      <c r="DS118" s="871"/>
      <c r="DT118" s="871"/>
      <c r="DU118" s="871"/>
      <c r="DV118" s="871"/>
      <c r="DW118" s="871"/>
      <c r="DX118" s="871"/>
      <c r="DY118" s="871"/>
      <c r="DZ118" s="871"/>
      <c r="EA118" s="871"/>
      <c r="EB118" s="871"/>
      <c r="EC118" s="871"/>
      <c r="ED118" s="871"/>
      <c r="EE118" s="871"/>
      <c r="EF118" s="871"/>
      <c r="EG118" s="871"/>
      <c r="EH118" s="871"/>
      <c r="EI118" s="871"/>
      <c r="EJ118" s="871"/>
      <c r="EK118" s="871"/>
      <c r="EL118" s="871"/>
    </row>
    <row r="119" spans="1:142" s="869" customFormat="1" ht="72.75" hidden="1" customHeight="1">
      <c r="A119" s="6">
        <f t="shared" si="140"/>
        <v>106</v>
      </c>
      <c r="B119" s="886" t="s">
        <v>42</v>
      </c>
      <c r="C119" s="1309" t="s">
        <v>131</v>
      </c>
      <c r="D119" s="1262" t="s">
        <v>141</v>
      </c>
      <c r="E119" s="887">
        <v>4632024035</v>
      </c>
      <c r="F119" s="886" t="s">
        <v>8</v>
      </c>
      <c r="G119" s="1238" t="s">
        <v>983</v>
      </c>
      <c r="H119" s="1256">
        <v>3314.9639999999995</v>
      </c>
      <c r="I119" s="1257">
        <f t="shared" si="160"/>
        <v>3314.9639999999995</v>
      </c>
      <c r="J119" s="891"/>
      <c r="K119" s="891"/>
      <c r="L119" s="1256">
        <v>3314.9639999999995</v>
      </c>
      <c r="M119" s="946"/>
      <c r="N119" s="1259">
        <f t="shared" si="161"/>
        <v>3758.5679999999998</v>
      </c>
      <c r="O119" s="1260">
        <f t="shared" si="162"/>
        <v>3758.5679999999998</v>
      </c>
      <c r="P119" s="891"/>
      <c r="Q119" s="891"/>
      <c r="R119" s="891">
        <f t="shared" si="163"/>
        <v>3758.5679999999998</v>
      </c>
      <c r="S119" s="946"/>
      <c r="T119" s="1307">
        <v>149.82300000000001</v>
      </c>
      <c r="U119" s="1292"/>
      <c r="V119" s="1292"/>
      <c r="W119" s="948"/>
      <c r="X119" s="948"/>
      <c r="Y119" s="948"/>
      <c r="Z119" s="949">
        <f t="shared" si="130"/>
        <v>149.82300000000001</v>
      </c>
      <c r="AA119" s="1308">
        <v>87</v>
      </c>
      <c r="AB119" s="1366"/>
      <c r="AC119" s="1366"/>
      <c r="AD119" s="890"/>
      <c r="AE119" s="890"/>
      <c r="AF119" s="890"/>
      <c r="AG119" s="951">
        <f t="shared" si="131"/>
        <v>87</v>
      </c>
      <c r="AH119" s="947">
        <f t="shared" si="143"/>
        <v>236.82300000000001</v>
      </c>
      <c r="AI119" s="890">
        <f t="shared" si="150"/>
        <v>236.82300000000001</v>
      </c>
      <c r="AJ119" s="890">
        <f t="shared" si="150"/>
        <v>0</v>
      </c>
      <c r="AK119" s="890">
        <f t="shared" si="150"/>
        <v>0</v>
      </c>
      <c r="AL119" s="890">
        <f t="shared" si="150"/>
        <v>0</v>
      </c>
      <c r="AM119" s="890">
        <f t="shared" si="150"/>
        <v>0</v>
      </c>
      <c r="AN119" s="890"/>
      <c r="AO119" s="890">
        <f t="shared" si="154"/>
        <v>236.82300000000001</v>
      </c>
      <c r="AP119" s="890">
        <f t="shared" si="155"/>
        <v>236.82300000000001</v>
      </c>
      <c r="AQ119" s="952">
        <f t="shared" si="98"/>
        <v>236.82300000000001</v>
      </c>
      <c r="AR119" s="973">
        <f t="shared" si="132"/>
        <v>0</v>
      </c>
      <c r="AS119" s="889">
        <f t="shared" si="157"/>
        <v>785059.71937199985</v>
      </c>
      <c r="AT119" s="890">
        <f t="shared" si="157"/>
        <v>0</v>
      </c>
      <c r="AU119" s="890">
        <f t="shared" si="157"/>
        <v>0</v>
      </c>
      <c r="AV119" s="890">
        <f t="shared" si="157"/>
        <v>0</v>
      </c>
      <c r="AW119" s="890">
        <f t="shared" si="157"/>
        <v>0</v>
      </c>
      <c r="AX119" s="890">
        <f t="shared" si="99"/>
        <v>785059.71937199985</v>
      </c>
      <c r="AY119" s="890">
        <f t="shared" si="100"/>
        <v>785059.71937199985</v>
      </c>
      <c r="AZ119" s="890">
        <f t="shared" si="159"/>
        <v>890115.34946399997</v>
      </c>
      <c r="BA119" s="890">
        <f t="shared" si="159"/>
        <v>0</v>
      </c>
      <c r="BB119" s="890">
        <f t="shared" si="158"/>
        <v>0</v>
      </c>
      <c r="BC119" s="890">
        <f t="shared" si="158"/>
        <v>0</v>
      </c>
      <c r="BD119" s="890">
        <f t="shared" si="158"/>
        <v>0</v>
      </c>
      <c r="BE119" s="890">
        <f t="shared" si="101"/>
        <v>890115.34946399997</v>
      </c>
      <c r="BF119" s="952">
        <f t="shared" si="102"/>
        <v>890115.34946399997</v>
      </c>
      <c r="BG119" s="953">
        <f>(H119-J119)/1.2*U119/1000+(H119-K119)/1.2*V119/1000</f>
        <v>0</v>
      </c>
      <c r="BH119" s="954">
        <f>(O119-P119)*AB119/1000/1.2+(O119-Q119)/1.2*AC119/1000</f>
        <v>0</v>
      </c>
      <c r="BI119" s="955">
        <f t="shared" ref="BI119:BI129" si="171">BG119+BH119</f>
        <v>0</v>
      </c>
      <c r="BJ119" s="890"/>
      <c r="BK119" s="1199"/>
      <c r="BL119" s="890">
        <f t="shared" si="169"/>
        <v>496657.85137199995</v>
      </c>
      <c r="BM119" s="890">
        <f t="shared" si="169"/>
        <v>0</v>
      </c>
      <c r="BN119" s="890">
        <f t="shared" si="169"/>
        <v>0</v>
      </c>
      <c r="BO119" s="890">
        <f t="shared" si="169"/>
        <v>0</v>
      </c>
      <c r="BP119" s="890">
        <f t="shared" si="169"/>
        <v>0</v>
      </c>
      <c r="BQ119" s="890">
        <f t="shared" si="144"/>
        <v>496657.85137199995</v>
      </c>
      <c r="BR119" s="890">
        <f t="shared" si="145"/>
        <v>496657.85137199995</v>
      </c>
      <c r="BS119" s="890">
        <f t="shared" si="170"/>
        <v>326995.41599999997</v>
      </c>
      <c r="BT119" s="890">
        <f t="shared" si="170"/>
        <v>0</v>
      </c>
      <c r="BU119" s="890">
        <f t="shared" si="170"/>
        <v>0</v>
      </c>
      <c r="BV119" s="890">
        <f t="shared" si="146"/>
        <v>0</v>
      </c>
      <c r="BW119" s="890">
        <f t="shared" si="112"/>
        <v>0</v>
      </c>
      <c r="BX119" s="890">
        <f t="shared" si="147"/>
        <v>326995.41599999997</v>
      </c>
      <c r="BY119" s="890">
        <f t="shared" si="148"/>
        <v>326995.41599999997</v>
      </c>
      <c r="BZ119" s="945">
        <f t="shared" si="110"/>
        <v>0</v>
      </c>
      <c r="CA119" s="945">
        <f t="shared" si="110"/>
        <v>0</v>
      </c>
      <c r="CB119" s="945">
        <f t="shared" si="149"/>
        <v>0</v>
      </c>
      <c r="CC119" s="976" t="e">
        <f t="shared" si="111"/>
        <v>#DIV/0!</v>
      </c>
      <c r="CD119" s="976" t="e">
        <f t="shared" si="111"/>
        <v>#DIV/0!</v>
      </c>
      <c r="CE119" s="976" t="e">
        <f t="shared" si="133"/>
        <v>#DIV/0!</v>
      </c>
      <c r="CF119" s="945" t="e">
        <f t="shared" si="113"/>
        <v>#DIV/0!</v>
      </c>
      <c r="CG119" s="977">
        <f t="shared" si="114"/>
        <v>0</v>
      </c>
      <c r="CH119" s="977" t="e">
        <f t="shared" si="134"/>
        <v>#DIV/0!</v>
      </c>
      <c r="CI119" s="945"/>
      <c r="CJ119" s="1312">
        <f t="shared" si="167"/>
        <v>496.65785137199993</v>
      </c>
      <c r="CK119" s="1312">
        <f t="shared" si="115"/>
        <v>326.99541599999998</v>
      </c>
      <c r="CL119" s="1312">
        <f t="shared" si="168"/>
        <v>823.65326737199985</v>
      </c>
      <c r="CM119" s="890">
        <f t="shared" si="135"/>
        <v>890.11534946400002</v>
      </c>
      <c r="CN119" s="890">
        <f t="shared" si="136"/>
        <v>66.462082092000173</v>
      </c>
      <c r="CO119" s="890">
        <f t="shared" si="116"/>
        <v>823653.26737199991</v>
      </c>
      <c r="CP119" s="890">
        <f t="shared" si="117"/>
        <v>785059.71937199985</v>
      </c>
      <c r="CQ119" s="890">
        <f t="shared" si="118"/>
        <v>785059.71937199985</v>
      </c>
      <c r="CR119" s="890">
        <f t="shared" si="119"/>
        <v>496657.85137199995</v>
      </c>
      <c r="CS119" s="890">
        <f t="shared" si="120"/>
        <v>890115.34946399997</v>
      </c>
      <c r="CT119" s="890">
        <f t="shared" si="121"/>
        <v>890115.34946399997</v>
      </c>
      <c r="CU119" s="890">
        <f t="shared" si="122"/>
        <v>326995.41599999997</v>
      </c>
      <c r="CV119" s="890">
        <f t="shared" si="137"/>
        <v>1675175.0688359998</v>
      </c>
      <c r="CW119" s="978">
        <f t="shared" si="138"/>
        <v>7073.5319999999992</v>
      </c>
      <c r="CX119" s="890">
        <f t="shared" si="123"/>
        <v>0</v>
      </c>
      <c r="CY119" s="890">
        <f t="shared" si="124"/>
        <v>0</v>
      </c>
      <c r="CZ119" s="890"/>
      <c r="DA119" s="890">
        <f t="shared" si="125"/>
        <v>785059.71937199985</v>
      </c>
      <c r="DB119" s="890">
        <f t="shared" si="126"/>
        <v>890115.34946399997</v>
      </c>
      <c r="DC119" s="840"/>
      <c r="DD119" s="841" t="e">
        <f t="shared" si="139"/>
        <v>#DIV/0!</v>
      </c>
      <c r="DE119" s="840"/>
      <c r="DF119" s="840"/>
      <c r="DG119" s="840"/>
      <c r="DH119" s="1050"/>
      <c r="DI119" s="1050"/>
      <c r="DJ119" s="1050"/>
      <c r="DK119" s="945"/>
      <c r="DL119" s="975">
        <f t="shared" si="127"/>
        <v>0</v>
      </c>
      <c r="DM119" s="975">
        <f t="shared" si="128"/>
        <v>0</v>
      </c>
      <c r="DN119" s="975">
        <f t="shared" si="129"/>
        <v>0</v>
      </c>
      <c r="DO119" s="816"/>
      <c r="DP119" s="871"/>
      <c r="DQ119" s="871"/>
      <c r="DR119" s="871"/>
      <c r="DS119" s="871"/>
      <c r="DT119" s="871"/>
      <c r="DU119" s="871"/>
      <c r="DV119" s="871"/>
      <c r="DW119" s="871"/>
      <c r="DX119" s="871"/>
      <c r="DY119" s="871"/>
      <c r="DZ119" s="871"/>
      <c r="EA119" s="871"/>
      <c r="EB119" s="871"/>
      <c r="EC119" s="871"/>
      <c r="ED119" s="871"/>
      <c r="EE119" s="871"/>
      <c r="EF119" s="871"/>
      <c r="EG119" s="871"/>
      <c r="EH119" s="871"/>
      <c r="EI119" s="871"/>
      <c r="EJ119" s="871"/>
      <c r="EK119" s="871"/>
      <c r="EL119" s="871"/>
    </row>
    <row r="120" spans="1:142" s="50" customFormat="1" ht="75.75" hidden="1" customHeight="1">
      <c r="A120" s="6">
        <f t="shared" si="140"/>
        <v>107</v>
      </c>
      <c r="B120" s="1338" t="s">
        <v>43</v>
      </c>
      <c r="C120" s="1338" t="s">
        <v>53</v>
      </c>
      <c r="D120" s="1338" t="s">
        <v>256</v>
      </c>
      <c r="E120" s="886">
        <v>4633002394</v>
      </c>
      <c r="F120" s="886" t="s">
        <v>8</v>
      </c>
      <c r="G120" s="888" t="s">
        <v>923</v>
      </c>
      <c r="H120" s="1313">
        <f>1743.52*1.2</f>
        <v>2092.2239999999997</v>
      </c>
      <c r="I120" s="1316">
        <f>1743.52*1.2</f>
        <v>2092.2239999999997</v>
      </c>
      <c r="J120" s="1264">
        <f>1743.52*1.2</f>
        <v>2092.2239999999997</v>
      </c>
      <c r="K120" s="1264">
        <v>2036.22</v>
      </c>
      <c r="L120" s="1264">
        <f>1743.52*1.2</f>
        <v>2092.2239999999997</v>
      </c>
      <c r="M120" s="946"/>
      <c r="N120" s="959">
        <f>1939.09*1.2</f>
        <v>2326.9079999999999</v>
      </c>
      <c r="O120" s="891">
        <f>1939.09*1.2</f>
        <v>2326.9079999999999</v>
      </c>
      <c r="P120" s="891">
        <v>2326.91</v>
      </c>
      <c r="Q120" s="891">
        <v>2326.91</v>
      </c>
      <c r="R120" s="891">
        <f>1939.09*1.2</f>
        <v>2326.9079999999999</v>
      </c>
      <c r="S120" s="946"/>
      <c r="T120" s="1015">
        <v>35138</v>
      </c>
      <c r="U120" s="890">
        <v>200562.57699999999</v>
      </c>
      <c r="V120" s="890">
        <v>48177.97100000007</v>
      </c>
      <c r="W120" s="894">
        <v>24527</v>
      </c>
      <c r="X120" s="890"/>
      <c r="Y120" s="890"/>
      <c r="Z120" s="949">
        <v>308405.54800000007</v>
      </c>
      <c r="AA120" s="974">
        <v>26552</v>
      </c>
      <c r="AB120" s="890">
        <v>144060.519</v>
      </c>
      <c r="AC120" s="890">
        <v>47934.513999999996</v>
      </c>
      <c r="AD120" s="890">
        <v>16363</v>
      </c>
      <c r="AE120" s="890"/>
      <c r="AF120" s="890"/>
      <c r="AG120" s="951">
        <v>234910.033</v>
      </c>
      <c r="AH120" s="947">
        <v>543315.58100000001</v>
      </c>
      <c r="AI120" s="890">
        <v>61690</v>
      </c>
      <c r="AJ120" s="890">
        <v>344623.09600000002</v>
      </c>
      <c r="AK120" s="890">
        <v>96112.485000000073</v>
      </c>
      <c r="AL120" s="890">
        <v>40890</v>
      </c>
      <c r="AM120" s="890">
        <v>0</v>
      </c>
      <c r="AN120" s="890"/>
      <c r="AO120" s="890">
        <v>543315.58100000012</v>
      </c>
      <c r="AP120" s="890">
        <v>543315.58100000012</v>
      </c>
      <c r="AQ120" s="952">
        <v>543315.58100000012</v>
      </c>
      <c r="AR120" s="1016">
        <v>2248.3053133333274</v>
      </c>
      <c r="AS120" s="993">
        <v>2236.9439866666576</v>
      </c>
      <c r="AT120" s="955">
        <v>4485.2492999999849</v>
      </c>
      <c r="AU120" s="1017"/>
      <c r="AV120" s="1017"/>
      <c r="AW120" s="890">
        <v>645252.25563656003</v>
      </c>
      <c r="AX120" s="890">
        <v>491483.46924325998</v>
      </c>
      <c r="AY120" s="975">
        <v>1136735.7248798199</v>
      </c>
      <c r="AZ120" s="890">
        <v>1101349272.3023002</v>
      </c>
      <c r="BA120" s="890">
        <v>1060647765.2614802</v>
      </c>
      <c r="BB120" s="890">
        <v>1074395695.1158803</v>
      </c>
      <c r="BC120" s="890">
        <v>602974426.08720016</v>
      </c>
      <c r="BD120" s="890">
        <v>1131353425.71982</v>
      </c>
      <c r="BE120" s="890">
        <v>1136735724.8798201</v>
      </c>
      <c r="BF120" s="952">
        <v>488799136.45925999</v>
      </c>
      <c r="BG120" s="1293">
        <f>(H120-J120)*U120/1000/1.2+(H120-K120)*V120/1000/1.2</f>
        <v>2248.4659065699902</v>
      </c>
      <c r="BH120" s="1294">
        <v>0</v>
      </c>
      <c r="BI120" s="1296">
        <f t="shared" si="171"/>
        <v>2248.4659065699902</v>
      </c>
      <c r="BJ120" s="975">
        <v>1136735.7248798199</v>
      </c>
      <c r="BK120" s="1198"/>
      <c r="BL120" s="890">
        <v>1074395695.1158803</v>
      </c>
      <c r="BM120" s="890">
        <v>1136735724.8798201</v>
      </c>
      <c r="BN120" s="945"/>
      <c r="BO120" s="976">
        <v>105.80233428403827</v>
      </c>
      <c r="BP120" s="945"/>
      <c r="BQ120" s="945"/>
      <c r="BR120" s="945"/>
      <c r="BS120" s="975">
        <v>531967.75699999998</v>
      </c>
      <c r="BT120" s="890">
        <v>432453.34099999996</v>
      </c>
      <c r="BU120" s="890">
        <v>99514.416000000027</v>
      </c>
      <c r="BV120" s="945"/>
      <c r="BW120" s="975">
        <v>0</v>
      </c>
      <c r="BX120" s="975">
        <v>0</v>
      </c>
      <c r="BY120" s="975">
        <v>0</v>
      </c>
      <c r="BZ120" s="945"/>
      <c r="CA120" s="945"/>
      <c r="CB120" s="945"/>
      <c r="CC120" s="945"/>
      <c r="CD120" s="907">
        <f t="shared" si="111"/>
        <v>0</v>
      </c>
      <c r="CE120" s="907">
        <f t="shared" si="133"/>
        <v>0</v>
      </c>
      <c r="CF120" s="907">
        <f t="shared" si="113"/>
        <v>0</v>
      </c>
      <c r="CG120" s="923">
        <f t="shared" si="114"/>
        <v>967175722.54671597</v>
      </c>
      <c r="CH120" s="923">
        <f t="shared" si="134"/>
        <v>2194.458002125124</v>
      </c>
      <c r="CI120" s="905"/>
      <c r="CJ120" s="975">
        <f t="shared" si="151"/>
        <v>717631.33688558417</v>
      </c>
      <c r="CK120" s="975">
        <f t="shared" si="115"/>
        <v>546614.035067964</v>
      </c>
      <c r="CL120" s="975">
        <f>CJ120+CK120</f>
        <v>1264245.3719535482</v>
      </c>
      <c r="CM120" s="897">
        <f t="shared" si="135"/>
        <v>1264245.3719535479</v>
      </c>
      <c r="CN120" s="897">
        <f t="shared" si="136"/>
        <v>0</v>
      </c>
      <c r="CO120" s="890">
        <f t="shared" si="116"/>
        <v>1191867524.3267159</v>
      </c>
      <c r="CP120" s="890">
        <f t="shared" si="117"/>
        <v>1131355214.5322039</v>
      </c>
      <c r="CQ120" s="890">
        <f t="shared" si="118"/>
        <v>1136737898.142144</v>
      </c>
      <c r="CR120" s="890">
        <f t="shared" si="119"/>
        <v>642555330.17086804</v>
      </c>
      <c r="CS120" s="890">
        <f t="shared" si="120"/>
        <v>1264246253.42471</v>
      </c>
      <c r="CT120" s="890">
        <f t="shared" si="121"/>
        <v>1264246253.42471</v>
      </c>
      <c r="CU120" s="890">
        <f t="shared" si="122"/>
        <v>546614419.05803001</v>
      </c>
      <c r="CV120" s="890">
        <f t="shared" si="137"/>
        <v>2395601467.9569139</v>
      </c>
      <c r="CW120" s="906">
        <f t="shared" si="138"/>
        <v>4409.2265190475255</v>
      </c>
      <c r="CX120" s="890">
        <f t="shared" si="123"/>
        <v>916734876.61220407</v>
      </c>
      <c r="CY120" s="890">
        <f t="shared" si="124"/>
        <v>1025552030.7847102</v>
      </c>
      <c r="CZ120" s="890"/>
      <c r="DA120" s="890">
        <f t="shared" si="125"/>
        <v>1136737898.142144</v>
      </c>
      <c r="DB120" s="890">
        <f t="shared" si="126"/>
        <v>1264245371.953548</v>
      </c>
      <c r="DC120" s="27"/>
      <c r="DD120" s="40">
        <f t="shared" si="139"/>
        <v>111.21696338441774</v>
      </c>
      <c r="DE120" s="27"/>
      <c r="DF120" s="27"/>
      <c r="DG120" s="27"/>
      <c r="DH120" s="1137">
        <v>531967.75699999998</v>
      </c>
      <c r="DI120" s="1043">
        <v>432453.34099999996</v>
      </c>
      <c r="DJ120" s="1043">
        <f t="shared" si="142"/>
        <v>99514.416000000027</v>
      </c>
      <c r="DK120" s="905"/>
      <c r="DL120" s="908">
        <f t="shared" si="127"/>
        <v>0</v>
      </c>
      <c r="DM120" s="908">
        <f t="shared" si="128"/>
        <v>0</v>
      </c>
      <c r="DN120" s="908">
        <f t="shared" si="129"/>
        <v>0</v>
      </c>
      <c r="DO120" s="6"/>
      <c r="DP120" s="81"/>
      <c r="DQ120" s="81"/>
      <c r="DR120" s="81"/>
      <c r="DS120" s="81"/>
      <c r="DT120" s="81"/>
      <c r="DU120" s="81"/>
      <c r="DV120" s="81"/>
      <c r="DW120" s="81"/>
      <c r="DX120" s="81"/>
      <c r="DY120" s="81"/>
      <c r="DZ120" s="81"/>
      <c r="EA120" s="81"/>
      <c r="EB120" s="81"/>
      <c r="EC120" s="81"/>
      <c r="ED120" s="81"/>
      <c r="EE120" s="81"/>
      <c r="EF120" s="81"/>
      <c r="EG120" s="81"/>
      <c r="EH120" s="81"/>
      <c r="EI120" s="81"/>
      <c r="EJ120" s="81"/>
      <c r="EK120" s="81"/>
      <c r="EL120" s="81"/>
    </row>
    <row r="121" spans="1:142" s="81" customFormat="1" ht="70.5" hidden="1" customHeight="1">
      <c r="A121" s="6">
        <f t="shared" si="140"/>
        <v>108</v>
      </c>
      <c r="B121" s="886" t="s">
        <v>43</v>
      </c>
      <c r="C121" s="886" t="s">
        <v>53</v>
      </c>
      <c r="D121" s="886" t="s">
        <v>276</v>
      </c>
      <c r="E121" s="886">
        <v>4633001577</v>
      </c>
      <c r="F121" s="886" t="s">
        <v>8</v>
      </c>
      <c r="G121" s="888" t="s">
        <v>947</v>
      </c>
      <c r="H121" s="925">
        <v>2140.0319999999997</v>
      </c>
      <c r="I121" s="891">
        <v>0</v>
      </c>
      <c r="J121" s="891">
        <v>0</v>
      </c>
      <c r="K121" s="891">
        <v>0</v>
      </c>
      <c r="L121" s="1010">
        <v>2140.0319999999997</v>
      </c>
      <c r="M121" s="946">
        <v>0</v>
      </c>
      <c r="N121" s="959">
        <f>2111.87*1.2</f>
        <v>2534.2439999999997</v>
      </c>
      <c r="O121" s="891"/>
      <c r="P121" s="891"/>
      <c r="Q121" s="891"/>
      <c r="R121" s="891">
        <v>2534.2439999999997</v>
      </c>
      <c r="S121" s="946"/>
      <c r="T121" s="903">
        <v>0</v>
      </c>
      <c r="U121" s="897">
        <v>0</v>
      </c>
      <c r="V121" s="897">
        <v>0</v>
      </c>
      <c r="W121" s="897">
        <v>9617</v>
      </c>
      <c r="X121" s="897">
        <v>0</v>
      </c>
      <c r="Y121" s="897">
        <v>0</v>
      </c>
      <c r="Z121" s="898">
        <f t="shared" si="130"/>
        <v>9617</v>
      </c>
      <c r="AA121" s="904">
        <v>0</v>
      </c>
      <c r="AB121" s="897">
        <v>0</v>
      </c>
      <c r="AC121" s="897">
        <v>0</v>
      </c>
      <c r="AD121" s="897">
        <v>6551</v>
      </c>
      <c r="AE121" s="897">
        <v>0</v>
      </c>
      <c r="AF121" s="897">
        <v>0</v>
      </c>
      <c r="AG121" s="900">
        <f>SUM(AA121:AF121)</f>
        <v>6551</v>
      </c>
      <c r="AH121" s="896">
        <f t="shared" si="143"/>
        <v>16168</v>
      </c>
      <c r="AI121" s="897">
        <f t="shared" si="150"/>
        <v>0</v>
      </c>
      <c r="AJ121" s="897">
        <f t="shared" si="150"/>
        <v>0</v>
      </c>
      <c r="AK121" s="897">
        <f t="shared" si="150"/>
        <v>0</v>
      </c>
      <c r="AL121" s="897">
        <f t="shared" si="150"/>
        <v>16168</v>
      </c>
      <c r="AM121" s="897">
        <f t="shared" si="150"/>
        <v>0</v>
      </c>
      <c r="AN121" s="897"/>
      <c r="AO121" s="897">
        <f t="shared" si="154"/>
        <v>16168</v>
      </c>
      <c r="AP121" s="897">
        <f t="shared" si="155"/>
        <v>16168</v>
      </c>
      <c r="AQ121" s="901">
        <f t="shared" si="98"/>
        <v>16168</v>
      </c>
      <c r="AR121" s="902">
        <f t="shared" si="132"/>
        <v>0</v>
      </c>
      <c r="AS121" s="903">
        <f t="shared" ref="AS121:AW122" si="172">I121*AI121</f>
        <v>0</v>
      </c>
      <c r="AT121" s="897">
        <f t="shared" si="172"/>
        <v>0</v>
      </c>
      <c r="AU121" s="897">
        <f t="shared" si="172"/>
        <v>0</v>
      </c>
      <c r="AV121" s="897">
        <f t="shared" si="172"/>
        <v>34600037.375999995</v>
      </c>
      <c r="AW121" s="897">
        <f t="shared" si="172"/>
        <v>0</v>
      </c>
      <c r="AX121" s="897">
        <f t="shared" si="99"/>
        <v>34600037.375999995</v>
      </c>
      <c r="AY121" s="897">
        <f t="shared" si="100"/>
        <v>34600037.375999995</v>
      </c>
      <c r="AZ121" s="897">
        <f t="shared" si="159"/>
        <v>0</v>
      </c>
      <c r="BA121" s="897">
        <f t="shared" si="159"/>
        <v>0</v>
      </c>
      <c r="BB121" s="897">
        <f t="shared" si="159"/>
        <v>0</v>
      </c>
      <c r="BC121" s="897">
        <f>R121*AL121</f>
        <v>40973656.991999991</v>
      </c>
      <c r="BD121" s="897">
        <f t="shared" ref="BD121:BD142" si="173">S121*AM121</f>
        <v>0</v>
      </c>
      <c r="BE121" s="897">
        <f t="shared" si="101"/>
        <v>40973656.991999991</v>
      </c>
      <c r="BF121" s="901">
        <f t="shared" si="102"/>
        <v>40973656.991999991</v>
      </c>
      <c r="BG121" s="904"/>
      <c r="BH121" s="897"/>
      <c r="BI121" s="897">
        <f t="shared" si="171"/>
        <v>0</v>
      </c>
      <c r="BJ121" s="919">
        <v>31324.843808767346</v>
      </c>
      <c r="BK121" s="1203">
        <v>31793.10350650908</v>
      </c>
      <c r="BL121" s="897">
        <f>I121*T121</f>
        <v>0</v>
      </c>
      <c r="BM121" s="897">
        <f>J121*U121</f>
        <v>0</v>
      </c>
      <c r="BN121" s="897">
        <f>K121*V121</f>
        <v>0</v>
      </c>
      <c r="BO121" s="897">
        <f>L121*W121</f>
        <v>20580687.743999995</v>
      </c>
      <c r="BP121" s="897">
        <f t="shared" si="169"/>
        <v>0</v>
      </c>
      <c r="BQ121" s="897">
        <f>BL121+BM121+BN121+BO121+BP121</f>
        <v>20580687.743999995</v>
      </c>
      <c r="BR121" s="897">
        <f>BQ121-BP121</f>
        <v>20580687.743999995</v>
      </c>
      <c r="BS121" s="897">
        <f>O121*AA121</f>
        <v>0</v>
      </c>
      <c r="BT121" s="897">
        <f>P121*AB121</f>
        <v>0</v>
      </c>
      <c r="BU121" s="897">
        <f>Q121*AC121</f>
        <v>0</v>
      </c>
      <c r="BV121" s="897">
        <f>R121*AD121</f>
        <v>16601832.443999998</v>
      </c>
      <c r="BW121" s="897">
        <f>S121*AE121</f>
        <v>0</v>
      </c>
      <c r="BX121" s="897">
        <f>BS121+BT121+BU121+BV121+BW121</f>
        <v>16601832.443999998</v>
      </c>
      <c r="BY121" s="897">
        <f>BX121-BW121</f>
        <v>16601832.443999998</v>
      </c>
      <c r="BZ121" s="905">
        <f>BM121+BT121</f>
        <v>0</v>
      </c>
      <c r="CA121" s="905">
        <f>BN121+BU121</f>
        <v>0</v>
      </c>
      <c r="CB121" s="905">
        <f>BZ121+CA121</f>
        <v>0</v>
      </c>
      <c r="CC121" s="907" t="e">
        <f>BZ121/AJ121</f>
        <v>#DIV/0!</v>
      </c>
      <c r="CD121" s="907" t="e">
        <f t="shared" si="111"/>
        <v>#DIV/0!</v>
      </c>
      <c r="CE121" s="907" t="e">
        <f t="shared" si="133"/>
        <v>#DIV/0!</v>
      </c>
      <c r="CF121" s="905" t="e">
        <f t="shared" si="113"/>
        <v>#DIV/0!</v>
      </c>
      <c r="CG121" s="923">
        <f t="shared" si="114"/>
        <v>0</v>
      </c>
      <c r="CH121" s="923" t="e">
        <f t="shared" si="134"/>
        <v>#DIV/0!</v>
      </c>
      <c r="CI121" s="979"/>
      <c r="CJ121" s="897">
        <f>N121*Z121/1000</f>
        <v>24371.824547999997</v>
      </c>
      <c r="CK121" s="897">
        <f t="shared" si="115"/>
        <v>16601.832444</v>
      </c>
      <c r="CL121" s="897">
        <f>CJ121+CK121</f>
        <v>40973.656991999997</v>
      </c>
      <c r="CM121" s="897">
        <f t="shared" si="135"/>
        <v>40973.656991999989</v>
      </c>
      <c r="CN121" s="897">
        <f t="shared" si="136"/>
        <v>0</v>
      </c>
      <c r="CO121" s="897">
        <f t="shared" si="116"/>
        <v>37182520.187999994</v>
      </c>
      <c r="CP121" s="897">
        <f t="shared" si="117"/>
        <v>34600037.375999995</v>
      </c>
      <c r="CQ121" s="897">
        <f t="shared" si="118"/>
        <v>34600037.375999995</v>
      </c>
      <c r="CR121" s="897">
        <f t="shared" si="119"/>
        <v>20580687.743999995</v>
      </c>
      <c r="CS121" s="897">
        <f t="shared" si="120"/>
        <v>40973656.991999991</v>
      </c>
      <c r="CT121" s="897">
        <f t="shared" si="121"/>
        <v>40973656.991999991</v>
      </c>
      <c r="CU121" s="897">
        <f t="shared" si="122"/>
        <v>16601832.443999998</v>
      </c>
      <c r="CV121" s="897">
        <f t="shared" si="137"/>
        <v>75573694.367999986</v>
      </c>
      <c r="CW121" s="906">
        <f t="shared" si="138"/>
        <v>4674.2759999999989</v>
      </c>
      <c r="CX121" s="897">
        <f t="shared" si="123"/>
        <v>0</v>
      </c>
      <c r="CY121" s="897">
        <f t="shared" si="124"/>
        <v>0</v>
      </c>
      <c r="CZ121" s="897"/>
      <c r="DA121" s="897">
        <f t="shared" si="125"/>
        <v>34600037.375999995</v>
      </c>
      <c r="DB121" s="897">
        <f t="shared" si="126"/>
        <v>40973656.991999991</v>
      </c>
      <c r="DC121" s="1131"/>
      <c r="DD121" s="40" t="e">
        <f t="shared" si="139"/>
        <v>#DIV/0!</v>
      </c>
      <c r="DE121" s="1131"/>
      <c r="DF121" s="1131"/>
      <c r="DG121" s="1131"/>
      <c r="DH121" s="897">
        <v>20195</v>
      </c>
      <c r="DI121" s="897">
        <v>0</v>
      </c>
      <c r="DJ121" s="897">
        <f t="shared" si="142"/>
        <v>20195</v>
      </c>
      <c r="DK121" s="979"/>
      <c r="DL121" s="908">
        <f t="shared" si="127"/>
        <v>0</v>
      </c>
      <c r="DM121" s="908">
        <f t="shared" si="128"/>
        <v>0</v>
      </c>
      <c r="DN121" s="908">
        <f t="shared" si="129"/>
        <v>0</v>
      </c>
    </row>
    <row r="122" spans="1:142" s="50" customFormat="1" ht="63.75" hidden="1" customHeight="1">
      <c r="A122" s="6">
        <f t="shared" si="140"/>
        <v>109</v>
      </c>
      <c r="B122" s="886" t="s">
        <v>43</v>
      </c>
      <c r="C122" s="886" t="s">
        <v>53</v>
      </c>
      <c r="D122" s="1018" t="s">
        <v>44</v>
      </c>
      <c r="E122" s="1019">
        <v>4633016372</v>
      </c>
      <c r="F122" s="1020" t="s">
        <v>45</v>
      </c>
      <c r="G122" s="888" t="s">
        <v>949</v>
      </c>
      <c r="H122" s="925">
        <f>1886.11*1.2</f>
        <v>2263.3319999999999</v>
      </c>
      <c r="I122" s="891"/>
      <c r="J122" s="891"/>
      <c r="K122" s="891"/>
      <c r="L122" s="891">
        <v>2263.3319999999999</v>
      </c>
      <c r="M122" s="892"/>
      <c r="N122" s="891">
        <v>2263.3319999999999</v>
      </c>
      <c r="O122" s="895"/>
      <c r="P122" s="895"/>
      <c r="Q122" s="895"/>
      <c r="R122" s="891">
        <v>2263.3319999999999</v>
      </c>
      <c r="S122" s="892"/>
      <c r="T122" s="903">
        <v>0</v>
      </c>
      <c r="U122" s="897">
        <v>0</v>
      </c>
      <c r="V122" s="897">
        <v>0</v>
      </c>
      <c r="W122" s="897">
        <v>330.29</v>
      </c>
      <c r="X122" s="897">
        <v>0</v>
      </c>
      <c r="Y122" s="897">
        <v>0</v>
      </c>
      <c r="Z122" s="898">
        <f t="shared" si="130"/>
        <v>330.29</v>
      </c>
      <c r="AA122" s="904">
        <v>0</v>
      </c>
      <c r="AB122" s="897">
        <v>0</v>
      </c>
      <c r="AC122" s="897">
        <v>0</v>
      </c>
      <c r="AD122" s="897">
        <v>250</v>
      </c>
      <c r="AE122" s="897">
        <v>0</v>
      </c>
      <c r="AF122" s="897">
        <v>0</v>
      </c>
      <c r="AG122" s="900">
        <v>250</v>
      </c>
      <c r="AH122" s="896">
        <f t="shared" si="143"/>
        <v>580.29</v>
      </c>
      <c r="AI122" s="897">
        <f t="shared" si="150"/>
        <v>0</v>
      </c>
      <c r="AJ122" s="897">
        <f t="shared" si="150"/>
        <v>0</v>
      </c>
      <c r="AK122" s="897">
        <f t="shared" si="150"/>
        <v>0</v>
      </c>
      <c r="AL122" s="897">
        <f>W122+AD122</f>
        <v>580.29</v>
      </c>
      <c r="AM122" s="897">
        <f t="shared" si="150"/>
        <v>0</v>
      </c>
      <c r="AN122" s="897"/>
      <c r="AO122" s="897">
        <f t="shared" si="154"/>
        <v>580.29</v>
      </c>
      <c r="AP122" s="897">
        <f t="shared" si="155"/>
        <v>580.29</v>
      </c>
      <c r="AQ122" s="901">
        <f t="shared" si="98"/>
        <v>580.29</v>
      </c>
      <c r="AR122" s="902">
        <f t="shared" si="132"/>
        <v>0</v>
      </c>
      <c r="AS122" s="903">
        <f t="shared" si="172"/>
        <v>0</v>
      </c>
      <c r="AT122" s="897">
        <f t="shared" si="172"/>
        <v>0</v>
      </c>
      <c r="AU122" s="897">
        <f t="shared" si="172"/>
        <v>0</v>
      </c>
      <c r="AV122" s="897">
        <f t="shared" si="172"/>
        <v>1313388.9262799998</v>
      </c>
      <c r="AW122" s="897">
        <f t="shared" si="172"/>
        <v>0</v>
      </c>
      <c r="AX122" s="897">
        <f t="shared" si="99"/>
        <v>1313388.9262799998</v>
      </c>
      <c r="AY122" s="897">
        <f t="shared" si="100"/>
        <v>1313388.9262799998</v>
      </c>
      <c r="AZ122" s="897">
        <f t="shared" si="159"/>
        <v>0</v>
      </c>
      <c r="BA122" s="897">
        <f t="shared" si="159"/>
        <v>0</v>
      </c>
      <c r="BB122" s="897">
        <f t="shared" si="159"/>
        <v>0</v>
      </c>
      <c r="BC122" s="897">
        <f t="shared" si="159"/>
        <v>1313388.9262799998</v>
      </c>
      <c r="BD122" s="897">
        <f t="shared" si="173"/>
        <v>0</v>
      </c>
      <c r="BE122" s="897">
        <f t="shared" si="101"/>
        <v>1313388.9262799998</v>
      </c>
      <c r="BF122" s="901">
        <f t="shared" si="102"/>
        <v>1313388.9262799998</v>
      </c>
      <c r="BG122" s="904"/>
      <c r="BH122" s="897"/>
      <c r="BI122" s="897">
        <f t="shared" si="171"/>
        <v>0</v>
      </c>
      <c r="BJ122" s="897">
        <v>1094.4932064136203</v>
      </c>
      <c r="BK122" s="1194"/>
      <c r="BL122" s="897">
        <f t="shared" si="169"/>
        <v>0</v>
      </c>
      <c r="BM122" s="897">
        <f t="shared" si="169"/>
        <v>0</v>
      </c>
      <c r="BN122" s="897">
        <f t="shared" si="169"/>
        <v>0</v>
      </c>
      <c r="BO122" s="897">
        <v>622.96465757871874</v>
      </c>
      <c r="BP122" s="897">
        <f t="shared" si="169"/>
        <v>0</v>
      </c>
      <c r="BQ122" s="897">
        <f t="shared" si="144"/>
        <v>622.96465757871874</v>
      </c>
      <c r="BR122" s="897">
        <f t="shared" si="145"/>
        <v>622.96465757871874</v>
      </c>
      <c r="BS122" s="897">
        <f t="shared" si="170"/>
        <v>0</v>
      </c>
      <c r="BT122" s="897">
        <f t="shared" si="170"/>
        <v>0</v>
      </c>
      <c r="BU122" s="897">
        <f t="shared" si="170"/>
        <v>0</v>
      </c>
      <c r="BV122" s="897">
        <v>471.52854883490158</v>
      </c>
      <c r="BW122" s="897">
        <f t="shared" si="112"/>
        <v>0</v>
      </c>
      <c r="BX122" s="897">
        <f t="shared" si="147"/>
        <v>471.52854883490158</v>
      </c>
      <c r="BY122" s="897">
        <f t="shared" si="148"/>
        <v>471.52854883490158</v>
      </c>
      <c r="BZ122" s="905">
        <f t="shared" si="110"/>
        <v>0</v>
      </c>
      <c r="CA122" s="905">
        <f t="shared" si="110"/>
        <v>0</v>
      </c>
      <c r="CB122" s="905">
        <f t="shared" si="149"/>
        <v>0</v>
      </c>
      <c r="CC122" s="907" t="e">
        <f t="shared" si="111"/>
        <v>#DIV/0!</v>
      </c>
      <c r="CD122" s="907" t="e">
        <f t="shared" si="111"/>
        <v>#DIV/0!</v>
      </c>
      <c r="CE122" s="907" t="e">
        <f t="shared" si="133"/>
        <v>#DIV/0!</v>
      </c>
      <c r="CF122" s="905" t="e">
        <f t="shared" si="113"/>
        <v>#DIV/0!</v>
      </c>
      <c r="CG122" s="923">
        <f t="shared" si="114"/>
        <v>0</v>
      </c>
      <c r="CH122" s="923" t="e">
        <f t="shared" si="134"/>
        <v>#DIV/0!</v>
      </c>
      <c r="CI122" s="979"/>
      <c r="CJ122" s="897">
        <f t="shared" si="151"/>
        <v>747.55592627999999</v>
      </c>
      <c r="CK122" s="897">
        <f t="shared" si="115"/>
        <v>565.83299999999997</v>
      </c>
      <c r="CL122" s="922">
        <f>CJ122+CK122</f>
        <v>1313.3889262799999</v>
      </c>
      <c r="CM122" s="897">
        <f t="shared" si="135"/>
        <v>1313.3889262799999</v>
      </c>
      <c r="CN122" s="897">
        <f t="shared" si="136"/>
        <v>0</v>
      </c>
      <c r="CO122" s="897">
        <f t="shared" si="116"/>
        <v>1313388.92628</v>
      </c>
      <c r="CP122" s="897">
        <f t="shared" si="117"/>
        <v>1313388.9262799998</v>
      </c>
      <c r="CQ122" s="897">
        <f t="shared" si="118"/>
        <v>1313388.9262799998</v>
      </c>
      <c r="CR122" s="897">
        <f t="shared" si="119"/>
        <v>747555.92628000001</v>
      </c>
      <c r="CS122" s="897">
        <f t="shared" si="120"/>
        <v>1313388.9262799998</v>
      </c>
      <c r="CT122" s="897">
        <f t="shared" si="121"/>
        <v>1313388.9262799998</v>
      </c>
      <c r="CU122" s="897">
        <f t="shared" si="122"/>
        <v>565833</v>
      </c>
      <c r="CV122" s="897">
        <f t="shared" si="137"/>
        <v>2626777.8525599996</v>
      </c>
      <c r="CW122" s="906">
        <f t="shared" si="138"/>
        <v>4526.6639999999998</v>
      </c>
      <c r="CX122" s="897">
        <f t="shared" si="123"/>
        <v>0</v>
      </c>
      <c r="CY122" s="897">
        <f t="shared" si="124"/>
        <v>0</v>
      </c>
      <c r="CZ122" s="897"/>
      <c r="DA122" s="897">
        <f t="shared" si="125"/>
        <v>1313388.9262799998</v>
      </c>
      <c r="DB122" s="897">
        <f t="shared" si="126"/>
        <v>1313388.9262799998</v>
      </c>
      <c r="DC122" s="1131"/>
      <c r="DD122" s="40" t="e">
        <f t="shared" si="139"/>
        <v>#DIV/0!</v>
      </c>
      <c r="DE122" s="1131"/>
      <c r="DF122" s="1131"/>
      <c r="DG122" s="1131"/>
      <c r="DH122" s="1043">
        <v>580.29</v>
      </c>
      <c r="DI122" s="1043">
        <v>0</v>
      </c>
      <c r="DJ122" s="1043">
        <f t="shared" si="142"/>
        <v>580.29</v>
      </c>
      <c r="DK122" s="979"/>
      <c r="DL122" s="908">
        <f t="shared" si="127"/>
        <v>0</v>
      </c>
      <c r="DM122" s="908">
        <f t="shared" si="128"/>
        <v>0</v>
      </c>
      <c r="DN122" s="908">
        <f t="shared" si="129"/>
        <v>0</v>
      </c>
      <c r="DO122" s="81"/>
      <c r="DP122" s="81"/>
      <c r="DQ122" s="81"/>
      <c r="DR122" s="81"/>
      <c r="DS122" s="81"/>
      <c r="DT122" s="81"/>
      <c r="DU122" s="81"/>
      <c r="DV122" s="81"/>
      <c r="DW122" s="81"/>
      <c r="DX122" s="81"/>
      <c r="DY122" s="81"/>
      <c r="DZ122" s="81"/>
      <c r="EA122" s="81"/>
      <c r="EB122" s="81"/>
      <c r="EC122" s="81"/>
      <c r="ED122" s="81"/>
      <c r="EE122" s="81"/>
      <c r="EF122" s="81"/>
      <c r="EG122" s="81"/>
      <c r="EH122" s="81"/>
      <c r="EI122" s="81"/>
      <c r="EJ122" s="81"/>
      <c r="EK122" s="81"/>
      <c r="EL122" s="81"/>
    </row>
    <row r="123" spans="1:142" s="50" customFormat="1" ht="69.75" hidden="1" customHeight="1">
      <c r="A123" s="6">
        <f t="shared" si="140"/>
        <v>110</v>
      </c>
      <c r="B123" s="886" t="s">
        <v>43</v>
      </c>
      <c r="C123" s="886" t="s">
        <v>53</v>
      </c>
      <c r="D123" s="1018" t="s">
        <v>44</v>
      </c>
      <c r="E123" s="1019">
        <v>4633016372</v>
      </c>
      <c r="F123" s="886" t="s">
        <v>8</v>
      </c>
      <c r="G123" s="888" t="s">
        <v>949</v>
      </c>
      <c r="H123" s="925">
        <f>2086.64*1.2</f>
        <v>2503.9679999999998</v>
      </c>
      <c r="I123" s="891"/>
      <c r="J123" s="891"/>
      <c r="K123" s="891"/>
      <c r="L123" s="1010">
        <v>2503.9679999999998</v>
      </c>
      <c r="M123" s="1021"/>
      <c r="N123" s="891">
        <f>2249.04871096537*1.2</f>
        <v>2698.8584531584438</v>
      </c>
      <c r="O123" s="895"/>
      <c r="P123" s="895"/>
      <c r="Q123" s="895"/>
      <c r="R123" s="891">
        <v>2698.8584531584438</v>
      </c>
      <c r="S123" s="892"/>
      <c r="T123" s="903">
        <v>0</v>
      </c>
      <c r="U123" s="897">
        <v>0</v>
      </c>
      <c r="V123" s="897">
        <v>0</v>
      </c>
      <c r="W123" s="919">
        <v>6993.4409999999998</v>
      </c>
      <c r="X123" s="897">
        <v>0</v>
      </c>
      <c r="Y123" s="897">
        <v>0</v>
      </c>
      <c r="Z123" s="920">
        <f t="shared" si="130"/>
        <v>6993.4409999999998</v>
      </c>
      <c r="AA123" s="904">
        <v>0</v>
      </c>
      <c r="AB123" s="897">
        <v>0</v>
      </c>
      <c r="AC123" s="897">
        <v>0</v>
      </c>
      <c r="AD123" s="919">
        <v>4742.6549999999997</v>
      </c>
      <c r="AE123" s="897">
        <v>0</v>
      </c>
      <c r="AF123" s="897">
        <v>0</v>
      </c>
      <c r="AG123" s="1014">
        <v>4742.6549999999997</v>
      </c>
      <c r="AH123" s="896">
        <f t="shared" si="143"/>
        <v>11736.096</v>
      </c>
      <c r="AI123" s="897">
        <f t="shared" si="150"/>
        <v>0</v>
      </c>
      <c r="AJ123" s="897">
        <f t="shared" si="150"/>
        <v>0</v>
      </c>
      <c r="AK123" s="897">
        <f t="shared" si="150"/>
        <v>0</v>
      </c>
      <c r="AL123" s="897">
        <f t="shared" si="150"/>
        <v>11736.096</v>
      </c>
      <c r="AM123" s="897">
        <f t="shared" si="150"/>
        <v>0</v>
      </c>
      <c r="AN123" s="897"/>
      <c r="AO123" s="897">
        <f t="shared" si="154"/>
        <v>11736.096</v>
      </c>
      <c r="AP123" s="897">
        <f t="shared" si="155"/>
        <v>11736.096</v>
      </c>
      <c r="AQ123" s="901">
        <f t="shared" si="98"/>
        <v>11736.096</v>
      </c>
      <c r="AR123" s="902">
        <f t="shared" si="132"/>
        <v>0</v>
      </c>
      <c r="AS123" s="903">
        <f t="shared" ref="AS123:AW142" si="174">I123*AI123</f>
        <v>0</v>
      </c>
      <c r="AT123" s="897">
        <f t="shared" si="174"/>
        <v>0</v>
      </c>
      <c r="AU123" s="897">
        <f t="shared" si="174"/>
        <v>0</v>
      </c>
      <c r="AV123" s="897">
        <f t="shared" si="174"/>
        <v>29386808.828927997</v>
      </c>
      <c r="AW123" s="897">
        <f t="shared" si="174"/>
        <v>0</v>
      </c>
      <c r="AX123" s="897">
        <f t="shared" si="99"/>
        <v>29386808.828927997</v>
      </c>
      <c r="AY123" s="897">
        <f t="shared" si="100"/>
        <v>29386808.828927997</v>
      </c>
      <c r="AZ123" s="897">
        <f t="shared" si="159"/>
        <v>0</v>
      </c>
      <c r="BA123" s="897">
        <f t="shared" si="159"/>
        <v>0</v>
      </c>
      <c r="BB123" s="897">
        <f t="shared" si="159"/>
        <v>0</v>
      </c>
      <c r="BC123" s="897">
        <f t="shared" si="159"/>
        <v>31674061.896678999</v>
      </c>
      <c r="BD123" s="897">
        <f t="shared" si="173"/>
        <v>0</v>
      </c>
      <c r="BE123" s="897">
        <f t="shared" si="101"/>
        <v>31674061.896678999</v>
      </c>
      <c r="BF123" s="901">
        <f t="shared" si="102"/>
        <v>31674061.896678999</v>
      </c>
      <c r="BG123" s="904"/>
      <c r="BH123" s="897"/>
      <c r="BI123" s="897">
        <f t="shared" si="171"/>
        <v>0</v>
      </c>
      <c r="BJ123" s="897">
        <v>25259.255842543487</v>
      </c>
      <c r="BK123" s="1194">
        <v>28989.56</v>
      </c>
      <c r="BL123" s="897">
        <f t="shared" si="169"/>
        <v>0</v>
      </c>
      <c r="BM123" s="897">
        <f t="shared" si="169"/>
        <v>0</v>
      </c>
      <c r="BN123" s="897">
        <f t="shared" si="169"/>
        <v>0</v>
      </c>
      <c r="BO123" s="897">
        <f t="shared" si="169"/>
        <v>17511352.473887999</v>
      </c>
      <c r="BP123" s="897">
        <f t="shared" si="169"/>
        <v>0</v>
      </c>
      <c r="BQ123" s="897">
        <f t="shared" si="144"/>
        <v>17511352.473887999</v>
      </c>
      <c r="BR123" s="897">
        <f t="shared" si="145"/>
        <v>17511352.473887999</v>
      </c>
      <c r="BS123" s="897">
        <f t="shared" si="170"/>
        <v>0</v>
      </c>
      <c r="BT123" s="897">
        <f t="shared" si="170"/>
        <v>0</v>
      </c>
      <c r="BU123" s="897">
        <f t="shared" si="170"/>
        <v>0</v>
      </c>
      <c r="BV123" s="897">
        <f t="shared" si="146"/>
        <v>18874307.35951484</v>
      </c>
      <c r="BW123" s="897">
        <f t="shared" si="112"/>
        <v>0</v>
      </c>
      <c r="BX123" s="897">
        <f t="shared" si="147"/>
        <v>18874307.35951484</v>
      </c>
      <c r="BY123" s="897">
        <f t="shared" si="148"/>
        <v>18874307.35951484</v>
      </c>
      <c r="BZ123" s="905">
        <f t="shared" si="110"/>
        <v>0</v>
      </c>
      <c r="CA123" s="905">
        <f t="shared" si="110"/>
        <v>0</v>
      </c>
      <c r="CB123" s="905">
        <f t="shared" si="149"/>
        <v>0</v>
      </c>
      <c r="CC123" s="907" t="e">
        <f t="shared" si="111"/>
        <v>#DIV/0!</v>
      </c>
      <c r="CD123" s="907" t="e">
        <f t="shared" si="111"/>
        <v>#DIV/0!</v>
      </c>
      <c r="CE123" s="907" t="e">
        <f t="shared" si="133"/>
        <v>#DIV/0!</v>
      </c>
      <c r="CF123" s="905" t="e">
        <f t="shared" si="113"/>
        <v>#DIV/0!</v>
      </c>
      <c r="CG123" s="923">
        <f t="shared" si="114"/>
        <v>0</v>
      </c>
      <c r="CH123" s="923" t="e">
        <f t="shared" si="134"/>
        <v>#DIV/0!</v>
      </c>
      <c r="CI123" s="979"/>
      <c r="CJ123" s="897">
        <f t="shared" si="151"/>
        <v>18874.307359514842</v>
      </c>
      <c r="CK123" s="897">
        <f t="shared" si="115"/>
        <v>12799.754537164159</v>
      </c>
      <c r="CL123" s="1022">
        <f>CJ123+CK123-0.04</f>
        <v>31674.021896678998</v>
      </c>
      <c r="CM123" s="897">
        <f t="shared" si="135"/>
        <v>31674.061896678999</v>
      </c>
      <c r="CN123" s="897">
        <f t="shared" si="136"/>
        <v>4.0000000000873115E-2</v>
      </c>
      <c r="CO123" s="897">
        <f t="shared" si="116"/>
        <v>30311107.011052158</v>
      </c>
      <c r="CP123" s="897">
        <f t="shared" si="117"/>
        <v>29386808.828927997</v>
      </c>
      <c r="CQ123" s="897">
        <f t="shared" si="118"/>
        <v>29386808.828927997</v>
      </c>
      <c r="CR123" s="897">
        <f t="shared" si="119"/>
        <v>17511352.473887999</v>
      </c>
      <c r="CS123" s="897">
        <f t="shared" si="120"/>
        <v>31674061.896678999</v>
      </c>
      <c r="CT123" s="897">
        <f t="shared" si="121"/>
        <v>31674061.896678999</v>
      </c>
      <c r="CU123" s="897">
        <f t="shared" si="122"/>
        <v>12799754.537164159</v>
      </c>
      <c r="CV123" s="897">
        <f t="shared" si="137"/>
        <v>61060870.725606993</v>
      </c>
      <c r="CW123" s="906">
        <f t="shared" si="138"/>
        <v>5202.8264531584437</v>
      </c>
      <c r="CX123" s="897">
        <f t="shared" si="123"/>
        <v>0</v>
      </c>
      <c r="CY123" s="897">
        <f t="shared" si="124"/>
        <v>0</v>
      </c>
      <c r="CZ123" s="897"/>
      <c r="DA123" s="897">
        <f t="shared" si="125"/>
        <v>29386808.828927997</v>
      </c>
      <c r="DB123" s="897">
        <f t="shared" si="126"/>
        <v>31674061.896678999</v>
      </c>
      <c r="DC123" s="1131"/>
      <c r="DD123" s="40" t="e">
        <f t="shared" si="139"/>
        <v>#DIV/0!</v>
      </c>
      <c r="DE123" s="1131"/>
      <c r="DF123" s="1131"/>
      <c r="DG123" s="1131"/>
      <c r="DH123" s="1043">
        <v>11736.096</v>
      </c>
      <c r="DI123" s="1043">
        <v>0</v>
      </c>
      <c r="DJ123" s="1043">
        <f t="shared" si="142"/>
        <v>11736.096</v>
      </c>
      <c r="DK123" s="979"/>
      <c r="DL123" s="908">
        <f t="shared" si="127"/>
        <v>0</v>
      </c>
      <c r="DM123" s="908">
        <f t="shared" si="128"/>
        <v>0</v>
      </c>
      <c r="DN123" s="908">
        <f t="shared" si="129"/>
        <v>0</v>
      </c>
      <c r="DO123" s="81"/>
      <c r="DP123" s="81"/>
      <c r="DQ123" s="81"/>
      <c r="DR123" s="81"/>
      <c r="DS123" s="81"/>
      <c r="DT123" s="81"/>
      <c r="DU123" s="81"/>
      <c r="DV123" s="81"/>
      <c r="DW123" s="81"/>
      <c r="DX123" s="81"/>
      <c r="DY123" s="81"/>
      <c r="DZ123" s="81"/>
      <c r="EA123" s="81"/>
      <c r="EB123" s="81"/>
      <c r="EC123" s="81"/>
      <c r="ED123" s="81"/>
      <c r="EE123" s="81"/>
      <c r="EF123" s="81"/>
      <c r="EG123" s="81"/>
      <c r="EH123" s="81"/>
      <c r="EI123" s="81"/>
      <c r="EJ123" s="81"/>
      <c r="EK123" s="81"/>
      <c r="EL123" s="81"/>
    </row>
    <row r="124" spans="1:142" s="50" customFormat="1" ht="73.5" hidden="1" customHeight="1">
      <c r="A124" s="6">
        <f t="shared" si="140"/>
        <v>111</v>
      </c>
      <c r="B124" s="886" t="s">
        <v>43</v>
      </c>
      <c r="C124" s="886" t="s">
        <v>53</v>
      </c>
      <c r="D124" s="886" t="s">
        <v>46</v>
      </c>
      <c r="E124" s="886">
        <v>4633022993</v>
      </c>
      <c r="F124" s="886" t="s">
        <v>8</v>
      </c>
      <c r="G124" s="888" t="s">
        <v>974</v>
      </c>
      <c r="H124" s="925">
        <v>1701.14</v>
      </c>
      <c r="I124" s="891"/>
      <c r="J124" s="891">
        <v>1701.14</v>
      </c>
      <c r="K124" s="891">
        <v>1701.14</v>
      </c>
      <c r="L124" s="891"/>
      <c r="M124" s="892"/>
      <c r="N124" s="927">
        <v>1837.55</v>
      </c>
      <c r="O124" s="928"/>
      <c r="P124" s="928">
        <v>1837.55</v>
      </c>
      <c r="Q124" s="928">
        <v>1837.55</v>
      </c>
      <c r="R124" s="891"/>
      <c r="S124" s="892"/>
      <c r="T124" s="1012"/>
      <c r="U124" s="919">
        <f>26686.2284-0.168</f>
        <v>26686.060399999998</v>
      </c>
      <c r="V124" s="919">
        <v>6671.5571</v>
      </c>
      <c r="W124" s="1003"/>
      <c r="X124" s="1003"/>
      <c r="Y124" s="1003"/>
      <c r="Z124" s="898">
        <f>SUM(T124:W124)</f>
        <v>33357.6175</v>
      </c>
      <c r="AA124" s="1013"/>
      <c r="AB124" s="919">
        <v>9510.5059119999987</v>
      </c>
      <c r="AC124" s="919">
        <v>2377.6264779999997</v>
      </c>
      <c r="AD124" s="1003"/>
      <c r="AE124" s="1003"/>
      <c r="AF124" s="1003">
        <v>0</v>
      </c>
      <c r="AG124" s="900">
        <f>SUM(AA124:AD124)</f>
        <v>11888.132389999999</v>
      </c>
      <c r="AH124" s="896">
        <f>Z124+AG124</f>
        <v>45245.749889999999</v>
      </c>
      <c r="AI124" s="897">
        <f t="shared" si="150"/>
        <v>0</v>
      </c>
      <c r="AJ124" s="1022">
        <f t="shared" si="150"/>
        <v>36196.566311999995</v>
      </c>
      <c r="AK124" s="897">
        <f t="shared" si="150"/>
        <v>9049.1835780000001</v>
      </c>
      <c r="AL124" s="897">
        <f t="shared" si="150"/>
        <v>0</v>
      </c>
      <c r="AM124" s="897">
        <f t="shared" si="150"/>
        <v>0</v>
      </c>
      <c r="AN124" s="897"/>
      <c r="AO124" s="897">
        <f t="shared" si="154"/>
        <v>45245.749889999992</v>
      </c>
      <c r="AP124" s="897">
        <f t="shared" si="155"/>
        <v>45245.749889999992</v>
      </c>
      <c r="AQ124" s="1011">
        <f t="shared" si="98"/>
        <v>45245.749889999992</v>
      </c>
      <c r="AR124" s="902">
        <f t="shared" si="132"/>
        <v>0</v>
      </c>
      <c r="AS124" s="903">
        <f t="shared" si="174"/>
        <v>0</v>
      </c>
      <c r="AT124" s="897">
        <f t="shared" si="174"/>
        <v>61575426.815995678</v>
      </c>
      <c r="AU124" s="897">
        <f t="shared" si="174"/>
        <v>15393928.151878921</v>
      </c>
      <c r="AV124" s="897">
        <f t="shared" si="174"/>
        <v>0</v>
      </c>
      <c r="AW124" s="897">
        <f t="shared" si="174"/>
        <v>0</v>
      </c>
      <c r="AX124" s="897">
        <f t="shared" si="99"/>
        <v>76969354.967874601</v>
      </c>
      <c r="AY124" s="897">
        <f t="shared" si="100"/>
        <v>76969354.967874601</v>
      </c>
      <c r="AZ124" s="897">
        <f t="shared" si="159"/>
        <v>0</v>
      </c>
      <c r="BA124" s="897">
        <f t="shared" si="159"/>
        <v>66513000.426615588</v>
      </c>
      <c r="BB124" s="897">
        <f t="shared" si="159"/>
        <v>16628327.2837539</v>
      </c>
      <c r="BC124" s="897">
        <f t="shared" si="159"/>
        <v>0</v>
      </c>
      <c r="BD124" s="897">
        <f t="shared" si="173"/>
        <v>0</v>
      </c>
      <c r="BE124" s="897">
        <f t="shared" si="101"/>
        <v>83141327.710369483</v>
      </c>
      <c r="BF124" s="901">
        <f t="shared" si="102"/>
        <v>83141327.710369483</v>
      </c>
      <c r="BG124" s="904"/>
      <c r="BH124" s="897"/>
      <c r="BI124" s="897">
        <f t="shared" si="171"/>
        <v>0</v>
      </c>
      <c r="BJ124" s="987">
        <v>79682.927563749559</v>
      </c>
      <c r="BK124" s="1194">
        <v>89725.693499999994</v>
      </c>
      <c r="BL124" s="897">
        <f t="shared" si="169"/>
        <v>0</v>
      </c>
      <c r="BM124" s="897">
        <f t="shared" si="169"/>
        <v>45396724.788856</v>
      </c>
      <c r="BN124" s="897">
        <f t="shared" si="169"/>
        <v>11349252.645094</v>
      </c>
      <c r="BO124" s="897">
        <f t="shared" si="169"/>
        <v>0</v>
      </c>
      <c r="BP124" s="897">
        <f t="shared" si="169"/>
        <v>0</v>
      </c>
      <c r="BQ124" s="897">
        <f t="shared" si="144"/>
        <v>56745977.43395</v>
      </c>
      <c r="BR124" s="897">
        <f t="shared" si="145"/>
        <v>56745977.43395</v>
      </c>
      <c r="BS124" s="897">
        <f t="shared" si="170"/>
        <v>0</v>
      </c>
      <c r="BT124" s="897">
        <f t="shared" si="170"/>
        <v>17476030.138595596</v>
      </c>
      <c r="BU124" s="897">
        <f t="shared" si="170"/>
        <v>4369007.534648899</v>
      </c>
      <c r="BV124" s="897">
        <f t="shared" si="146"/>
        <v>0</v>
      </c>
      <c r="BW124" s="897">
        <f t="shared" si="112"/>
        <v>0</v>
      </c>
      <c r="BX124" s="897">
        <f t="shared" si="147"/>
        <v>21845037.673244495</v>
      </c>
      <c r="BY124" s="897">
        <f t="shared" si="148"/>
        <v>21845037.673244495</v>
      </c>
      <c r="BZ124" s="905">
        <f t="shared" si="110"/>
        <v>62872754.927451596</v>
      </c>
      <c r="CA124" s="905">
        <f t="shared" si="110"/>
        <v>15718260.179742899</v>
      </c>
      <c r="CB124" s="905">
        <f t="shared" si="149"/>
        <v>78591015.107194498</v>
      </c>
      <c r="CC124" s="907">
        <f t="shared" si="111"/>
        <v>1736.9811927881078</v>
      </c>
      <c r="CD124" s="907">
        <f t="shared" si="111"/>
        <v>1736.9810264382834</v>
      </c>
      <c r="CE124" s="907">
        <f t="shared" si="133"/>
        <v>1736.9811595180197</v>
      </c>
      <c r="CF124" s="907">
        <f t="shared" si="113"/>
        <v>1736.9811595180195</v>
      </c>
      <c r="CG124" s="923">
        <f t="shared" si="114"/>
        <v>0</v>
      </c>
      <c r="CH124" s="923">
        <f t="shared" si="134"/>
        <v>0</v>
      </c>
      <c r="CI124" s="979"/>
      <c r="CJ124" s="897">
        <f t="shared" si="151"/>
        <v>61296.290037125</v>
      </c>
      <c r="CK124" s="897">
        <f>(N124*AG124/1000)+0.22</f>
        <v>21845.257673244501</v>
      </c>
      <c r="CL124" s="922">
        <f>CJ124+CK124</f>
        <v>83141.547710369501</v>
      </c>
      <c r="CM124" s="897">
        <f t="shared" si="135"/>
        <v>83141.3277103695</v>
      </c>
      <c r="CN124" s="897">
        <f t="shared" si="136"/>
        <v>-0.22000000000116415</v>
      </c>
      <c r="CO124" s="897">
        <f t="shared" si="116"/>
        <v>78591015.107194513</v>
      </c>
      <c r="CP124" s="897">
        <f t="shared" si="117"/>
        <v>76969354.967874601</v>
      </c>
      <c r="CQ124" s="897">
        <f t="shared" si="118"/>
        <v>76969354.967874587</v>
      </c>
      <c r="CR124" s="897">
        <f t="shared" si="119"/>
        <v>56745977.43395</v>
      </c>
      <c r="CS124" s="897">
        <f t="shared" si="120"/>
        <v>83141327.710369483</v>
      </c>
      <c r="CT124" s="897">
        <f t="shared" si="121"/>
        <v>83141327.710369483</v>
      </c>
      <c r="CU124" s="897">
        <f t="shared" si="122"/>
        <v>21845037.673244495</v>
      </c>
      <c r="CV124" s="897">
        <f t="shared" si="137"/>
        <v>160110682.67824408</v>
      </c>
      <c r="CW124" s="906">
        <f t="shared" si="138"/>
        <v>3538.6899999999996</v>
      </c>
      <c r="CX124" s="897">
        <f t="shared" si="123"/>
        <v>76969354.967874601</v>
      </c>
      <c r="CY124" s="897">
        <f t="shared" si="124"/>
        <v>83141327.710369483</v>
      </c>
      <c r="CZ124" s="897"/>
      <c r="DA124" s="897">
        <f t="shared" si="125"/>
        <v>76969354.967874601</v>
      </c>
      <c r="DB124" s="897">
        <f t="shared" si="126"/>
        <v>83141327.710369483</v>
      </c>
      <c r="DC124" s="1131"/>
      <c r="DD124" s="40">
        <f t="shared" si="139"/>
        <v>108.01874037410207</v>
      </c>
      <c r="DE124" s="1131"/>
      <c r="DF124" s="1131"/>
      <c r="DG124" s="1131"/>
      <c r="DH124" s="1043">
        <v>45245.752166666702</v>
      </c>
      <c r="DI124" s="1043">
        <v>45245.752166666702</v>
      </c>
      <c r="DJ124" s="1043">
        <f t="shared" si="142"/>
        <v>0</v>
      </c>
      <c r="DK124" s="979"/>
      <c r="DL124" s="908">
        <f t="shared" si="127"/>
        <v>0</v>
      </c>
      <c r="DM124" s="908">
        <f t="shared" si="128"/>
        <v>0</v>
      </c>
      <c r="DN124" s="908">
        <f t="shared" si="129"/>
        <v>0</v>
      </c>
      <c r="DO124" s="81"/>
      <c r="DP124" s="81"/>
      <c r="DQ124" s="81"/>
      <c r="DR124" s="81"/>
      <c r="DS124" s="81"/>
      <c r="DT124" s="81"/>
      <c r="DU124" s="81"/>
      <c r="DV124" s="81"/>
      <c r="DW124" s="81"/>
      <c r="DX124" s="81"/>
      <c r="DY124" s="81"/>
      <c r="DZ124" s="81"/>
      <c r="EA124" s="81"/>
      <c r="EB124" s="81"/>
      <c r="EC124" s="81"/>
      <c r="ED124" s="81"/>
      <c r="EE124" s="81"/>
      <c r="EF124" s="81"/>
      <c r="EG124" s="81"/>
      <c r="EH124" s="81"/>
      <c r="EI124" s="81"/>
      <c r="EJ124" s="81"/>
      <c r="EK124" s="81"/>
      <c r="EL124" s="81"/>
    </row>
    <row r="125" spans="1:142" s="81" customFormat="1" ht="71.25" hidden="1" customHeight="1">
      <c r="A125" s="6">
        <f t="shared" si="140"/>
        <v>112</v>
      </c>
      <c r="B125" s="886" t="s">
        <v>43</v>
      </c>
      <c r="C125" s="886" t="s">
        <v>53</v>
      </c>
      <c r="D125" s="886" t="s">
        <v>166</v>
      </c>
      <c r="E125" s="886">
        <v>4633039010</v>
      </c>
      <c r="F125" s="886" t="s">
        <v>8</v>
      </c>
      <c r="G125" s="888" t="s">
        <v>955</v>
      </c>
      <c r="H125" s="925">
        <v>1571.285756878892</v>
      </c>
      <c r="I125" s="891">
        <v>0</v>
      </c>
      <c r="J125" s="891">
        <v>1571.285756878892</v>
      </c>
      <c r="K125" s="891">
        <v>1571.285756878892</v>
      </c>
      <c r="L125" s="891">
        <v>1571.285756878892</v>
      </c>
      <c r="M125" s="892">
        <v>0</v>
      </c>
      <c r="N125" s="927">
        <v>1717.71</v>
      </c>
      <c r="O125" s="928"/>
      <c r="P125" s="928">
        <v>1717.71</v>
      </c>
      <c r="Q125" s="928">
        <v>1717.71</v>
      </c>
      <c r="R125" s="891">
        <v>1717.71</v>
      </c>
      <c r="S125" s="926"/>
      <c r="T125" s="903">
        <v>0</v>
      </c>
      <c r="U125" s="919">
        <v>4001.3144500000003</v>
      </c>
      <c r="V125" s="919">
        <v>1700.0879000000002</v>
      </c>
      <c r="W125" s="919">
        <v>180.45496</v>
      </c>
      <c r="X125" s="897">
        <v>0</v>
      </c>
      <c r="Y125" s="897">
        <v>0</v>
      </c>
      <c r="Z125" s="898">
        <f>SUM(T125:W125)</f>
        <v>5881.8573100000003</v>
      </c>
      <c r="AA125" s="904">
        <v>0</v>
      </c>
      <c r="AB125" s="919">
        <v>3234.3355499999998</v>
      </c>
      <c r="AC125" s="919">
        <v>1374.2121000000002</v>
      </c>
      <c r="AD125" s="919">
        <v>145.86503999999999</v>
      </c>
      <c r="AE125" s="919">
        <v>0</v>
      </c>
      <c r="AF125" s="897">
        <v>0</v>
      </c>
      <c r="AG125" s="900">
        <f t="shared" si="131"/>
        <v>4754.4126900000001</v>
      </c>
      <c r="AH125" s="896">
        <f>Z125+AG125</f>
        <v>10636.27</v>
      </c>
      <c r="AI125" s="897">
        <f t="shared" si="150"/>
        <v>0</v>
      </c>
      <c r="AJ125" s="897">
        <f t="shared" si="150"/>
        <v>7235.65</v>
      </c>
      <c r="AK125" s="897">
        <f t="shared" si="150"/>
        <v>3074.3</v>
      </c>
      <c r="AL125" s="897">
        <f t="shared" si="150"/>
        <v>326.32</v>
      </c>
      <c r="AM125" s="897">
        <f t="shared" si="150"/>
        <v>0</v>
      </c>
      <c r="AN125" s="897">
        <v>0</v>
      </c>
      <c r="AO125" s="897">
        <f t="shared" si="154"/>
        <v>10636.27</v>
      </c>
      <c r="AP125" s="897">
        <f t="shared" si="155"/>
        <v>10636.27</v>
      </c>
      <c r="AQ125" s="901">
        <f t="shared" si="98"/>
        <v>10636.27</v>
      </c>
      <c r="AR125" s="902">
        <f t="shared" si="132"/>
        <v>0</v>
      </c>
      <c r="AS125" s="903">
        <f t="shared" si="174"/>
        <v>0</v>
      </c>
      <c r="AT125" s="897">
        <f t="shared" si="174"/>
        <v>11369273.786760755</v>
      </c>
      <c r="AU125" s="897">
        <f t="shared" si="174"/>
        <v>4830603.8023727778</v>
      </c>
      <c r="AV125" s="897">
        <f t="shared" si="174"/>
        <v>512741.96818472003</v>
      </c>
      <c r="AW125" s="897">
        <f t="shared" si="174"/>
        <v>0</v>
      </c>
      <c r="AX125" s="897">
        <f t="shared" si="99"/>
        <v>16712619.557318253</v>
      </c>
      <c r="AY125" s="897">
        <f t="shared" si="100"/>
        <v>16712619.557318253</v>
      </c>
      <c r="AZ125" s="897">
        <f t="shared" si="159"/>
        <v>0</v>
      </c>
      <c r="BA125" s="897">
        <f t="shared" si="159"/>
        <v>12428748.361499999</v>
      </c>
      <c r="BB125" s="897">
        <f t="shared" si="159"/>
        <v>5280755.8530000001</v>
      </c>
      <c r="BC125" s="897">
        <f t="shared" si="159"/>
        <v>560523.12719999999</v>
      </c>
      <c r="BD125" s="897">
        <f t="shared" si="173"/>
        <v>0</v>
      </c>
      <c r="BE125" s="897">
        <f t="shared" si="101"/>
        <v>18270027.341699999</v>
      </c>
      <c r="BF125" s="901">
        <f t="shared" si="102"/>
        <v>18270027.341699999</v>
      </c>
      <c r="BG125" s="904">
        <v>0</v>
      </c>
      <c r="BH125" s="897">
        <v>0</v>
      </c>
      <c r="BI125" s="897">
        <f t="shared" si="171"/>
        <v>0</v>
      </c>
      <c r="BJ125" s="919">
        <v>17408.819379827219</v>
      </c>
      <c r="BK125" s="1203">
        <v>20719.660000000003</v>
      </c>
      <c r="BL125" s="897">
        <f t="shared" si="169"/>
        <v>0</v>
      </c>
      <c r="BM125" s="897">
        <f t="shared" si="169"/>
        <v>6287208.4040786978</v>
      </c>
      <c r="BN125" s="897">
        <f t="shared" si="169"/>
        <v>2671323.9027121463</v>
      </c>
      <c r="BO125" s="897">
        <f t="shared" si="169"/>
        <v>283546.3084061502</v>
      </c>
      <c r="BP125" s="897">
        <f t="shared" si="169"/>
        <v>0</v>
      </c>
      <c r="BQ125" s="897">
        <f>BL125+BM125+BN125+BO125+BP125</f>
        <v>9242078.6151969936</v>
      </c>
      <c r="BR125" s="897">
        <f t="shared" si="145"/>
        <v>9242078.6151969936</v>
      </c>
      <c r="BS125" s="897">
        <f t="shared" si="170"/>
        <v>0</v>
      </c>
      <c r="BT125" s="897">
        <f t="shared" si="170"/>
        <v>5555650.5175904995</v>
      </c>
      <c r="BU125" s="897">
        <f t="shared" si="170"/>
        <v>2360497.8662910005</v>
      </c>
      <c r="BV125" s="897">
        <f t="shared" si="146"/>
        <v>309969.28934160003</v>
      </c>
      <c r="BW125" s="897">
        <f t="shared" si="112"/>
        <v>0</v>
      </c>
      <c r="BX125" s="897">
        <f t="shared" si="147"/>
        <v>8226117.6732230997</v>
      </c>
      <c r="BY125" s="897">
        <f t="shared" si="148"/>
        <v>8226117.6732230997</v>
      </c>
      <c r="BZ125" s="905">
        <f t="shared" si="110"/>
        <v>11842858.921669196</v>
      </c>
      <c r="CA125" s="905">
        <f t="shared" si="110"/>
        <v>5031821.7690031473</v>
      </c>
      <c r="CB125" s="905">
        <f t="shared" si="149"/>
        <v>16874680.690672345</v>
      </c>
      <c r="CC125" s="907">
        <f t="shared" si="111"/>
        <v>1636.7373935540272</v>
      </c>
      <c r="CD125" s="907">
        <f t="shared" si="111"/>
        <v>1636.7373935540277</v>
      </c>
      <c r="CE125" s="907">
        <f t="shared" si="133"/>
        <v>1636.7373935540274</v>
      </c>
      <c r="CF125" s="907">
        <f t="shared" si="113"/>
        <v>1636.7373935540274</v>
      </c>
      <c r="CG125" s="923">
        <f t="shared" si="114"/>
        <v>0</v>
      </c>
      <c r="CH125" s="923">
        <f t="shared" si="134"/>
        <v>0</v>
      </c>
      <c r="CI125" s="979"/>
      <c r="CJ125" s="897">
        <f t="shared" si="151"/>
        <v>10103.325119960102</v>
      </c>
      <c r="CK125" s="897">
        <f t="shared" si="115"/>
        <v>8166.7022217398999</v>
      </c>
      <c r="CL125" s="897">
        <f>CJ125+CK125</f>
        <v>18270.027341700003</v>
      </c>
      <c r="CM125" s="897">
        <f t="shared" si="135"/>
        <v>18270.027341700003</v>
      </c>
      <c r="CN125" s="897">
        <f t="shared" si="136"/>
        <v>0</v>
      </c>
      <c r="CO125" s="897">
        <f t="shared" si="116"/>
        <v>17408780.836936895</v>
      </c>
      <c r="CP125" s="897">
        <f t="shared" si="117"/>
        <v>16712619.557318253</v>
      </c>
      <c r="CQ125" s="897">
        <f t="shared" si="118"/>
        <v>16712619.557318255</v>
      </c>
      <c r="CR125" s="897">
        <f t="shared" si="119"/>
        <v>9242078.6151969936</v>
      </c>
      <c r="CS125" s="897">
        <f t="shared" si="120"/>
        <v>18270027.341699999</v>
      </c>
      <c r="CT125" s="897">
        <f t="shared" si="121"/>
        <v>18270027.341700003</v>
      </c>
      <c r="CU125" s="897">
        <f t="shared" si="122"/>
        <v>8166702.2217399003</v>
      </c>
      <c r="CV125" s="897">
        <f t="shared" si="137"/>
        <v>34982646.89901825</v>
      </c>
      <c r="CW125" s="906">
        <f t="shared" si="138"/>
        <v>3288.9957568788918</v>
      </c>
      <c r="CX125" s="897">
        <f t="shared" si="123"/>
        <v>16199877.589133533</v>
      </c>
      <c r="CY125" s="897">
        <f t="shared" si="124"/>
        <v>17709504.214499999</v>
      </c>
      <c r="CZ125" s="897"/>
      <c r="DA125" s="897">
        <f t="shared" si="125"/>
        <v>16712619.557318253</v>
      </c>
      <c r="DB125" s="897">
        <f t="shared" si="126"/>
        <v>18270027.341699999</v>
      </c>
      <c r="DC125" s="1131"/>
      <c r="DD125" s="40">
        <f t="shared" si="139"/>
        <v>109.31875328724144</v>
      </c>
      <c r="DE125" s="1131"/>
      <c r="DF125" s="1131"/>
      <c r="DG125" s="1131"/>
      <c r="DH125" s="897">
        <v>8204.75</v>
      </c>
      <c r="DI125" s="897">
        <v>7915.04</v>
      </c>
      <c r="DJ125" s="897">
        <f t="shared" si="142"/>
        <v>289.71000000000004</v>
      </c>
      <c r="DK125" s="979"/>
      <c r="DL125" s="908">
        <f t="shared" si="127"/>
        <v>0</v>
      </c>
      <c r="DM125" s="908">
        <f t="shared" si="128"/>
        <v>0</v>
      </c>
      <c r="DN125" s="908">
        <f t="shared" si="129"/>
        <v>0</v>
      </c>
    </row>
    <row r="126" spans="1:142" s="50" customFormat="1" ht="78" hidden="1" customHeight="1">
      <c r="A126" s="6">
        <f t="shared" si="140"/>
        <v>113</v>
      </c>
      <c r="B126" s="886" t="s">
        <v>47</v>
      </c>
      <c r="C126" s="1338" t="s">
        <v>56</v>
      </c>
      <c r="D126" s="1338" t="s">
        <v>984</v>
      </c>
      <c r="E126" s="1338">
        <v>4632121159</v>
      </c>
      <c r="F126" s="1338" t="s">
        <v>8</v>
      </c>
      <c r="G126" s="1347" t="s">
        <v>985</v>
      </c>
      <c r="H126" s="925">
        <v>2115.6799999999998</v>
      </c>
      <c r="I126" s="891">
        <v>2115.6799999999998</v>
      </c>
      <c r="J126" s="891">
        <v>2115.6799999999998</v>
      </c>
      <c r="K126" s="891"/>
      <c r="L126" s="891">
        <v>2115.6799999999998</v>
      </c>
      <c r="M126" s="946"/>
      <c r="N126" s="959">
        <v>2391.91</v>
      </c>
      <c r="O126" s="891">
        <v>2391.91</v>
      </c>
      <c r="P126" s="891">
        <v>2391.91</v>
      </c>
      <c r="Q126" s="891"/>
      <c r="R126" s="891">
        <v>2391.91</v>
      </c>
      <c r="S126" s="946"/>
      <c r="T126" s="1339">
        <v>2969.9339999999997</v>
      </c>
      <c r="U126" s="1264">
        <v>75174.8</v>
      </c>
      <c r="V126" s="1344">
        <v>0</v>
      </c>
      <c r="W126" s="1264">
        <v>2375.1547921505057</v>
      </c>
      <c r="X126" s="1344">
        <v>0</v>
      </c>
      <c r="Y126" s="1344"/>
      <c r="Z126" s="1345">
        <f>SUM(T126:W126)</f>
        <v>80519.888792150508</v>
      </c>
      <c r="AA126" s="1319">
        <v>2640.0660000000003</v>
      </c>
      <c r="AB126" s="1264">
        <v>66825.2</v>
      </c>
      <c r="AC126" s="1344">
        <v>0</v>
      </c>
      <c r="AD126" s="1264">
        <v>3488.6452078494972</v>
      </c>
      <c r="AE126" s="1344">
        <v>0</v>
      </c>
      <c r="AF126" s="1344">
        <v>0</v>
      </c>
      <c r="AG126" s="1346">
        <f>SUM(AA126:AD126)</f>
        <v>72953.911207849495</v>
      </c>
      <c r="AH126" s="1295">
        <f>Z126+AG126</f>
        <v>153473.79999999999</v>
      </c>
      <c r="AI126" s="1264">
        <f>T126+AA126</f>
        <v>5610</v>
      </c>
      <c r="AJ126" s="1264">
        <f>U126+AB126</f>
        <v>142000</v>
      </c>
      <c r="AK126" s="1344">
        <f>V126+AC126</f>
        <v>0</v>
      </c>
      <c r="AL126" s="1264">
        <f>W126+AD126</f>
        <v>5863.8000000000029</v>
      </c>
      <c r="AM126" s="1344">
        <f t="shared" si="150"/>
        <v>0</v>
      </c>
      <c r="AN126" s="1344"/>
      <c r="AO126" s="1264">
        <f>SUM(AI126:AN126)</f>
        <v>153473.79999999999</v>
      </c>
      <c r="AP126" s="1264">
        <f>SUM(AI126:AM126)</f>
        <v>153473.79999999999</v>
      </c>
      <c r="AQ126" s="1340">
        <f>SUM(AI126:AL126)</f>
        <v>153473.79999999999</v>
      </c>
      <c r="AR126" s="1016">
        <f t="shared" si="132"/>
        <v>0</v>
      </c>
      <c r="AS126" s="1024">
        <f t="shared" si="174"/>
        <v>11868964.799999999</v>
      </c>
      <c r="AT126" s="1023">
        <f t="shared" si="174"/>
        <v>300426560</v>
      </c>
      <c r="AU126" s="1023">
        <f t="shared" si="174"/>
        <v>0</v>
      </c>
      <c r="AV126" s="1023">
        <f t="shared" si="174"/>
        <v>12405924.384000005</v>
      </c>
      <c r="AW126" s="1023">
        <f t="shared" si="174"/>
        <v>0</v>
      </c>
      <c r="AX126" s="1023">
        <f t="shared" si="99"/>
        <v>324701449.18400002</v>
      </c>
      <c r="AY126" s="1023">
        <f t="shared" si="100"/>
        <v>324701449.18400002</v>
      </c>
      <c r="AZ126" s="1023">
        <f t="shared" si="159"/>
        <v>13418615.1</v>
      </c>
      <c r="BA126" s="1023">
        <f t="shared" si="159"/>
        <v>339651220</v>
      </c>
      <c r="BB126" s="1023">
        <f t="shared" si="159"/>
        <v>0</v>
      </c>
      <c r="BC126" s="1023">
        <f t="shared" si="159"/>
        <v>14025681.858000007</v>
      </c>
      <c r="BD126" s="1023">
        <f t="shared" si="173"/>
        <v>0</v>
      </c>
      <c r="BE126" s="1023">
        <f t="shared" si="101"/>
        <v>367095516.958</v>
      </c>
      <c r="BF126" s="1025">
        <f t="shared" si="102"/>
        <v>367095516.958</v>
      </c>
      <c r="BG126" s="1026"/>
      <c r="BH126" s="1023"/>
      <c r="BI126" s="1023">
        <f t="shared" si="171"/>
        <v>0</v>
      </c>
      <c r="BJ126" s="962">
        <v>325911.25590898877</v>
      </c>
      <c r="BK126" s="1204"/>
      <c r="BL126" s="1023">
        <f>I126*T126</f>
        <v>6283429.9651199989</v>
      </c>
      <c r="BM126" s="1023">
        <f>J126*U126</f>
        <v>159045820.86399999</v>
      </c>
      <c r="BN126" s="1023">
        <f t="shared" si="169"/>
        <v>0</v>
      </c>
      <c r="BO126" s="1023">
        <f>L126*W126</f>
        <v>5025067.4906569812</v>
      </c>
      <c r="BP126" s="1023">
        <f t="shared" si="169"/>
        <v>0</v>
      </c>
      <c r="BQ126" s="1023">
        <f>BL126+BM126+BN126+BO126+BP126</f>
        <v>170354318.31977695</v>
      </c>
      <c r="BR126" s="1023">
        <f>BQ126-BP126</f>
        <v>170354318.31977695</v>
      </c>
      <c r="BS126" s="1023">
        <f>O126*AA126</f>
        <v>6314800.2660600003</v>
      </c>
      <c r="BT126" s="1023">
        <f>P126*AB126</f>
        <v>159839864.13199997</v>
      </c>
      <c r="BU126" s="1023">
        <f t="shared" si="170"/>
        <v>0</v>
      </c>
      <c r="BV126" s="1023">
        <f>R126*W126</f>
        <v>5681156.4988927161</v>
      </c>
      <c r="BW126" s="1023">
        <f t="shared" si="112"/>
        <v>0</v>
      </c>
      <c r="BX126" s="1023">
        <f>BS126+BT126+BU126+BV126+BW126</f>
        <v>171835820.89695269</v>
      </c>
      <c r="BY126" s="1023">
        <f>BX126-BW126</f>
        <v>171835820.89695269</v>
      </c>
      <c r="BZ126" s="1027">
        <f t="shared" si="110"/>
        <v>318885684.99599993</v>
      </c>
      <c r="CA126" s="1027">
        <f t="shared" si="110"/>
        <v>0</v>
      </c>
      <c r="CB126" s="1027">
        <f t="shared" si="149"/>
        <v>318885684.99599993</v>
      </c>
      <c r="CC126" s="1010">
        <f t="shared" si="111"/>
        <v>2245.6738379999997</v>
      </c>
      <c r="CD126" s="1010" t="e">
        <f t="shared" si="111"/>
        <v>#DIV/0!</v>
      </c>
      <c r="CE126" s="1010">
        <f t="shared" si="133"/>
        <v>2245.6738379999997</v>
      </c>
      <c r="CF126" s="1010">
        <f t="shared" si="113"/>
        <v>2245.6738379999997</v>
      </c>
      <c r="CG126" s="1028">
        <f t="shared" si="114"/>
        <v>318885684.99599993</v>
      </c>
      <c r="CH126" s="1028">
        <f t="shared" si="134"/>
        <v>2245.6738379999997</v>
      </c>
      <c r="CI126" s="979"/>
      <c r="CJ126" s="1029">
        <f t="shared" si="151"/>
        <v>192596.32720083272</v>
      </c>
      <c r="CK126" s="1029">
        <f t="shared" si="115"/>
        <v>174499.18975716727</v>
      </c>
      <c r="CL126" s="1029">
        <f>CJ126+CK126+0.16668498882791</f>
        <v>367095.68364298885</v>
      </c>
      <c r="CM126" s="897">
        <f t="shared" si="135"/>
        <v>367095.51695799996</v>
      </c>
      <c r="CN126" s="897">
        <f t="shared" si="136"/>
        <v>-0.16668498888611794</v>
      </c>
      <c r="CO126" s="1023">
        <f t="shared" si="116"/>
        <v>344853508.07694423</v>
      </c>
      <c r="CP126" s="1023">
        <f t="shared" si="117"/>
        <v>324701449.18400002</v>
      </c>
      <c r="CQ126" s="1023">
        <f t="shared" si="118"/>
        <v>324701449.18400002</v>
      </c>
      <c r="CR126" s="1023">
        <f t="shared" si="119"/>
        <v>170354318.31977695</v>
      </c>
      <c r="CS126" s="1023">
        <f t="shared" si="120"/>
        <v>367095516.958</v>
      </c>
      <c r="CT126" s="1023">
        <f t="shared" si="121"/>
        <v>367095516.958</v>
      </c>
      <c r="CU126" s="1023">
        <f t="shared" si="122"/>
        <v>174499189.75716725</v>
      </c>
      <c r="CV126" s="1023">
        <f t="shared" si="137"/>
        <v>691796966.14199996</v>
      </c>
      <c r="CW126" s="1030">
        <f t="shared" si="138"/>
        <v>4507.59</v>
      </c>
      <c r="CX126" s="1023">
        <f t="shared" si="123"/>
        <v>300426560</v>
      </c>
      <c r="CY126" s="1023">
        <f t="shared" si="124"/>
        <v>339651220</v>
      </c>
      <c r="CZ126" s="1023"/>
      <c r="DA126" s="1023">
        <f t="shared" si="125"/>
        <v>324701449.18400002</v>
      </c>
      <c r="DB126" s="1023">
        <f t="shared" si="126"/>
        <v>367095516.958</v>
      </c>
      <c r="DC126" s="1131"/>
      <c r="DD126" s="872">
        <f t="shared" si="139"/>
        <v>113.05632231717462</v>
      </c>
      <c r="DE126" s="1131"/>
      <c r="DF126" s="1131"/>
      <c r="DG126" s="1131"/>
      <c r="DH126" s="1138">
        <v>154045.54999999999</v>
      </c>
      <c r="DI126" s="1138">
        <v>140500</v>
      </c>
      <c r="DJ126" s="1138">
        <f t="shared" si="142"/>
        <v>13545.549999999988</v>
      </c>
      <c r="DK126" s="979"/>
      <c r="DL126" s="962">
        <f t="shared" si="127"/>
        <v>0</v>
      </c>
      <c r="DM126" s="962">
        <f t="shared" si="128"/>
        <v>0</v>
      </c>
      <c r="DN126" s="962">
        <f t="shared" si="129"/>
        <v>0</v>
      </c>
      <c r="DO126" s="81"/>
      <c r="DP126" s="81"/>
      <c r="DQ126" s="81"/>
      <c r="DR126" s="81"/>
      <c r="DS126" s="81"/>
      <c r="DT126" s="81"/>
      <c r="DU126" s="81"/>
      <c r="DV126" s="81"/>
      <c r="DW126" s="81"/>
      <c r="DX126" s="81"/>
      <c r="DY126" s="81"/>
      <c r="DZ126" s="81"/>
      <c r="EA126" s="81"/>
      <c r="EB126" s="81"/>
      <c r="EC126" s="81"/>
      <c r="ED126" s="81"/>
      <c r="EE126" s="81"/>
      <c r="EF126" s="81"/>
      <c r="EG126" s="81"/>
      <c r="EH126" s="81"/>
      <c r="EI126" s="81"/>
      <c r="EJ126" s="81"/>
      <c r="EK126" s="81"/>
      <c r="EL126" s="81"/>
    </row>
    <row r="127" spans="1:142" s="50" customFormat="1" ht="72" hidden="1" customHeight="1">
      <c r="A127" s="6">
        <f t="shared" si="140"/>
        <v>114</v>
      </c>
      <c r="B127" s="886" t="s">
        <v>47</v>
      </c>
      <c r="C127" s="886" t="s">
        <v>56</v>
      </c>
      <c r="D127" s="886" t="s">
        <v>224</v>
      </c>
      <c r="E127" s="1031">
        <v>4632113278</v>
      </c>
      <c r="F127" s="957" t="s">
        <v>8</v>
      </c>
      <c r="G127" s="1032" t="s">
        <v>973</v>
      </c>
      <c r="H127" s="925">
        <v>1521.43</v>
      </c>
      <c r="I127" s="891"/>
      <c r="J127" s="891">
        <v>1521.43</v>
      </c>
      <c r="K127" s="891"/>
      <c r="L127" s="891"/>
      <c r="M127" s="892"/>
      <c r="N127" s="984">
        <v>1740.52</v>
      </c>
      <c r="O127" s="895"/>
      <c r="P127" s="895">
        <v>1740.52</v>
      </c>
      <c r="Q127" s="895"/>
      <c r="R127" s="891"/>
      <c r="S127" s="892"/>
      <c r="T127" s="960">
        <v>0</v>
      </c>
      <c r="U127" s="919">
        <v>3227.71</v>
      </c>
      <c r="V127" s="919">
        <v>0</v>
      </c>
      <c r="W127" s="919">
        <v>0</v>
      </c>
      <c r="X127" s="919"/>
      <c r="Y127" s="919"/>
      <c r="Z127" s="898">
        <f t="shared" si="130"/>
        <v>3227.71</v>
      </c>
      <c r="AA127" s="961">
        <v>0</v>
      </c>
      <c r="AB127" s="919">
        <v>2474.79</v>
      </c>
      <c r="AC127" s="919">
        <v>0</v>
      </c>
      <c r="AD127" s="919">
        <v>0</v>
      </c>
      <c r="AE127" s="919"/>
      <c r="AF127" s="919">
        <v>0</v>
      </c>
      <c r="AG127" s="900">
        <f t="shared" si="131"/>
        <v>2474.79</v>
      </c>
      <c r="AH127" s="896">
        <f>Z127+AG127</f>
        <v>5702.5</v>
      </c>
      <c r="AI127" s="897">
        <f t="shared" si="150"/>
        <v>0</v>
      </c>
      <c r="AJ127" s="897">
        <f t="shared" si="150"/>
        <v>5702.5</v>
      </c>
      <c r="AK127" s="897">
        <f t="shared" si="150"/>
        <v>0</v>
      </c>
      <c r="AL127" s="897">
        <f t="shared" si="150"/>
        <v>0</v>
      </c>
      <c r="AM127" s="897">
        <f t="shared" si="150"/>
        <v>0</v>
      </c>
      <c r="AN127" s="897"/>
      <c r="AO127" s="897">
        <f t="shared" si="154"/>
        <v>5702.5</v>
      </c>
      <c r="AP127" s="897">
        <f t="shared" si="155"/>
        <v>5702.5</v>
      </c>
      <c r="AQ127" s="1011">
        <f t="shared" si="98"/>
        <v>5702.5</v>
      </c>
      <c r="AR127" s="902">
        <f t="shared" si="132"/>
        <v>0</v>
      </c>
      <c r="AS127" s="903">
        <f t="shared" si="174"/>
        <v>0</v>
      </c>
      <c r="AT127" s="897">
        <f t="shared" si="174"/>
        <v>8675954.5750000011</v>
      </c>
      <c r="AU127" s="897">
        <f t="shared" si="174"/>
        <v>0</v>
      </c>
      <c r="AV127" s="897">
        <f t="shared" si="174"/>
        <v>0</v>
      </c>
      <c r="AW127" s="897">
        <f t="shared" si="174"/>
        <v>0</v>
      </c>
      <c r="AX127" s="897">
        <f t="shared" si="99"/>
        <v>8675954.5750000011</v>
      </c>
      <c r="AY127" s="897">
        <f t="shared" si="100"/>
        <v>8675954.5750000011</v>
      </c>
      <c r="AZ127" s="897">
        <f t="shared" si="159"/>
        <v>0</v>
      </c>
      <c r="BA127" s="897">
        <f t="shared" si="159"/>
        <v>9925315.3000000007</v>
      </c>
      <c r="BB127" s="897">
        <f t="shared" si="159"/>
        <v>0</v>
      </c>
      <c r="BC127" s="897">
        <f t="shared" si="159"/>
        <v>0</v>
      </c>
      <c r="BD127" s="897">
        <f t="shared" si="173"/>
        <v>0</v>
      </c>
      <c r="BE127" s="897">
        <f t="shared" si="101"/>
        <v>9925315.3000000007</v>
      </c>
      <c r="BF127" s="901">
        <f t="shared" si="102"/>
        <v>9925315.3000000007</v>
      </c>
      <c r="BG127" s="961">
        <v>0</v>
      </c>
      <c r="BH127" s="919">
        <v>0</v>
      </c>
      <c r="BI127" s="897">
        <f t="shared" si="171"/>
        <v>0</v>
      </c>
      <c r="BJ127" s="897">
        <v>10071.76</v>
      </c>
      <c r="BK127" s="1203">
        <v>13008.96</v>
      </c>
      <c r="BL127" s="897">
        <f t="shared" si="169"/>
        <v>0</v>
      </c>
      <c r="BM127" s="897">
        <f t="shared" si="169"/>
        <v>4910734.8253000006</v>
      </c>
      <c r="BN127" s="897">
        <f t="shared" si="169"/>
        <v>0</v>
      </c>
      <c r="BO127" s="897">
        <f t="shared" si="169"/>
        <v>0</v>
      </c>
      <c r="BP127" s="897">
        <f t="shared" si="169"/>
        <v>0</v>
      </c>
      <c r="BQ127" s="897">
        <f t="shared" si="144"/>
        <v>4910734.8253000006</v>
      </c>
      <c r="BR127" s="897">
        <f t="shared" si="145"/>
        <v>4910734.8253000006</v>
      </c>
      <c r="BS127" s="897">
        <f t="shared" si="170"/>
        <v>0</v>
      </c>
      <c r="BT127" s="897">
        <f t="shared" si="170"/>
        <v>4307421.4907999998</v>
      </c>
      <c r="BU127" s="897">
        <f t="shared" si="170"/>
        <v>0</v>
      </c>
      <c r="BV127" s="897">
        <f t="shared" si="146"/>
        <v>0</v>
      </c>
      <c r="BW127" s="897">
        <f t="shared" si="112"/>
        <v>0</v>
      </c>
      <c r="BX127" s="897">
        <f t="shared" si="147"/>
        <v>4307421.4907999998</v>
      </c>
      <c r="BY127" s="897">
        <f t="shared" si="148"/>
        <v>4307421.4907999998</v>
      </c>
      <c r="BZ127" s="905">
        <f t="shared" si="110"/>
        <v>9218156.3161000013</v>
      </c>
      <c r="CA127" s="905">
        <f t="shared" si="110"/>
        <v>0</v>
      </c>
      <c r="CB127" s="905">
        <f t="shared" si="149"/>
        <v>9218156.3161000013</v>
      </c>
      <c r="CC127" s="907">
        <f t="shared" si="111"/>
        <v>1616.5114101008332</v>
      </c>
      <c r="CD127" s="907" t="e">
        <f t="shared" si="111"/>
        <v>#DIV/0!</v>
      </c>
      <c r="CE127" s="907">
        <f t="shared" si="133"/>
        <v>1616.5114101008332</v>
      </c>
      <c r="CF127" s="907">
        <f t="shared" si="113"/>
        <v>1616.5114101008332</v>
      </c>
      <c r="CG127" s="923">
        <f t="shared" si="114"/>
        <v>0</v>
      </c>
      <c r="CH127" s="923">
        <f t="shared" si="134"/>
        <v>0</v>
      </c>
      <c r="CI127" s="979"/>
      <c r="CJ127" s="897">
        <f t="shared" si="151"/>
        <v>5617.8938091999999</v>
      </c>
      <c r="CK127" s="897">
        <f t="shared" si="115"/>
        <v>4307.4214907999994</v>
      </c>
      <c r="CL127" s="922">
        <f>CJ127+CK127-0.02</f>
        <v>9925.295299999998</v>
      </c>
      <c r="CM127" s="897">
        <f t="shared" si="135"/>
        <v>9925.3153000000002</v>
      </c>
      <c r="CN127" s="897">
        <f t="shared" si="136"/>
        <v>2.0000000002255547E-2</v>
      </c>
      <c r="CO127" s="897">
        <f t="shared" si="116"/>
        <v>9218156.3161000013</v>
      </c>
      <c r="CP127" s="897">
        <f t="shared" si="117"/>
        <v>8675954.5750000011</v>
      </c>
      <c r="CQ127" s="897">
        <f t="shared" si="118"/>
        <v>8675954.5750000011</v>
      </c>
      <c r="CR127" s="897">
        <f t="shared" si="119"/>
        <v>4910734.8253000006</v>
      </c>
      <c r="CS127" s="897">
        <f t="shared" si="120"/>
        <v>9925315.3000000007</v>
      </c>
      <c r="CT127" s="897">
        <f t="shared" si="121"/>
        <v>9925315.3000000007</v>
      </c>
      <c r="CU127" s="897">
        <f t="shared" si="122"/>
        <v>4307421.4907999998</v>
      </c>
      <c r="CV127" s="897">
        <f t="shared" si="137"/>
        <v>18601269.875</v>
      </c>
      <c r="CW127" s="906">
        <f t="shared" si="138"/>
        <v>3261.95</v>
      </c>
      <c r="CX127" s="897">
        <f t="shared" si="123"/>
        <v>8675954.5750000011</v>
      </c>
      <c r="CY127" s="897">
        <f t="shared" si="124"/>
        <v>9925315.3000000007</v>
      </c>
      <c r="CZ127" s="897"/>
      <c r="DA127" s="897">
        <f t="shared" si="125"/>
        <v>8675954.5750000011</v>
      </c>
      <c r="DB127" s="897">
        <f t="shared" si="126"/>
        <v>9925315.3000000007</v>
      </c>
      <c r="DC127" s="1131"/>
      <c r="DD127" s="40">
        <f t="shared" si="139"/>
        <v>114.40026816876228</v>
      </c>
      <c r="DE127" s="1131"/>
      <c r="DF127" s="1131"/>
      <c r="DG127" s="1131"/>
      <c r="DH127" s="1043">
        <v>5702.5</v>
      </c>
      <c r="DI127" s="1043">
        <v>5702.5</v>
      </c>
      <c r="DJ127" s="1043">
        <f t="shared" si="142"/>
        <v>0</v>
      </c>
      <c r="DK127" s="979"/>
      <c r="DL127" s="908">
        <f t="shared" si="127"/>
        <v>0</v>
      </c>
      <c r="DM127" s="908">
        <f t="shared" si="128"/>
        <v>0</v>
      </c>
      <c r="DN127" s="908">
        <f t="shared" si="129"/>
        <v>0</v>
      </c>
      <c r="DO127" s="81"/>
      <c r="DP127" s="81"/>
      <c r="DQ127" s="81"/>
      <c r="DR127" s="81"/>
      <c r="DS127" s="81"/>
      <c r="DT127" s="81"/>
      <c r="DU127" s="81"/>
      <c r="DV127" s="81"/>
      <c r="DW127" s="81"/>
      <c r="DX127" s="81"/>
      <c r="DY127" s="81"/>
      <c r="DZ127" s="81"/>
      <c r="EA127" s="81"/>
      <c r="EB127" s="81"/>
      <c r="EC127" s="81"/>
      <c r="ED127" s="81"/>
      <c r="EE127" s="81"/>
      <c r="EF127" s="81"/>
      <c r="EG127" s="81"/>
      <c r="EH127" s="81"/>
      <c r="EI127" s="81"/>
      <c r="EJ127" s="81"/>
      <c r="EK127" s="81"/>
      <c r="EL127" s="81"/>
    </row>
    <row r="128" spans="1:142" s="50" customFormat="1" ht="87" hidden="1" customHeight="1">
      <c r="A128" s="6">
        <f t="shared" si="140"/>
        <v>115</v>
      </c>
      <c r="B128" s="886" t="s">
        <v>47</v>
      </c>
      <c r="C128" s="886" t="s">
        <v>56</v>
      </c>
      <c r="D128" s="1206" t="s">
        <v>162</v>
      </c>
      <c r="E128" s="886">
        <v>5261077695</v>
      </c>
      <c r="F128" s="886" t="s">
        <v>8</v>
      </c>
      <c r="G128" s="888" t="s">
        <v>959</v>
      </c>
      <c r="H128" s="967">
        <v>2617.2537028118982</v>
      </c>
      <c r="I128" s="968">
        <v>2617.2537028118982</v>
      </c>
      <c r="J128" s="968">
        <v>0</v>
      </c>
      <c r="K128" s="968">
        <v>0</v>
      </c>
      <c r="L128" s="968">
        <v>0</v>
      </c>
      <c r="M128" s="969">
        <v>0</v>
      </c>
      <c r="N128" s="1033">
        <v>3009.84</v>
      </c>
      <c r="O128" s="1034">
        <v>3009.84</v>
      </c>
      <c r="P128" s="968">
        <v>0</v>
      </c>
      <c r="Q128" s="968">
        <v>0</v>
      </c>
      <c r="R128" s="891">
        <v>0</v>
      </c>
      <c r="S128" s="969">
        <v>0</v>
      </c>
      <c r="T128" s="935">
        <v>1033.73</v>
      </c>
      <c r="U128" s="931">
        <v>0</v>
      </c>
      <c r="V128" s="1217">
        <v>0</v>
      </c>
      <c r="W128" s="931">
        <v>0</v>
      </c>
      <c r="X128" s="931">
        <v>0</v>
      </c>
      <c r="Y128" s="928">
        <v>779.2</v>
      </c>
      <c r="Z128" s="949">
        <f>SUM(T128:W128)</f>
        <v>1033.73</v>
      </c>
      <c r="AA128" s="939">
        <v>779.84</v>
      </c>
      <c r="AB128" s="1217">
        <v>0</v>
      </c>
      <c r="AC128" s="1217">
        <v>0</v>
      </c>
      <c r="AD128" s="931">
        <v>0</v>
      </c>
      <c r="AE128" s="931">
        <v>0</v>
      </c>
      <c r="AF128" s="931">
        <v>719.26</v>
      </c>
      <c r="AG128" s="951">
        <f>SUM(AA128:AD128)</f>
        <v>779.84</v>
      </c>
      <c r="AH128" s="947">
        <f t="shared" si="143"/>
        <v>1813.5700000000002</v>
      </c>
      <c r="AI128" s="890">
        <f t="shared" si="150"/>
        <v>1813.5700000000002</v>
      </c>
      <c r="AJ128" s="890">
        <f t="shared" si="150"/>
        <v>0</v>
      </c>
      <c r="AK128" s="890">
        <f t="shared" si="150"/>
        <v>0</v>
      </c>
      <c r="AL128" s="890">
        <f t="shared" si="150"/>
        <v>0</v>
      </c>
      <c r="AM128" s="890">
        <f t="shared" si="150"/>
        <v>0</v>
      </c>
      <c r="AN128" s="894">
        <f>Y128+AF128</f>
        <v>1498.46</v>
      </c>
      <c r="AO128" s="890">
        <f t="shared" si="154"/>
        <v>3312.03</v>
      </c>
      <c r="AP128" s="890">
        <f t="shared" si="155"/>
        <v>1813.5700000000002</v>
      </c>
      <c r="AQ128" s="952">
        <f t="shared" si="98"/>
        <v>1813.5700000000002</v>
      </c>
      <c r="AR128" s="973">
        <f t="shared" si="132"/>
        <v>0</v>
      </c>
      <c r="AS128" s="889">
        <f t="shared" si="174"/>
        <v>4746572.7978085745</v>
      </c>
      <c r="AT128" s="890">
        <f t="shared" si="174"/>
        <v>0</v>
      </c>
      <c r="AU128" s="890">
        <f t="shared" si="174"/>
        <v>0</v>
      </c>
      <c r="AV128" s="890">
        <f t="shared" si="174"/>
        <v>0</v>
      </c>
      <c r="AW128" s="890">
        <f t="shared" si="174"/>
        <v>0</v>
      </c>
      <c r="AX128" s="890">
        <f t="shared" si="99"/>
        <v>4746572.7978085745</v>
      </c>
      <c r="AY128" s="890">
        <f t="shared" si="100"/>
        <v>4746572.7978085745</v>
      </c>
      <c r="AZ128" s="890">
        <f t="shared" si="159"/>
        <v>5458555.5288000004</v>
      </c>
      <c r="BA128" s="890">
        <f t="shared" si="159"/>
        <v>0</v>
      </c>
      <c r="BB128" s="890">
        <f t="shared" si="159"/>
        <v>0</v>
      </c>
      <c r="BC128" s="890">
        <f t="shared" si="159"/>
        <v>0</v>
      </c>
      <c r="BD128" s="890">
        <f t="shared" si="173"/>
        <v>0</v>
      </c>
      <c r="BE128" s="890">
        <f t="shared" si="101"/>
        <v>5458555.5288000004</v>
      </c>
      <c r="BF128" s="952">
        <f t="shared" si="102"/>
        <v>5458555.5288000004</v>
      </c>
      <c r="BG128" s="974">
        <v>0</v>
      </c>
      <c r="BH128" s="890">
        <v>0</v>
      </c>
      <c r="BI128" s="890">
        <f t="shared" si="171"/>
        <v>0</v>
      </c>
      <c r="BJ128" s="894">
        <v>7714.12</v>
      </c>
      <c r="BK128" s="1199">
        <v>14352.36</v>
      </c>
      <c r="BL128" s="897">
        <f t="shared" si="169"/>
        <v>2705533.6702077435</v>
      </c>
      <c r="BM128" s="897">
        <f t="shared" si="169"/>
        <v>0</v>
      </c>
      <c r="BN128" s="897">
        <f t="shared" si="169"/>
        <v>0</v>
      </c>
      <c r="BO128" s="897">
        <f t="shared" si="169"/>
        <v>0</v>
      </c>
      <c r="BP128" s="897">
        <f t="shared" si="169"/>
        <v>0</v>
      </c>
      <c r="BQ128" s="897">
        <f t="shared" si="144"/>
        <v>2705533.6702077435</v>
      </c>
      <c r="BR128" s="897">
        <f t="shared" si="145"/>
        <v>2705533.6702077435</v>
      </c>
      <c r="BS128" s="897">
        <f t="shared" si="170"/>
        <v>2347193.6256000004</v>
      </c>
      <c r="BT128" s="897">
        <f t="shared" si="170"/>
        <v>0</v>
      </c>
      <c r="BU128" s="897">
        <f t="shared" si="170"/>
        <v>0</v>
      </c>
      <c r="BV128" s="897">
        <f t="shared" si="146"/>
        <v>0</v>
      </c>
      <c r="BW128" s="897">
        <f t="shared" si="112"/>
        <v>0</v>
      </c>
      <c r="BX128" s="897">
        <f t="shared" si="147"/>
        <v>2347193.6256000004</v>
      </c>
      <c r="BY128" s="897">
        <f t="shared" si="148"/>
        <v>2347193.6256000004</v>
      </c>
      <c r="BZ128" s="905">
        <f t="shared" si="110"/>
        <v>0</v>
      </c>
      <c r="CA128" s="905">
        <f t="shared" si="110"/>
        <v>0</v>
      </c>
      <c r="CB128" s="905">
        <f t="shared" si="149"/>
        <v>0</v>
      </c>
      <c r="CC128" s="907" t="e">
        <f t="shared" si="111"/>
        <v>#DIV/0!</v>
      </c>
      <c r="CD128" s="907" t="e">
        <f t="shared" si="111"/>
        <v>#DIV/0!</v>
      </c>
      <c r="CE128" s="907" t="e">
        <f t="shared" si="133"/>
        <v>#DIV/0!</v>
      </c>
      <c r="CF128" s="907" t="e">
        <f t="shared" si="113"/>
        <v>#DIV/0!</v>
      </c>
      <c r="CG128" s="923">
        <f t="shared" si="114"/>
        <v>0</v>
      </c>
      <c r="CH128" s="923" t="e">
        <f t="shared" si="134"/>
        <v>#DIV/0!</v>
      </c>
      <c r="CI128" s="979"/>
      <c r="CJ128" s="897">
        <f t="shared" si="151"/>
        <v>3111.3619032000001</v>
      </c>
      <c r="CK128" s="897">
        <f t="shared" si="115"/>
        <v>2347.1936256000004</v>
      </c>
      <c r="CL128" s="897">
        <f t="shared" ref="CL128:CL143" si="175">CJ128+CK128</f>
        <v>5458.5555288000005</v>
      </c>
      <c r="CM128" s="897">
        <f t="shared" si="135"/>
        <v>5458.5555288000005</v>
      </c>
      <c r="CN128" s="897">
        <f t="shared" si="136"/>
        <v>0</v>
      </c>
      <c r="CO128" s="897">
        <f t="shared" si="116"/>
        <v>5052727.2958077434</v>
      </c>
      <c r="CP128" s="897">
        <f t="shared" si="117"/>
        <v>4746572.7978085745</v>
      </c>
      <c r="CQ128" s="897">
        <f t="shared" si="118"/>
        <v>4746572.7978085745</v>
      </c>
      <c r="CR128" s="897">
        <f t="shared" si="119"/>
        <v>2705533.6702077435</v>
      </c>
      <c r="CS128" s="897">
        <f t="shared" si="120"/>
        <v>5458555.5288000004</v>
      </c>
      <c r="CT128" s="897">
        <f t="shared" si="121"/>
        <v>5458555.5288000004</v>
      </c>
      <c r="CU128" s="897">
        <f t="shared" si="122"/>
        <v>2347193.6256000004</v>
      </c>
      <c r="CV128" s="897">
        <f t="shared" si="137"/>
        <v>10205128.326608576</v>
      </c>
      <c r="CW128" s="906">
        <f t="shared" si="138"/>
        <v>5627.0937028118988</v>
      </c>
      <c r="CX128" s="897">
        <f t="shared" si="123"/>
        <v>0</v>
      </c>
      <c r="CY128" s="897">
        <f t="shared" si="124"/>
        <v>0</v>
      </c>
      <c r="CZ128" s="897"/>
      <c r="DA128" s="897">
        <f t="shared" si="125"/>
        <v>4746572.7978085745</v>
      </c>
      <c r="DB128" s="897">
        <f t="shared" si="126"/>
        <v>5458555.5288000004</v>
      </c>
      <c r="DC128" s="1131"/>
      <c r="DD128" s="40" t="e">
        <f t="shared" si="139"/>
        <v>#DIV/0!</v>
      </c>
      <c r="DE128" s="1131"/>
      <c r="DF128" s="1131"/>
      <c r="DG128" s="1131"/>
      <c r="DH128" s="1043">
        <v>1957.23</v>
      </c>
      <c r="DI128" s="1043">
        <v>143.89000000000001</v>
      </c>
      <c r="DJ128" s="1043">
        <f t="shared" si="142"/>
        <v>1813.34</v>
      </c>
      <c r="DK128" s="979"/>
      <c r="DL128" s="908">
        <f t="shared" si="127"/>
        <v>0</v>
      </c>
      <c r="DM128" s="908">
        <f t="shared" si="128"/>
        <v>0</v>
      </c>
      <c r="DN128" s="908">
        <f t="shared" si="129"/>
        <v>0</v>
      </c>
      <c r="DO128" s="81"/>
      <c r="DP128" s="81"/>
      <c r="DQ128" s="81"/>
      <c r="DR128" s="81"/>
      <c r="DS128" s="81"/>
      <c r="DT128" s="81"/>
      <c r="DU128" s="81"/>
      <c r="DV128" s="81"/>
      <c r="DW128" s="81"/>
      <c r="DX128" s="81"/>
      <c r="DY128" s="81"/>
      <c r="DZ128" s="81"/>
      <c r="EA128" s="81"/>
      <c r="EB128" s="81"/>
      <c r="EC128" s="81"/>
      <c r="ED128" s="81"/>
      <c r="EE128" s="81"/>
      <c r="EF128" s="81"/>
      <c r="EG128" s="81"/>
      <c r="EH128" s="81"/>
      <c r="EI128" s="81"/>
      <c r="EJ128" s="81"/>
      <c r="EK128" s="81"/>
      <c r="EL128" s="81"/>
    </row>
    <row r="129" spans="1:142" s="50" customFormat="1" ht="81" hidden="1" customHeight="1">
      <c r="A129" s="6">
        <f t="shared" si="140"/>
        <v>116</v>
      </c>
      <c r="B129" s="1219" t="s">
        <v>47</v>
      </c>
      <c r="C129" s="1219" t="s">
        <v>56</v>
      </c>
      <c r="D129" s="1219" t="s">
        <v>254</v>
      </c>
      <c r="E129" s="1219">
        <v>4632000330</v>
      </c>
      <c r="F129" s="1219" t="s">
        <v>8</v>
      </c>
      <c r="G129" s="1222" t="s">
        <v>966</v>
      </c>
      <c r="H129" s="925">
        <v>3400.3919999999998</v>
      </c>
      <c r="I129" s="891">
        <v>3400.3919999999998</v>
      </c>
      <c r="J129" s="891">
        <v>2316.2579351999998</v>
      </c>
      <c r="K129" s="891">
        <v>0</v>
      </c>
      <c r="L129" s="891">
        <v>3400.3919999999998</v>
      </c>
      <c r="M129" s="946">
        <v>2769.9120000000003</v>
      </c>
      <c r="N129" s="959">
        <f>3363.93*1.2</f>
        <v>4036.7159999999994</v>
      </c>
      <c r="O129" s="891">
        <f>N129</f>
        <v>4036.7159999999994</v>
      </c>
      <c r="P129" s="891">
        <v>2536.3000000000002</v>
      </c>
      <c r="Q129" s="891">
        <v>0</v>
      </c>
      <c r="R129" s="891">
        <f>O129</f>
        <v>4036.7159999999994</v>
      </c>
      <c r="S129" s="946">
        <f>2657.9*1.2</f>
        <v>3189.48</v>
      </c>
      <c r="T129" s="903"/>
      <c r="U129" s="897">
        <v>361</v>
      </c>
      <c r="V129" s="897">
        <v>0</v>
      </c>
      <c r="W129" s="897">
        <v>368</v>
      </c>
      <c r="X129" s="897">
        <v>55718</v>
      </c>
      <c r="Y129" s="897">
        <v>0</v>
      </c>
      <c r="Z129" s="898">
        <f>SUM(T129:W129)</f>
        <v>729</v>
      </c>
      <c r="AA129" s="904"/>
      <c r="AB129" s="897">
        <v>271</v>
      </c>
      <c r="AC129" s="897">
        <v>0</v>
      </c>
      <c r="AD129" s="897">
        <v>266</v>
      </c>
      <c r="AE129" s="897">
        <v>41755</v>
      </c>
      <c r="AF129" s="897">
        <v>0</v>
      </c>
      <c r="AG129" s="900">
        <f>SUM(AA129:AD129)</f>
        <v>537</v>
      </c>
      <c r="AH129" s="896">
        <f>Z129+AG129</f>
        <v>1266</v>
      </c>
      <c r="AI129" s="897">
        <f t="shared" si="150"/>
        <v>0</v>
      </c>
      <c r="AJ129" s="897">
        <f t="shared" si="150"/>
        <v>632</v>
      </c>
      <c r="AK129" s="897">
        <f t="shared" si="150"/>
        <v>0</v>
      </c>
      <c r="AL129" s="897">
        <f t="shared" si="150"/>
        <v>634</v>
      </c>
      <c r="AM129" s="897">
        <f t="shared" si="150"/>
        <v>97473</v>
      </c>
      <c r="AN129" s="894"/>
      <c r="AO129" s="897">
        <f>SUM(AI129:AN129)</f>
        <v>98739</v>
      </c>
      <c r="AP129" s="897">
        <f>SUM(AI129:AM129)</f>
        <v>98739</v>
      </c>
      <c r="AQ129" s="901">
        <f>SUM(AI129:AL129)</f>
        <v>1266</v>
      </c>
      <c r="AR129" s="902">
        <f t="shared" si="132"/>
        <v>0</v>
      </c>
      <c r="AS129" s="903">
        <f t="shared" si="174"/>
        <v>0</v>
      </c>
      <c r="AT129" s="897">
        <f t="shared" si="174"/>
        <v>1463875.0150463998</v>
      </c>
      <c r="AU129" s="897">
        <f t="shared" si="174"/>
        <v>0</v>
      </c>
      <c r="AV129" s="897">
        <f t="shared" si="174"/>
        <v>2155848.5279999999</v>
      </c>
      <c r="AW129" s="897">
        <f t="shared" si="174"/>
        <v>269991632.37600005</v>
      </c>
      <c r="AX129" s="897">
        <f t="shared" si="99"/>
        <v>273611355.91904646</v>
      </c>
      <c r="AY129" s="897">
        <f t="shared" si="100"/>
        <v>3619723.5430464</v>
      </c>
      <c r="AZ129" s="897">
        <f t="shared" si="159"/>
        <v>0</v>
      </c>
      <c r="BA129" s="897">
        <f t="shared" si="159"/>
        <v>1602941.6</v>
      </c>
      <c r="BB129" s="897">
        <f t="shared" si="159"/>
        <v>0</v>
      </c>
      <c r="BC129" s="897">
        <f t="shared" si="159"/>
        <v>2559277.9439999997</v>
      </c>
      <c r="BD129" s="897">
        <f t="shared" si="173"/>
        <v>310888184.04000002</v>
      </c>
      <c r="BE129" s="897">
        <f t="shared" si="101"/>
        <v>315050403.58399999</v>
      </c>
      <c r="BF129" s="901">
        <f t="shared" si="102"/>
        <v>4162219.5439999998</v>
      </c>
      <c r="BG129" s="899">
        <v>326.1451419981388</v>
      </c>
      <c r="BH129" s="922">
        <v>338.84355238816403</v>
      </c>
      <c r="BI129" s="922">
        <f t="shared" si="171"/>
        <v>664.98869438630277</v>
      </c>
      <c r="BJ129" s="922">
        <v>243464.50994578368</v>
      </c>
      <c r="BK129" s="1195">
        <v>403257.79639999999</v>
      </c>
      <c r="BL129" s="897">
        <f>I129*T129</f>
        <v>0</v>
      </c>
      <c r="BM129" s="897">
        <f>J129*U129</f>
        <v>836169.11460719991</v>
      </c>
      <c r="BN129" s="897">
        <f>K129*V129</f>
        <v>0</v>
      </c>
      <c r="BO129" s="897">
        <f>L129*W129</f>
        <v>1251344.2560000001</v>
      </c>
      <c r="BP129" s="897">
        <f>M129*X129</f>
        <v>154333956.81600001</v>
      </c>
      <c r="BQ129" s="897">
        <f>BL129+BM129+BN129+BO129+BP129</f>
        <v>156421470.18660721</v>
      </c>
      <c r="BR129" s="897">
        <f>BQ129-BP129</f>
        <v>2087513.3706071973</v>
      </c>
      <c r="BS129" s="897">
        <f>O129*AA129</f>
        <v>0</v>
      </c>
      <c r="BT129" s="897">
        <f>P129*AB129</f>
        <v>687337.3</v>
      </c>
      <c r="BU129" s="897">
        <f t="shared" si="170"/>
        <v>0</v>
      </c>
      <c r="BV129" s="897">
        <f>R129*W129</f>
        <v>1485511.4879999999</v>
      </c>
      <c r="BW129" s="897">
        <f>S129*AE129</f>
        <v>133176737.40000001</v>
      </c>
      <c r="BX129" s="897">
        <f>BS129+BT129+BU129+BV129+BW129</f>
        <v>135349586.18799999</v>
      </c>
      <c r="BY129" s="897">
        <f>BX129-BW129</f>
        <v>2172848.7879999876</v>
      </c>
      <c r="BZ129" s="905">
        <f t="shared" si="110"/>
        <v>1523506.4146071998</v>
      </c>
      <c r="CA129" s="905">
        <f t="shared" si="110"/>
        <v>0</v>
      </c>
      <c r="CB129" s="905">
        <f t="shared" si="149"/>
        <v>1523506.4146071998</v>
      </c>
      <c r="CC129" s="907">
        <f t="shared" si="111"/>
        <v>2410.6114155177211</v>
      </c>
      <c r="CD129" s="907" t="e">
        <f t="shared" si="111"/>
        <v>#DIV/0!</v>
      </c>
      <c r="CE129" s="907">
        <f t="shared" si="133"/>
        <v>2410.6114155177211</v>
      </c>
      <c r="CF129" s="905">
        <f t="shared" si="113"/>
        <v>2410.6114155177211</v>
      </c>
      <c r="CG129" s="923">
        <f t="shared" si="114"/>
        <v>2321491.5479999995</v>
      </c>
      <c r="CH129" s="923">
        <f t="shared" si="134"/>
        <v>3673.2461202531636</v>
      </c>
      <c r="CI129" s="905"/>
      <c r="CJ129" s="897">
        <f t="shared" si="151"/>
        <v>2942.7659639999997</v>
      </c>
      <c r="CK129" s="897">
        <f t="shared" si="115"/>
        <v>2167.7164919999996</v>
      </c>
      <c r="CL129" s="897">
        <f t="shared" si="175"/>
        <v>5110.4824559999997</v>
      </c>
      <c r="CM129" s="897">
        <f t="shared" si="135"/>
        <v>5110.4824559999997</v>
      </c>
      <c r="CN129" s="897">
        <f t="shared" si="136"/>
        <v>0</v>
      </c>
      <c r="CO129" s="897">
        <f t="shared" si="116"/>
        <v>4646602.26</v>
      </c>
      <c r="CP129" s="897">
        <f t="shared" si="117"/>
        <v>3619723.5430464</v>
      </c>
      <c r="CQ129" s="897">
        <f t="shared" si="118"/>
        <v>3619723.5430464</v>
      </c>
      <c r="CR129" s="897">
        <f t="shared" si="119"/>
        <v>2087513.3706072001</v>
      </c>
      <c r="CS129" s="897">
        <f t="shared" si="120"/>
        <v>4162219.5439999998</v>
      </c>
      <c r="CT129" s="897">
        <f t="shared" si="121"/>
        <v>4162219.5439999998</v>
      </c>
      <c r="CU129" s="897">
        <f t="shared" si="122"/>
        <v>1761103.7559999998</v>
      </c>
      <c r="CV129" s="897">
        <f t="shared" si="137"/>
        <v>7781943.0870463997</v>
      </c>
      <c r="CW129" s="906">
        <f t="shared" si="138"/>
        <v>6146.8744763399682</v>
      </c>
      <c r="CX129" s="897">
        <f t="shared" si="123"/>
        <v>1463875.0150463998</v>
      </c>
      <c r="CY129" s="897">
        <f t="shared" si="124"/>
        <v>1602941.6</v>
      </c>
      <c r="CZ129" s="897"/>
      <c r="DA129" s="897">
        <f t="shared" si="125"/>
        <v>4304896.2719999999</v>
      </c>
      <c r="DB129" s="897">
        <f t="shared" si="126"/>
        <v>5110482.4559999993</v>
      </c>
      <c r="DC129" s="27"/>
      <c r="DD129" s="40">
        <f>N129/J129*100</f>
        <v>174.27748173700027</v>
      </c>
      <c r="DE129" s="27"/>
      <c r="DF129" s="27"/>
      <c r="DG129" s="27"/>
      <c r="DH129" s="1043">
        <f>AQ129</f>
        <v>1266</v>
      </c>
      <c r="DI129" s="1043">
        <f>AJ129</f>
        <v>632</v>
      </c>
      <c r="DJ129" s="1043">
        <f t="shared" si="142"/>
        <v>634</v>
      </c>
      <c r="DK129" s="905"/>
      <c r="DL129" s="908">
        <f t="shared" si="127"/>
        <v>154333.95681600002</v>
      </c>
      <c r="DM129" s="908">
        <f t="shared" si="128"/>
        <v>133176.73740000001</v>
      </c>
      <c r="DN129" s="908">
        <f t="shared" si="129"/>
        <v>287510.69421600003</v>
      </c>
      <c r="DO129" s="6"/>
      <c r="DP129" s="81"/>
      <c r="DQ129" s="81"/>
      <c r="DR129" s="81"/>
      <c r="DS129" s="81"/>
      <c r="DT129" s="81"/>
      <c r="DU129" s="81"/>
      <c r="DV129" s="81"/>
      <c r="DW129" s="81"/>
      <c r="DX129" s="81"/>
      <c r="DY129" s="81"/>
      <c r="DZ129" s="81"/>
      <c r="EA129" s="81"/>
      <c r="EB129" s="81"/>
      <c r="EC129" s="81"/>
      <c r="ED129" s="81"/>
      <c r="EE129" s="81"/>
      <c r="EF129" s="81"/>
      <c r="EG129" s="81"/>
      <c r="EH129" s="81"/>
      <c r="EI129" s="81"/>
      <c r="EJ129" s="81"/>
      <c r="EK129" s="81"/>
      <c r="EL129" s="81"/>
    </row>
    <row r="130" spans="1:142" s="50" customFormat="1" ht="84.75" hidden="1" customHeight="1">
      <c r="A130" s="6">
        <f t="shared" si="140"/>
        <v>117</v>
      </c>
      <c r="B130" s="1338" t="s">
        <v>47</v>
      </c>
      <c r="C130" s="1338" t="s">
        <v>56</v>
      </c>
      <c r="D130" s="1338" t="s">
        <v>154</v>
      </c>
      <c r="E130" s="886">
        <v>7729314745</v>
      </c>
      <c r="F130" s="886" t="s">
        <v>8</v>
      </c>
      <c r="G130" s="1348" t="s">
        <v>986</v>
      </c>
      <c r="H130" s="1339">
        <v>4187.424</v>
      </c>
      <c r="I130" s="1264">
        <v>4187.424</v>
      </c>
      <c r="J130" s="1264"/>
      <c r="K130" s="1264"/>
      <c r="L130" s="1264"/>
      <c r="M130" s="1340"/>
      <c r="N130" s="1319">
        <f>3664*1.2</f>
        <v>4396.8</v>
      </c>
      <c r="O130" s="1264">
        <f>3664*1.2</f>
        <v>4396.8</v>
      </c>
      <c r="P130" s="1264"/>
      <c r="Q130" s="1264"/>
      <c r="R130" s="1264"/>
      <c r="S130" s="1340"/>
      <c r="T130" s="1004">
        <v>537.89799274946938</v>
      </c>
      <c r="U130" s="894"/>
      <c r="V130" s="894"/>
      <c r="W130" s="894"/>
      <c r="X130" s="894"/>
      <c r="Y130" s="894"/>
      <c r="Z130" s="972">
        <f t="shared" si="130"/>
        <v>537.89799274946938</v>
      </c>
      <c r="AA130" s="893">
        <v>358.79541816631297</v>
      </c>
      <c r="AB130" s="894"/>
      <c r="AC130" s="894"/>
      <c r="AD130" s="890"/>
      <c r="AE130" s="890"/>
      <c r="AF130" s="890"/>
      <c r="AG130" s="951">
        <f t="shared" si="131"/>
        <v>358.79541816631297</v>
      </c>
      <c r="AH130" s="947">
        <f t="shared" si="143"/>
        <v>896.69341091578235</v>
      </c>
      <c r="AI130" s="890">
        <f t="shared" si="150"/>
        <v>896.69341091578235</v>
      </c>
      <c r="AJ130" s="890">
        <f t="shared" si="150"/>
        <v>0</v>
      </c>
      <c r="AK130" s="890">
        <f t="shared" si="150"/>
        <v>0</v>
      </c>
      <c r="AL130" s="890">
        <f t="shared" si="150"/>
        <v>0</v>
      </c>
      <c r="AM130" s="890">
        <f t="shared" si="150"/>
        <v>0</v>
      </c>
      <c r="AN130" s="894"/>
      <c r="AO130" s="890">
        <f t="shared" si="154"/>
        <v>896.69341091578235</v>
      </c>
      <c r="AP130" s="890">
        <f t="shared" si="155"/>
        <v>896.69341091578235</v>
      </c>
      <c r="AQ130" s="1035">
        <f t="shared" si="98"/>
        <v>896.69341091578235</v>
      </c>
      <c r="AR130" s="973">
        <f t="shared" si="132"/>
        <v>0</v>
      </c>
      <c r="AS130" s="889">
        <f t="shared" si="174"/>
        <v>3754835.5095106089</v>
      </c>
      <c r="AT130" s="890">
        <f t="shared" si="174"/>
        <v>0</v>
      </c>
      <c r="AU130" s="890">
        <f t="shared" si="174"/>
        <v>0</v>
      </c>
      <c r="AV130" s="890">
        <f t="shared" si="174"/>
        <v>0</v>
      </c>
      <c r="AW130" s="890">
        <f t="shared" si="174"/>
        <v>0</v>
      </c>
      <c r="AX130" s="890">
        <f t="shared" si="99"/>
        <v>3754835.5095106089</v>
      </c>
      <c r="AY130" s="890">
        <f t="shared" si="100"/>
        <v>3754835.5095106089</v>
      </c>
      <c r="AZ130" s="890">
        <f t="shared" si="159"/>
        <v>3942581.5891145119</v>
      </c>
      <c r="BA130" s="890">
        <f t="shared" si="159"/>
        <v>0</v>
      </c>
      <c r="BB130" s="890">
        <f t="shared" si="159"/>
        <v>0</v>
      </c>
      <c r="BC130" s="890">
        <f t="shared" si="159"/>
        <v>0</v>
      </c>
      <c r="BD130" s="890">
        <f t="shared" si="173"/>
        <v>0</v>
      </c>
      <c r="BE130" s="890">
        <f t="shared" si="101"/>
        <v>3942581.5891145119</v>
      </c>
      <c r="BF130" s="952">
        <f t="shared" si="102"/>
        <v>3942581.5891145119</v>
      </c>
      <c r="BG130" s="1304">
        <f>(H130-J130)/1.2*U130/1000+(H130-K130)/1.2*V130/1000</f>
        <v>0</v>
      </c>
      <c r="BH130" s="1305">
        <f>(O130-P130)*AB130/1000/1.2+(O130-Q130)/1.2*AC130/1000</f>
        <v>0</v>
      </c>
      <c r="BI130" s="1306">
        <f t="shared" ref="BI130:BI142" si="176">BG130+BH130</f>
        <v>0</v>
      </c>
      <c r="BJ130" s="975">
        <v>49563.717546628141</v>
      </c>
      <c r="BK130" s="1198"/>
      <c r="BL130" s="890">
        <f t="shared" si="169"/>
        <v>2252406.964390954</v>
      </c>
      <c r="BM130" s="890">
        <f t="shared" si="169"/>
        <v>0</v>
      </c>
      <c r="BN130" s="890">
        <f t="shared" si="169"/>
        <v>0</v>
      </c>
      <c r="BO130" s="890">
        <f t="shared" si="169"/>
        <v>0</v>
      </c>
      <c r="BP130" s="890">
        <f t="shared" si="169"/>
        <v>0</v>
      </c>
      <c r="BQ130" s="890">
        <f t="shared" si="144"/>
        <v>2252406.964390954</v>
      </c>
      <c r="BR130" s="890">
        <f t="shared" si="145"/>
        <v>2252406.964390954</v>
      </c>
      <c r="BS130" s="890">
        <f t="shared" si="170"/>
        <v>1577551.6945936449</v>
      </c>
      <c r="BT130" s="890">
        <f t="shared" si="170"/>
        <v>0</v>
      </c>
      <c r="BU130" s="890">
        <f t="shared" si="170"/>
        <v>0</v>
      </c>
      <c r="BV130" s="890">
        <f t="shared" si="146"/>
        <v>0</v>
      </c>
      <c r="BW130" s="890">
        <f t="shared" si="112"/>
        <v>0</v>
      </c>
      <c r="BX130" s="890">
        <f t="shared" si="147"/>
        <v>1577551.6945936449</v>
      </c>
      <c r="BY130" s="890">
        <f t="shared" si="148"/>
        <v>1577551.6945936449</v>
      </c>
      <c r="BZ130" s="945">
        <f t="shared" si="110"/>
        <v>0</v>
      </c>
      <c r="CA130" s="945">
        <f t="shared" si="110"/>
        <v>0</v>
      </c>
      <c r="CB130" s="945">
        <f t="shared" si="149"/>
        <v>0</v>
      </c>
      <c r="CC130" s="976" t="e">
        <f t="shared" si="111"/>
        <v>#DIV/0!</v>
      </c>
      <c r="CD130" s="976" t="e">
        <f t="shared" si="111"/>
        <v>#DIV/0!</v>
      </c>
      <c r="CE130" s="976" t="e">
        <f t="shared" si="133"/>
        <v>#DIV/0!</v>
      </c>
      <c r="CF130" s="945" t="e">
        <f t="shared" si="113"/>
        <v>#DIV/0!</v>
      </c>
      <c r="CG130" s="977">
        <f t="shared" si="114"/>
        <v>0</v>
      </c>
      <c r="CH130" s="977" t="e">
        <f t="shared" si="134"/>
        <v>#DIV/0!</v>
      </c>
      <c r="CI130" s="945"/>
      <c r="CJ130" s="894">
        <f t="shared" si="151"/>
        <v>2365.0298945208669</v>
      </c>
      <c r="CK130" s="894">
        <f t="shared" si="115"/>
        <v>1577.5516945936449</v>
      </c>
      <c r="CL130" s="894">
        <f t="shared" si="175"/>
        <v>3942.5815891145121</v>
      </c>
      <c r="CM130" s="897">
        <f t="shared" si="135"/>
        <v>3942.5815891145116</v>
      </c>
      <c r="CN130" s="897">
        <f t="shared" si="136"/>
        <v>0</v>
      </c>
      <c r="CO130" s="890">
        <f t="shared" si="116"/>
        <v>3829958.6589845987</v>
      </c>
      <c r="CP130" s="890">
        <f t="shared" si="117"/>
        <v>3754835.5095106089</v>
      </c>
      <c r="CQ130" s="890">
        <f t="shared" si="118"/>
        <v>3754835.5095106089</v>
      </c>
      <c r="CR130" s="890">
        <f t="shared" si="119"/>
        <v>2252406.964390954</v>
      </c>
      <c r="CS130" s="890">
        <f t="shared" si="120"/>
        <v>3942581.5891145119</v>
      </c>
      <c r="CT130" s="890">
        <f t="shared" si="121"/>
        <v>3942581.5891145119</v>
      </c>
      <c r="CU130" s="890">
        <f t="shared" si="122"/>
        <v>1577551.6945936449</v>
      </c>
      <c r="CV130" s="890">
        <f t="shared" si="137"/>
        <v>7697417.0986251207</v>
      </c>
      <c r="CW130" s="978">
        <f t="shared" si="138"/>
        <v>8584.2240000000002</v>
      </c>
      <c r="CX130" s="890">
        <f t="shared" si="123"/>
        <v>0</v>
      </c>
      <c r="CY130" s="890">
        <f t="shared" si="124"/>
        <v>0</v>
      </c>
      <c r="CZ130" s="890"/>
      <c r="DA130" s="890">
        <f t="shared" si="125"/>
        <v>3754835.5095106089</v>
      </c>
      <c r="DB130" s="890">
        <f t="shared" si="126"/>
        <v>3942581.5891145119</v>
      </c>
      <c r="DC130" s="840"/>
      <c r="DD130" s="841" t="e">
        <f t="shared" si="139"/>
        <v>#DIV/0!</v>
      </c>
      <c r="DE130" s="840"/>
      <c r="DF130" s="840"/>
      <c r="DG130" s="840"/>
      <c r="DH130" s="1050">
        <v>943.69068600000003</v>
      </c>
      <c r="DI130" s="1050">
        <v>0</v>
      </c>
      <c r="DJ130" s="1050">
        <f t="shared" si="142"/>
        <v>943.69068600000003</v>
      </c>
      <c r="DK130" s="945"/>
      <c r="DL130" s="975">
        <f t="shared" si="127"/>
        <v>0</v>
      </c>
      <c r="DM130" s="975">
        <f t="shared" si="128"/>
        <v>0</v>
      </c>
      <c r="DN130" s="975">
        <f t="shared" si="129"/>
        <v>0</v>
      </c>
      <c r="DO130" s="816"/>
      <c r="DP130" s="81"/>
      <c r="DQ130" s="81"/>
      <c r="DR130" s="81"/>
      <c r="DS130" s="81"/>
      <c r="DT130" s="81"/>
      <c r="DU130" s="81"/>
      <c r="DV130" s="81"/>
      <c r="DW130" s="81"/>
      <c r="DX130" s="81"/>
      <c r="DY130" s="81"/>
      <c r="DZ130" s="81"/>
      <c r="EA130" s="81"/>
      <c r="EB130" s="81"/>
      <c r="EC130" s="81"/>
      <c r="ED130" s="81"/>
      <c r="EE130" s="81"/>
      <c r="EF130" s="81"/>
      <c r="EG130" s="81"/>
      <c r="EH130" s="81"/>
      <c r="EI130" s="81"/>
      <c r="EJ130" s="81"/>
      <c r="EK130" s="81"/>
      <c r="EL130" s="81"/>
    </row>
    <row r="131" spans="1:142" s="50" customFormat="1" ht="83.25" hidden="1" customHeight="1">
      <c r="A131" s="6">
        <f t="shared" si="140"/>
        <v>118</v>
      </c>
      <c r="B131" s="886" t="s">
        <v>47</v>
      </c>
      <c r="C131" s="886" t="s">
        <v>56</v>
      </c>
      <c r="D131" s="1206" t="s">
        <v>137</v>
      </c>
      <c r="E131" s="886">
        <v>4632001454</v>
      </c>
      <c r="F131" s="886" t="s">
        <v>8</v>
      </c>
      <c r="G131" s="888" t="s">
        <v>960</v>
      </c>
      <c r="H131" s="925">
        <v>3966.6</v>
      </c>
      <c r="I131" s="891">
        <v>0</v>
      </c>
      <c r="J131" s="891">
        <v>0</v>
      </c>
      <c r="K131" s="891">
        <v>0</v>
      </c>
      <c r="L131" s="891">
        <v>3966.6</v>
      </c>
      <c r="M131" s="946">
        <v>0</v>
      </c>
      <c r="N131" s="959">
        <v>4459.1000000000004</v>
      </c>
      <c r="O131" s="891">
        <v>0</v>
      </c>
      <c r="P131" s="891">
        <v>0</v>
      </c>
      <c r="Q131" s="891">
        <v>0</v>
      </c>
      <c r="R131" s="891">
        <v>4459.1000000000004</v>
      </c>
      <c r="S131" s="946">
        <v>0</v>
      </c>
      <c r="T131" s="937">
        <v>0</v>
      </c>
      <c r="U131" s="931">
        <v>0</v>
      </c>
      <c r="V131" s="931">
        <v>0</v>
      </c>
      <c r="W131" s="930">
        <v>472</v>
      </c>
      <c r="X131" s="931">
        <v>0</v>
      </c>
      <c r="Y131" s="930">
        <v>1826</v>
      </c>
      <c r="Z131" s="949">
        <f t="shared" si="130"/>
        <v>472</v>
      </c>
      <c r="AA131" s="939">
        <v>0</v>
      </c>
      <c r="AB131" s="931">
        <v>0</v>
      </c>
      <c r="AC131" s="931">
        <v>0</v>
      </c>
      <c r="AD131" s="930">
        <v>275</v>
      </c>
      <c r="AE131" s="931">
        <v>0</v>
      </c>
      <c r="AF131" s="930">
        <v>1494</v>
      </c>
      <c r="AG131" s="951">
        <f t="shared" si="131"/>
        <v>275</v>
      </c>
      <c r="AH131" s="947">
        <f t="shared" si="143"/>
        <v>747</v>
      </c>
      <c r="AI131" s="890">
        <f t="shared" si="150"/>
        <v>0</v>
      </c>
      <c r="AJ131" s="890">
        <f t="shared" si="150"/>
        <v>0</v>
      </c>
      <c r="AK131" s="890">
        <f t="shared" si="150"/>
        <v>0</v>
      </c>
      <c r="AL131" s="971">
        <f t="shared" si="150"/>
        <v>747</v>
      </c>
      <c r="AM131" s="890">
        <f t="shared" si="150"/>
        <v>0</v>
      </c>
      <c r="AN131" s="894">
        <f t="shared" si="150"/>
        <v>3320</v>
      </c>
      <c r="AO131" s="971">
        <f>SUM(AI131:AN131)</f>
        <v>4067</v>
      </c>
      <c r="AP131" s="971">
        <f t="shared" si="155"/>
        <v>747</v>
      </c>
      <c r="AQ131" s="1036">
        <f t="shared" si="98"/>
        <v>747</v>
      </c>
      <c r="AR131" s="973">
        <f t="shared" si="132"/>
        <v>0</v>
      </c>
      <c r="AS131" s="889">
        <f t="shared" si="174"/>
        <v>0</v>
      </c>
      <c r="AT131" s="890">
        <f t="shared" si="174"/>
        <v>0</v>
      </c>
      <c r="AU131" s="890">
        <f t="shared" si="174"/>
        <v>0</v>
      </c>
      <c r="AV131" s="890">
        <f t="shared" si="174"/>
        <v>2963050.1999999997</v>
      </c>
      <c r="AW131" s="890">
        <f t="shared" si="174"/>
        <v>0</v>
      </c>
      <c r="AX131" s="890">
        <f t="shared" si="99"/>
        <v>2963050.1999999997</v>
      </c>
      <c r="AY131" s="890">
        <f t="shared" si="100"/>
        <v>2963050.1999999997</v>
      </c>
      <c r="AZ131" s="890">
        <f t="shared" si="159"/>
        <v>0</v>
      </c>
      <c r="BA131" s="890">
        <f t="shared" si="159"/>
        <v>0</v>
      </c>
      <c r="BB131" s="890">
        <f t="shared" si="159"/>
        <v>0</v>
      </c>
      <c r="BC131" s="890">
        <f t="shared" si="159"/>
        <v>3330947.7</v>
      </c>
      <c r="BD131" s="890">
        <f t="shared" si="173"/>
        <v>0</v>
      </c>
      <c r="BE131" s="890">
        <f t="shared" si="101"/>
        <v>3330947.7</v>
      </c>
      <c r="BF131" s="952">
        <f t="shared" si="102"/>
        <v>3330947.7</v>
      </c>
      <c r="BG131" s="974">
        <v>0</v>
      </c>
      <c r="BH131" s="890">
        <v>0</v>
      </c>
      <c r="BI131" s="890">
        <f t="shared" si="176"/>
        <v>0</v>
      </c>
      <c r="BJ131" s="894">
        <v>14169.5</v>
      </c>
      <c r="BK131" s="1200">
        <v>14946.3</v>
      </c>
      <c r="BL131" s="897">
        <f t="shared" si="169"/>
        <v>0</v>
      </c>
      <c r="BM131" s="897">
        <f t="shared" si="169"/>
        <v>0</v>
      </c>
      <c r="BN131" s="897">
        <f t="shared" si="169"/>
        <v>0</v>
      </c>
      <c r="BO131" s="897">
        <f t="shared" si="169"/>
        <v>1872235.2</v>
      </c>
      <c r="BP131" s="897">
        <f t="shared" si="169"/>
        <v>0</v>
      </c>
      <c r="BQ131" s="897">
        <f t="shared" si="144"/>
        <v>1872235.2</v>
      </c>
      <c r="BR131" s="897">
        <f t="shared" si="145"/>
        <v>1872235.2</v>
      </c>
      <c r="BS131" s="897">
        <f t="shared" si="170"/>
        <v>0</v>
      </c>
      <c r="BT131" s="897">
        <f t="shared" si="170"/>
        <v>0</v>
      </c>
      <c r="BU131" s="897">
        <f t="shared" si="170"/>
        <v>0</v>
      </c>
      <c r="BV131" s="897">
        <f t="shared" si="146"/>
        <v>2104695.2000000002</v>
      </c>
      <c r="BW131" s="897">
        <f t="shared" si="112"/>
        <v>0</v>
      </c>
      <c r="BX131" s="897">
        <f t="shared" si="147"/>
        <v>2104695.2000000002</v>
      </c>
      <c r="BY131" s="897">
        <f t="shared" si="148"/>
        <v>2104695.2000000002</v>
      </c>
      <c r="BZ131" s="905">
        <f t="shared" si="110"/>
        <v>0</v>
      </c>
      <c r="CA131" s="905">
        <f t="shared" si="110"/>
        <v>0</v>
      </c>
      <c r="CB131" s="905">
        <f t="shared" si="149"/>
        <v>0</v>
      </c>
      <c r="CC131" s="907" t="e">
        <f t="shared" si="111"/>
        <v>#DIV/0!</v>
      </c>
      <c r="CD131" s="907" t="e">
        <f t="shared" si="111"/>
        <v>#DIV/0!</v>
      </c>
      <c r="CE131" s="907" t="e">
        <f t="shared" si="133"/>
        <v>#DIV/0!</v>
      </c>
      <c r="CF131" s="905" t="e">
        <f t="shared" si="113"/>
        <v>#DIV/0!</v>
      </c>
      <c r="CG131" s="923">
        <f t="shared" si="114"/>
        <v>0</v>
      </c>
      <c r="CH131" s="923" t="e">
        <f t="shared" si="134"/>
        <v>#DIV/0!</v>
      </c>
      <c r="CI131" s="979"/>
      <c r="CJ131" s="897">
        <f t="shared" si="151"/>
        <v>2104.6952000000001</v>
      </c>
      <c r="CK131" s="897">
        <f t="shared" si="115"/>
        <v>1226.2525000000001</v>
      </c>
      <c r="CL131" s="897">
        <f t="shared" si="175"/>
        <v>3330.9477000000002</v>
      </c>
      <c r="CM131" s="897">
        <f t="shared" si="135"/>
        <v>3330.9477000000002</v>
      </c>
      <c r="CN131" s="897">
        <f t="shared" si="136"/>
        <v>0</v>
      </c>
      <c r="CO131" s="897">
        <f t="shared" si="116"/>
        <v>3098487.7</v>
      </c>
      <c r="CP131" s="897">
        <f t="shared" si="117"/>
        <v>2963050.1999999997</v>
      </c>
      <c r="CQ131" s="897">
        <f t="shared" si="118"/>
        <v>2963050.1999999997</v>
      </c>
      <c r="CR131" s="897">
        <f t="shared" si="119"/>
        <v>1872235.2</v>
      </c>
      <c r="CS131" s="897">
        <f t="shared" si="120"/>
        <v>3330947.7</v>
      </c>
      <c r="CT131" s="897">
        <f t="shared" si="121"/>
        <v>3330947.7</v>
      </c>
      <c r="CU131" s="897">
        <f t="shared" si="122"/>
        <v>1226252.5</v>
      </c>
      <c r="CV131" s="897">
        <f t="shared" si="137"/>
        <v>6293997.9000000004</v>
      </c>
      <c r="CW131" s="906">
        <f t="shared" si="138"/>
        <v>8425.7000000000007</v>
      </c>
      <c r="CX131" s="897">
        <f t="shared" si="123"/>
        <v>0</v>
      </c>
      <c r="CY131" s="897">
        <f t="shared" si="124"/>
        <v>0</v>
      </c>
      <c r="CZ131" s="897"/>
      <c r="DA131" s="897">
        <f t="shared" si="125"/>
        <v>2963050.1999999997</v>
      </c>
      <c r="DB131" s="897">
        <f t="shared" si="126"/>
        <v>3330947.7</v>
      </c>
      <c r="DC131" s="1131"/>
      <c r="DD131" s="40" t="e">
        <f t="shared" si="139"/>
        <v>#DIV/0!</v>
      </c>
      <c r="DE131" s="1131"/>
      <c r="DF131" s="1131"/>
      <c r="DG131" s="1131"/>
      <c r="DH131" s="1043">
        <v>747</v>
      </c>
      <c r="DI131" s="1043">
        <v>0</v>
      </c>
      <c r="DJ131" s="1043">
        <f t="shared" si="142"/>
        <v>747</v>
      </c>
      <c r="DK131" s="979"/>
      <c r="DL131" s="908">
        <f t="shared" si="127"/>
        <v>0</v>
      </c>
      <c r="DM131" s="908">
        <f t="shared" si="128"/>
        <v>0</v>
      </c>
      <c r="DN131" s="908">
        <f t="shared" si="129"/>
        <v>0</v>
      </c>
      <c r="DO131" s="81"/>
      <c r="DP131" s="81"/>
      <c r="DQ131" s="81"/>
      <c r="DR131" s="81"/>
      <c r="DS131" s="81"/>
      <c r="DT131" s="81"/>
      <c r="DU131" s="81"/>
      <c r="DV131" s="81"/>
      <c r="DW131" s="81"/>
      <c r="DX131" s="81"/>
      <c r="DY131" s="81"/>
      <c r="DZ131" s="81"/>
      <c r="EA131" s="81"/>
      <c r="EB131" s="81"/>
      <c r="EC131" s="81"/>
      <c r="ED131" s="81"/>
      <c r="EE131" s="81"/>
      <c r="EF131" s="81"/>
      <c r="EG131" s="81"/>
      <c r="EH131" s="81"/>
      <c r="EI131" s="81"/>
      <c r="EJ131" s="81"/>
      <c r="EK131" s="81"/>
      <c r="EL131" s="81"/>
    </row>
    <row r="132" spans="1:142" s="50" customFormat="1" ht="83.25" hidden="1" customHeight="1">
      <c r="A132" s="6">
        <f t="shared" si="140"/>
        <v>119</v>
      </c>
      <c r="B132" s="886" t="s">
        <v>47</v>
      </c>
      <c r="C132" s="886" t="s">
        <v>56</v>
      </c>
      <c r="D132" s="886" t="s">
        <v>49</v>
      </c>
      <c r="E132" s="886">
        <v>4632033706</v>
      </c>
      <c r="F132" s="886" t="s">
        <v>184</v>
      </c>
      <c r="G132" s="888" t="s">
        <v>975</v>
      </c>
      <c r="H132" s="925">
        <v>200.21</v>
      </c>
      <c r="I132" s="891"/>
      <c r="J132" s="891"/>
      <c r="K132" s="891"/>
      <c r="L132" s="891">
        <v>200.21</v>
      </c>
      <c r="M132" s="946"/>
      <c r="N132" s="984">
        <f>185.13*1.2</f>
        <v>222.15599999999998</v>
      </c>
      <c r="O132" s="895"/>
      <c r="P132" s="895"/>
      <c r="Q132" s="895"/>
      <c r="R132" s="919">
        <v>222.15599999999998</v>
      </c>
      <c r="S132" s="892"/>
      <c r="T132" s="903"/>
      <c r="U132" s="897"/>
      <c r="V132" s="897"/>
      <c r="W132" s="987"/>
      <c r="X132" s="897"/>
      <c r="Y132" s="897"/>
      <c r="Z132" s="898"/>
      <c r="AA132" s="904"/>
      <c r="AB132" s="897"/>
      <c r="AC132" s="897"/>
      <c r="AD132" s="987"/>
      <c r="AE132" s="897"/>
      <c r="AF132" s="897"/>
      <c r="AG132" s="900"/>
      <c r="AH132" s="896">
        <f t="shared" si="143"/>
        <v>0</v>
      </c>
      <c r="AI132" s="897">
        <f t="shared" si="150"/>
        <v>0</v>
      </c>
      <c r="AJ132" s="897">
        <f t="shared" si="150"/>
        <v>0</v>
      </c>
      <c r="AK132" s="897">
        <f t="shared" si="150"/>
        <v>0</v>
      </c>
      <c r="AL132" s="897">
        <f t="shared" si="150"/>
        <v>0</v>
      </c>
      <c r="AM132" s="897">
        <f t="shared" si="150"/>
        <v>0</v>
      </c>
      <c r="AN132" s="897"/>
      <c r="AO132" s="897">
        <f t="shared" si="154"/>
        <v>0</v>
      </c>
      <c r="AP132" s="897">
        <f t="shared" si="155"/>
        <v>0</v>
      </c>
      <c r="AQ132" s="901">
        <f t="shared" si="98"/>
        <v>0</v>
      </c>
      <c r="AR132" s="902">
        <f t="shared" si="132"/>
        <v>0</v>
      </c>
      <c r="AS132" s="903">
        <f t="shared" si="174"/>
        <v>0</v>
      </c>
      <c r="AT132" s="897">
        <f t="shared" si="174"/>
        <v>0</v>
      </c>
      <c r="AU132" s="897">
        <f t="shared" si="174"/>
        <v>0</v>
      </c>
      <c r="AV132" s="897">
        <f t="shared" si="174"/>
        <v>0</v>
      </c>
      <c r="AW132" s="897">
        <f t="shared" si="174"/>
        <v>0</v>
      </c>
      <c r="AX132" s="897">
        <f t="shared" si="99"/>
        <v>0</v>
      </c>
      <c r="AY132" s="897">
        <f t="shared" si="100"/>
        <v>0</v>
      </c>
      <c r="AZ132" s="897">
        <f t="shared" si="159"/>
        <v>0</v>
      </c>
      <c r="BA132" s="897">
        <f t="shared" si="159"/>
        <v>0</v>
      </c>
      <c r="BB132" s="897">
        <f t="shared" si="159"/>
        <v>0</v>
      </c>
      <c r="BC132" s="897">
        <f t="shared" si="159"/>
        <v>0</v>
      </c>
      <c r="BD132" s="897">
        <f t="shared" si="173"/>
        <v>0</v>
      </c>
      <c r="BE132" s="897">
        <f t="shared" si="101"/>
        <v>0</v>
      </c>
      <c r="BF132" s="901">
        <f t="shared" si="102"/>
        <v>0</v>
      </c>
      <c r="BG132" s="904"/>
      <c r="BH132" s="897"/>
      <c r="BI132" s="897">
        <f t="shared" si="176"/>
        <v>0</v>
      </c>
      <c r="BJ132" s="919">
        <v>33088.28</v>
      </c>
      <c r="BK132" s="1203">
        <v>38954.61</v>
      </c>
      <c r="BL132" s="897">
        <f t="shared" ref="BL132:BP142" si="177">I132*T132</f>
        <v>0</v>
      </c>
      <c r="BM132" s="897">
        <f t="shared" si="177"/>
        <v>0</v>
      </c>
      <c r="BN132" s="897">
        <f t="shared" si="177"/>
        <v>0</v>
      </c>
      <c r="BO132" s="897">
        <f t="shared" si="177"/>
        <v>0</v>
      </c>
      <c r="BP132" s="897">
        <v>0</v>
      </c>
      <c r="BQ132" s="897">
        <f t="shared" si="144"/>
        <v>0</v>
      </c>
      <c r="BR132" s="897">
        <f t="shared" si="145"/>
        <v>0</v>
      </c>
      <c r="BS132" s="897">
        <f t="shared" si="170"/>
        <v>0</v>
      </c>
      <c r="BT132" s="897">
        <f t="shared" si="170"/>
        <v>0</v>
      </c>
      <c r="BU132" s="897">
        <f t="shared" si="170"/>
        <v>0</v>
      </c>
      <c r="BV132" s="897">
        <f t="shared" si="146"/>
        <v>0</v>
      </c>
      <c r="BW132" s="897">
        <v>0</v>
      </c>
      <c r="BX132" s="897">
        <f t="shared" si="147"/>
        <v>0</v>
      </c>
      <c r="BY132" s="897">
        <f t="shared" si="148"/>
        <v>0</v>
      </c>
      <c r="BZ132" s="905">
        <f t="shared" si="110"/>
        <v>0</v>
      </c>
      <c r="CA132" s="905">
        <f t="shared" si="110"/>
        <v>0</v>
      </c>
      <c r="CB132" s="905">
        <f t="shared" si="149"/>
        <v>0</v>
      </c>
      <c r="CC132" s="907" t="e">
        <f t="shared" si="111"/>
        <v>#DIV/0!</v>
      </c>
      <c r="CD132" s="907" t="e">
        <f t="shared" si="111"/>
        <v>#DIV/0!</v>
      </c>
      <c r="CE132" s="907" t="e">
        <f t="shared" si="133"/>
        <v>#DIV/0!</v>
      </c>
      <c r="CF132" s="905" t="e">
        <f t="shared" si="113"/>
        <v>#DIV/0!</v>
      </c>
      <c r="CG132" s="923">
        <f t="shared" si="114"/>
        <v>0</v>
      </c>
      <c r="CH132" s="923" t="e">
        <f t="shared" si="134"/>
        <v>#DIV/0!</v>
      </c>
      <c r="CI132" s="1037"/>
      <c r="CJ132" s="1038">
        <f t="shared" si="151"/>
        <v>0</v>
      </c>
      <c r="CK132" s="1038">
        <f t="shared" si="115"/>
        <v>0</v>
      </c>
      <c r="CL132" s="1039">
        <f t="shared" si="175"/>
        <v>0</v>
      </c>
      <c r="CM132" s="1040">
        <f t="shared" si="135"/>
        <v>0</v>
      </c>
      <c r="CN132" s="1040">
        <f t="shared" si="136"/>
        <v>0</v>
      </c>
      <c r="CO132" s="1041">
        <f t="shared" si="116"/>
        <v>0</v>
      </c>
      <c r="CP132" s="1041">
        <f t="shared" si="117"/>
        <v>0</v>
      </c>
      <c r="CQ132" s="1041">
        <f t="shared" si="118"/>
        <v>0</v>
      </c>
      <c r="CR132" s="1041">
        <f t="shared" si="119"/>
        <v>0</v>
      </c>
      <c r="CS132" s="1041">
        <f t="shared" si="120"/>
        <v>0</v>
      </c>
      <c r="CT132" s="1041">
        <f t="shared" si="121"/>
        <v>0</v>
      </c>
      <c r="CU132" s="1041">
        <f t="shared" si="122"/>
        <v>0</v>
      </c>
      <c r="CV132" s="1041">
        <f t="shared" si="137"/>
        <v>0</v>
      </c>
      <c r="CW132" s="1082" t="e">
        <f t="shared" si="138"/>
        <v>#DIV/0!</v>
      </c>
      <c r="CX132" s="1041">
        <f t="shared" si="123"/>
        <v>0</v>
      </c>
      <c r="CY132" s="1041">
        <f t="shared" si="124"/>
        <v>0</v>
      </c>
      <c r="CZ132" s="1041"/>
      <c r="DA132" s="1041">
        <f t="shared" si="125"/>
        <v>0</v>
      </c>
      <c r="DB132" s="1041">
        <f t="shared" si="126"/>
        <v>0</v>
      </c>
      <c r="DC132" s="113"/>
      <c r="DD132" s="119" t="e">
        <f t="shared" si="139"/>
        <v>#DIV/0!</v>
      </c>
      <c r="DE132" s="113"/>
      <c r="DF132" s="113"/>
      <c r="DG132" s="113"/>
      <c r="DH132" s="1226">
        <v>190239.08</v>
      </c>
      <c r="DI132" s="1043">
        <v>0</v>
      </c>
      <c r="DJ132" s="1043">
        <f t="shared" si="142"/>
        <v>190239.08</v>
      </c>
      <c r="DK132" s="1037"/>
      <c r="DL132" s="1044">
        <f t="shared" si="127"/>
        <v>0</v>
      </c>
      <c r="DM132" s="1044">
        <f t="shared" si="128"/>
        <v>0</v>
      </c>
      <c r="DN132" s="1044">
        <f t="shared" si="129"/>
        <v>0</v>
      </c>
      <c r="DO132" s="106"/>
    </row>
    <row r="133" spans="1:142" s="50" customFormat="1" ht="83.25" hidden="1" customHeight="1">
      <c r="A133" s="6">
        <f t="shared" si="140"/>
        <v>120</v>
      </c>
      <c r="B133" s="886" t="s">
        <v>47</v>
      </c>
      <c r="C133" s="886" t="s">
        <v>56</v>
      </c>
      <c r="D133" s="1206" t="s">
        <v>50</v>
      </c>
      <c r="E133" s="886">
        <v>4632032678</v>
      </c>
      <c r="F133" s="886" t="s">
        <v>8</v>
      </c>
      <c r="G133" s="888" t="s">
        <v>961</v>
      </c>
      <c r="H133" s="925">
        <v>2512.6109639158371</v>
      </c>
      <c r="I133" s="891">
        <v>0</v>
      </c>
      <c r="J133" s="891">
        <v>0</v>
      </c>
      <c r="K133" s="891">
        <v>0</v>
      </c>
      <c r="L133" s="891">
        <v>2512.6109639158371</v>
      </c>
      <c r="M133" s="946">
        <v>0</v>
      </c>
      <c r="N133" s="959">
        <v>2662.15</v>
      </c>
      <c r="O133" s="891">
        <v>0</v>
      </c>
      <c r="P133" s="891">
        <v>0</v>
      </c>
      <c r="Q133" s="891">
        <v>0</v>
      </c>
      <c r="R133" s="891">
        <v>2662.15</v>
      </c>
      <c r="S133" s="946">
        <v>0</v>
      </c>
      <c r="T133" s="937">
        <v>0</v>
      </c>
      <c r="U133" s="931">
        <v>0</v>
      </c>
      <c r="V133" s="931">
        <v>0</v>
      </c>
      <c r="W133" s="928">
        <v>7544.35</v>
      </c>
      <c r="X133" s="931">
        <v>0</v>
      </c>
      <c r="Y133" s="931">
        <v>0</v>
      </c>
      <c r="Z133" s="949">
        <f>SUM(T133:W133)</f>
        <v>7544.35</v>
      </c>
      <c r="AA133" s="939">
        <v>0</v>
      </c>
      <c r="AB133" s="931">
        <v>0</v>
      </c>
      <c r="AC133" s="931">
        <v>0</v>
      </c>
      <c r="AD133" s="928">
        <v>4993.4799999999996</v>
      </c>
      <c r="AE133" s="931">
        <v>0</v>
      </c>
      <c r="AF133" s="931">
        <v>0</v>
      </c>
      <c r="AG133" s="951">
        <f>SUM(AA133:AD133)</f>
        <v>4993.4799999999996</v>
      </c>
      <c r="AH133" s="947">
        <f t="shared" si="143"/>
        <v>12537.83</v>
      </c>
      <c r="AI133" s="890">
        <f t="shared" si="150"/>
        <v>0</v>
      </c>
      <c r="AJ133" s="890">
        <f t="shared" si="150"/>
        <v>0</v>
      </c>
      <c r="AK133" s="890">
        <f t="shared" si="150"/>
        <v>0</v>
      </c>
      <c r="AL133" s="894">
        <f t="shared" si="150"/>
        <v>12537.83</v>
      </c>
      <c r="AM133" s="890">
        <f t="shared" si="150"/>
        <v>0</v>
      </c>
      <c r="AN133" s="890"/>
      <c r="AO133" s="971">
        <f t="shared" si="154"/>
        <v>12537.83</v>
      </c>
      <c r="AP133" s="971">
        <f t="shared" si="155"/>
        <v>12537.83</v>
      </c>
      <c r="AQ133" s="1036">
        <f t="shared" si="98"/>
        <v>12537.83</v>
      </c>
      <c r="AR133" s="973">
        <f t="shared" si="132"/>
        <v>0</v>
      </c>
      <c r="AS133" s="889">
        <f t="shared" si="174"/>
        <v>0</v>
      </c>
      <c r="AT133" s="890">
        <f t="shared" si="174"/>
        <v>0</v>
      </c>
      <c r="AU133" s="890">
        <f t="shared" si="174"/>
        <v>0</v>
      </c>
      <c r="AV133" s="890">
        <f t="shared" si="174"/>
        <v>31502689.121712901</v>
      </c>
      <c r="AW133" s="890">
        <f t="shared" si="174"/>
        <v>0</v>
      </c>
      <c r="AX133" s="890">
        <f t="shared" si="99"/>
        <v>31502689.121712901</v>
      </c>
      <c r="AY133" s="890">
        <f t="shared" si="100"/>
        <v>31502689.121712901</v>
      </c>
      <c r="AZ133" s="890">
        <f t="shared" si="159"/>
        <v>0</v>
      </c>
      <c r="BA133" s="890">
        <f t="shared" si="159"/>
        <v>0</v>
      </c>
      <c r="BB133" s="890">
        <f t="shared" si="159"/>
        <v>0</v>
      </c>
      <c r="BC133" s="890">
        <f t="shared" si="159"/>
        <v>33377584.134500001</v>
      </c>
      <c r="BD133" s="890">
        <f t="shared" si="173"/>
        <v>0</v>
      </c>
      <c r="BE133" s="890">
        <f t="shared" si="101"/>
        <v>33377584.134500001</v>
      </c>
      <c r="BF133" s="952">
        <f t="shared" si="102"/>
        <v>33377584.134500001</v>
      </c>
      <c r="BG133" s="974">
        <v>0</v>
      </c>
      <c r="BH133" s="890">
        <v>0</v>
      </c>
      <c r="BI133" s="890">
        <f t="shared" si="176"/>
        <v>0</v>
      </c>
      <c r="BJ133" s="894">
        <v>26874.53</v>
      </c>
      <c r="BK133" s="1200">
        <v>29828.31</v>
      </c>
      <c r="BL133" s="897">
        <f t="shared" si="177"/>
        <v>0</v>
      </c>
      <c r="BM133" s="897">
        <f t="shared" si="177"/>
        <v>0</v>
      </c>
      <c r="BN133" s="897">
        <f t="shared" si="177"/>
        <v>0</v>
      </c>
      <c r="BO133" s="897">
        <f t="shared" si="177"/>
        <v>18956016.525618445</v>
      </c>
      <c r="BP133" s="897">
        <f t="shared" si="177"/>
        <v>0</v>
      </c>
      <c r="BQ133" s="897">
        <f t="shared" si="144"/>
        <v>18956016.525618445</v>
      </c>
      <c r="BR133" s="897">
        <f t="shared" si="145"/>
        <v>18956016.525618445</v>
      </c>
      <c r="BS133" s="897">
        <f t="shared" si="170"/>
        <v>0</v>
      </c>
      <c r="BT133" s="897">
        <f t="shared" si="170"/>
        <v>0</v>
      </c>
      <c r="BU133" s="897">
        <f t="shared" si="170"/>
        <v>0</v>
      </c>
      <c r="BV133" s="897">
        <f t="shared" si="146"/>
        <v>20084191.352500003</v>
      </c>
      <c r="BW133" s="897">
        <f t="shared" ref="BW133:BW143" si="178">S133*AE133</f>
        <v>0</v>
      </c>
      <c r="BX133" s="897">
        <f t="shared" si="147"/>
        <v>20084191.352500003</v>
      </c>
      <c r="BY133" s="897">
        <f t="shared" si="148"/>
        <v>20084191.352500003</v>
      </c>
      <c r="BZ133" s="905">
        <f t="shared" si="110"/>
        <v>0</v>
      </c>
      <c r="CA133" s="905">
        <f t="shared" si="110"/>
        <v>0</v>
      </c>
      <c r="CB133" s="905">
        <f t="shared" si="149"/>
        <v>0</v>
      </c>
      <c r="CC133" s="907" t="e">
        <f t="shared" si="111"/>
        <v>#DIV/0!</v>
      </c>
      <c r="CD133" s="907" t="e">
        <f t="shared" si="111"/>
        <v>#DIV/0!</v>
      </c>
      <c r="CE133" s="907" t="e">
        <f t="shared" si="133"/>
        <v>#DIV/0!</v>
      </c>
      <c r="CF133" s="905" t="e">
        <f t="shared" si="113"/>
        <v>#DIV/0!</v>
      </c>
      <c r="CG133" s="923">
        <f t="shared" si="114"/>
        <v>0</v>
      </c>
      <c r="CH133" s="923" t="e">
        <f t="shared" si="134"/>
        <v>#DIV/0!</v>
      </c>
      <c r="CI133" s="1179"/>
      <c r="CJ133" s="1038">
        <f t="shared" si="151"/>
        <v>20084.191352500002</v>
      </c>
      <c r="CK133" s="1038">
        <f t="shared" si="115"/>
        <v>13293.392781999999</v>
      </c>
      <c r="CL133" s="1038">
        <f t="shared" si="175"/>
        <v>33377.584134500001</v>
      </c>
      <c r="CM133" s="1040">
        <f t="shared" si="135"/>
        <v>33377.584134500001</v>
      </c>
      <c r="CN133" s="1040">
        <f t="shared" si="136"/>
        <v>0</v>
      </c>
      <c r="CO133" s="1040">
        <f t="shared" si="116"/>
        <v>32249409.307618447</v>
      </c>
      <c r="CP133" s="1040">
        <f t="shared" si="117"/>
        <v>31502689.121712901</v>
      </c>
      <c r="CQ133" s="1040">
        <f t="shared" si="118"/>
        <v>31502689.121712901</v>
      </c>
      <c r="CR133" s="1040">
        <f t="shared" si="119"/>
        <v>18956016.525618445</v>
      </c>
      <c r="CS133" s="1040">
        <f t="shared" si="120"/>
        <v>33377584.134500001</v>
      </c>
      <c r="CT133" s="1040">
        <f t="shared" si="121"/>
        <v>33377584.134500001</v>
      </c>
      <c r="CU133" s="1040">
        <f t="shared" si="122"/>
        <v>13293392.782</v>
      </c>
      <c r="CV133" s="1040">
        <f t="shared" si="137"/>
        <v>64880273.256212905</v>
      </c>
      <c r="CW133" s="1082">
        <f t="shared" si="138"/>
        <v>5174.7609639158372</v>
      </c>
      <c r="CX133" s="1040">
        <f t="shared" si="123"/>
        <v>0</v>
      </c>
      <c r="CY133" s="1040">
        <f t="shared" si="124"/>
        <v>0</v>
      </c>
      <c r="CZ133" s="1040"/>
      <c r="DA133" s="1040">
        <f t="shared" si="125"/>
        <v>31502689.121712901</v>
      </c>
      <c r="DB133" s="1040">
        <f t="shared" si="126"/>
        <v>33377584.134500001</v>
      </c>
      <c r="DC133" s="1180"/>
      <c r="DD133" s="162" t="e">
        <f t="shared" si="139"/>
        <v>#DIV/0!</v>
      </c>
      <c r="DE133" s="1180"/>
      <c r="DF133" s="1180"/>
      <c r="DG133" s="1180"/>
      <c r="DH133" s="1043">
        <v>7442</v>
      </c>
      <c r="DI133" s="1043">
        <v>0</v>
      </c>
      <c r="DJ133" s="1043">
        <f t="shared" si="142"/>
        <v>7442</v>
      </c>
      <c r="DK133" s="1179"/>
      <c r="DL133" s="1045">
        <f t="shared" si="127"/>
        <v>0</v>
      </c>
      <c r="DM133" s="1045">
        <f t="shared" si="128"/>
        <v>0</v>
      </c>
      <c r="DN133" s="1045">
        <f t="shared" si="129"/>
        <v>0</v>
      </c>
    </row>
    <row r="134" spans="1:142" s="50" customFormat="1" ht="76.5" hidden="1" customHeight="1">
      <c r="A134" s="6">
        <f t="shared" si="140"/>
        <v>121</v>
      </c>
      <c r="B134" s="886" t="s">
        <v>47</v>
      </c>
      <c r="C134" s="886" t="s">
        <v>56</v>
      </c>
      <c r="D134" s="1206" t="s">
        <v>921</v>
      </c>
      <c r="E134" s="886">
        <v>4632077904</v>
      </c>
      <c r="F134" s="886" t="s">
        <v>8</v>
      </c>
      <c r="G134" s="888" t="s">
        <v>962</v>
      </c>
      <c r="H134" s="925">
        <v>2586.6799999999998</v>
      </c>
      <c r="I134" s="891">
        <v>2586.6799999999998</v>
      </c>
      <c r="J134" s="891">
        <v>0</v>
      </c>
      <c r="K134" s="891">
        <v>0</v>
      </c>
      <c r="L134" s="891">
        <v>2586.6799999999998</v>
      </c>
      <c r="M134" s="946">
        <v>0</v>
      </c>
      <c r="N134" s="959">
        <v>3008.94</v>
      </c>
      <c r="O134" s="891">
        <v>3008.94</v>
      </c>
      <c r="P134" s="891">
        <v>0</v>
      </c>
      <c r="Q134" s="891">
        <v>0</v>
      </c>
      <c r="R134" s="891">
        <v>9008.94</v>
      </c>
      <c r="S134" s="946">
        <v>0</v>
      </c>
      <c r="T134" s="937">
        <v>57</v>
      </c>
      <c r="U134" s="931">
        <v>0</v>
      </c>
      <c r="V134" s="931">
        <v>0</v>
      </c>
      <c r="W134" s="930">
        <v>720</v>
      </c>
      <c r="X134" s="931">
        <v>0</v>
      </c>
      <c r="Y134" s="931">
        <v>0</v>
      </c>
      <c r="Z134" s="949">
        <f>SUM(T134:W134)</f>
        <v>777</v>
      </c>
      <c r="AA134" s="939">
        <v>51</v>
      </c>
      <c r="AB134" s="931">
        <v>0</v>
      </c>
      <c r="AC134" s="931">
        <v>0</v>
      </c>
      <c r="AD134" s="930">
        <v>515</v>
      </c>
      <c r="AE134" s="931">
        <v>0</v>
      </c>
      <c r="AF134" s="931">
        <v>0</v>
      </c>
      <c r="AG134" s="951">
        <f>SUM(AA134:AD134)</f>
        <v>566</v>
      </c>
      <c r="AH134" s="947">
        <f>Z134+AG134</f>
        <v>1343</v>
      </c>
      <c r="AI134" s="890">
        <f t="shared" si="150"/>
        <v>108</v>
      </c>
      <c r="AJ134" s="890">
        <f t="shared" si="150"/>
        <v>0</v>
      </c>
      <c r="AK134" s="890">
        <f t="shared" si="150"/>
        <v>0</v>
      </c>
      <c r="AL134" s="971">
        <f t="shared" si="150"/>
        <v>1235</v>
      </c>
      <c r="AM134" s="890">
        <f t="shared" si="150"/>
        <v>0</v>
      </c>
      <c r="AN134" s="890"/>
      <c r="AO134" s="971">
        <f>SUM(AI134:AN134)</f>
        <v>1343</v>
      </c>
      <c r="AP134" s="971">
        <f>SUM(AI134:AM134)</f>
        <v>1343</v>
      </c>
      <c r="AQ134" s="1036">
        <f t="shared" ref="AQ134:AQ143" si="179">SUM(AI134:AL134)</f>
        <v>1343</v>
      </c>
      <c r="AR134" s="973">
        <f t="shared" si="132"/>
        <v>0</v>
      </c>
      <c r="AS134" s="889">
        <f t="shared" si="174"/>
        <v>279361.44</v>
      </c>
      <c r="AT134" s="890">
        <f t="shared" si="174"/>
        <v>0</v>
      </c>
      <c r="AU134" s="890">
        <f t="shared" si="174"/>
        <v>0</v>
      </c>
      <c r="AV134" s="890">
        <f t="shared" si="174"/>
        <v>3194549.8</v>
      </c>
      <c r="AW134" s="890">
        <f t="shared" si="174"/>
        <v>0</v>
      </c>
      <c r="AX134" s="890">
        <f t="shared" si="99"/>
        <v>3473911.2399999998</v>
      </c>
      <c r="AY134" s="890">
        <f t="shared" si="100"/>
        <v>3473911.2399999998</v>
      </c>
      <c r="AZ134" s="890">
        <f t="shared" si="159"/>
        <v>324965.52</v>
      </c>
      <c r="BA134" s="890">
        <f t="shared" si="159"/>
        <v>0</v>
      </c>
      <c r="BB134" s="890">
        <f t="shared" si="159"/>
        <v>0</v>
      </c>
      <c r="BC134" s="890">
        <f t="shared" si="159"/>
        <v>11126040.9</v>
      </c>
      <c r="BD134" s="890">
        <f t="shared" si="173"/>
        <v>0</v>
      </c>
      <c r="BE134" s="890">
        <f t="shared" si="101"/>
        <v>11451006.42</v>
      </c>
      <c r="BF134" s="952">
        <f t="shared" si="102"/>
        <v>11451006.42</v>
      </c>
      <c r="BG134" s="974">
        <v>0</v>
      </c>
      <c r="BH134" s="890">
        <v>0</v>
      </c>
      <c r="BI134" s="890">
        <f t="shared" si="176"/>
        <v>0</v>
      </c>
      <c r="BJ134" s="894">
        <v>89500.79</v>
      </c>
      <c r="BK134" s="1200">
        <v>93650.3</v>
      </c>
      <c r="BL134" s="897">
        <f>I134*T134</f>
        <v>147440.75999999998</v>
      </c>
      <c r="BM134" s="897">
        <f t="shared" si="177"/>
        <v>0</v>
      </c>
      <c r="BN134" s="897">
        <f t="shared" si="177"/>
        <v>0</v>
      </c>
      <c r="BO134" s="897">
        <f t="shared" si="177"/>
        <v>1862409.5999999999</v>
      </c>
      <c r="BP134" s="897">
        <f t="shared" si="177"/>
        <v>0</v>
      </c>
      <c r="BQ134" s="897">
        <f t="shared" si="144"/>
        <v>2009850.3599999999</v>
      </c>
      <c r="BR134" s="897">
        <f t="shared" si="145"/>
        <v>2009850.3599999999</v>
      </c>
      <c r="BS134" s="897">
        <f t="shared" si="170"/>
        <v>153455.94</v>
      </c>
      <c r="BT134" s="897">
        <f t="shared" si="170"/>
        <v>0</v>
      </c>
      <c r="BU134" s="897">
        <f t="shared" si="170"/>
        <v>0</v>
      </c>
      <c r="BV134" s="897">
        <f t="shared" si="146"/>
        <v>6486436.8000000007</v>
      </c>
      <c r="BW134" s="897">
        <f t="shared" si="178"/>
        <v>0</v>
      </c>
      <c r="BX134" s="897">
        <f t="shared" si="147"/>
        <v>6639892.7400000012</v>
      </c>
      <c r="BY134" s="897">
        <f t="shared" si="148"/>
        <v>6639892.7400000012</v>
      </c>
      <c r="BZ134" s="905">
        <f t="shared" si="110"/>
        <v>0</v>
      </c>
      <c r="CA134" s="905">
        <f t="shared" si="110"/>
        <v>0</v>
      </c>
      <c r="CB134" s="905">
        <f t="shared" si="149"/>
        <v>0</v>
      </c>
      <c r="CC134" s="907" t="e">
        <f t="shared" si="111"/>
        <v>#DIV/0!</v>
      </c>
      <c r="CD134" s="907" t="e">
        <f t="shared" si="111"/>
        <v>#DIV/0!</v>
      </c>
      <c r="CE134" s="907" t="e">
        <f t="shared" si="133"/>
        <v>#DIV/0!</v>
      </c>
      <c r="CF134" s="905" t="e">
        <f t="shared" si="113"/>
        <v>#DIV/0!</v>
      </c>
      <c r="CG134" s="923">
        <f t="shared" si="114"/>
        <v>0</v>
      </c>
      <c r="CH134" s="923" t="e">
        <f t="shared" si="134"/>
        <v>#DIV/0!</v>
      </c>
      <c r="CI134" s="1179"/>
      <c r="CJ134" s="1038">
        <f t="shared" si="151"/>
        <v>2337.9463799999999</v>
      </c>
      <c r="CK134" s="1038">
        <f t="shared" si="115"/>
        <v>1703.0600400000001</v>
      </c>
      <c r="CL134" s="1038">
        <f t="shared" si="175"/>
        <v>4041.0064199999997</v>
      </c>
      <c r="CM134" s="1040">
        <f t="shared" si="135"/>
        <v>4041.0064199999997</v>
      </c>
      <c r="CN134" s="1040">
        <f t="shared" si="136"/>
        <v>0</v>
      </c>
      <c r="CO134" s="1040">
        <f t="shared" si="116"/>
        <v>3712910.4</v>
      </c>
      <c r="CP134" s="1040">
        <f t="shared" si="117"/>
        <v>3473911.2399999998</v>
      </c>
      <c r="CQ134" s="1040">
        <f t="shared" si="118"/>
        <v>3473911.2399999998</v>
      </c>
      <c r="CR134" s="1040">
        <f t="shared" si="119"/>
        <v>2009850.3599999999</v>
      </c>
      <c r="CS134" s="1040">
        <f t="shared" si="120"/>
        <v>11451006.42</v>
      </c>
      <c r="CT134" s="1040">
        <f t="shared" si="121"/>
        <v>11451006.42</v>
      </c>
      <c r="CU134" s="1040">
        <f t="shared" si="122"/>
        <v>4793060.040000001</v>
      </c>
      <c r="CV134" s="1040">
        <f t="shared" si="137"/>
        <v>14924917.66</v>
      </c>
      <c r="CW134" s="1082">
        <f t="shared" si="138"/>
        <v>11113.118138495905</v>
      </c>
      <c r="CX134" s="1040">
        <f t="shared" si="123"/>
        <v>0</v>
      </c>
      <c r="CY134" s="1040">
        <f t="shared" si="124"/>
        <v>0</v>
      </c>
      <c r="CZ134" s="1040"/>
      <c r="DA134" s="1040">
        <f t="shared" si="125"/>
        <v>3473911.2399999998</v>
      </c>
      <c r="DB134" s="1040">
        <f t="shared" si="126"/>
        <v>4041006.42</v>
      </c>
      <c r="DC134" s="1180"/>
      <c r="DD134" s="162" t="e">
        <f t="shared" si="139"/>
        <v>#DIV/0!</v>
      </c>
      <c r="DE134" s="1180"/>
      <c r="DF134" s="1180"/>
      <c r="DG134" s="1180"/>
      <c r="DH134" s="1043">
        <v>8346</v>
      </c>
      <c r="DI134" s="1043">
        <v>0</v>
      </c>
      <c r="DJ134" s="1043">
        <f t="shared" si="142"/>
        <v>8346</v>
      </c>
      <c r="DK134" s="1179"/>
      <c r="DL134" s="1045">
        <f t="shared" si="127"/>
        <v>0</v>
      </c>
      <c r="DM134" s="1045">
        <f t="shared" si="128"/>
        <v>0</v>
      </c>
      <c r="DN134" s="1045">
        <f t="shared" si="129"/>
        <v>0</v>
      </c>
    </row>
    <row r="135" spans="1:142" s="50" customFormat="1" ht="90" hidden="1" customHeight="1">
      <c r="A135" s="6">
        <f t="shared" si="140"/>
        <v>122</v>
      </c>
      <c r="B135" s="886" t="s">
        <v>47</v>
      </c>
      <c r="C135" s="886" t="s">
        <v>56</v>
      </c>
      <c r="D135" s="1206" t="s">
        <v>54</v>
      </c>
      <c r="E135" s="886">
        <v>4632068226</v>
      </c>
      <c r="F135" s="886" t="s">
        <v>8</v>
      </c>
      <c r="G135" s="888" t="s">
        <v>963</v>
      </c>
      <c r="H135" s="1245">
        <v>1686.48</v>
      </c>
      <c r="I135" s="1246">
        <v>1686.48</v>
      </c>
      <c r="J135" s="968">
        <v>1686.48</v>
      </c>
      <c r="K135" s="968">
        <v>1686.48</v>
      </c>
      <c r="L135" s="968">
        <v>1686.48</v>
      </c>
      <c r="M135" s="969">
        <v>1686.48</v>
      </c>
      <c r="N135" s="970">
        <v>1828.75</v>
      </c>
      <c r="O135" s="968">
        <v>1828.75</v>
      </c>
      <c r="P135" s="968">
        <v>1828.75</v>
      </c>
      <c r="Q135" s="968">
        <v>1828.75</v>
      </c>
      <c r="R135" s="968">
        <v>1828.75</v>
      </c>
      <c r="S135" s="968">
        <v>1828.75</v>
      </c>
      <c r="T135" s="935">
        <v>126.59</v>
      </c>
      <c r="U135" s="930">
        <v>59.17</v>
      </c>
      <c r="V135" s="930">
        <v>11.43</v>
      </c>
      <c r="W135" s="930">
        <v>2817.84</v>
      </c>
      <c r="X135" s="928">
        <v>126592.53</v>
      </c>
      <c r="Y135" s="931">
        <v>0</v>
      </c>
      <c r="Z135" s="949">
        <f>SUM(T135:W135)</f>
        <v>3015.03</v>
      </c>
      <c r="AA135" s="927">
        <v>92.42</v>
      </c>
      <c r="AB135" s="928">
        <v>37.83</v>
      </c>
      <c r="AC135" s="928">
        <v>7.3</v>
      </c>
      <c r="AD135" s="928">
        <v>1878.56</v>
      </c>
      <c r="AE135" s="928">
        <v>100275.8</v>
      </c>
      <c r="AF135" s="931">
        <v>0</v>
      </c>
      <c r="AG135" s="951">
        <f>SUM(AA135:AD135)</f>
        <v>2016.11</v>
      </c>
      <c r="AH135" s="947">
        <f>Z135+AG135</f>
        <v>5031.1400000000003</v>
      </c>
      <c r="AI135" s="894">
        <f t="shared" si="150"/>
        <v>219.01</v>
      </c>
      <c r="AJ135" s="894">
        <f t="shared" si="150"/>
        <v>97</v>
      </c>
      <c r="AK135" s="894">
        <f t="shared" si="150"/>
        <v>18.73</v>
      </c>
      <c r="AL135" s="894">
        <f t="shared" si="150"/>
        <v>4696.3999999999996</v>
      </c>
      <c r="AM135" s="894">
        <f t="shared" si="150"/>
        <v>226868.33000000002</v>
      </c>
      <c r="AN135" s="890"/>
      <c r="AO135" s="894">
        <f>SUM(AI135:AN135)</f>
        <v>231899.47000000003</v>
      </c>
      <c r="AP135" s="894">
        <f>SUM(AI135:AM135)</f>
        <v>231899.47000000003</v>
      </c>
      <c r="AQ135" s="972">
        <f t="shared" si="179"/>
        <v>5031.1399999999994</v>
      </c>
      <c r="AR135" s="973">
        <f t="shared" si="132"/>
        <v>0</v>
      </c>
      <c r="AS135" s="889">
        <f t="shared" si="174"/>
        <v>369355.98479999998</v>
      </c>
      <c r="AT135" s="890">
        <f t="shared" si="174"/>
        <v>163588.56</v>
      </c>
      <c r="AU135" s="890">
        <f t="shared" si="174"/>
        <v>31587.770400000001</v>
      </c>
      <c r="AV135" s="890">
        <f t="shared" si="174"/>
        <v>7920384.6719999993</v>
      </c>
      <c r="AW135" s="890">
        <f t="shared" si="174"/>
        <v>382608901.17840004</v>
      </c>
      <c r="AX135" s="890">
        <f t="shared" ref="AX135:AX142" si="180">SUM(AS135:AW135)</f>
        <v>391093818.16560006</v>
      </c>
      <c r="AY135" s="890">
        <f t="shared" ref="AY135:AY142" si="181">SUM(AS135:AV135)</f>
        <v>8484916.9871999994</v>
      </c>
      <c r="AZ135" s="890">
        <f t="shared" si="159"/>
        <v>400514.53749999998</v>
      </c>
      <c r="BA135" s="890">
        <f t="shared" si="159"/>
        <v>177388.75</v>
      </c>
      <c r="BB135" s="890">
        <f t="shared" si="159"/>
        <v>34252.487500000003</v>
      </c>
      <c r="BC135" s="890">
        <f t="shared" si="159"/>
        <v>8588541.5</v>
      </c>
      <c r="BD135" s="890">
        <f t="shared" si="173"/>
        <v>414885458.48750001</v>
      </c>
      <c r="BE135" s="890">
        <f t="shared" ref="BE135:BE142" si="182">SUM(AZ135:BD135)</f>
        <v>424086155.76249999</v>
      </c>
      <c r="BF135" s="952">
        <f t="shared" ref="BF135:BF142" si="183">SUM(AZ135:BC135)</f>
        <v>9200697.2750000004</v>
      </c>
      <c r="BG135" s="974">
        <v>0</v>
      </c>
      <c r="BH135" s="1046">
        <v>0</v>
      </c>
      <c r="BI135" s="1046">
        <v>0</v>
      </c>
      <c r="BJ135" s="894">
        <v>338038.79</v>
      </c>
      <c r="BK135" s="1199">
        <v>444364.99</v>
      </c>
      <c r="BL135" s="897">
        <f>I135*T135</f>
        <v>213491.50320000001</v>
      </c>
      <c r="BM135" s="897">
        <f>J135*U135</f>
        <v>99789.021600000007</v>
      </c>
      <c r="BN135" s="897">
        <f>K135*V135</f>
        <v>19276.466400000001</v>
      </c>
      <c r="BO135" s="897">
        <f>L135*W135</f>
        <v>4752230.8032</v>
      </c>
      <c r="BP135" s="897">
        <f>M135*X135</f>
        <v>213495769.99439999</v>
      </c>
      <c r="BQ135" s="897">
        <f>BL135+BM135+BN135+BO135+BP135</f>
        <v>218580557.7888</v>
      </c>
      <c r="BR135" s="897">
        <f>BQ135-BP135</f>
        <v>5084787.7944000065</v>
      </c>
      <c r="BS135" s="897">
        <f>O135*AA135</f>
        <v>169013.07500000001</v>
      </c>
      <c r="BT135" s="897">
        <f>P135*AB135</f>
        <v>69181.612500000003</v>
      </c>
      <c r="BU135" s="897">
        <f>Q135*AC135</f>
        <v>13349.875</v>
      </c>
      <c r="BV135" s="897">
        <f>R135*W135</f>
        <v>5153124.9000000004</v>
      </c>
      <c r="BW135" s="897">
        <f>S135*AE135</f>
        <v>183379369.25</v>
      </c>
      <c r="BX135" s="897">
        <f>BS135+BT135+BU135+BV135+BW135</f>
        <v>188784038.71250001</v>
      </c>
      <c r="BY135" s="897">
        <f>BX135-BW135</f>
        <v>5404669.462500006</v>
      </c>
      <c r="BZ135" s="905">
        <f t="shared" si="110"/>
        <v>168970.63410000002</v>
      </c>
      <c r="CA135" s="905">
        <f t="shared" si="110"/>
        <v>32626.341400000001</v>
      </c>
      <c r="CB135" s="905">
        <f t="shared" si="149"/>
        <v>201596.97550000003</v>
      </c>
      <c r="CC135" s="907">
        <f t="shared" si="111"/>
        <v>1741.9653000000003</v>
      </c>
      <c r="CD135" s="907">
        <f t="shared" si="111"/>
        <v>1741.9295995728778</v>
      </c>
      <c r="CE135" s="907">
        <f t="shared" si="133"/>
        <v>1741.9595221636571</v>
      </c>
      <c r="CF135" s="907">
        <f t="shared" si="113"/>
        <v>1741.9595221636571</v>
      </c>
      <c r="CG135" s="923">
        <f t="shared" si="114"/>
        <v>201596.9755</v>
      </c>
      <c r="CH135" s="923">
        <f t="shared" si="134"/>
        <v>1741.9595221636566</v>
      </c>
      <c r="CI135" s="1179"/>
      <c r="CJ135" s="1038">
        <f t="shared" si="151"/>
        <v>5513.7361125000007</v>
      </c>
      <c r="CK135" s="1038">
        <f t="shared" si="115"/>
        <v>3686.9611624999998</v>
      </c>
      <c r="CL135" s="1038">
        <f t="shared" si="175"/>
        <v>9200.6972750000004</v>
      </c>
      <c r="CM135" s="1040">
        <f t="shared" si="135"/>
        <v>9200.6972750000004</v>
      </c>
      <c r="CN135" s="1040">
        <f t="shared" si="136"/>
        <v>0</v>
      </c>
      <c r="CO135" s="1040">
        <f t="shared" si="116"/>
        <v>8771748.9569000006</v>
      </c>
      <c r="CP135" s="1040">
        <f t="shared" si="117"/>
        <v>8484916.9871999994</v>
      </c>
      <c r="CQ135" s="1040">
        <f t="shared" si="118"/>
        <v>8484916.9871999994</v>
      </c>
      <c r="CR135" s="1040">
        <f t="shared" si="119"/>
        <v>5084787.7944</v>
      </c>
      <c r="CS135" s="1040">
        <f t="shared" si="120"/>
        <v>9200697.2750000004</v>
      </c>
      <c r="CT135" s="1040">
        <f t="shared" si="121"/>
        <v>9200697.2750000004</v>
      </c>
      <c r="CU135" s="1040">
        <f t="shared" si="122"/>
        <v>3686961.1625000001</v>
      </c>
      <c r="CV135" s="1040">
        <f t="shared" si="137"/>
        <v>17685614.262199998</v>
      </c>
      <c r="CW135" s="1082">
        <f t="shared" si="138"/>
        <v>3515.2299999999996</v>
      </c>
      <c r="CX135" s="1040">
        <f t="shared" si="123"/>
        <v>195176.33040000001</v>
      </c>
      <c r="CY135" s="1040">
        <f t="shared" si="124"/>
        <v>211641.23749999999</v>
      </c>
      <c r="CZ135" s="1040"/>
      <c r="DA135" s="1040">
        <f t="shared" si="125"/>
        <v>8484916.9871999994</v>
      </c>
      <c r="DB135" s="1040">
        <f t="shared" si="126"/>
        <v>9200697.2750000004</v>
      </c>
      <c r="DC135" s="1180"/>
      <c r="DD135" s="162">
        <f t="shared" si="139"/>
        <v>108.43591385607894</v>
      </c>
      <c r="DE135" s="1180"/>
      <c r="DF135" s="1180"/>
      <c r="DG135" s="1180"/>
      <c r="DH135" s="1043">
        <v>5196.2</v>
      </c>
      <c r="DI135" s="1043">
        <v>160.19999999999999</v>
      </c>
      <c r="DJ135" s="1043">
        <f t="shared" si="142"/>
        <v>5036</v>
      </c>
      <c r="DK135" s="1179"/>
      <c r="DL135" s="1045">
        <f t="shared" si="127"/>
        <v>213495.76999440001</v>
      </c>
      <c r="DM135" s="1045">
        <f t="shared" si="128"/>
        <v>183379.36924999999</v>
      </c>
      <c r="DN135" s="1045">
        <f t="shared" si="129"/>
        <v>396875.13924439996</v>
      </c>
    </row>
    <row r="136" spans="1:142" s="869" customFormat="1" ht="85.5" hidden="1" customHeight="1">
      <c r="A136" s="6">
        <f t="shared" si="140"/>
        <v>123</v>
      </c>
      <c r="B136" s="886" t="s">
        <v>47</v>
      </c>
      <c r="C136" s="1309" t="s">
        <v>56</v>
      </c>
      <c r="D136" s="1262" t="s">
        <v>141</v>
      </c>
      <c r="E136" s="887">
        <v>4632024035</v>
      </c>
      <c r="F136" s="886" t="s">
        <v>8</v>
      </c>
      <c r="G136" s="1238" t="s">
        <v>983</v>
      </c>
      <c r="H136" s="1256">
        <v>3314.9639999999995</v>
      </c>
      <c r="I136" s="1257">
        <f>H136</f>
        <v>3314.9639999999995</v>
      </c>
      <c r="J136" s="1263">
        <v>2950.21</v>
      </c>
      <c r="K136" s="1263">
        <v>2950.21</v>
      </c>
      <c r="L136" s="1256">
        <v>3314.9639999999995</v>
      </c>
      <c r="M136" s="946"/>
      <c r="N136" s="1259">
        <f>3132.14*1.2</f>
        <v>3758.5679999999998</v>
      </c>
      <c r="O136" s="1260">
        <f>N136</f>
        <v>3758.5679999999998</v>
      </c>
      <c r="P136" s="1264">
        <v>2979.71</v>
      </c>
      <c r="Q136" s="1264">
        <v>2979.71</v>
      </c>
      <c r="R136" s="1260">
        <f>O136</f>
        <v>3758.5679999999998</v>
      </c>
      <c r="S136" s="946"/>
      <c r="T136" s="1392">
        <v>6129.0070000000014</v>
      </c>
      <c r="U136" s="1303">
        <v>62.542999999999999</v>
      </c>
      <c r="V136" s="1303">
        <v>1.5590000000000002</v>
      </c>
      <c r="W136" s="931"/>
      <c r="X136" s="931"/>
      <c r="Y136" s="931"/>
      <c r="Z136" s="1298">
        <f>SUM(T136:W136)</f>
        <v>6193.1090000000013</v>
      </c>
      <c r="AA136" s="1381">
        <v>3524.3859999999995</v>
      </c>
      <c r="AB136" s="1382">
        <v>45.6</v>
      </c>
      <c r="AC136" s="1382">
        <v>4.16</v>
      </c>
      <c r="AD136" s="931"/>
      <c r="AE136" s="931"/>
      <c r="AF136" s="931"/>
      <c r="AG136" s="951">
        <f t="shared" si="131"/>
        <v>3574.1459999999993</v>
      </c>
      <c r="AH136" s="947">
        <f t="shared" si="143"/>
        <v>9767.255000000001</v>
      </c>
      <c r="AI136" s="890">
        <f t="shared" si="150"/>
        <v>9653.393</v>
      </c>
      <c r="AJ136" s="890">
        <f t="shared" si="150"/>
        <v>108.143</v>
      </c>
      <c r="AK136" s="890">
        <f t="shared" si="150"/>
        <v>5.7190000000000003</v>
      </c>
      <c r="AL136" s="890">
        <f t="shared" si="150"/>
        <v>0</v>
      </c>
      <c r="AM136" s="890">
        <f t="shared" si="150"/>
        <v>0</v>
      </c>
      <c r="AN136" s="890"/>
      <c r="AO136" s="890">
        <f t="shared" si="154"/>
        <v>9767.2549999999992</v>
      </c>
      <c r="AP136" s="890">
        <f t="shared" si="155"/>
        <v>9767.2549999999992</v>
      </c>
      <c r="AQ136" s="1218">
        <f t="shared" si="179"/>
        <v>9767.2549999999992</v>
      </c>
      <c r="AR136" s="973">
        <f t="shared" si="132"/>
        <v>0</v>
      </c>
      <c r="AS136" s="889">
        <f t="shared" si="174"/>
        <v>32000650.272851996</v>
      </c>
      <c r="AT136" s="890">
        <f t="shared" si="174"/>
        <v>319044.56002999999</v>
      </c>
      <c r="AU136" s="890">
        <f t="shared" si="174"/>
        <v>16872.25099</v>
      </c>
      <c r="AV136" s="890">
        <f t="shared" si="174"/>
        <v>0</v>
      </c>
      <c r="AW136" s="890">
        <f t="shared" si="174"/>
        <v>0</v>
      </c>
      <c r="AX136" s="890">
        <f t="shared" si="180"/>
        <v>32336567.083871994</v>
      </c>
      <c r="AY136" s="890">
        <f t="shared" si="181"/>
        <v>32336567.083871994</v>
      </c>
      <c r="AZ136" s="890">
        <f t="shared" si="159"/>
        <v>36282934.021224</v>
      </c>
      <c r="BA136" s="890">
        <f t="shared" si="159"/>
        <v>322234.77853000001</v>
      </c>
      <c r="BB136" s="890">
        <f t="shared" si="159"/>
        <v>17040.961490000002</v>
      </c>
      <c r="BC136" s="890">
        <f t="shared" si="159"/>
        <v>0</v>
      </c>
      <c r="BD136" s="890">
        <f t="shared" si="173"/>
        <v>0</v>
      </c>
      <c r="BE136" s="890">
        <f t="shared" si="182"/>
        <v>36622209.761243999</v>
      </c>
      <c r="BF136" s="952">
        <f t="shared" si="183"/>
        <v>36622209.761243999</v>
      </c>
      <c r="BG136" s="1299">
        <f>(H136-J136)/1.2*U136/1000+(H136-K136)/1.2*V136/1000</f>
        <v>19.484550756666639</v>
      </c>
      <c r="BH136" s="1300">
        <f>(O136-P136)*AB136/1000/1.2+(O136-Q136)/1.2*AC136/1000</f>
        <v>32.296645066666656</v>
      </c>
      <c r="BI136" s="1297">
        <f>BG136+BH136</f>
        <v>51.781195823333292</v>
      </c>
      <c r="BJ136" s="962">
        <v>616146.33295943832</v>
      </c>
      <c r="BK136" s="1197"/>
      <c r="BL136" s="890">
        <f t="shared" si="177"/>
        <v>20317437.560748003</v>
      </c>
      <c r="BM136" s="890">
        <f t="shared" si="177"/>
        <v>184514.98402999999</v>
      </c>
      <c r="BN136" s="890">
        <f t="shared" si="177"/>
        <v>4599.3773900000006</v>
      </c>
      <c r="BO136" s="890">
        <f t="shared" si="177"/>
        <v>0</v>
      </c>
      <c r="BP136" s="890">
        <f t="shared" si="177"/>
        <v>0</v>
      </c>
      <c r="BQ136" s="890">
        <f t="shared" si="144"/>
        <v>20506551.922168005</v>
      </c>
      <c r="BR136" s="890">
        <f t="shared" si="145"/>
        <v>20506551.922168005</v>
      </c>
      <c r="BS136" s="890">
        <f t="shared" si="170"/>
        <v>13246644.439247997</v>
      </c>
      <c r="BT136" s="890">
        <f t="shared" si="170"/>
        <v>135874.77600000001</v>
      </c>
      <c r="BU136" s="890">
        <f t="shared" si="170"/>
        <v>12395.5936</v>
      </c>
      <c r="BV136" s="890">
        <f t="shared" si="146"/>
        <v>0</v>
      </c>
      <c r="BW136" s="890">
        <f t="shared" si="178"/>
        <v>0</v>
      </c>
      <c r="BX136" s="890">
        <f t="shared" si="147"/>
        <v>13394914.808847997</v>
      </c>
      <c r="BY136" s="890">
        <f t="shared" si="148"/>
        <v>13394914.808847997</v>
      </c>
      <c r="BZ136" s="945">
        <f t="shared" si="110"/>
        <v>320389.76003</v>
      </c>
      <c r="CA136" s="945">
        <f t="shared" si="110"/>
        <v>16994.970990000002</v>
      </c>
      <c r="CB136" s="945">
        <f t="shared" si="149"/>
        <v>337384.73102000001</v>
      </c>
      <c r="CC136" s="976">
        <f t="shared" si="111"/>
        <v>2962.6490852852244</v>
      </c>
      <c r="CD136" s="976">
        <f t="shared" si="111"/>
        <v>2971.6682969050535</v>
      </c>
      <c r="CE136" s="976">
        <f t="shared" si="133"/>
        <v>2963.1020974513008</v>
      </c>
      <c r="CF136" s="976">
        <f t="shared" si="113"/>
        <v>2963.1020974513008</v>
      </c>
      <c r="CG136" s="977">
        <f t="shared" si="114"/>
        <v>399522.16600800003</v>
      </c>
      <c r="CH136" s="977">
        <f t="shared" si="134"/>
        <v>3508.8279321283662</v>
      </c>
      <c r="CI136" s="1047"/>
      <c r="CJ136" s="1312">
        <f>H136*Z136/1000</f>
        <v>20529.933383076001</v>
      </c>
      <c r="CK136" s="1312">
        <f t="shared" si="115"/>
        <v>13433.670782927995</v>
      </c>
      <c r="CL136" s="1312">
        <f t="shared" si="175"/>
        <v>33963.604166003992</v>
      </c>
      <c r="CM136" s="1057">
        <f t="shared" si="135"/>
        <v>36710.892090840003</v>
      </c>
      <c r="CN136" s="1057">
        <f t="shared" si="136"/>
        <v>2747.2879248360114</v>
      </c>
      <c r="CO136" s="1049">
        <f t="shared" si="116"/>
        <v>33963604.166003995</v>
      </c>
      <c r="CP136" s="1049">
        <f t="shared" si="117"/>
        <v>32336567.083871994</v>
      </c>
      <c r="CQ136" s="1049">
        <f t="shared" si="118"/>
        <v>32336567.083871998</v>
      </c>
      <c r="CR136" s="1049">
        <f t="shared" si="119"/>
        <v>20506551.922168005</v>
      </c>
      <c r="CS136" s="1049">
        <f t="shared" si="120"/>
        <v>36622209.761243999</v>
      </c>
      <c r="CT136" s="1049">
        <f t="shared" si="121"/>
        <v>36622209.761243999</v>
      </c>
      <c r="CU136" s="1049">
        <f t="shared" si="122"/>
        <v>13394914.808847997</v>
      </c>
      <c r="CV136" s="1049">
        <f t="shared" si="137"/>
        <v>68958776.845115989</v>
      </c>
      <c r="CW136" s="1181">
        <f t="shared" si="138"/>
        <v>7060.2003167846015</v>
      </c>
      <c r="CX136" s="1049">
        <f t="shared" si="123"/>
        <v>335916.81102000002</v>
      </c>
      <c r="CY136" s="1049">
        <f t="shared" si="124"/>
        <v>339275.74002000003</v>
      </c>
      <c r="CZ136" s="1049"/>
      <c r="DA136" s="1049">
        <f t="shared" si="125"/>
        <v>32378098.703819998</v>
      </c>
      <c r="DB136" s="1049">
        <f t="shared" si="126"/>
        <v>36710892.090839997</v>
      </c>
      <c r="DC136" s="675"/>
      <c r="DD136" s="676">
        <f t="shared" si="139"/>
        <v>127.40001559211038</v>
      </c>
      <c r="DE136" s="675"/>
      <c r="DF136" s="675"/>
      <c r="DG136" s="675"/>
      <c r="DH136" s="1050"/>
      <c r="DI136" s="1050"/>
      <c r="DJ136" s="1050"/>
      <c r="DK136" s="1047"/>
      <c r="DL136" s="1058">
        <f t="shared" si="127"/>
        <v>0</v>
      </c>
      <c r="DM136" s="1058">
        <f t="shared" si="128"/>
        <v>0</v>
      </c>
      <c r="DN136" s="1058">
        <f t="shared" si="129"/>
        <v>0</v>
      </c>
      <c r="DO136" s="625"/>
    </row>
    <row r="137" spans="1:142" s="869" customFormat="1" ht="84.75" hidden="1" customHeight="1">
      <c r="A137" s="6">
        <f t="shared" si="140"/>
        <v>124</v>
      </c>
      <c r="B137" s="886" t="s">
        <v>47</v>
      </c>
      <c r="C137" s="1219" t="s">
        <v>56</v>
      </c>
      <c r="D137" s="1219" t="s">
        <v>981</v>
      </c>
      <c r="E137" s="1231">
        <v>6829012680</v>
      </c>
      <c r="F137" s="1219" t="s">
        <v>8</v>
      </c>
      <c r="G137" s="1222" t="s">
        <v>982</v>
      </c>
      <c r="H137" s="1249">
        <v>2326.752</v>
      </c>
      <c r="I137" s="1250">
        <v>2326.752</v>
      </c>
      <c r="J137" s="891">
        <v>2231.2199999999998</v>
      </c>
      <c r="K137" s="891">
        <v>2231.2199999999998</v>
      </c>
      <c r="L137" s="891">
        <v>2326.752</v>
      </c>
      <c r="M137" s="946">
        <v>2326.752</v>
      </c>
      <c r="N137" s="927">
        <f>2165.81*1.2</f>
        <v>2598.9719999999998</v>
      </c>
      <c r="O137" s="928">
        <f>N137</f>
        <v>2598.9719999999998</v>
      </c>
      <c r="P137" s="928">
        <v>2403.02</v>
      </c>
      <c r="Q137" s="928">
        <f>P137</f>
        <v>2403.02</v>
      </c>
      <c r="R137" s="928">
        <f>O137</f>
        <v>2598.9719999999998</v>
      </c>
      <c r="S137" s="926">
        <f>R137</f>
        <v>2598.9719999999998</v>
      </c>
      <c r="T137" s="1051">
        <v>165978.1</v>
      </c>
      <c r="U137" s="1232">
        <v>699591.98908299371</v>
      </c>
      <c r="V137" s="1052">
        <f>830181.1-U137</f>
        <v>130589.11091700627</v>
      </c>
      <c r="W137" s="890">
        <f>125129.86-X137</f>
        <v>121744.86</v>
      </c>
      <c r="X137" s="890">
        <v>3385</v>
      </c>
      <c r="Y137" s="890"/>
      <c r="Z137" s="1053">
        <f>SUM(T137:W137)</f>
        <v>1117904.06</v>
      </c>
      <c r="AA137" s="1054">
        <v>105345.1</v>
      </c>
      <c r="AB137" s="1052">
        <v>435637.64910433139</v>
      </c>
      <c r="AC137" s="1052">
        <f>553647.9-AB137</f>
        <v>118010.25089566864</v>
      </c>
      <c r="AD137" s="975">
        <f>250867.255-AE137</f>
        <v>248307.255</v>
      </c>
      <c r="AE137" s="890">
        <v>2560</v>
      </c>
      <c r="AF137" s="890"/>
      <c r="AG137" s="1055">
        <f>SUM(AA137:AD137)</f>
        <v>907300.255</v>
      </c>
      <c r="AH137" s="1051">
        <f t="shared" si="143"/>
        <v>2025204.3149999999</v>
      </c>
      <c r="AI137" s="890">
        <f t="shared" si="150"/>
        <v>271323.2</v>
      </c>
      <c r="AJ137" s="890">
        <f t="shared" si="150"/>
        <v>1135229.6381873251</v>
      </c>
      <c r="AK137" s="890">
        <f t="shared" si="150"/>
        <v>248599.36181267491</v>
      </c>
      <c r="AL137" s="890">
        <f t="shared" si="150"/>
        <v>370052.11499999999</v>
      </c>
      <c r="AM137" s="890">
        <f t="shared" si="150"/>
        <v>5945</v>
      </c>
      <c r="AN137" s="890"/>
      <c r="AO137" s="975">
        <f t="shared" si="154"/>
        <v>2031149.3149999999</v>
      </c>
      <c r="AP137" s="975">
        <f t="shared" si="155"/>
        <v>2031149.3149999999</v>
      </c>
      <c r="AQ137" s="1035">
        <f t="shared" si="179"/>
        <v>2025204.3149999999</v>
      </c>
      <c r="AR137" s="973">
        <f t="shared" si="132"/>
        <v>0</v>
      </c>
      <c r="AS137" s="889">
        <f t="shared" si="174"/>
        <v>631301798.2464</v>
      </c>
      <c r="AT137" s="890">
        <f t="shared" si="174"/>
        <v>2532947073.3163233</v>
      </c>
      <c r="AU137" s="890">
        <f t="shared" si="174"/>
        <v>554679868.06367648</v>
      </c>
      <c r="AV137" s="890">
        <f t="shared" si="174"/>
        <v>861019498.68048</v>
      </c>
      <c r="AW137" s="890">
        <f t="shared" si="174"/>
        <v>13832540.640000001</v>
      </c>
      <c r="AX137" s="890">
        <f t="shared" si="180"/>
        <v>4593780778.9468794</v>
      </c>
      <c r="AY137" s="890">
        <f t="shared" si="181"/>
        <v>4579948238.306879</v>
      </c>
      <c r="AZ137" s="890">
        <f t="shared" si="159"/>
        <v>705161399.75039995</v>
      </c>
      <c r="BA137" s="890">
        <f t="shared" si="159"/>
        <v>2727979525.1569061</v>
      </c>
      <c r="BB137" s="890">
        <f t="shared" si="159"/>
        <v>597389238.42309403</v>
      </c>
      <c r="BC137" s="890">
        <f t="shared" si="159"/>
        <v>961755085.42577994</v>
      </c>
      <c r="BD137" s="890">
        <f t="shared" si="173"/>
        <v>15450888.539999999</v>
      </c>
      <c r="BE137" s="890">
        <f t="shared" si="182"/>
        <v>5007736137.2961807</v>
      </c>
      <c r="BF137" s="952">
        <f t="shared" si="183"/>
        <v>4992285248.7561808</v>
      </c>
      <c r="BG137" s="1234">
        <v>66231.922000000006</v>
      </c>
      <c r="BH137" s="966">
        <v>90631.398000000001</v>
      </c>
      <c r="BI137" s="1233">
        <f>BG137+BH137</f>
        <v>156863.32</v>
      </c>
      <c r="BJ137" s="975">
        <v>4167008.598864058</v>
      </c>
      <c r="BK137" s="1198">
        <v>6109023.6911929175</v>
      </c>
      <c r="BL137" s="890">
        <f t="shared" si="177"/>
        <v>386189876.13120002</v>
      </c>
      <c r="BM137" s="890">
        <f t="shared" si="177"/>
        <v>1560943637.881757</v>
      </c>
      <c r="BN137" s="890">
        <f t="shared" si="177"/>
        <v>291373036.06024271</v>
      </c>
      <c r="BO137" s="890">
        <f t="shared" si="177"/>
        <v>283270096.49471998</v>
      </c>
      <c r="BP137" s="890">
        <f t="shared" si="177"/>
        <v>7876055.5199999996</v>
      </c>
      <c r="BQ137" s="890">
        <f t="shared" si="144"/>
        <v>2529652702.0879197</v>
      </c>
      <c r="BR137" s="890">
        <f t="shared" si="145"/>
        <v>2521776646.5679197</v>
      </c>
      <c r="BS137" s="890">
        <f t="shared" si="170"/>
        <v>273788965.23719996</v>
      </c>
      <c r="BT137" s="890">
        <f t="shared" si="170"/>
        <v>1046845983.5506904</v>
      </c>
      <c r="BU137" s="890">
        <f t="shared" si="170"/>
        <v>283580993.10730964</v>
      </c>
      <c r="BV137" s="890">
        <f t="shared" si="146"/>
        <v>316411482.28391999</v>
      </c>
      <c r="BW137" s="890">
        <f t="shared" si="178"/>
        <v>6653368.3199999994</v>
      </c>
      <c r="BX137" s="890">
        <f t="shared" si="147"/>
        <v>1927280792.49912</v>
      </c>
      <c r="BY137" s="890">
        <f t="shared" si="148"/>
        <v>1920627424.1791201</v>
      </c>
      <c r="BZ137" s="945">
        <f t="shared" si="110"/>
        <v>2607789621.4324474</v>
      </c>
      <c r="CA137" s="945">
        <f t="shared" si="110"/>
        <v>574954029.16755235</v>
      </c>
      <c r="CB137" s="945">
        <f t="shared" si="149"/>
        <v>3182743650.5999999</v>
      </c>
      <c r="CC137" s="976">
        <f t="shared" si="111"/>
        <v>2297.1472323400826</v>
      </c>
      <c r="CD137" s="976">
        <f t="shared" si="111"/>
        <v>2312.7735524952509</v>
      </c>
      <c r="CE137" s="976">
        <f t="shared" si="133"/>
        <v>2299.9544384457904</v>
      </c>
      <c r="CF137" s="976">
        <f t="shared" si="113"/>
        <v>2299.9544384457904</v>
      </c>
      <c r="CG137" s="977">
        <f t="shared" si="114"/>
        <v>3370540924.7459998</v>
      </c>
      <c r="CH137" s="977">
        <f t="shared" si="134"/>
        <v>2435.6628779610774</v>
      </c>
      <c r="CI137" s="1047"/>
      <c r="CJ137" s="1048">
        <f t="shared" si="151"/>
        <v>2905401.3506263201</v>
      </c>
      <c r="CK137" s="1048">
        <f t="shared" si="115"/>
        <v>2358047.9583378597</v>
      </c>
      <c r="CL137" s="1056">
        <f t="shared" si="175"/>
        <v>5263449.3089641798</v>
      </c>
      <c r="CM137" s="1057">
        <f t="shared" si="135"/>
        <v>5263449.3089641789</v>
      </c>
      <c r="CN137" s="1057">
        <f t="shared" si="136"/>
        <v>0</v>
      </c>
      <c r="CO137" s="1049">
        <f t="shared" si="116"/>
        <v>4959133465.7509804</v>
      </c>
      <c r="CP137" s="1049">
        <f t="shared" si="117"/>
        <v>4579948238.306879</v>
      </c>
      <c r="CQ137" s="1049">
        <f t="shared" si="118"/>
        <v>4579948238.306879</v>
      </c>
      <c r="CR137" s="1049">
        <f t="shared" si="119"/>
        <v>2521776646.5679197</v>
      </c>
      <c r="CS137" s="1049">
        <f t="shared" si="120"/>
        <v>4992285248.7561808</v>
      </c>
      <c r="CT137" s="1049">
        <f t="shared" si="121"/>
        <v>4992285248.7561798</v>
      </c>
      <c r="CU137" s="1049">
        <f t="shared" si="122"/>
        <v>2249559545.0370598</v>
      </c>
      <c r="CV137" s="1049">
        <f t="shared" si="137"/>
        <v>9572233487.0630608</v>
      </c>
      <c r="CW137" s="1181">
        <f t="shared" si="138"/>
        <v>4726.5519909101422</v>
      </c>
      <c r="CX137" s="1049">
        <f t="shared" si="123"/>
        <v>3087626941.3799996</v>
      </c>
      <c r="CY137" s="1049">
        <f t="shared" si="124"/>
        <v>3325368763.5799999</v>
      </c>
      <c r="CZ137" s="1049"/>
      <c r="DA137" s="1049">
        <f t="shared" si="125"/>
        <v>4712148190.3348799</v>
      </c>
      <c r="DB137" s="1049">
        <f t="shared" si="126"/>
        <v>5263449308.96418</v>
      </c>
      <c r="DC137" s="675"/>
      <c r="DD137" s="676">
        <f t="shared" si="139"/>
        <v>116.48210396106167</v>
      </c>
      <c r="DE137" s="675"/>
      <c r="DF137" s="675"/>
      <c r="DG137" s="675"/>
      <c r="DH137" s="1235">
        <f>AH137</f>
        <v>2025204.3149999999</v>
      </c>
      <c r="DI137" s="1137">
        <f>AJ137+AK137</f>
        <v>1383829</v>
      </c>
      <c r="DJ137" s="1236">
        <f>DH137-DI137</f>
        <v>641375.31499999994</v>
      </c>
      <c r="DK137" s="1047"/>
      <c r="DL137" s="1058">
        <f t="shared" si="127"/>
        <v>7876.0555199999999</v>
      </c>
      <c r="DM137" s="1058">
        <f t="shared" si="128"/>
        <v>6653.3683199999996</v>
      </c>
      <c r="DN137" s="1058">
        <f t="shared" si="129"/>
        <v>14529.423839999999</v>
      </c>
      <c r="DO137" s="625"/>
    </row>
    <row r="138" spans="1:142" s="50" customFormat="1" ht="81" hidden="1" customHeight="1">
      <c r="A138" s="6">
        <f t="shared" si="140"/>
        <v>125</v>
      </c>
      <c r="B138" s="886" t="s">
        <v>47</v>
      </c>
      <c r="C138" s="886" t="s">
        <v>56</v>
      </c>
      <c r="D138" s="1225" t="s">
        <v>272</v>
      </c>
      <c r="E138" s="1020">
        <v>4630001280</v>
      </c>
      <c r="F138" s="886" t="s">
        <v>8</v>
      </c>
      <c r="G138" s="888" t="s">
        <v>976</v>
      </c>
      <c r="H138" s="925">
        <f>1947.25*1.2</f>
        <v>2336.6999999999998</v>
      </c>
      <c r="I138" s="891">
        <v>0</v>
      </c>
      <c r="J138" s="891">
        <v>2336.6999999999998</v>
      </c>
      <c r="K138" s="891">
        <v>0</v>
      </c>
      <c r="L138" s="891">
        <v>0</v>
      </c>
      <c r="M138" s="892">
        <v>0</v>
      </c>
      <c r="N138" s="984">
        <f>2200.21*1.2</f>
        <v>2640.252</v>
      </c>
      <c r="O138" s="895">
        <v>0</v>
      </c>
      <c r="P138" s="895">
        <v>2640.25</v>
      </c>
      <c r="Q138" s="895">
        <v>0</v>
      </c>
      <c r="R138" s="895">
        <v>0</v>
      </c>
      <c r="S138" s="892">
        <v>0</v>
      </c>
      <c r="T138" s="903">
        <v>0</v>
      </c>
      <c r="U138" s="897">
        <v>44.88</v>
      </c>
      <c r="V138" s="897">
        <v>0</v>
      </c>
      <c r="W138" s="897">
        <v>0</v>
      </c>
      <c r="X138" s="897">
        <v>0</v>
      </c>
      <c r="Y138" s="897">
        <v>6010.71</v>
      </c>
      <c r="Z138" s="898">
        <f>U138</f>
        <v>44.88</v>
      </c>
      <c r="AA138" s="904">
        <v>0</v>
      </c>
      <c r="AB138" s="897">
        <v>33.659999999999997</v>
      </c>
      <c r="AC138" s="897">
        <v>0</v>
      </c>
      <c r="AD138" s="897">
        <v>0</v>
      </c>
      <c r="AE138" s="897">
        <v>0</v>
      </c>
      <c r="AF138" s="897">
        <v>6021.93</v>
      </c>
      <c r="AG138" s="900">
        <f>AB138</f>
        <v>33.659999999999997</v>
      </c>
      <c r="AH138" s="896">
        <f>Z138+AG138</f>
        <v>78.539999999999992</v>
      </c>
      <c r="AI138" s="897">
        <f t="shared" ref="AI138:AM142" si="184">T138+AA138</f>
        <v>0</v>
      </c>
      <c r="AJ138" s="897">
        <f t="shared" si="184"/>
        <v>78.539999999999992</v>
      </c>
      <c r="AK138" s="897">
        <f t="shared" si="184"/>
        <v>0</v>
      </c>
      <c r="AL138" s="897">
        <f t="shared" si="184"/>
        <v>0</v>
      </c>
      <c r="AM138" s="897">
        <f t="shared" si="184"/>
        <v>0</v>
      </c>
      <c r="AN138" s="897">
        <f>AF138+Y138</f>
        <v>12032.64</v>
      </c>
      <c r="AO138" s="897">
        <f>SUM(AI138:AN138)</f>
        <v>12111.18</v>
      </c>
      <c r="AP138" s="897">
        <f t="shared" si="155"/>
        <v>78.539999999999992</v>
      </c>
      <c r="AQ138" s="901">
        <f t="shared" si="179"/>
        <v>78.539999999999992</v>
      </c>
      <c r="AR138" s="902">
        <f t="shared" si="132"/>
        <v>0</v>
      </c>
      <c r="AS138" s="903">
        <f t="shared" si="174"/>
        <v>0</v>
      </c>
      <c r="AT138" s="897">
        <f>J138*AJ138</f>
        <v>183524.41799999998</v>
      </c>
      <c r="AU138" s="897">
        <f t="shared" si="174"/>
        <v>0</v>
      </c>
      <c r="AV138" s="897">
        <f t="shared" si="174"/>
        <v>0</v>
      </c>
      <c r="AW138" s="897">
        <f t="shared" si="174"/>
        <v>0</v>
      </c>
      <c r="AX138" s="897">
        <f t="shared" si="180"/>
        <v>183524.41799999998</v>
      </c>
      <c r="AY138" s="897">
        <f t="shared" si="181"/>
        <v>183524.41799999998</v>
      </c>
      <c r="AZ138" s="897">
        <f t="shared" si="159"/>
        <v>0</v>
      </c>
      <c r="BA138" s="897">
        <f t="shared" si="159"/>
        <v>207365.23499999999</v>
      </c>
      <c r="BB138" s="897">
        <f t="shared" si="159"/>
        <v>0</v>
      </c>
      <c r="BC138" s="897">
        <f t="shared" si="159"/>
        <v>0</v>
      </c>
      <c r="BD138" s="897">
        <f t="shared" si="173"/>
        <v>0</v>
      </c>
      <c r="BE138" s="897">
        <f t="shared" si="182"/>
        <v>207365.23499999999</v>
      </c>
      <c r="BF138" s="901">
        <f t="shared" si="183"/>
        <v>207365.23499999999</v>
      </c>
      <c r="BG138" s="904">
        <v>0</v>
      </c>
      <c r="BH138" s="897">
        <v>0</v>
      </c>
      <c r="BI138" s="897">
        <v>0</v>
      </c>
      <c r="BJ138" s="919">
        <v>25115.32</v>
      </c>
      <c r="BK138" s="1194"/>
      <c r="BL138" s="897">
        <f t="shared" si="177"/>
        <v>0</v>
      </c>
      <c r="BM138" s="897">
        <f t="shared" si="177"/>
        <v>104871.09600000001</v>
      </c>
      <c r="BN138" s="897">
        <f t="shared" si="177"/>
        <v>0</v>
      </c>
      <c r="BO138" s="897">
        <f t="shared" si="177"/>
        <v>0</v>
      </c>
      <c r="BP138" s="897">
        <f t="shared" si="177"/>
        <v>0</v>
      </c>
      <c r="BQ138" s="897">
        <f t="shared" si="144"/>
        <v>104871.09600000001</v>
      </c>
      <c r="BR138" s="897">
        <f t="shared" si="145"/>
        <v>104871.09600000001</v>
      </c>
      <c r="BS138" s="897">
        <f t="shared" si="170"/>
        <v>0</v>
      </c>
      <c r="BT138" s="897">
        <f t="shared" si="170"/>
        <v>88870.814999999988</v>
      </c>
      <c r="BU138" s="897">
        <f t="shared" si="170"/>
        <v>0</v>
      </c>
      <c r="BV138" s="897">
        <f t="shared" si="146"/>
        <v>0</v>
      </c>
      <c r="BW138" s="897">
        <f t="shared" si="178"/>
        <v>0</v>
      </c>
      <c r="BX138" s="897">
        <f t="shared" si="147"/>
        <v>88870.814999999988</v>
      </c>
      <c r="BY138" s="897">
        <f t="shared" si="148"/>
        <v>88870.814999999988</v>
      </c>
      <c r="BZ138" s="905">
        <f t="shared" si="110"/>
        <v>193741.91099999999</v>
      </c>
      <c r="CA138" s="905">
        <f t="shared" si="110"/>
        <v>0</v>
      </c>
      <c r="CB138" s="905">
        <f t="shared" si="149"/>
        <v>193741.91099999999</v>
      </c>
      <c r="CC138" s="907">
        <f t="shared" si="111"/>
        <v>2466.7928571428574</v>
      </c>
      <c r="CD138" s="907" t="e">
        <f t="shared" si="111"/>
        <v>#DIV/0!</v>
      </c>
      <c r="CE138" s="907">
        <f t="shared" si="133"/>
        <v>2466.7928571428574</v>
      </c>
      <c r="CF138" s="907">
        <f t="shared" si="113"/>
        <v>2466.7928571428574</v>
      </c>
      <c r="CG138" s="923">
        <f t="shared" si="114"/>
        <v>0</v>
      </c>
      <c r="CH138" s="923">
        <f t="shared" si="134"/>
        <v>0</v>
      </c>
      <c r="CI138" s="1179"/>
      <c r="CJ138" s="1038">
        <f t="shared" si="151"/>
        <v>118.49450976</v>
      </c>
      <c r="CK138" s="1038">
        <f t="shared" si="115"/>
        <v>88.870882319999993</v>
      </c>
      <c r="CL138" s="1038">
        <f t="shared" si="175"/>
        <v>207.36539207999999</v>
      </c>
      <c r="CM138" s="1040">
        <f t="shared" si="135"/>
        <v>207.36539207999996</v>
      </c>
      <c r="CN138" s="1040">
        <f t="shared" si="136"/>
        <v>0</v>
      </c>
      <c r="CO138" s="1040">
        <f>H138*Z138+N138*AG138</f>
        <v>193741.97831999999</v>
      </c>
      <c r="CP138" s="1040">
        <f t="shared" si="117"/>
        <v>183524.41799999998</v>
      </c>
      <c r="CQ138" s="1040">
        <f t="shared" si="118"/>
        <v>183524.41799999998</v>
      </c>
      <c r="CR138" s="1040">
        <f t="shared" si="119"/>
        <v>104871.09600000001</v>
      </c>
      <c r="CS138" s="1040">
        <f t="shared" si="120"/>
        <v>207365.23499999999</v>
      </c>
      <c r="CT138" s="1040">
        <f t="shared" si="121"/>
        <v>207365.23499999999</v>
      </c>
      <c r="CU138" s="1040">
        <f t="shared" si="122"/>
        <v>88870.814999999988</v>
      </c>
      <c r="CV138" s="1040">
        <f t="shared" si="137"/>
        <v>390889.65299999993</v>
      </c>
      <c r="CW138" s="1082">
        <f t="shared" si="138"/>
        <v>4976.95</v>
      </c>
      <c r="CX138" s="1040">
        <f t="shared" si="123"/>
        <v>183524.41799999998</v>
      </c>
      <c r="CY138" s="1040">
        <f t="shared" si="124"/>
        <v>207365.23499999999</v>
      </c>
      <c r="CZ138" s="1040"/>
      <c r="DA138" s="1040">
        <f t="shared" si="125"/>
        <v>183524.41799999998</v>
      </c>
      <c r="DB138" s="1040">
        <f t="shared" si="126"/>
        <v>207365.39207999996</v>
      </c>
      <c r="DC138" s="1180"/>
      <c r="DD138" s="651">
        <f t="shared" si="139"/>
        <v>112.99062780844781</v>
      </c>
      <c r="DE138" s="1180"/>
      <c r="DF138" s="1180"/>
      <c r="DG138" s="1180"/>
      <c r="DH138" s="1043">
        <v>78.539999999999992</v>
      </c>
      <c r="DI138" s="1043">
        <v>78.539999999999992</v>
      </c>
      <c r="DJ138" s="1043">
        <f t="shared" si="142"/>
        <v>0</v>
      </c>
      <c r="DK138" s="1179"/>
      <c r="DL138" s="1045">
        <f t="shared" si="127"/>
        <v>0</v>
      </c>
      <c r="DM138" s="1045">
        <f t="shared" si="128"/>
        <v>0</v>
      </c>
      <c r="DN138" s="1045">
        <f t="shared" si="129"/>
        <v>0</v>
      </c>
    </row>
    <row r="139" spans="1:142" s="81" customFormat="1" ht="81" hidden="1" customHeight="1">
      <c r="A139" s="6">
        <f t="shared" si="140"/>
        <v>126</v>
      </c>
      <c r="B139" s="886" t="s">
        <v>47</v>
      </c>
      <c r="C139" s="886" t="s">
        <v>56</v>
      </c>
      <c r="D139" s="886" t="s">
        <v>932</v>
      </c>
      <c r="E139" s="1182">
        <v>3123389689</v>
      </c>
      <c r="F139" s="886" t="s">
        <v>8</v>
      </c>
      <c r="G139" s="888" t="s">
        <v>957</v>
      </c>
      <c r="H139" s="925">
        <v>2270.29</v>
      </c>
      <c r="I139" s="891">
        <v>0</v>
      </c>
      <c r="J139" s="891">
        <v>2270.29</v>
      </c>
      <c r="K139" s="891">
        <v>2270.29</v>
      </c>
      <c r="L139" s="891">
        <v>2270.29</v>
      </c>
      <c r="M139" s="892">
        <v>0</v>
      </c>
      <c r="N139" s="927">
        <v>2470.62</v>
      </c>
      <c r="O139" s="928"/>
      <c r="P139" s="928">
        <v>2470.62</v>
      </c>
      <c r="Q139" s="928">
        <v>2470.62</v>
      </c>
      <c r="R139" s="928">
        <v>2470.62</v>
      </c>
      <c r="S139" s="926"/>
      <c r="T139" s="903"/>
      <c r="U139" s="919">
        <v>1209.5371999972801</v>
      </c>
      <c r="V139" s="919">
        <v>1054.5145484328</v>
      </c>
      <c r="W139" s="919">
        <v>87.071399999999997</v>
      </c>
      <c r="X139" s="897"/>
      <c r="Y139" s="897"/>
      <c r="Z139" s="920">
        <f>U139+V139+W139</f>
        <v>2351.1231484300797</v>
      </c>
      <c r="AA139" s="904"/>
      <c r="AB139" s="919">
        <v>773.31066885072005</v>
      </c>
      <c r="AC139" s="919">
        <v>674.19782604720001</v>
      </c>
      <c r="AD139" s="919">
        <v>55.668600000000005</v>
      </c>
      <c r="AE139" s="919"/>
      <c r="AF139" s="919"/>
      <c r="AG139" s="1014">
        <f>AB139+AC139+AD139</f>
        <v>1503.1770948979201</v>
      </c>
      <c r="AH139" s="896">
        <f>Z139+AG139</f>
        <v>3854.3002433279999</v>
      </c>
      <c r="AI139" s="897"/>
      <c r="AJ139" s="919">
        <f t="shared" si="184"/>
        <v>1982.8478688480002</v>
      </c>
      <c r="AK139" s="919">
        <f t="shared" si="184"/>
        <v>1728.7123744800001</v>
      </c>
      <c r="AL139" s="919">
        <f t="shared" si="184"/>
        <v>142.74</v>
      </c>
      <c r="AM139" s="897"/>
      <c r="AN139" s="897">
        <f>AF139+Y139</f>
        <v>0</v>
      </c>
      <c r="AO139" s="919">
        <f>SUM(AI139:AN139)</f>
        <v>3854.3002433279999</v>
      </c>
      <c r="AP139" s="919">
        <f t="shared" si="155"/>
        <v>3854.3002433279999</v>
      </c>
      <c r="AQ139" s="920">
        <f t="shared" si="179"/>
        <v>3854.3002433279999</v>
      </c>
      <c r="AR139" s="902">
        <f>AQ139-AH139</f>
        <v>0</v>
      </c>
      <c r="AS139" s="903"/>
      <c r="AT139" s="897">
        <f t="shared" si="174"/>
        <v>4501639.6881669266</v>
      </c>
      <c r="AU139" s="897"/>
      <c r="AV139" s="897"/>
      <c r="AW139" s="897"/>
      <c r="AX139" s="897">
        <f t="shared" si="180"/>
        <v>4501639.6881669266</v>
      </c>
      <c r="AY139" s="897">
        <f t="shared" si="181"/>
        <v>4501639.6881669266</v>
      </c>
      <c r="AZ139" s="897"/>
      <c r="BA139" s="897">
        <f t="shared" si="159"/>
        <v>4898863.6017332459</v>
      </c>
      <c r="BB139" s="897">
        <f t="shared" si="159"/>
        <v>4270991.3666377775</v>
      </c>
      <c r="BC139" s="897">
        <f>R139*AL139</f>
        <v>352656.29879999999</v>
      </c>
      <c r="BD139" s="897"/>
      <c r="BE139" s="897">
        <f t="shared" si="182"/>
        <v>9522511.2671710216</v>
      </c>
      <c r="BF139" s="901">
        <f t="shared" si="183"/>
        <v>9522511.2671710216</v>
      </c>
      <c r="BG139" s="904"/>
      <c r="BH139" s="897"/>
      <c r="BI139" s="897"/>
      <c r="BJ139" s="919">
        <v>9051.514987666862</v>
      </c>
      <c r="BK139" s="1203">
        <v>10146.125120000001</v>
      </c>
      <c r="BL139" s="897">
        <f t="shared" si="177"/>
        <v>0</v>
      </c>
      <c r="BM139" s="897">
        <f t="shared" si="177"/>
        <v>2746000.2097818251</v>
      </c>
      <c r="BN139" s="897">
        <f t="shared" si="177"/>
        <v>2394053.8341615014</v>
      </c>
      <c r="BO139" s="897">
        <f t="shared" si="177"/>
        <v>197677.328706</v>
      </c>
      <c r="BP139" s="897">
        <f t="shared" si="177"/>
        <v>0</v>
      </c>
      <c r="BQ139" s="897">
        <f t="shared" si="144"/>
        <v>5337731.3726493269</v>
      </c>
      <c r="BR139" s="897">
        <f t="shared" si="145"/>
        <v>5337731.3726493269</v>
      </c>
      <c r="BS139" s="897">
        <f t="shared" si="170"/>
        <v>0</v>
      </c>
      <c r="BT139" s="897">
        <f t="shared" si="170"/>
        <v>1910556.8046759658</v>
      </c>
      <c r="BU139" s="897">
        <f t="shared" si="170"/>
        <v>1665686.6329887332</v>
      </c>
      <c r="BV139" s="897">
        <f t="shared" si="146"/>
        <v>215120.34226799998</v>
      </c>
      <c r="BW139" s="897">
        <f t="shared" si="178"/>
        <v>0</v>
      </c>
      <c r="BX139" s="897">
        <f t="shared" si="147"/>
        <v>3791363.7799326987</v>
      </c>
      <c r="BY139" s="897">
        <f t="shared" si="148"/>
        <v>3791363.7799326987</v>
      </c>
      <c r="BZ139" s="905">
        <f t="shared" si="110"/>
        <v>4656557.0144577911</v>
      </c>
      <c r="CA139" s="905">
        <f t="shared" si="110"/>
        <v>4059740.4671502346</v>
      </c>
      <c r="CB139" s="905">
        <f t="shared" si="149"/>
        <v>8716297.4816080257</v>
      </c>
      <c r="CC139" s="907">
        <f t="shared" si="111"/>
        <v>2348.4187000000002</v>
      </c>
      <c r="CD139" s="907">
        <f t="shared" si="111"/>
        <v>2348.4186999999997</v>
      </c>
      <c r="CE139" s="907">
        <f t="shared" si="133"/>
        <v>2348.4187000000002</v>
      </c>
      <c r="CF139" s="907">
        <f t="shared" si="113"/>
        <v>2348.4187000000002</v>
      </c>
      <c r="CG139" s="923">
        <f t="shared" si="114"/>
        <v>0</v>
      </c>
      <c r="CH139" s="923">
        <f t="shared" si="134"/>
        <v>0</v>
      </c>
      <c r="CI139" s="979"/>
      <c r="CJ139" s="897">
        <f t="shared" si="151"/>
        <v>5808.7318729743229</v>
      </c>
      <c r="CK139" s="897">
        <f t="shared" si="115"/>
        <v>3713.7793941966993</v>
      </c>
      <c r="CL139" s="897">
        <f t="shared" si="175"/>
        <v>9522.5112671710231</v>
      </c>
      <c r="CM139" s="897">
        <f t="shared" si="135"/>
        <v>9522.5112671710231</v>
      </c>
      <c r="CN139" s="897">
        <f t="shared" si="136"/>
        <v>0</v>
      </c>
      <c r="CO139" s="897">
        <f>H139*Z139+N139*AG139</f>
        <v>9051510.7668460254</v>
      </c>
      <c r="CP139" s="897">
        <f t="shared" si="117"/>
        <v>8750379.2994251251</v>
      </c>
      <c r="CQ139" s="897">
        <f t="shared" si="118"/>
        <v>8750379.2994251251</v>
      </c>
      <c r="CR139" s="897">
        <f t="shared" si="119"/>
        <v>5337731.3726493269</v>
      </c>
      <c r="CS139" s="897">
        <f t="shared" si="120"/>
        <v>9522511.2671710216</v>
      </c>
      <c r="CT139" s="897">
        <f t="shared" si="121"/>
        <v>9522511.2671710216</v>
      </c>
      <c r="CU139" s="897">
        <f t="shared" si="122"/>
        <v>3713779.3941966989</v>
      </c>
      <c r="CV139" s="897">
        <f t="shared" si="137"/>
        <v>18272890.566596147</v>
      </c>
      <c r="CW139" s="906">
        <f t="shared" si="138"/>
        <v>4740.91</v>
      </c>
      <c r="CX139" s="897">
        <f t="shared" si="123"/>
        <v>8426318.104825126</v>
      </c>
      <c r="CY139" s="897">
        <f t="shared" si="124"/>
        <v>9169854.9683710225</v>
      </c>
      <c r="CZ139" s="897"/>
      <c r="DA139" s="897">
        <f t="shared" si="125"/>
        <v>8750379.2994251251</v>
      </c>
      <c r="DB139" s="897">
        <f t="shared" si="126"/>
        <v>9522511.2671710216</v>
      </c>
      <c r="DC139" s="1131"/>
      <c r="DD139" s="192">
        <f t="shared" si="139"/>
        <v>108.82398283919674</v>
      </c>
      <c r="DE139" s="1131"/>
      <c r="DF139" s="1131"/>
      <c r="DG139" s="1131"/>
      <c r="DH139" s="897"/>
      <c r="DI139" s="897"/>
      <c r="DJ139" s="897"/>
      <c r="DK139" s="979"/>
      <c r="DL139" s="908"/>
      <c r="DM139" s="908"/>
      <c r="DN139" s="908"/>
    </row>
    <row r="140" spans="1:142" s="81" customFormat="1" ht="75.75" hidden="1" customHeight="1">
      <c r="A140" s="6">
        <f t="shared" si="140"/>
        <v>127</v>
      </c>
      <c r="B140" s="886" t="s">
        <v>47</v>
      </c>
      <c r="C140" s="886" t="s">
        <v>56</v>
      </c>
      <c r="D140" s="886" t="s">
        <v>189</v>
      </c>
      <c r="E140" s="1020">
        <v>3666120176</v>
      </c>
      <c r="F140" s="886" t="s">
        <v>8</v>
      </c>
      <c r="G140" s="888" t="s">
        <v>956</v>
      </c>
      <c r="H140" s="925">
        <v>1844.2847200799181</v>
      </c>
      <c r="I140" s="891">
        <v>0</v>
      </c>
      <c r="J140" s="891">
        <v>1844.2847200799181</v>
      </c>
      <c r="K140" s="891">
        <v>1844.2847200799181</v>
      </c>
      <c r="L140" s="891">
        <v>1844.2847200799181</v>
      </c>
      <c r="M140" s="892">
        <v>0</v>
      </c>
      <c r="N140" s="927">
        <v>2069.2199999999998</v>
      </c>
      <c r="O140" s="928"/>
      <c r="P140" s="928">
        <v>2069.2199999999998</v>
      </c>
      <c r="Q140" s="928">
        <v>2069.2199999999998</v>
      </c>
      <c r="R140" s="928">
        <v>2069.2199999999998</v>
      </c>
      <c r="S140" s="926"/>
      <c r="T140" s="903">
        <v>0</v>
      </c>
      <c r="U140" s="919">
        <v>12888.256680000002</v>
      </c>
      <c r="V140" s="919">
        <v>6794.6639999999998</v>
      </c>
      <c r="W140" s="919">
        <v>38.265000000000001</v>
      </c>
      <c r="X140" s="919">
        <v>0</v>
      </c>
      <c r="Y140" s="919">
        <v>0</v>
      </c>
      <c r="Z140" s="920">
        <f>SUM(T140:W140)</f>
        <v>19721.185680000002</v>
      </c>
      <c r="AA140" s="904">
        <v>0</v>
      </c>
      <c r="AB140" s="919">
        <v>8914.5193199999994</v>
      </c>
      <c r="AC140" s="919">
        <v>6551.076</v>
      </c>
      <c r="AD140" s="919">
        <v>29.622</v>
      </c>
      <c r="AE140" s="919">
        <v>0</v>
      </c>
      <c r="AF140" s="919">
        <v>0</v>
      </c>
      <c r="AG140" s="1014">
        <f>SUM(AA140:AD140)</f>
        <v>15495.21732</v>
      </c>
      <c r="AH140" s="960">
        <f>Z140+AG140</f>
        <v>35216.403000000006</v>
      </c>
      <c r="AI140" s="897">
        <f t="shared" si="184"/>
        <v>0</v>
      </c>
      <c r="AJ140" s="919">
        <f t="shared" si="184"/>
        <v>21802.776000000002</v>
      </c>
      <c r="AK140" s="897">
        <f t="shared" si="184"/>
        <v>13345.74</v>
      </c>
      <c r="AL140" s="919">
        <f t="shared" si="184"/>
        <v>67.887</v>
      </c>
      <c r="AM140" s="897">
        <f t="shared" si="184"/>
        <v>0</v>
      </c>
      <c r="AN140" s="897"/>
      <c r="AO140" s="919">
        <f>SUM(AI140:AN140)</f>
        <v>35216.403000000006</v>
      </c>
      <c r="AP140" s="919">
        <f>SUM(AI140:AM140)</f>
        <v>35216.403000000006</v>
      </c>
      <c r="AQ140" s="920">
        <f t="shared" si="179"/>
        <v>35216.403000000006</v>
      </c>
      <c r="AR140" s="902">
        <f t="shared" si="132"/>
        <v>0</v>
      </c>
      <c r="AS140" s="903">
        <f t="shared" si="174"/>
        <v>0</v>
      </c>
      <c r="AT140" s="897">
        <f t="shared" si="174"/>
        <v>40210526.632125162</v>
      </c>
      <c r="AU140" s="897">
        <f t="shared" si="174"/>
        <v>24613344.360159367</v>
      </c>
      <c r="AV140" s="897">
        <f t="shared" si="174"/>
        <v>125202.95679206539</v>
      </c>
      <c r="AW140" s="897">
        <f t="shared" si="174"/>
        <v>0</v>
      </c>
      <c r="AX140" s="897">
        <f t="shared" si="180"/>
        <v>64949073.949076593</v>
      </c>
      <c r="AY140" s="897">
        <f t="shared" si="181"/>
        <v>64949073.949076593</v>
      </c>
      <c r="AZ140" s="897">
        <f t="shared" ref="AZ140:BC142" si="185">O140*AI140</f>
        <v>0</v>
      </c>
      <c r="BA140" s="897">
        <f t="shared" si="185"/>
        <v>45114740.154720001</v>
      </c>
      <c r="BB140" s="897">
        <f t="shared" si="185"/>
        <v>27615272.122799996</v>
      </c>
      <c r="BC140" s="897">
        <f t="shared" si="185"/>
        <v>140473.13814</v>
      </c>
      <c r="BD140" s="897">
        <f t="shared" si="173"/>
        <v>0</v>
      </c>
      <c r="BE140" s="897">
        <f t="shared" si="182"/>
        <v>72870485.415659994</v>
      </c>
      <c r="BF140" s="901">
        <f t="shared" si="183"/>
        <v>72870485.415659994</v>
      </c>
      <c r="BG140" s="904">
        <v>0</v>
      </c>
      <c r="BH140" s="897">
        <v>0</v>
      </c>
      <c r="BI140" s="897">
        <v>0</v>
      </c>
      <c r="BJ140" s="919">
        <v>68434.438395187681</v>
      </c>
      <c r="BK140" s="1203">
        <v>79854.820000000007</v>
      </c>
      <c r="BL140" s="897">
        <f t="shared" si="177"/>
        <v>0</v>
      </c>
      <c r="BM140" s="897">
        <f>J140*U140</f>
        <v>23769614.86339194</v>
      </c>
      <c r="BN140" s="897">
        <f t="shared" si="177"/>
        <v>12531294.993277095</v>
      </c>
      <c r="BO140" s="897">
        <f t="shared" si="177"/>
        <v>70571.554813858063</v>
      </c>
      <c r="BP140" s="897">
        <f t="shared" si="177"/>
        <v>0</v>
      </c>
      <c r="BQ140" s="897">
        <f t="shared" si="144"/>
        <v>36371481.411482893</v>
      </c>
      <c r="BR140" s="897">
        <f t="shared" si="145"/>
        <v>36371481.411482893</v>
      </c>
      <c r="BS140" s="897">
        <f t="shared" si="170"/>
        <v>0</v>
      </c>
      <c r="BT140" s="897">
        <f t="shared" si="170"/>
        <v>18446101.667330395</v>
      </c>
      <c r="BU140" s="897">
        <f>Q140*AC140</f>
        <v>13555617.480719998</v>
      </c>
      <c r="BV140" s="897">
        <f>R140*W140</f>
        <v>79178.703299999994</v>
      </c>
      <c r="BW140" s="897">
        <f t="shared" si="178"/>
        <v>0</v>
      </c>
      <c r="BX140" s="897">
        <f>BS140+BT140+BU140+BV140+BW140</f>
        <v>32080897.851350393</v>
      </c>
      <c r="BY140" s="897">
        <f>BX140-BW140</f>
        <v>32080897.851350393</v>
      </c>
      <c r="BZ140" s="905">
        <f t="shared" si="110"/>
        <v>42215716.530722335</v>
      </c>
      <c r="CA140" s="905">
        <f t="shared" si="110"/>
        <v>26086912.473997094</v>
      </c>
      <c r="CB140" s="905">
        <f t="shared" si="149"/>
        <v>68302629.004719436</v>
      </c>
      <c r="CC140" s="907">
        <f t="shared" si="111"/>
        <v>1936.2541967464294</v>
      </c>
      <c r="CD140" s="907">
        <f t="shared" si="111"/>
        <v>1954.6995875835355</v>
      </c>
      <c r="CE140" s="907">
        <f t="shared" si="133"/>
        <v>1943.2578321292265</v>
      </c>
      <c r="CF140" s="907">
        <f t="shared" si="113"/>
        <v>1943.2578321292265</v>
      </c>
      <c r="CG140" s="923">
        <f t="shared" si="114"/>
        <v>0</v>
      </c>
      <c r="CH140" s="923">
        <f t="shared" si="134"/>
        <v>0</v>
      </c>
      <c r="CI140" s="979"/>
      <c r="CJ140" s="897">
        <f t="shared" si="151"/>
        <v>40807.471832769603</v>
      </c>
      <c r="CK140" s="897">
        <f t="shared" si="115"/>
        <v>32063.013582890395</v>
      </c>
      <c r="CL140" s="897">
        <f t="shared" si="175"/>
        <v>72870.48541565999</v>
      </c>
      <c r="CM140" s="897">
        <f t="shared" si="135"/>
        <v>72870.485415660005</v>
      </c>
      <c r="CN140" s="897">
        <f t="shared" si="136"/>
        <v>0</v>
      </c>
      <c r="CO140" s="897">
        <f t="shared" si="116"/>
        <v>68434494.994373292</v>
      </c>
      <c r="CP140" s="897">
        <f t="shared" si="117"/>
        <v>64949073.949076593</v>
      </c>
      <c r="CQ140" s="897">
        <f t="shared" si="118"/>
        <v>64949073.949076593</v>
      </c>
      <c r="CR140" s="897">
        <f t="shared" si="119"/>
        <v>36371481.411482893</v>
      </c>
      <c r="CS140" s="897">
        <f t="shared" si="120"/>
        <v>72870485.415659994</v>
      </c>
      <c r="CT140" s="897">
        <f t="shared" si="121"/>
        <v>72870485.415659994</v>
      </c>
      <c r="CU140" s="897">
        <f t="shared" si="122"/>
        <v>32063013.582890395</v>
      </c>
      <c r="CV140" s="897">
        <f t="shared" si="137"/>
        <v>137819559.36473659</v>
      </c>
      <c r="CW140" s="906">
        <f t="shared" si="138"/>
        <v>3913.5047200799172</v>
      </c>
      <c r="CX140" s="897">
        <f t="shared" si="123"/>
        <v>64823870.992284529</v>
      </c>
      <c r="CY140" s="897">
        <f t="shared" si="124"/>
        <v>72730012.277520001</v>
      </c>
      <c r="CZ140" s="897"/>
      <c r="DA140" s="897">
        <f t="shared" si="125"/>
        <v>64949073.949076593</v>
      </c>
      <c r="DB140" s="897">
        <f t="shared" si="126"/>
        <v>72870485.415659994</v>
      </c>
      <c r="DC140" s="1131"/>
      <c r="DD140" s="40">
        <f t="shared" si="139"/>
        <v>112.19634243406489</v>
      </c>
      <c r="DE140" s="1131"/>
      <c r="DF140" s="1131"/>
      <c r="DG140" s="1131"/>
      <c r="DH140" s="897">
        <v>25278.739999999998</v>
      </c>
      <c r="DI140" s="897">
        <v>24910.03</v>
      </c>
      <c r="DJ140" s="897">
        <f t="shared" si="142"/>
        <v>368.70999999999913</v>
      </c>
      <c r="DK140" s="979"/>
      <c r="DL140" s="908">
        <f t="shared" si="127"/>
        <v>0</v>
      </c>
      <c r="DM140" s="908">
        <f t="shared" si="128"/>
        <v>0</v>
      </c>
      <c r="DN140" s="908">
        <f t="shared" si="129"/>
        <v>0</v>
      </c>
    </row>
    <row r="141" spans="1:142" s="50" customFormat="1" ht="83.25" customHeight="1">
      <c r="A141" s="6">
        <f t="shared" si="140"/>
        <v>128</v>
      </c>
      <c r="B141" s="886" t="s">
        <v>52</v>
      </c>
      <c r="C141" s="1219" t="s">
        <v>52</v>
      </c>
      <c r="D141" s="1219" t="s">
        <v>255</v>
      </c>
      <c r="E141" s="1219">
        <v>4634002573</v>
      </c>
      <c r="F141" s="1219" t="s">
        <v>8</v>
      </c>
      <c r="G141" s="1222" t="s">
        <v>977</v>
      </c>
      <c r="H141" s="925">
        <v>780.30450254239327</v>
      </c>
      <c r="I141" s="891">
        <v>780.30450254239327</v>
      </c>
      <c r="J141" s="891">
        <v>780.30450254239327</v>
      </c>
      <c r="K141" s="891">
        <v>780.30450254239327</v>
      </c>
      <c r="L141" s="891">
        <v>780.30450254239327</v>
      </c>
      <c r="M141" s="946">
        <v>0</v>
      </c>
      <c r="N141" s="893">
        <v>826.91</v>
      </c>
      <c r="O141" s="894">
        <f>N141</f>
        <v>826.91</v>
      </c>
      <c r="P141" s="894">
        <f>O141</f>
        <v>826.91</v>
      </c>
      <c r="Q141" s="894">
        <f>P141</f>
        <v>826.91</v>
      </c>
      <c r="R141" s="894">
        <f>Q141</f>
        <v>826.91</v>
      </c>
      <c r="S141" s="952">
        <v>0</v>
      </c>
      <c r="T141" s="903">
        <v>23004</v>
      </c>
      <c r="U141" s="897">
        <f>126399.4-V141</f>
        <v>100355.4</v>
      </c>
      <c r="V141" s="897">
        <v>26044</v>
      </c>
      <c r="W141" s="1003">
        <v>27165</v>
      </c>
      <c r="X141" s="1003">
        <v>0</v>
      </c>
      <c r="Y141" s="897">
        <v>0</v>
      </c>
      <c r="Z141" s="898">
        <f t="shared" si="130"/>
        <v>176568.4</v>
      </c>
      <c r="AA141" s="904">
        <v>15600</v>
      </c>
      <c r="AB141" s="897">
        <f>101445.99-AC141</f>
        <v>75401.990000000005</v>
      </c>
      <c r="AC141" s="897">
        <v>26044</v>
      </c>
      <c r="AD141" s="897">
        <v>18738.509999999998</v>
      </c>
      <c r="AE141" s="897">
        <v>0</v>
      </c>
      <c r="AF141" s="897">
        <v>0</v>
      </c>
      <c r="AG141" s="900">
        <f>SUM(AA141:AF141)</f>
        <v>135784.5</v>
      </c>
      <c r="AH141" s="896">
        <f t="shared" si="143"/>
        <v>312352.90000000002</v>
      </c>
      <c r="AI141" s="1060">
        <f t="shared" si="184"/>
        <v>38604</v>
      </c>
      <c r="AJ141" s="922">
        <f t="shared" si="184"/>
        <v>175757.39</v>
      </c>
      <c r="AK141" s="922">
        <f t="shared" si="184"/>
        <v>52088</v>
      </c>
      <c r="AL141" s="1061">
        <f t="shared" si="184"/>
        <v>45903.509999999995</v>
      </c>
      <c r="AM141" s="897">
        <f t="shared" si="184"/>
        <v>0</v>
      </c>
      <c r="AN141" s="897"/>
      <c r="AO141" s="1003">
        <f>SUM(AI141:AN141)</f>
        <v>312352.90000000002</v>
      </c>
      <c r="AP141" s="897">
        <f>SUM(AI141:AM141)</f>
        <v>312352.90000000002</v>
      </c>
      <c r="AQ141" s="901">
        <f t="shared" si="179"/>
        <v>312352.90000000002</v>
      </c>
      <c r="AR141" s="902">
        <f t="shared" si="132"/>
        <v>0</v>
      </c>
      <c r="AS141" s="903">
        <f t="shared" si="174"/>
        <v>30122875.016146548</v>
      </c>
      <c r="AT141" s="897">
        <f t="shared" si="174"/>
        <v>137144282.77209941</v>
      </c>
      <c r="AU141" s="897">
        <f t="shared" si="174"/>
        <v>40644500.928428181</v>
      </c>
      <c r="AV141" s="897">
        <f t="shared" si="174"/>
        <v>35818715.535499774</v>
      </c>
      <c r="AW141" s="897">
        <f t="shared" si="174"/>
        <v>0</v>
      </c>
      <c r="AX141" s="897">
        <f t="shared" si="180"/>
        <v>243730374.2521739</v>
      </c>
      <c r="AY141" s="897">
        <f t="shared" si="181"/>
        <v>243730374.2521739</v>
      </c>
      <c r="AZ141" s="897">
        <f t="shared" si="185"/>
        <v>31922033.640000001</v>
      </c>
      <c r="BA141" s="897">
        <f t="shared" si="185"/>
        <v>145335543.36489999</v>
      </c>
      <c r="BB141" s="897">
        <f t="shared" si="185"/>
        <v>43072088.079999998</v>
      </c>
      <c r="BC141" s="897">
        <f t="shared" si="185"/>
        <v>37958071.454099998</v>
      </c>
      <c r="BD141" s="897">
        <f t="shared" si="173"/>
        <v>0</v>
      </c>
      <c r="BE141" s="897">
        <f t="shared" si="182"/>
        <v>258287736.53899997</v>
      </c>
      <c r="BF141" s="901">
        <f t="shared" si="183"/>
        <v>258287736.53899997</v>
      </c>
      <c r="BG141" s="904">
        <v>0</v>
      </c>
      <c r="BH141" s="897">
        <v>0</v>
      </c>
      <c r="BI141" s="897">
        <f t="shared" si="176"/>
        <v>0</v>
      </c>
      <c r="BJ141" s="897">
        <v>216571.17895999999</v>
      </c>
      <c r="BK141" s="1194">
        <v>208382.13459773851</v>
      </c>
      <c r="BL141" s="897">
        <f t="shared" si="177"/>
        <v>17950124.776485216</v>
      </c>
      <c r="BM141" s="897">
        <f t="shared" si="177"/>
        <v>78307770.474442884</v>
      </c>
      <c r="BN141" s="897">
        <f>K141*V141</f>
        <v>20322250.46421409</v>
      </c>
      <c r="BO141" s="897">
        <f>L141*W141</f>
        <v>21196971.811564114</v>
      </c>
      <c r="BP141" s="897">
        <f t="shared" si="177"/>
        <v>0</v>
      </c>
      <c r="BQ141" s="897">
        <f>BL141+BM141+BN141+BO141+BP141</f>
        <v>137777117.52670631</v>
      </c>
      <c r="BR141" s="897">
        <f>BQ141-BP141</f>
        <v>137777117.52670631</v>
      </c>
      <c r="BS141" s="897">
        <f>O141*AA141</f>
        <v>12899796</v>
      </c>
      <c r="BT141" s="897">
        <f>P141*AB141</f>
        <v>62350659.550900005</v>
      </c>
      <c r="BU141" s="897">
        <f t="shared" si="170"/>
        <v>21536044.039999999</v>
      </c>
      <c r="BV141" s="897">
        <f t="shared" si="146"/>
        <v>22463010.149999999</v>
      </c>
      <c r="BW141" s="897">
        <f t="shared" si="178"/>
        <v>0</v>
      </c>
      <c r="BX141" s="897">
        <f t="shared" si="147"/>
        <v>119249509.74090001</v>
      </c>
      <c r="BY141" s="897">
        <f t="shared" si="148"/>
        <v>119249509.74090001</v>
      </c>
      <c r="BZ141" s="905">
        <f t="shared" si="110"/>
        <v>140658430.02534288</v>
      </c>
      <c r="CA141" s="905">
        <f t="shared" si="110"/>
        <v>41858294.504214093</v>
      </c>
      <c r="CB141" s="905">
        <f t="shared" si="149"/>
        <v>182516724.52955699</v>
      </c>
      <c r="CC141" s="907">
        <f t="shared" si="111"/>
        <v>800.29880977034804</v>
      </c>
      <c r="CD141" s="907">
        <f t="shared" si="111"/>
        <v>803.60725127119667</v>
      </c>
      <c r="CE141" s="907">
        <f t="shared" si="133"/>
        <v>801.05515643549768</v>
      </c>
      <c r="CF141" s="907">
        <f t="shared" si="113"/>
        <v>801.05515643549768</v>
      </c>
      <c r="CG141" s="923">
        <f t="shared" si="114"/>
        <v>182516724.52955699</v>
      </c>
      <c r="CH141" s="923">
        <f t="shared" si="134"/>
        <v>801.05515643549768</v>
      </c>
      <c r="CI141" s="1037"/>
      <c r="CJ141" s="1038">
        <f t="shared" si="151"/>
        <v>146006.175644</v>
      </c>
      <c r="CK141" s="1038">
        <f t="shared" si="115"/>
        <v>112281.560895</v>
      </c>
      <c r="CL141" s="1038">
        <f t="shared" si="175"/>
        <v>258287.736539</v>
      </c>
      <c r="CM141" s="1040">
        <f t="shared" si="135"/>
        <v>258287.736539</v>
      </c>
      <c r="CN141" s="1040">
        <f t="shared" si="136"/>
        <v>0</v>
      </c>
      <c r="CO141" s="1041">
        <f t="shared" si="116"/>
        <v>250058678.42170632</v>
      </c>
      <c r="CP141" s="1041">
        <f t="shared" si="117"/>
        <v>243730374.2521739</v>
      </c>
      <c r="CQ141" s="1041">
        <f t="shared" si="118"/>
        <v>243730374.25217393</v>
      </c>
      <c r="CR141" s="1041">
        <f t="shared" si="119"/>
        <v>137777117.52670631</v>
      </c>
      <c r="CS141" s="1041">
        <f t="shared" si="120"/>
        <v>258287736.53899997</v>
      </c>
      <c r="CT141" s="1041">
        <f t="shared" si="121"/>
        <v>258287736.53900003</v>
      </c>
      <c r="CU141" s="1041">
        <f t="shared" si="122"/>
        <v>112281560.895</v>
      </c>
      <c r="CV141" s="1041">
        <f t="shared" si="137"/>
        <v>502018110.79117388</v>
      </c>
      <c r="CW141" s="1082">
        <f t="shared" si="138"/>
        <v>1607.2145025423931</v>
      </c>
      <c r="CX141" s="1041">
        <f t="shared" si="123"/>
        <v>177788783.70052758</v>
      </c>
      <c r="CY141" s="1041">
        <f t="shared" si="124"/>
        <v>188407631.44489998</v>
      </c>
      <c r="CZ141" s="1041"/>
      <c r="DA141" s="1041">
        <f t="shared" si="125"/>
        <v>243730374.2521739</v>
      </c>
      <c r="DB141" s="1041">
        <f t="shared" si="126"/>
        <v>258287736.53899997</v>
      </c>
      <c r="DC141" s="113"/>
      <c r="DD141" s="119">
        <f t="shared" si="139"/>
        <v>105.97273209442677</v>
      </c>
      <c r="DE141" s="113"/>
      <c r="DF141" s="113"/>
      <c r="DG141" s="113"/>
      <c r="DH141" s="1043">
        <f>AQ141</f>
        <v>312352.90000000002</v>
      </c>
      <c r="DI141" s="1228">
        <f>AJ141+AK141</f>
        <v>227845.39</v>
      </c>
      <c r="DJ141" s="1228">
        <f>DH141-DI141</f>
        <v>84507.510000000009</v>
      </c>
      <c r="DK141" s="1037"/>
      <c r="DL141" s="1044">
        <f t="shared" si="127"/>
        <v>0</v>
      </c>
      <c r="DM141" s="1044">
        <f t="shared" si="128"/>
        <v>0</v>
      </c>
      <c r="DN141" s="1044">
        <f t="shared" si="129"/>
        <v>0</v>
      </c>
      <c r="DO141" s="106"/>
    </row>
    <row r="142" spans="1:142" s="50" customFormat="1" ht="82.5" customHeight="1">
      <c r="A142" s="6">
        <f t="shared" si="140"/>
        <v>129</v>
      </c>
      <c r="B142" s="886" t="s">
        <v>52</v>
      </c>
      <c r="C142" s="1338" t="s">
        <v>52</v>
      </c>
      <c r="D142" s="1338" t="s">
        <v>135</v>
      </c>
      <c r="E142" s="886">
        <v>7721632827</v>
      </c>
      <c r="F142" s="886" t="s">
        <v>8</v>
      </c>
      <c r="G142" s="888" t="s">
        <v>925</v>
      </c>
      <c r="H142" s="1339">
        <v>321.43</v>
      </c>
      <c r="I142" s="1264">
        <v>321.43</v>
      </c>
      <c r="J142" s="1264">
        <v>321.43</v>
      </c>
      <c r="K142" s="1264">
        <v>321.43</v>
      </c>
      <c r="L142" s="1264">
        <v>321.43</v>
      </c>
      <c r="M142" s="1340">
        <v>321.43</v>
      </c>
      <c r="N142" s="893">
        <f t="shared" ref="N142:S142" si="186">271.03*1.2</f>
        <v>325.23599999999993</v>
      </c>
      <c r="O142" s="891">
        <f t="shared" si="186"/>
        <v>325.23599999999993</v>
      </c>
      <c r="P142" s="894">
        <f t="shared" si="186"/>
        <v>325.23599999999993</v>
      </c>
      <c r="Q142" s="894">
        <f t="shared" si="186"/>
        <v>325.23599999999993</v>
      </c>
      <c r="R142" s="894">
        <f t="shared" si="186"/>
        <v>325.23599999999993</v>
      </c>
      <c r="S142" s="972">
        <f t="shared" si="186"/>
        <v>325.23599999999993</v>
      </c>
      <c r="T142" s="889"/>
      <c r="U142" s="1341">
        <v>248.36297999999999</v>
      </c>
      <c r="V142" s="1341">
        <v>46.63702</v>
      </c>
      <c r="W142" s="1341">
        <f>257061-X142</f>
        <v>55341</v>
      </c>
      <c r="X142" s="1341">
        <v>201720</v>
      </c>
      <c r="Y142" s="1275"/>
      <c r="Z142" s="1276">
        <f t="shared" si="130"/>
        <v>55636</v>
      </c>
      <c r="AA142" s="974"/>
      <c r="AB142" s="1341">
        <v>125.65690478</v>
      </c>
      <c r="AC142" s="1341">
        <v>78.343095219999995</v>
      </c>
      <c r="AD142" s="975">
        <f>176247-AE142</f>
        <v>28614</v>
      </c>
      <c r="AE142" s="975">
        <f>147633</f>
        <v>147633</v>
      </c>
      <c r="AF142" s="890"/>
      <c r="AG142" s="951">
        <f t="shared" si="131"/>
        <v>28818</v>
      </c>
      <c r="AH142" s="1342">
        <f t="shared" si="143"/>
        <v>84454</v>
      </c>
      <c r="AI142" s="1275">
        <f t="shared" si="184"/>
        <v>0</v>
      </c>
      <c r="AJ142" s="1341">
        <f t="shared" si="184"/>
        <v>374.01988477999998</v>
      </c>
      <c r="AK142" s="1341">
        <f t="shared" si="184"/>
        <v>124.98011521999999</v>
      </c>
      <c r="AL142" s="1341">
        <f t="shared" si="184"/>
        <v>83955</v>
      </c>
      <c r="AM142" s="1341">
        <f t="shared" si="184"/>
        <v>349353</v>
      </c>
      <c r="AN142" s="1341"/>
      <c r="AO142" s="1341">
        <f>SUM(AI142:AN142)</f>
        <v>433807</v>
      </c>
      <c r="AP142" s="1341">
        <f>SUM(AI142:AM142)</f>
        <v>433807</v>
      </c>
      <c r="AQ142" s="1343">
        <f t="shared" si="179"/>
        <v>84454</v>
      </c>
      <c r="AR142" s="902">
        <f t="shared" si="132"/>
        <v>0</v>
      </c>
      <c r="AS142" s="903">
        <f t="shared" si="174"/>
        <v>0</v>
      </c>
      <c r="AT142" s="897">
        <f t="shared" si="174"/>
        <v>120221.21156483539</v>
      </c>
      <c r="AU142" s="897">
        <f t="shared" si="174"/>
        <v>40172.358435164599</v>
      </c>
      <c r="AV142" s="897">
        <f t="shared" si="174"/>
        <v>26985655.650000002</v>
      </c>
      <c r="AW142" s="897">
        <f t="shared" si="174"/>
        <v>112292534.79000001</v>
      </c>
      <c r="AX142" s="897">
        <f t="shared" si="180"/>
        <v>139438584.01000002</v>
      </c>
      <c r="AY142" s="897">
        <f t="shared" si="181"/>
        <v>27146049.220000003</v>
      </c>
      <c r="AZ142" s="897">
        <f t="shared" si="185"/>
        <v>0</v>
      </c>
      <c r="BA142" s="897">
        <f t="shared" si="185"/>
        <v>121644.73124630805</v>
      </c>
      <c r="BB142" s="897">
        <f t="shared" si="185"/>
        <v>40648.032753691907</v>
      </c>
      <c r="BC142" s="897">
        <f t="shared" si="185"/>
        <v>27305188.379999995</v>
      </c>
      <c r="BD142" s="897">
        <f t="shared" si="173"/>
        <v>113622172.30799998</v>
      </c>
      <c r="BE142" s="897">
        <f t="shared" si="182"/>
        <v>141089653.45199996</v>
      </c>
      <c r="BF142" s="901">
        <f t="shared" si="183"/>
        <v>27467481.143999994</v>
      </c>
      <c r="BG142" s="974"/>
      <c r="BH142" s="890"/>
      <c r="BI142" s="890">
        <f t="shared" si="176"/>
        <v>0</v>
      </c>
      <c r="BJ142" s="1183">
        <f>114874.40454907*1.2</f>
        <v>137849.285458884</v>
      </c>
      <c r="BK142" s="1198"/>
      <c r="BL142" s="897">
        <f t="shared" si="177"/>
        <v>0</v>
      </c>
      <c r="BM142" s="897">
        <f t="shared" si="177"/>
        <v>79831.312661400007</v>
      </c>
      <c r="BN142" s="897">
        <f t="shared" si="177"/>
        <v>14990.537338600001</v>
      </c>
      <c r="BO142" s="897">
        <f t="shared" si="177"/>
        <v>17788257.629999999</v>
      </c>
      <c r="BP142" s="897">
        <f t="shared" si="177"/>
        <v>64838859.600000001</v>
      </c>
      <c r="BQ142" s="897">
        <f>BL142+BM142+BN142+BO142+BP142</f>
        <v>82721939.079999998</v>
      </c>
      <c r="BR142" s="897">
        <f>BQ142-BP142</f>
        <v>17883079.479999997</v>
      </c>
      <c r="BS142" s="897">
        <f t="shared" si="170"/>
        <v>0</v>
      </c>
      <c r="BT142" s="897">
        <f t="shared" si="170"/>
        <v>40868.149083028075</v>
      </c>
      <c r="BU142" s="897">
        <f t="shared" si="170"/>
        <v>25479.994916971915</v>
      </c>
      <c r="BV142" s="897">
        <f t="shared" si="146"/>
        <v>17998885.475999996</v>
      </c>
      <c r="BW142" s="897">
        <f t="shared" si="178"/>
        <v>48015566.387999989</v>
      </c>
      <c r="BX142" s="897">
        <f t="shared" si="147"/>
        <v>66080800.007999986</v>
      </c>
      <c r="BY142" s="897">
        <f t="shared" si="148"/>
        <v>18065233.619999997</v>
      </c>
      <c r="BZ142" s="905">
        <f>BM142+BT142</f>
        <v>120699.46174442809</v>
      </c>
      <c r="CA142" s="905">
        <f>BN142+BU142</f>
        <v>40470.532255571918</v>
      </c>
      <c r="CB142" s="905">
        <f t="shared" si="149"/>
        <v>161169.99400000001</v>
      </c>
      <c r="CC142" s="907">
        <f>BZ142/AJ142</f>
        <v>322.70867581124463</v>
      </c>
      <c r="CD142" s="907">
        <f>CA142/AK142</f>
        <v>323.81577008736514</v>
      </c>
      <c r="CE142" s="907">
        <f t="shared" si="133"/>
        <v>322.98595991983967</v>
      </c>
      <c r="CF142" s="907">
        <f>CB142/(U142+V142+AB142+AC142)</f>
        <v>322.98595991983967</v>
      </c>
      <c r="CG142" s="923">
        <f>I142*(U142+V142)+O142*(AB142+AC142)</f>
        <v>161169.99400000001</v>
      </c>
      <c r="CH142" s="923">
        <f t="shared" si="134"/>
        <v>322.98595991983967</v>
      </c>
      <c r="CI142" s="1037"/>
      <c r="CJ142" s="1312">
        <f>H142*Z142/1000</f>
        <v>17883.07948</v>
      </c>
      <c r="CK142" s="1312">
        <f t="shared" si="115"/>
        <v>9372.6510479999979</v>
      </c>
      <c r="CL142" s="1312">
        <f t="shared" si="175"/>
        <v>27255.730528</v>
      </c>
      <c r="CM142" s="1040">
        <f t="shared" si="135"/>
        <v>27467.481143999994</v>
      </c>
      <c r="CN142" s="1040">
        <f t="shared" si="136"/>
        <v>211.7506159999939</v>
      </c>
      <c r="CO142" s="1049">
        <f>H142*Z142+N142*AG142</f>
        <v>27255730.527999997</v>
      </c>
      <c r="CP142" s="1049">
        <f>I142*AI142+J142*AJ142+K142*AK142+L142*AL142</f>
        <v>27146049.220000003</v>
      </c>
      <c r="CQ142" s="1049">
        <f>I142*AI142+J142*(AJ142+AK142)+L142*AL142</f>
        <v>27146049.220000003</v>
      </c>
      <c r="CR142" s="1049">
        <f>I142*T142+J142*U142+K142*V142+L142*W142</f>
        <v>17883079.48</v>
      </c>
      <c r="CS142" s="1049">
        <f>O142*AI142+P142*AJ142+Q142*AK142+R142*AL142</f>
        <v>27467481.143999994</v>
      </c>
      <c r="CT142" s="1049">
        <f>O142*AI142+P142*(AJ142+AK142)+R142*AL142</f>
        <v>27467481.143999994</v>
      </c>
      <c r="CU142" s="1049">
        <f>O142*AA142+P142*AB142+Q142*AC142+R142*AD142</f>
        <v>9372651.0479999967</v>
      </c>
      <c r="CV142" s="1049">
        <f t="shared" si="137"/>
        <v>54613530.363999993</v>
      </c>
      <c r="CW142" s="1181">
        <f t="shared" si="138"/>
        <v>646.66599999999994</v>
      </c>
      <c r="CX142" s="1049">
        <f>J142*AJ142+K142*AK142</f>
        <v>160393.57</v>
      </c>
      <c r="CY142" s="1049">
        <f>P142*AJ142+Q142*AK142</f>
        <v>162292.76399999997</v>
      </c>
      <c r="CZ142" s="1049"/>
      <c r="DA142" s="1049">
        <f>H142*AI142+H142*AJ142+H142*AK142+H142*AL142</f>
        <v>27146049.220000003</v>
      </c>
      <c r="DB142" s="1049">
        <f>N142*AI142+N142*AJ142+N142*AK142+N142*AL142</f>
        <v>27467481.143999994</v>
      </c>
      <c r="DC142" s="675"/>
      <c r="DD142" s="676">
        <f t="shared" si="139"/>
        <v>101.18408362629496</v>
      </c>
      <c r="DE142" s="675"/>
      <c r="DF142" s="675"/>
      <c r="DG142" s="675"/>
      <c r="DH142" s="1050">
        <v>56830.879999999997</v>
      </c>
      <c r="DI142" s="1050">
        <v>504</v>
      </c>
      <c r="DJ142" s="1050">
        <f t="shared" si="142"/>
        <v>56326.879999999997</v>
      </c>
      <c r="DK142" s="1047"/>
      <c r="DL142" s="1058">
        <f>M142*X142/1000</f>
        <v>64838.859600000003</v>
      </c>
      <c r="DM142" s="1058">
        <f>S142*AE142/1000</f>
        <v>48015.566387999992</v>
      </c>
      <c r="DN142" s="1058">
        <f>DL142+DM142</f>
        <v>112854.425988</v>
      </c>
      <c r="DO142" s="625"/>
    </row>
    <row r="143" spans="1:142" s="50" customFormat="1" ht="85.5" customHeight="1" thickBot="1">
      <c r="A143" s="6">
        <f t="shared" si="140"/>
        <v>130</v>
      </c>
      <c r="B143" s="1155" t="s">
        <v>52</v>
      </c>
      <c r="C143" s="1229" t="s">
        <v>52</v>
      </c>
      <c r="D143" s="1229" t="s">
        <v>188</v>
      </c>
      <c r="E143" s="1229">
        <v>4629043694</v>
      </c>
      <c r="F143" s="1229" t="s">
        <v>8</v>
      </c>
      <c r="G143" s="1230" t="s">
        <v>978</v>
      </c>
      <c r="H143" s="1184">
        <v>230.24</v>
      </c>
      <c r="I143" s="1185">
        <v>0</v>
      </c>
      <c r="J143" s="1185">
        <v>0</v>
      </c>
      <c r="K143" s="1185">
        <v>0</v>
      </c>
      <c r="L143" s="1186">
        <v>230.24</v>
      </c>
      <c r="M143" s="1159">
        <v>0</v>
      </c>
      <c r="N143" s="1156">
        <v>0</v>
      </c>
      <c r="O143" s="1157">
        <v>0</v>
      </c>
      <c r="P143" s="1157">
        <v>0</v>
      </c>
      <c r="Q143" s="1157">
        <v>0</v>
      </c>
      <c r="R143" s="1158">
        <f>209.96*1.2</f>
        <v>251.952</v>
      </c>
      <c r="S143" s="1159">
        <v>0</v>
      </c>
      <c r="T143" s="1160"/>
      <c r="U143" s="1161"/>
      <c r="V143" s="1161"/>
      <c r="W143" s="1162">
        <v>0</v>
      </c>
      <c r="X143" s="1161"/>
      <c r="Y143" s="1161"/>
      <c r="Z143" s="1163">
        <f>SUM(T143:W143)</f>
        <v>0</v>
      </c>
      <c r="AA143" s="1164"/>
      <c r="AB143" s="1161"/>
      <c r="AC143" s="1161"/>
      <c r="AD143" s="1161">
        <v>0</v>
      </c>
      <c r="AE143" s="1161"/>
      <c r="AF143" s="1161"/>
      <c r="AG143" s="1165">
        <f>SUM(AA143:AD143)</f>
        <v>0</v>
      </c>
      <c r="AH143" s="1160">
        <f t="shared" si="143"/>
        <v>0</v>
      </c>
      <c r="AI143" s="1161"/>
      <c r="AJ143" s="1161"/>
      <c r="AK143" s="1161"/>
      <c r="AL143" s="1166">
        <f>AD143+W143</f>
        <v>0</v>
      </c>
      <c r="AM143" s="1161"/>
      <c r="AN143" s="1161"/>
      <c r="AO143" s="1161"/>
      <c r="AP143" s="1161"/>
      <c r="AQ143" s="1167">
        <f t="shared" si="179"/>
        <v>0</v>
      </c>
      <c r="AR143" s="1168">
        <f t="shared" si="132"/>
        <v>0</v>
      </c>
      <c r="AS143" s="1169"/>
      <c r="AT143" s="1161"/>
      <c r="AU143" s="1161"/>
      <c r="AV143" s="1161">
        <f>L143*AL143</f>
        <v>0</v>
      </c>
      <c r="AW143" s="1161"/>
      <c r="AX143" s="1161"/>
      <c r="AY143" s="1161"/>
      <c r="AZ143" s="1161"/>
      <c r="BA143" s="1161"/>
      <c r="BB143" s="1161"/>
      <c r="BC143" s="1161">
        <f>R143*AL143</f>
        <v>0</v>
      </c>
      <c r="BD143" s="1161"/>
      <c r="BE143" s="1161"/>
      <c r="BF143" s="1167"/>
      <c r="BG143" s="1170"/>
      <c r="BH143" s="1161"/>
      <c r="BI143" s="1161"/>
      <c r="BJ143" s="1171">
        <v>2212.741</v>
      </c>
      <c r="BK143" s="1205">
        <v>2092.8323145682734</v>
      </c>
      <c r="BL143" s="1161"/>
      <c r="BM143" s="1161"/>
      <c r="BN143" s="1161"/>
      <c r="BO143" s="1161"/>
      <c r="BP143" s="1161"/>
      <c r="BQ143" s="1161"/>
      <c r="BR143" s="1161"/>
      <c r="BS143" s="1161"/>
      <c r="BT143" s="1161"/>
      <c r="BU143" s="1161"/>
      <c r="BV143" s="1161"/>
      <c r="BW143" s="1161">
        <f t="shared" si="178"/>
        <v>0</v>
      </c>
      <c r="BX143" s="1161">
        <f t="shared" si="147"/>
        <v>0</v>
      </c>
      <c r="BY143" s="1161">
        <f t="shared" si="148"/>
        <v>0</v>
      </c>
      <c r="BZ143" s="1172">
        <f>BM143+BT143</f>
        <v>0</v>
      </c>
      <c r="CA143" s="1172">
        <f>BN143+BU143</f>
        <v>0</v>
      </c>
      <c r="CB143" s="1172">
        <f t="shared" si="149"/>
        <v>0</v>
      </c>
      <c r="CC143" s="1173" t="e">
        <f>BZ143/AJ143</f>
        <v>#DIV/0!</v>
      </c>
      <c r="CD143" s="1173" t="e">
        <f>CA143/AK143</f>
        <v>#DIV/0!</v>
      </c>
      <c r="CE143" s="1173" t="e">
        <f t="shared" si="133"/>
        <v>#DIV/0!</v>
      </c>
      <c r="CF143" s="1172" t="e">
        <f>CB143/(U143+V143+AB143+AC143)</f>
        <v>#DIV/0!</v>
      </c>
      <c r="CG143" s="1174">
        <f>I143*(U143+V143)+O143*(AB143+AC143)</f>
        <v>0</v>
      </c>
      <c r="CH143" s="1174" t="e">
        <f>CG143/(AJ143+AK143)</f>
        <v>#DIV/0!</v>
      </c>
      <c r="CI143" s="1187"/>
      <c r="CJ143" s="1175">
        <f t="shared" si="151"/>
        <v>0</v>
      </c>
      <c r="CK143" s="1175">
        <f>N143*AG143/1000</f>
        <v>0</v>
      </c>
      <c r="CL143" s="1175">
        <f t="shared" si="175"/>
        <v>0</v>
      </c>
      <c r="CM143" s="1176">
        <f t="shared" si="135"/>
        <v>0</v>
      </c>
      <c r="CN143" s="1176">
        <f t="shared" si="136"/>
        <v>0</v>
      </c>
      <c r="CO143" s="1177">
        <f>H143*Z143+N143*AG143</f>
        <v>0</v>
      </c>
      <c r="CP143" s="1177">
        <v>0</v>
      </c>
      <c r="CQ143" s="1177"/>
      <c r="CR143" s="1177"/>
      <c r="CS143" s="1177">
        <v>0</v>
      </c>
      <c r="CT143" s="1177"/>
      <c r="CU143" s="1177"/>
      <c r="CV143" s="1177">
        <f t="shared" si="137"/>
        <v>0</v>
      </c>
      <c r="CW143" s="1188" t="e">
        <f t="shared" si="138"/>
        <v>#DIV/0!</v>
      </c>
      <c r="CX143" s="1177"/>
      <c r="CY143" s="1177"/>
      <c r="CZ143" s="1177"/>
      <c r="DA143" s="1177"/>
      <c r="DB143" s="1177"/>
      <c r="DC143" s="1180"/>
      <c r="DD143" s="833" t="e">
        <f t="shared" si="139"/>
        <v>#DIV/0!</v>
      </c>
      <c r="DE143" s="1180"/>
      <c r="DF143" s="1180"/>
      <c r="DG143" s="1180"/>
      <c r="DH143" s="1043">
        <v>0</v>
      </c>
      <c r="DI143" s="1043">
        <v>0</v>
      </c>
      <c r="DJ143" s="1043">
        <f t="shared" si="142"/>
        <v>0</v>
      </c>
      <c r="DK143" s="1179"/>
      <c r="DL143" s="1059">
        <f>M143*X143/1000</f>
        <v>0</v>
      </c>
      <c r="DM143" s="1059">
        <f>S143*AE143/1000</f>
        <v>0</v>
      </c>
      <c r="DN143" s="1059">
        <f>DL143+DM143</f>
        <v>0</v>
      </c>
    </row>
    <row r="144" spans="1:142" s="50" customFormat="1" ht="100.5" hidden="1" customHeight="1">
      <c r="A144" s="27"/>
      <c r="B144" s="1144"/>
      <c r="C144" s="1144"/>
      <c r="D144" s="1178"/>
      <c r="E144" s="1144"/>
      <c r="F144" s="1144"/>
      <c r="G144" s="1144"/>
      <c r="H144" s="885"/>
      <c r="I144" s="1189"/>
      <c r="J144" s="1189"/>
      <c r="K144" s="1189"/>
      <c r="L144" s="885"/>
      <c r="M144" s="1189"/>
      <c r="N144" s="885"/>
      <c r="O144" s="1189"/>
      <c r="P144" s="1189"/>
      <c r="Q144" s="1189"/>
      <c r="R144" s="885"/>
      <c r="S144" s="1189"/>
      <c r="T144" s="1145"/>
      <c r="U144" s="1189"/>
      <c r="V144" s="1146">
        <f>SUM(V14:V143)</f>
        <v>228076.11716751603</v>
      </c>
      <c r="W144" s="1147"/>
      <c r="X144" s="1148">
        <f>23160.4592580483+17175.660741952</f>
        <v>40336.120000000301</v>
      </c>
      <c r="Y144" s="1148"/>
      <c r="Z144" s="1148"/>
      <c r="AA144" s="1148"/>
      <c r="AB144" s="1148"/>
      <c r="AC144" s="1146">
        <f>SUM(AC14:AC143)</f>
        <v>209575.11378880768</v>
      </c>
      <c r="AD144" s="1189"/>
      <c r="AE144" s="1189"/>
      <c r="AF144" s="1189"/>
      <c r="AG144" s="1145"/>
      <c r="AH144" s="1146">
        <f>SUM(AH14:AH143)</f>
        <v>3707565.7394102514</v>
      </c>
      <c r="AI144" s="1189"/>
      <c r="AJ144" s="1146">
        <f>SUM(AJ14:AJ143)</f>
        <v>2056042.1541909813</v>
      </c>
      <c r="AK144" s="1146">
        <f>SUM(AK14:AK143)</f>
        <v>437651.23095632374</v>
      </c>
      <c r="AL144" s="1149" t="s">
        <v>927</v>
      </c>
      <c r="AM144" s="1148">
        <v>32755.962</v>
      </c>
      <c r="AN144" s="1150">
        <f>AM144+AM142</f>
        <v>382108.962</v>
      </c>
      <c r="AO144" s="1189"/>
      <c r="AP144" s="1189"/>
      <c r="AQ144" s="1189"/>
      <c r="AR144" s="1145"/>
      <c r="AS144" s="884"/>
      <c r="AT144" s="884"/>
      <c r="AU144" s="884"/>
      <c r="AV144" s="884"/>
      <c r="AW144" s="884"/>
      <c r="AX144" s="884"/>
      <c r="AY144" s="884"/>
      <c r="AZ144" s="884"/>
      <c r="BA144" s="884"/>
      <c r="BB144" s="884"/>
      <c r="BC144" s="884"/>
      <c r="BD144" s="884"/>
      <c r="BE144" s="884"/>
      <c r="BF144" s="884"/>
      <c r="BG144" s="884"/>
      <c r="BH144" s="884"/>
      <c r="BI144" s="884"/>
      <c r="BJ144" s="884"/>
      <c r="BK144" s="884"/>
      <c r="BL144" s="884"/>
      <c r="BM144" s="884"/>
      <c r="BN144" s="884"/>
      <c r="BO144" s="884"/>
      <c r="BP144" s="884"/>
      <c r="BQ144" s="884"/>
      <c r="BR144" s="884"/>
      <c r="BS144" s="884"/>
      <c r="BT144" s="884"/>
      <c r="BU144" s="884"/>
      <c r="BV144" s="884"/>
      <c r="BW144" s="884"/>
      <c r="BX144" s="884"/>
      <c r="BY144" s="884"/>
      <c r="BZ144" s="884"/>
      <c r="CA144" s="884"/>
      <c r="CB144" s="884"/>
      <c r="CC144" s="885"/>
      <c r="CD144" s="885"/>
      <c r="CE144" s="885"/>
      <c r="CF144" s="884"/>
      <c r="CG144" s="1149"/>
      <c r="CH144" s="1149"/>
      <c r="CI144" s="1151"/>
      <c r="CJ144" s="1152"/>
      <c r="CK144" s="1152"/>
      <c r="CL144" s="1152"/>
      <c r="CM144" s="1153">
        <f t="shared" si="135"/>
        <v>0</v>
      </c>
      <c r="CN144" s="1153">
        <f t="shared" si="136"/>
        <v>0</v>
      </c>
      <c r="CO144" s="1154"/>
      <c r="CP144" s="1154"/>
      <c r="CQ144" s="1154"/>
      <c r="CR144" s="1154"/>
      <c r="CS144" s="1154"/>
      <c r="CT144" s="1154"/>
      <c r="CU144" s="1154"/>
      <c r="CV144" s="1154"/>
      <c r="CW144" s="1190">
        <f t="shared" si="138"/>
        <v>0</v>
      </c>
      <c r="CX144" s="1154"/>
      <c r="CY144" s="1154"/>
      <c r="CZ144" s="1154"/>
      <c r="DA144" s="1154"/>
      <c r="DB144" s="1154"/>
      <c r="DC144" s="113"/>
      <c r="DD144" s="119"/>
      <c r="DE144" s="113"/>
      <c r="DF144" s="113"/>
      <c r="DG144" s="113"/>
      <c r="DH144" s="1043">
        <v>3665789.3969098451</v>
      </c>
      <c r="DI144" s="1043">
        <v>2579522.2070310824</v>
      </c>
      <c r="DJ144" s="1043">
        <f t="shared" si="142"/>
        <v>1086267.1898787627</v>
      </c>
      <c r="DK144" s="1037"/>
      <c r="DL144" s="1044">
        <f>M144*X144/1000</f>
        <v>0</v>
      </c>
      <c r="DM144" s="1044">
        <f>S144*AE144/1000</f>
        <v>0</v>
      </c>
      <c r="DN144" s="1044">
        <f>DL144+DM144</f>
        <v>0</v>
      </c>
      <c r="DO144" s="113"/>
    </row>
    <row r="145" spans="1:119" s="50" customFormat="1" ht="100.5" hidden="1" customHeight="1">
      <c r="A145" s="27"/>
      <c r="B145" s="1062"/>
      <c r="C145" s="1062"/>
      <c r="D145" s="1063"/>
      <c r="E145" s="1062"/>
      <c r="F145" s="1062"/>
      <c r="G145" s="1062"/>
      <c r="H145" s="907"/>
      <c r="I145" s="1179"/>
      <c r="J145" s="1179"/>
      <c r="K145" s="1179"/>
      <c r="L145" s="907"/>
      <c r="M145" s="1179"/>
      <c r="N145" s="907"/>
      <c r="O145" s="1179"/>
      <c r="P145" s="1179"/>
      <c r="Q145" s="1179"/>
      <c r="R145" s="907"/>
      <c r="S145" s="1179"/>
      <c r="T145" s="902"/>
      <c r="U145" s="1179"/>
      <c r="V145" s="1065"/>
      <c r="W145" s="1066"/>
      <c r="X145" s="1179"/>
      <c r="Y145" s="1179"/>
      <c r="Z145" s="902"/>
      <c r="AA145" s="902"/>
      <c r="AB145" s="1179"/>
      <c r="AC145" s="1067">
        <f>V144+AC144</f>
        <v>437651.23095632368</v>
      </c>
      <c r="AD145" s="1179"/>
      <c r="AE145" s="1179"/>
      <c r="AF145" s="1179"/>
      <c r="AG145" s="902"/>
      <c r="AH145" s="902">
        <f t="shared" ref="AH145:CL145" si="187">SUM(AH14:AH143)</f>
        <v>3707565.7394102514</v>
      </c>
      <c r="AI145" s="902">
        <f t="shared" si="187"/>
        <v>610976.16892961366</v>
      </c>
      <c r="AJ145" s="902">
        <f t="shared" si="187"/>
        <v>2056042.1541909813</v>
      </c>
      <c r="AK145" s="902">
        <f t="shared" si="187"/>
        <v>437651.23095632374</v>
      </c>
      <c r="AL145" s="902">
        <f t="shared" si="187"/>
        <v>602896.18533333333</v>
      </c>
      <c r="AM145" s="902">
        <f t="shared" si="187"/>
        <v>679639.33000000007</v>
      </c>
      <c r="AN145" s="902">
        <f t="shared" si="187"/>
        <v>33289.279999999999</v>
      </c>
      <c r="AO145" s="902">
        <f t="shared" si="187"/>
        <v>4420494.3494102526</v>
      </c>
      <c r="AP145" s="902">
        <f t="shared" si="187"/>
        <v>4387205.0694102515</v>
      </c>
      <c r="AQ145" s="902">
        <f t="shared" si="187"/>
        <v>3707565.7394102518</v>
      </c>
      <c r="AR145" s="902">
        <f t="shared" si="187"/>
        <v>2248.3053133333274</v>
      </c>
      <c r="AS145" s="902">
        <f t="shared" si="187"/>
        <v>1383090315.9549994</v>
      </c>
      <c r="AT145" s="902">
        <f t="shared" si="187"/>
        <v>3529294626.54529</v>
      </c>
      <c r="AU145" s="902">
        <f t="shared" si="187"/>
        <v>665526001.27271879</v>
      </c>
      <c r="AV145" s="902">
        <f t="shared" si="187"/>
        <v>1070780635.9643575</v>
      </c>
      <c r="AW145" s="902">
        <f t="shared" si="187"/>
        <v>779370861.24003661</v>
      </c>
      <c r="AX145" s="902">
        <f t="shared" si="187"/>
        <v>7415578690.4067211</v>
      </c>
      <c r="AY145" s="902">
        <f t="shared" si="187"/>
        <v>6637498333.6779566</v>
      </c>
      <c r="AZ145" s="902">
        <f t="shared" si="187"/>
        <v>2648571978.2282619</v>
      </c>
      <c r="BA145" s="902">
        <f t="shared" si="187"/>
        <v>4885465206.5994911</v>
      </c>
      <c r="BB145" s="902">
        <f t="shared" si="187"/>
        <v>1797562768.712065</v>
      </c>
      <c r="BC145" s="902">
        <f t="shared" si="187"/>
        <v>1800694019.9189858</v>
      </c>
      <c r="BD145" s="902">
        <f t="shared" si="187"/>
        <v>1986200129.09532</v>
      </c>
      <c r="BE145" s="902">
        <f t="shared" si="187"/>
        <v>9271369255.382267</v>
      </c>
      <c r="BF145" s="902">
        <f t="shared" si="187"/>
        <v>7768585963.5862064</v>
      </c>
      <c r="BG145" s="902">
        <f t="shared" si="187"/>
        <v>137899.35914671805</v>
      </c>
      <c r="BH145" s="902">
        <f t="shared" si="187"/>
        <v>156893.53291095374</v>
      </c>
      <c r="BI145" s="902">
        <f t="shared" si="187"/>
        <v>295038.23530631908</v>
      </c>
      <c r="BJ145" s="902">
        <f t="shared" si="187"/>
        <v>8226965.4358829306</v>
      </c>
      <c r="BK145" s="902">
        <f t="shared" si="187"/>
        <v>8129643.2411344079</v>
      </c>
      <c r="BL145" s="902">
        <f t="shared" si="187"/>
        <v>1916186148.4029093</v>
      </c>
      <c r="BM145" s="902">
        <f t="shared" si="187"/>
        <v>3261904912.5372458</v>
      </c>
      <c r="BN145" s="902">
        <f t="shared" si="187"/>
        <v>353826245.98407382</v>
      </c>
      <c r="BO145" s="902">
        <f t="shared" si="187"/>
        <v>407343194.53699309</v>
      </c>
      <c r="BP145" s="902">
        <f t="shared" si="187"/>
        <v>440544641.93040001</v>
      </c>
      <c r="BQ145" s="902">
        <f t="shared" si="187"/>
        <v>4160800722.7775869</v>
      </c>
      <c r="BR145" s="902">
        <f t="shared" si="187"/>
        <v>3720256080.8471866</v>
      </c>
      <c r="BS145" s="902">
        <f t="shared" si="187"/>
        <v>601097274.48800898</v>
      </c>
      <c r="BT145" s="902">
        <f t="shared" si="187"/>
        <v>1518724772.7711065</v>
      </c>
      <c r="BU145" s="902">
        <f t="shared" si="187"/>
        <v>341046819.28382748</v>
      </c>
      <c r="BV145" s="902">
        <f t="shared" si="187"/>
        <v>447281220.72581559</v>
      </c>
      <c r="BW145" s="902">
        <f t="shared" si="187"/>
        <v>371225041.35799998</v>
      </c>
      <c r="BX145" s="902">
        <f t="shared" si="187"/>
        <v>3273565878.9877577</v>
      </c>
      <c r="BY145" s="902">
        <f t="shared" si="187"/>
        <v>2902340837.6297579</v>
      </c>
      <c r="BZ145" s="902">
        <f t="shared" si="187"/>
        <v>3641929982.8959937</v>
      </c>
      <c r="CA145" s="902">
        <f t="shared" si="187"/>
        <v>694721610.03127837</v>
      </c>
      <c r="CB145" s="902">
        <f t="shared" si="187"/>
        <v>4336651592.9272728</v>
      </c>
      <c r="CC145" s="902" t="e">
        <f t="shared" si="187"/>
        <v>#DIV/0!</v>
      </c>
      <c r="CD145" s="902" t="e">
        <f t="shared" si="187"/>
        <v>#DIV/0!</v>
      </c>
      <c r="CE145" s="902" t="e">
        <f t="shared" si="187"/>
        <v>#DIV/0!</v>
      </c>
      <c r="CF145" s="902" t="e">
        <f t="shared" si="187"/>
        <v>#DIV/0!</v>
      </c>
      <c r="CG145" s="902">
        <f t="shared" si="187"/>
        <v>5455976671.8979454</v>
      </c>
      <c r="CH145" s="902" t="e">
        <f t="shared" si="187"/>
        <v>#DIV/0!</v>
      </c>
      <c r="CI145" s="902">
        <f t="shared" si="187"/>
        <v>0</v>
      </c>
      <c r="CJ145" s="1068">
        <f t="shared" si="187"/>
        <v>4998264.3479240388</v>
      </c>
      <c r="CK145" s="1068">
        <f t="shared" si="187"/>
        <v>3937846.2833752744</v>
      </c>
      <c r="CL145" s="1069">
        <f t="shared" si="187"/>
        <v>8936110.8531769048</v>
      </c>
      <c r="CM145" s="1040">
        <f t="shared" ref="CM145:CM208" si="188">N145*AH145/1000</f>
        <v>0</v>
      </c>
      <c r="CN145" s="1040">
        <f t="shared" ref="CN145:CN208" si="189">CM145-CL145</f>
        <v>-8936110.8531769048</v>
      </c>
      <c r="CO145" s="902">
        <f t="shared" ref="CO145:DG145" si="190">SUM(CO14:CO143)</f>
        <v>8441551269.0003796</v>
      </c>
      <c r="CP145" s="1070">
        <f t="shared" si="190"/>
        <v>7759804012.6705694</v>
      </c>
      <c r="CQ145" s="902">
        <f t="shared" si="190"/>
        <v>7767048892.165472</v>
      </c>
      <c r="CR145" s="1071">
        <f t="shared" si="190"/>
        <v>4361501280.0529766</v>
      </c>
      <c r="CS145" s="902">
        <f t="shared" si="190"/>
        <v>8530045334.1878662</v>
      </c>
      <c r="CT145" s="1072">
        <f t="shared" si="190"/>
        <v>8531962559.0059366</v>
      </c>
      <c r="CU145" s="1071">
        <f t="shared" si="190"/>
        <v>3741119970.0414901</v>
      </c>
      <c r="CV145" s="902">
        <f t="shared" si="190"/>
        <v>16289849346.858438</v>
      </c>
      <c r="CW145" s="1073" t="e">
        <f t="shared" si="190"/>
        <v>#DIV/0!</v>
      </c>
      <c r="CX145" s="902">
        <f t="shared" si="190"/>
        <v>5109921599.9398098</v>
      </c>
      <c r="CY145" s="902">
        <f t="shared" si="190"/>
        <v>5567277482.3811464</v>
      </c>
      <c r="CZ145" s="902">
        <f t="shared" si="190"/>
        <v>0</v>
      </c>
      <c r="DA145" s="902">
        <f t="shared" si="190"/>
        <v>8035801395.5741739</v>
      </c>
      <c r="DB145" s="902">
        <f t="shared" si="190"/>
        <v>8959938800.7850685</v>
      </c>
      <c r="DC145" s="39">
        <f t="shared" si="190"/>
        <v>0</v>
      </c>
      <c r="DD145" s="39" t="e">
        <f t="shared" si="190"/>
        <v>#DIV/0!</v>
      </c>
      <c r="DE145" s="39">
        <f t="shared" si="190"/>
        <v>0</v>
      </c>
      <c r="DF145" s="39">
        <f t="shared" si="190"/>
        <v>0</v>
      </c>
      <c r="DG145" s="39">
        <f t="shared" si="190"/>
        <v>0</v>
      </c>
      <c r="DH145" s="1139">
        <v>3665789.3969098451</v>
      </c>
      <c r="DI145" s="1043">
        <v>2579522.2070310824</v>
      </c>
      <c r="DJ145" s="1043">
        <f>DH145-DI145</f>
        <v>1086267.1898787627</v>
      </c>
      <c r="DK145" s="902">
        <f>SUM(DK14:DK143)</f>
        <v>0</v>
      </c>
      <c r="DL145" s="902">
        <f>SUM(DL14:DL143)</f>
        <v>440544.64193040004</v>
      </c>
      <c r="DM145" s="902">
        <f>SUM(DM14:DM143)</f>
        <v>371225.04135799996</v>
      </c>
      <c r="DN145" s="1074">
        <f>SUM(DN14:DN143)</f>
        <v>811769.68328839995</v>
      </c>
      <c r="DO145" s="113"/>
    </row>
    <row r="146" spans="1:119" s="50" customFormat="1" ht="100.5" hidden="1" customHeight="1">
      <c r="A146" s="27"/>
      <c r="B146" s="1062"/>
      <c r="C146" s="1062"/>
      <c r="D146" s="1063"/>
      <c r="E146" s="1062"/>
      <c r="F146" s="1062"/>
      <c r="G146" s="1062"/>
      <c r="H146" s="907">
        <f>H142/1.2</f>
        <v>267.85833333333335</v>
      </c>
      <c r="I146" s="1179"/>
      <c r="J146" s="1179"/>
      <c r="K146" s="1179"/>
      <c r="L146" s="907"/>
      <c r="M146" s="1179"/>
      <c r="N146" s="907"/>
      <c r="O146" s="1179"/>
      <c r="P146" s="1179"/>
      <c r="Q146" s="1179"/>
      <c r="R146" s="907"/>
      <c r="S146" s="1179"/>
      <c r="T146" s="902"/>
      <c r="U146" s="902"/>
      <c r="V146" s="902">
        <f>(O33-P33)/1.2*U33/1000</f>
        <v>6715.7102865999996</v>
      </c>
      <c r="W146" s="902"/>
      <c r="X146" s="902"/>
      <c r="Y146" s="902"/>
      <c r="Z146" s="1075"/>
      <c r="AA146" s="902"/>
      <c r="AB146" s="902"/>
      <c r="AC146" s="902"/>
      <c r="AD146" s="902"/>
      <c r="AE146" s="902"/>
      <c r="AF146" s="902"/>
      <c r="AG146" s="1076" t="s">
        <v>928</v>
      </c>
      <c r="AH146" s="1077">
        <f>327106.01+9299.11</f>
        <v>336405.12</v>
      </c>
      <c r="AI146" s="1077"/>
      <c r="AJ146" s="902"/>
      <c r="AK146" s="902"/>
      <c r="AL146" s="902"/>
      <c r="AM146" s="902">
        <v>327106.01</v>
      </c>
      <c r="AN146" s="902"/>
      <c r="AO146" s="902"/>
      <c r="AP146" s="902"/>
      <c r="AQ146" s="902"/>
      <c r="AR146" s="1072"/>
      <c r="AS146" s="1037"/>
      <c r="AT146" s="1037"/>
      <c r="AU146" s="1037"/>
      <c r="AV146" s="1037"/>
      <c r="AW146" s="1037"/>
      <c r="AX146" s="1037"/>
      <c r="AY146" s="1037"/>
      <c r="AZ146" s="1037"/>
      <c r="BA146" s="1037"/>
      <c r="BB146" s="1037"/>
      <c r="BC146" s="1037"/>
      <c r="BD146" s="1037"/>
      <c r="BE146" s="1037"/>
      <c r="BF146" s="1037"/>
      <c r="BG146" s="1037"/>
      <c r="BH146" s="902"/>
      <c r="BI146" s="1078"/>
      <c r="BJ146" s="1079"/>
      <c r="BK146" s="1079"/>
      <c r="BL146" s="1037"/>
      <c r="BM146" s="1037"/>
      <c r="BN146" s="1037"/>
      <c r="BO146" s="1037"/>
      <c r="BP146" s="1037"/>
      <c r="BQ146" s="1037"/>
      <c r="BR146" s="1037"/>
      <c r="BS146" s="1037"/>
      <c r="BT146" s="1037"/>
      <c r="BU146" s="1037"/>
      <c r="BV146" s="1037"/>
      <c r="BW146" s="1037"/>
      <c r="BX146" s="1037"/>
      <c r="BY146" s="1037"/>
      <c r="BZ146" s="1037"/>
      <c r="CA146" s="1037"/>
      <c r="CB146" s="1037"/>
      <c r="CC146" s="1042"/>
      <c r="CD146" s="1042"/>
      <c r="CE146" s="1042"/>
      <c r="CF146" s="1037"/>
      <c r="CG146" s="1080"/>
      <c r="CH146" s="1080"/>
      <c r="CI146" s="1037"/>
      <c r="CJ146" s="1038"/>
      <c r="CK146" s="1038"/>
      <c r="CL146" s="1081"/>
      <c r="CM146" s="1040">
        <f>N146*AM144/1000</f>
        <v>0</v>
      </c>
      <c r="CN146" s="1040">
        <f t="shared" si="189"/>
        <v>0</v>
      </c>
      <c r="CO146" s="1041"/>
      <c r="CP146" s="1041"/>
      <c r="CQ146" s="1041"/>
      <c r="CR146" s="1041"/>
      <c r="CS146" s="1041"/>
      <c r="CT146" s="1041"/>
      <c r="CU146" s="1045">
        <f>CU145+CR145</f>
        <v>8102621250.0944672</v>
      </c>
      <c r="CV146" s="1041"/>
      <c r="CW146" s="1082"/>
      <c r="CX146" s="1041"/>
      <c r="CY146" s="1041"/>
      <c r="CZ146" s="1041"/>
      <c r="DA146" s="1041"/>
      <c r="DB146" s="1041"/>
      <c r="DC146" s="113"/>
      <c r="DD146" s="119"/>
      <c r="DE146" s="113"/>
      <c r="DF146" s="113"/>
      <c r="DG146" s="113"/>
      <c r="DH146" s="1043"/>
      <c r="DI146" s="1043"/>
      <c r="DJ146" s="1083"/>
      <c r="DK146" s="1037"/>
      <c r="DL146" s="1044">
        <f>M146*X146/1000</f>
        <v>0</v>
      </c>
      <c r="DM146" s="1044">
        <f>S146*AE146/1000</f>
        <v>0</v>
      </c>
      <c r="DN146" s="1044">
        <f>DL146+DM146</f>
        <v>0</v>
      </c>
      <c r="DO146" s="113"/>
    </row>
    <row r="147" spans="1:119" s="50" customFormat="1" ht="100.5" hidden="1" customHeight="1">
      <c r="A147" s="27"/>
      <c r="B147" s="1062"/>
      <c r="C147" s="1062"/>
      <c r="D147" s="1063"/>
      <c r="E147" s="1062"/>
      <c r="F147" s="1062"/>
      <c r="G147" s="1062"/>
      <c r="H147" s="907"/>
      <c r="I147" s="1179"/>
      <c r="J147" s="1179"/>
      <c r="K147" s="1179"/>
      <c r="L147" s="907"/>
      <c r="M147" s="1179"/>
      <c r="N147" s="907"/>
      <c r="O147" s="1179"/>
      <c r="P147" s="1179"/>
      <c r="Q147" s="1179"/>
      <c r="R147" s="907"/>
      <c r="S147" s="1179"/>
      <c r="T147" s="902"/>
      <c r="U147" s="902"/>
      <c r="V147" s="902">
        <f>+(O33-Q33)*V33/1000</f>
        <v>1537.5475970399998</v>
      </c>
      <c r="W147" s="902"/>
      <c r="X147" s="1075"/>
      <c r="Y147" s="902"/>
      <c r="Z147" s="902"/>
      <c r="AA147" s="902"/>
      <c r="AB147" s="902"/>
      <c r="AC147" s="902"/>
      <c r="AD147" s="902"/>
      <c r="AE147" s="902"/>
      <c r="AF147" s="902"/>
      <c r="AG147" s="1076" t="s">
        <v>929</v>
      </c>
      <c r="AH147" s="1077">
        <v>4149.16</v>
      </c>
      <c r="AI147" s="1077"/>
      <c r="AJ147" s="902"/>
      <c r="AK147" s="902"/>
      <c r="AL147" s="902"/>
      <c r="AM147" s="902">
        <v>9299.11</v>
      </c>
      <c r="AN147" s="902"/>
      <c r="AO147" s="902"/>
      <c r="AP147" s="902"/>
      <c r="AQ147" s="902"/>
      <c r="AR147" s="1072"/>
      <c r="AS147" s="1037"/>
      <c r="AT147" s="1037"/>
      <c r="AU147" s="1037"/>
      <c r="AV147" s="1037"/>
      <c r="AW147" s="1037"/>
      <c r="AX147" s="1037"/>
      <c r="AY147" s="1037"/>
      <c r="AZ147" s="1037"/>
      <c r="BA147" s="1037"/>
      <c r="BB147" s="1037"/>
      <c r="BC147" s="1037"/>
      <c r="BD147" s="1037"/>
      <c r="BE147" s="1037"/>
      <c r="BF147" s="1037"/>
      <c r="BG147" s="1037"/>
      <c r="BH147" s="1037"/>
      <c r="BI147" s="1037"/>
      <c r="BJ147" s="1079"/>
      <c r="BK147" s="1079"/>
      <c r="BL147" s="1037"/>
      <c r="BM147" s="1037"/>
      <c r="BN147" s="1037"/>
      <c r="BO147" s="1037"/>
      <c r="BP147" s="1037"/>
      <c r="BQ147" s="1037"/>
      <c r="BR147" s="1037"/>
      <c r="BS147" s="1037"/>
      <c r="BT147" s="1037"/>
      <c r="BU147" s="1037"/>
      <c r="BV147" s="1037"/>
      <c r="BW147" s="1037"/>
      <c r="BX147" s="1037"/>
      <c r="BY147" s="1037"/>
      <c r="BZ147" s="1037"/>
      <c r="CA147" s="1037"/>
      <c r="CB147" s="1037"/>
      <c r="CC147" s="1042"/>
      <c r="CD147" s="1042"/>
      <c r="CE147" s="1042"/>
      <c r="CF147" s="1037"/>
      <c r="CG147" s="1080"/>
      <c r="CH147" s="1080"/>
      <c r="CI147" s="1037"/>
      <c r="CJ147" s="1038"/>
      <c r="CK147" s="1038"/>
      <c r="CL147" s="1081">
        <f>CU146/1000</f>
        <v>8102621.2500944668</v>
      </c>
      <c r="CM147" s="1040" t="e">
        <f>N147*#REF!/1000</f>
        <v>#REF!</v>
      </c>
      <c r="CN147" s="1040" t="e">
        <f t="shared" si="189"/>
        <v>#REF!</v>
      </c>
      <c r="CO147" s="1041"/>
      <c r="CP147" s="1041"/>
      <c r="CQ147" s="1041"/>
      <c r="CR147" s="1041"/>
      <c r="CS147" s="1041"/>
      <c r="CT147" s="1041"/>
      <c r="CU147" s="1084">
        <f>CL145-CL147</f>
        <v>833489.603082438</v>
      </c>
      <c r="CV147" s="1041"/>
      <c r="CW147" s="1082"/>
      <c r="CX147" s="1041"/>
      <c r="CY147" s="1041"/>
      <c r="CZ147" s="1041"/>
      <c r="DA147" s="1041"/>
      <c r="DB147" s="1041"/>
      <c r="DC147" s="113"/>
      <c r="DD147" s="119"/>
      <c r="DE147" s="113"/>
      <c r="DF147" s="113"/>
      <c r="DG147" s="113"/>
      <c r="DH147" s="1043"/>
      <c r="DI147" s="1043"/>
      <c r="DJ147" s="1083"/>
      <c r="DK147" s="1037"/>
      <c r="DL147" s="1044">
        <f>M147*X147/1000</f>
        <v>0</v>
      </c>
      <c r="DM147" s="1044">
        <f>S147*AE147/1000</f>
        <v>0</v>
      </c>
      <c r="DN147" s="1044">
        <f>DL147+DM147</f>
        <v>0</v>
      </c>
      <c r="DO147" s="113"/>
    </row>
    <row r="148" spans="1:119" s="50" customFormat="1" ht="100.5" hidden="1" customHeight="1">
      <c r="A148" s="6"/>
      <c r="B148" s="1085"/>
      <c r="C148" s="1064"/>
      <c r="D148" s="1064"/>
      <c r="E148" s="1064"/>
      <c r="F148" s="1064"/>
      <c r="G148" s="1064"/>
      <c r="H148" s="1179"/>
      <c r="I148" s="1086"/>
      <c r="J148" s="1087"/>
      <c r="K148" s="1179"/>
      <c r="L148" s="1179"/>
      <c r="M148" s="1179"/>
      <c r="N148" s="1179"/>
      <c r="O148" s="1179"/>
      <c r="P148" s="1179"/>
      <c r="Q148" s="1179"/>
      <c r="R148" s="1179"/>
      <c r="S148" s="1179"/>
      <c r="T148" s="1088"/>
      <c r="U148" s="905"/>
      <c r="V148" s="1074"/>
      <c r="W148" s="1179"/>
      <c r="X148" s="1179"/>
      <c r="Y148" s="1179"/>
      <c r="Z148" s="1179"/>
      <c r="AA148" s="1088"/>
      <c r="AB148" s="905"/>
      <c r="AC148" s="1074"/>
      <c r="AD148" s="1089"/>
      <c r="AE148" s="1179"/>
      <c r="AF148" s="1179"/>
      <c r="AG148" s="1076" t="s">
        <v>930</v>
      </c>
      <c r="AH148" s="1077">
        <v>32755.962</v>
      </c>
      <c r="AI148" s="1077"/>
      <c r="AJ148" s="1064">
        <f t="shared" ref="AJ148:AQ148" si="191">SUM(AJ14:AJ143)</f>
        <v>2056042.1541909813</v>
      </c>
      <c r="AK148" s="1064">
        <f t="shared" si="191"/>
        <v>437651.23095632374</v>
      </c>
      <c r="AL148" s="1064">
        <f t="shared" si="191"/>
        <v>602896.18533333333</v>
      </c>
      <c r="AM148" s="1064">
        <f t="shared" si="191"/>
        <v>679639.33000000007</v>
      </c>
      <c r="AN148" s="1064">
        <f t="shared" si="191"/>
        <v>33289.279999999999</v>
      </c>
      <c r="AO148" s="1064">
        <f t="shared" si="191"/>
        <v>4420494.3494102526</v>
      </c>
      <c r="AP148" s="1064">
        <f t="shared" si="191"/>
        <v>4387205.0694102515</v>
      </c>
      <c r="AQ148" s="1064">
        <f t="shared" si="191"/>
        <v>3707565.7394102518</v>
      </c>
      <c r="AR148" s="1090"/>
      <c r="AS148" s="1090">
        <f t="shared" ref="AS148:BI148" si="192">SUM(AS14:AS143)</f>
        <v>1383090315.9549994</v>
      </c>
      <c r="AT148" s="1090">
        <f t="shared" si="192"/>
        <v>3529294626.54529</v>
      </c>
      <c r="AU148" s="1090">
        <f t="shared" si="192"/>
        <v>665526001.27271879</v>
      </c>
      <c r="AV148" s="1090">
        <f t="shared" si="192"/>
        <v>1070780635.9643575</v>
      </c>
      <c r="AW148" s="1090">
        <f t="shared" si="192"/>
        <v>779370861.24003661</v>
      </c>
      <c r="AX148" s="1090">
        <f t="shared" si="192"/>
        <v>7415578690.4067211</v>
      </c>
      <c r="AY148" s="1090">
        <f t="shared" si="192"/>
        <v>6637498333.6779566</v>
      </c>
      <c r="AZ148" s="1090">
        <f t="shared" si="192"/>
        <v>2648571978.2282619</v>
      </c>
      <c r="BA148" s="1090">
        <f t="shared" si="192"/>
        <v>4885465206.5994911</v>
      </c>
      <c r="BB148" s="1090">
        <f t="shared" si="192"/>
        <v>1797562768.712065</v>
      </c>
      <c r="BC148" s="1090">
        <f t="shared" si="192"/>
        <v>1800694019.9189858</v>
      </c>
      <c r="BD148" s="1090">
        <f t="shared" si="192"/>
        <v>1986200129.09532</v>
      </c>
      <c r="BE148" s="1090">
        <f t="shared" si="192"/>
        <v>9271369255.382267</v>
      </c>
      <c r="BF148" s="1090">
        <f t="shared" si="192"/>
        <v>7768585963.5862064</v>
      </c>
      <c r="BG148" s="1090">
        <f t="shared" si="192"/>
        <v>137899.35914671805</v>
      </c>
      <c r="BH148" s="1090">
        <f t="shared" si="192"/>
        <v>156893.53291095374</v>
      </c>
      <c r="BI148" s="1090">
        <f t="shared" si="192"/>
        <v>295038.23530631908</v>
      </c>
      <c r="BJ148" s="1090"/>
      <c r="BK148" s="1090"/>
      <c r="BL148" s="1090">
        <f t="shared" ref="BL148:CA148" si="193">SUM(BL14:BL143)/1000</f>
        <v>1916186.1484029093</v>
      </c>
      <c r="BM148" s="1090">
        <f t="shared" si="193"/>
        <v>3261904.9125372455</v>
      </c>
      <c r="BN148" s="1090">
        <f t="shared" si="193"/>
        <v>353826.24598407384</v>
      </c>
      <c r="BO148" s="1090">
        <f t="shared" si="193"/>
        <v>407343.19453699311</v>
      </c>
      <c r="BP148" s="1090">
        <f t="shared" si="193"/>
        <v>440544.64193039999</v>
      </c>
      <c r="BQ148" s="1090">
        <f t="shared" si="193"/>
        <v>4160800.7227775869</v>
      </c>
      <c r="BR148" s="1090">
        <f t="shared" si="193"/>
        <v>3720256.0808471865</v>
      </c>
      <c r="BS148" s="1090">
        <f t="shared" si="193"/>
        <v>601097.27448800893</v>
      </c>
      <c r="BT148" s="1090">
        <f t="shared" si="193"/>
        <v>1518724.7727711066</v>
      </c>
      <c r="BU148" s="1090">
        <f t="shared" si="193"/>
        <v>341046.8192838275</v>
      </c>
      <c r="BV148" s="1090">
        <f t="shared" si="193"/>
        <v>447281.22072581557</v>
      </c>
      <c r="BW148" s="1090">
        <f t="shared" si="193"/>
        <v>371225.04135799996</v>
      </c>
      <c r="BX148" s="1090">
        <f t="shared" si="193"/>
        <v>3273565.8789877575</v>
      </c>
      <c r="BY148" s="1090">
        <f t="shared" si="193"/>
        <v>2902340.8376297578</v>
      </c>
      <c r="BZ148" s="1090">
        <f t="shared" si="193"/>
        <v>3641929.9828959936</v>
      </c>
      <c r="CA148" s="1090">
        <f t="shared" si="193"/>
        <v>694721.61003127834</v>
      </c>
      <c r="CB148" s="1090">
        <f>SUM(CB14:CB143)</f>
        <v>4336651592.9272728</v>
      </c>
      <c r="CC148" s="1042">
        <f>BZ148/AJ148*1000</f>
        <v>1771.3304055913352</v>
      </c>
      <c r="CD148" s="1042">
        <f>CA148/AK148*1000</f>
        <v>1587.3863955854142</v>
      </c>
      <c r="CE148" s="1042">
        <f>CB148/AJ149</f>
        <v>1739.04763863786</v>
      </c>
      <c r="CF148" s="1037" t="e">
        <f>CB148/(U148+V148+#REF!+AC148)</f>
        <v>#REF!</v>
      </c>
      <c r="CG148" s="1080">
        <f>SUM(CG14:CG143)</f>
        <v>5455976671.8979454</v>
      </c>
      <c r="CH148" s="1042">
        <f>CG148/(AJ148+AK148)</f>
        <v>2187.9099910174623</v>
      </c>
      <c r="CI148" s="1091"/>
      <c r="CJ148" s="1092"/>
      <c r="CK148" s="1092"/>
      <c r="CL148" s="1092"/>
      <c r="CM148" s="1040" t="e">
        <f>N148*#REF!/1000</f>
        <v>#REF!</v>
      </c>
      <c r="CN148" s="1040" t="e">
        <f t="shared" si="189"/>
        <v>#REF!</v>
      </c>
      <c r="CO148" s="1093">
        <f>SUM(CO14:CO143)</f>
        <v>8441551269.0003796</v>
      </c>
      <c r="CP148" s="1093"/>
      <c r="CQ148" s="1093"/>
      <c r="CR148" s="1093"/>
      <c r="CS148" s="1093"/>
      <c r="CT148" s="1093"/>
      <c r="CU148" s="1093"/>
      <c r="CV148" s="1093"/>
      <c r="CW148" s="1094"/>
      <c r="CX148" s="1093"/>
      <c r="CY148" s="1093"/>
      <c r="CZ148" s="1093"/>
      <c r="DA148" s="1093"/>
      <c r="DB148" s="1093"/>
      <c r="DC148" s="867"/>
      <c r="DD148" s="119" t="e">
        <f t="shared" ref="DD148:DD153" si="194">N148/J148*100</f>
        <v>#DIV/0!</v>
      </c>
      <c r="DE148" s="867"/>
      <c r="DF148" s="867"/>
      <c r="DG148" s="867"/>
      <c r="DH148" s="1140"/>
      <c r="DI148" s="1140"/>
      <c r="DJ148" s="1140"/>
      <c r="DK148" s="1091"/>
      <c r="DL148" s="1044">
        <f>M148*X148/1000</f>
        <v>0</v>
      </c>
      <c r="DM148" s="1044">
        <f>S148*AE148/1000</f>
        <v>0</v>
      </c>
      <c r="DN148" s="1044">
        <f>DL148+DM148</f>
        <v>0</v>
      </c>
      <c r="DO148" s="120"/>
    </row>
    <row r="149" spans="1:119" s="50" customFormat="1" ht="100.5" hidden="1" customHeight="1">
      <c r="A149" s="6"/>
      <c r="B149" s="1095"/>
      <c r="C149" s="1095"/>
      <c r="D149" s="1095"/>
      <c r="E149" s="1095"/>
      <c r="F149" s="1095"/>
      <c r="G149" s="1095"/>
      <c r="H149" s="1179"/>
      <c r="I149" s="1086"/>
      <c r="J149" s="1096"/>
      <c r="K149" s="905"/>
      <c r="L149" s="1179"/>
      <c r="M149" s="1179"/>
      <c r="N149" s="1179"/>
      <c r="O149" s="1179"/>
      <c r="P149" s="1179"/>
      <c r="Q149" s="1179"/>
      <c r="R149" s="1179"/>
      <c r="S149" s="1179"/>
      <c r="T149" s="1179"/>
      <c r="U149" s="902"/>
      <c r="V149" s="1071"/>
      <c r="W149" s="902"/>
      <c r="X149" s="1179"/>
      <c r="Y149" s="1179"/>
      <c r="Z149" s="902"/>
      <c r="AA149" s="1179"/>
      <c r="AB149" s="902"/>
      <c r="AC149" s="1071">
        <f>SUM(AC14:AC143)</f>
        <v>209575.11378880768</v>
      </c>
      <c r="AD149" s="902">
        <f>SUM(AD14:AD143)</f>
        <v>338126.11851451616</v>
      </c>
      <c r="AE149" s="1179"/>
      <c r="AF149" s="1179"/>
      <c r="AG149" s="1076" t="s">
        <v>931</v>
      </c>
      <c r="AH149" s="1077">
        <f>AH146-AH147-AH148</f>
        <v>299499.99800000002</v>
      </c>
      <c r="AI149" s="1077">
        <v>299499.99799999991</v>
      </c>
      <c r="AJ149" s="1097">
        <f>AJ148+AK148</f>
        <v>2493693.3851473052</v>
      </c>
      <c r="AK149" s="1179"/>
      <c r="AL149" s="1179"/>
      <c r="AM149" s="1179"/>
      <c r="AN149" s="1179"/>
      <c r="AO149" s="1179"/>
      <c r="AP149" s="1179"/>
      <c r="AQ149" s="907">
        <f>AJ149/AQ148*100</f>
        <v>67.25958648932729</v>
      </c>
      <c r="AR149" s="1042" t="e">
        <f>#REF!-AQ150</f>
        <v>#REF!</v>
      </c>
      <c r="AS149" s="1037"/>
      <c r="AT149" s="1037"/>
      <c r="AU149" s="1098"/>
      <c r="AV149" s="1037"/>
      <c r="AW149" s="1037"/>
      <c r="AX149" s="1037"/>
      <c r="AY149" s="1037"/>
      <c r="AZ149" s="1098"/>
      <c r="BA149" s="1037"/>
      <c r="BB149" s="1098"/>
      <c r="BC149" s="1037"/>
      <c r="BD149" s="1037"/>
      <c r="BE149" s="1037"/>
      <c r="BF149" s="1037"/>
      <c r="BG149" s="1037"/>
      <c r="BH149" s="1037"/>
      <c r="BI149" s="1037"/>
      <c r="BJ149" s="1037"/>
      <c r="BK149" s="1037"/>
      <c r="BL149" s="1037"/>
      <c r="BM149" s="1037"/>
      <c r="BN149" s="1037"/>
      <c r="BO149" s="1037"/>
      <c r="BP149" s="1037"/>
      <c r="BQ149" s="1037"/>
      <c r="BR149" s="1037"/>
      <c r="BS149" s="1037"/>
      <c r="BT149" s="1037"/>
      <c r="BU149" s="1037"/>
      <c r="BV149" s="1037"/>
      <c r="BW149" s="1037"/>
      <c r="BX149" s="1037"/>
      <c r="BY149" s="1037"/>
      <c r="BZ149" s="1098">
        <f>BZ148/AJ148*1000</f>
        <v>1771.3304055913352</v>
      </c>
      <c r="CA149" s="1042">
        <f>CA148/AK148*1000</f>
        <v>1587.3863955854142</v>
      </c>
      <c r="CB149" s="1042">
        <f>CB148/AJ149</f>
        <v>1739.04763863786</v>
      </c>
      <c r="CC149" s="1037">
        <f>BZ149/AJ149*1000</f>
        <v>0.71032405833915335</v>
      </c>
      <c r="CD149" s="1037"/>
      <c r="CE149" s="1091" t="e">
        <f>SUM(CE14:CE148)</f>
        <v>#DIV/0!</v>
      </c>
      <c r="CF149" s="1037"/>
      <c r="CG149" s="1037"/>
      <c r="CH149" s="1037"/>
      <c r="CI149" s="1037"/>
      <c r="CJ149" s="1038">
        <f>SUM(CJ14:CJ143)</f>
        <v>4998264.3479240388</v>
      </c>
      <c r="CK149" s="1038">
        <f>SUM(CK14:CK143)</f>
        <v>3937846.2833752744</v>
      </c>
      <c r="CL149" s="1038">
        <f>SUM(CL14:CL143)</f>
        <v>8936110.8531769048</v>
      </c>
      <c r="CM149" s="1040" t="e">
        <f>N149*#REF!/1000</f>
        <v>#REF!</v>
      </c>
      <c r="CN149" s="1040" t="e">
        <f t="shared" si="189"/>
        <v>#REF!</v>
      </c>
      <c r="CO149" s="1041"/>
      <c r="CP149" s="1041">
        <f t="shared" ref="CP149:DB149" si="195">SUM(CP14:CP148)</f>
        <v>15519608025.341139</v>
      </c>
      <c r="CQ149" s="1041">
        <f t="shared" si="195"/>
        <v>15534097784.330944</v>
      </c>
      <c r="CR149" s="1041">
        <f t="shared" si="195"/>
        <v>8723002560.1059532</v>
      </c>
      <c r="CS149" s="1041">
        <f t="shared" si="195"/>
        <v>17060090668.375732</v>
      </c>
      <c r="CT149" s="1041">
        <f t="shared" si="195"/>
        <v>17063925118.011873</v>
      </c>
      <c r="CU149" s="1041">
        <f t="shared" si="195"/>
        <v>15585694679.780531</v>
      </c>
      <c r="CV149" s="1041">
        <f t="shared" si="195"/>
        <v>32579698693.716877</v>
      </c>
      <c r="CW149" s="1099" t="e">
        <f t="shared" si="195"/>
        <v>#DIV/0!</v>
      </c>
      <c r="CX149" s="1093">
        <f t="shared" si="195"/>
        <v>10219843199.87962</v>
      </c>
      <c r="CY149" s="1093">
        <f t="shared" si="195"/>
        <v>11134554964.762293</v>
      </c>
      <c r="CZ149" s="1093">
        <f t="shared" si="195"/>
        <v>0</v>
      </c>
      <c r="DA149" s="1093">
        <f t="shared" si="195"/>
        <v>16071602791.148348</v>
      </c>
      <c r="DB149" s="1093">
        <f t="shared" si="195"/>
        <v>17919877601.570137</v>
      </c>
      <c r="DC149" s="113"/>
      <c r="DD149" s="119" t="e">
        <f t="shared" si="194"/>
        <v>#DIV/0!</v>
      </c>
      <c r="DE149" s="113"/>
      <c r="DF149" s="113"/>
      <c r="DG149" s="113"/>
      <c r="DH149" s="1043"/>
      <c r="DI149" s="1043"/>
      <c r="DJ149" s="1043"/>
      <c r="DK149" s="1037"/>
      <c r="DL149" s="1044">
        <f>M149*X149/1000</f>
        <v>0</v>
      </c>
      <c r="DM149" s="1044">
        <f>S149*AE149/1000</f>
        <v>0</v>
      </c>
      <c r="DN149" s="1044">
        <f>DL149+DM149</f>
        <v>0</v>
      </c>
      <c r="DO149" s="106"/>
    </row>
    <row r="150" spans="1:119" s="50" customFormat="1" ht="100.5" hidden="1" customHeight="1">
      <c r="A150" s="6"/>
      <c r="B150" s="1095"/>
      <c r="C150" s="1095"/>
      <c r="D150" s="1095"/>
      <c r="E150" s="1095"/>
      <c r="F150" s="1095"/>
      <c r="G150" s="1095"/>
      <c r="H150" s="1179"/>
      <c r="I150" s="1086"/>
      <c r="J150" s="1179"/>
      <c r="K150" s="1179"/>
      <c r="L150" s="1179"/>
      <c r="M150" s="1179"/>
      <c r="N150" s="1179"/>
      <c r="O150" s="1179"/>
      <c r="P150" s="1179"/>
      <c r="Q150" s="1179"/>
      <c r="R150" s="1179"/>
      <c r="S150" s="1179"/>
      <c r="T150" s="1179"/>
      <c r="U150" s="1179"/>
      <c r="V150" s="1179"/>
      <c r="W150" s="1179"/>
      <c r="X150" s="1179"/>
      <c r="Y150" s="1179"/>
      <c r="Z150" s="1179"/>
      <c r="AA150" s="1179"/>
      <c r="AB150" s="1179"/>
      <c r="AC150" s="1179"/>
      <c r="AD150" s="1179"/>
      <c r="AE150" s="1179"/>
      <c r="AF150" s="1179"/>
      <c r="AG150" s="1100"/>
      <c r="AH150" s="1179"/>
      <c r="AI150" s="1179"/>
      <c r="AJ150" s="924"/>
      <c r="AK150" s="1179"/>
      <c r="AL150" s="1097"/>
      <c r="AM150" s="1179"/>
      <c r="AN150" s="1179"/>
      <c r="AO150" s="1179"/>
      <c r="AP150" s="1179"/>
      <c r="AQ150" s="924">
        <f>SUM(AQ14:AQ142)</f>
        <v>3707565.7394102518</v>
      </c>
      <c r="AR150" s="1037"/>
      <c r="AS150" s="1101" t="e">
        <f>AS148/#REF!</f>
        <v>#REF!</v>
      </c>
      <c r="AT150" s="1101">
        <f>AT148/AJ148</f>
        <v>1716.5477951661985</v>
      </c>
      <c r="AU150" s="1101">
        <f>AU148/AK148</f>
        <v>1520.6766351792492</v>
      </c>
      <c r="AV150" s="1101">
        <f>AV148/AL148</f>
        <v>1776.0613883671151</v>
      </c>
      <c r="AW150" s="1101">
        <f>AW148/AM148</f>
        <v>1146.7418479740372</v>
      </c>
      <c r="AX150" s="1101">
        <f>AX148/AP148</f>
        <v>1690.2740065906146</v>
      </c>
      <c r="AY150" s="1102">
        <f>AY148/AQ148</f>
        <v>1790.2577594574918</v>
      </c>
      <c r="AZ150" s="1101" t="e">
        <f>AZ148/#REF!</f>
        <v>#REF!</v>
      </c>
      <c r="BA150" s="1101">
        <f>BA148/AJ148</f>
        <v>2376.1503122108124</v>
      </c>
      <c r="BB150" s="1101">
        <f>BB148/AK148</f>
        <v>4107.2951280958614</v>
      </c>
      <c r="BC150" s="1101">
        <f>BC148/AL148</f>
        <v>2986.7397799563219</v>
      </c>
      <c r="BD150" s="1101">
        <f>BD148/AM148</f>
        <v>2922.4325924388745</v>
      </c>
      <c r="BE150" s="1101">
        <f>BE148/AP148</f>
        <v>2113.2746495090478</v>
      </c>
      <c r="BF150" s="1102">
        <f>BF148/AQ148</f>
        <v>2095.3333021202006</v>
      </c>
      <c r="BG150" s="1037"/>
      <c r="BH150" s="1037"/>
      <c r="BI150" s="1037" t="s">
        <v>196</v>
      </c>
      <c r="BJ150" s="1037"/>
      <c r="BK150" s="1037"/>
      <c r="BL150" s="1037"/>
      <c r="BM150" s="1037"/>
      <c r="BN150" s="1037"/>
      <c r="BO150" s="1037"/>
      <c r="BP150" s="1037"/>
      <c r="BQ150" s="1037"/>
      <c r="BR150" s="1037"/>
      <c r="BS150" s="1037"/>
      <c r="BT150" s="1037"/>
      <c r="BU150" s="1037"/>
      <c r="BV150" s="1037"/>
      <c r="BW150" s="1037"/>
      <c r="BX150" s="1037"/>
      <c r="BY150" s="1037"/>
      <c r="BZ150" s="1037"/>
      <c r="CA150" s="1037"/>
      <c r="CB150" s="1037"/>
      <c r="CC150" s="1037"/>
      <c r="CD150" s="1037"/>
      <c r="CE150" s="1042" t="e">
        <f>CE149/AJ149</f>
        <v>#DIV/0!</v>
      </c>
      <c r="CF150" s="1042" t="e">
        <f>CE149/AJ149</f>
        <v>#DIV/0!</v>
      </c>
      <c r="CG150" s="1037"/>
      <c r="CH150" s="1080">
        <f>CB149/CH148*100</f>
        <v>79.484423297922604</v>
      </c>
      <c r="CI150" s="1037"/>
      <c r="CJ150" s="1103" t="e">
        <f>CJ149/Z149*1000</f>
        <v>#DIV/0!</v>
      </c>
      <c r="CK150" s="1103" t="e">
        <f>CK149/#REF!*1000</f>
        <v>#REF!</v>
      </c>
      <c r="CL150" s="1103">
        <f>CL149/AQ148*1000</f>
        <v>2410.2366569495643</v>
      </c>
      <c r="CM150" s="1040" t="e">
        <f>N150*#REF!/1000</f>
        <v>#REF!</v>
      </c>
      <c r="CN150" s="1040" t="e">
        <f t="shared" si="189"/>
        <v>#REF!</v>
      </c>
      <c r="CO150" s="1104">
        <f>CO148/AQ148</f>
        <v>2276.8446636749709</v>
      </c>
      <c r="CP150" s="1105">
        <f>CP149/AQ148</f>
        <v>4185.9292905780767</v>
      </c>
      <c r="CQ150" s="1105">
        <f>CQ149/AQ148</f>
        <v>4189.8374502732058</v>
      </c>
      <c r="CR150" s="1105" t="e">
        <f>CR149/Z149</f>
        <v>#DIV/0!</v>
      </c>
      <c r="CS150" s="1105">
        <f>CS149/AQ148</f>
        <v>4601.4263447933945</v>
      </c>
      <c r="CT150" s="1105">
        <f>CT149/AQ148</f>
        <v>4602.4605677595255</v>
      </c>
      <c r="CU150" s="1105" t="e">
        <f>CU149/#REF!</f>
        <v>#REF!</v>
      </c>
      <c r="CV150" s="1106" t="e">
        <f>CV149/(#REF!+AQ148)</f>
        <v>#REF!</v>
      </c>
      <c r="CW150" s="1099"/>
      <c r="CX150" s="1107">
        <f>CX149/(AJ148+AK148)</f>
        <v>4098.2757787104292</v>
      </c>
      <c r="CY150" s="1107">
        <f>CY149/(AJ148+AK148)</f>
        <v>4465.0858165165173</v>
      </c>
      <c r="CZ150" s="1106">
        <f>(CX150+CY150)/2</f>
        <v>4281.6807976134733</v>
      </c>
      <c r="DA150" s="1108">
        <f>DA149/AQ148</f>
        <v>4334.8126292980569</v>
      </c>
      <c r="DB150" s="1108">
        <f>DB149/AQ148</f>
        <v>4833.3270024284402</v>
      </c>
      <c r="DC150" s="113"/>
      <c r="DD150" s="119" t="e">
        <f t="shared" si="194"/>
        <v>#DIV/0!</v>
      </c>
      <c r="DE150" s="113"/>
      <c r="DF150" s="113"/>
      <c r="DG150" s="113"/>
      <c r="DH150" s="1141"/>
      <c r="DI150" s="1141"/>
      <c r="DJ150" s="1141"/>
      <c r="DK150" s="1037"/>
      <c r="DL150" s="1179"/>
      <c r="DM150" s="1037"/>
      <c r="DN150" s="1037"/>
      <c r="DO150" s="106"/>
    </row>
    <row r="151" spans="1:119" customFormat="1" ht="100.5" hidden="1" customHeight="1">
      <c r="A151" s="20"/>
      <c r="B151" s="1109"/>
      <c r="C151" s="1109"/>
      <c r="D151" s="1109"/>
      <c r="E151" s="1109"/>
      <c r="F151" s="1109"/>
      <c r="G151" s="1109"/>
      <c r="H151" s="1110"/>
      <c r="I151" s="1111"/>
      <c r="J151" s="1110"/>
      <c r="K151" s="1110"/>
      <c r="L151" s="1110"/>
      <c r="M151" s="1110"/>
      <c r="N151" s="1110"/>
      <c r="O151" s="1110"/>
      <c r="P151" s="1110"/>
      <c r="Q151" s="1110"/>
      <c r="R151" s="1110"/>
      <c r="S151" s="1110"/>
      <c r="T151" s="1110"/>
      <c r="U151" s="1110"/>
      <c r="V151" s="1110"/>
      <c r="W151" s="1110"/>
      <c r="X151" s="1110"/>
      <c r="Y151" s="1110"/>
      <c r="Z151" s="1110"/>
      <c r="AA151" s="1110"/>
      <c r="AB151" s="1110"/>
      <c r="AC151" s="1110"/>
      <c r="AD151" s="1110"/>
      <c r="AE151" s="1110"/>
      <c r="AF151" s="1110"/>
      <c r="AG151" s="1110"/>
      <c r="AH151" s="1110"/>
      <c r="AI151" s="1112">
        <f>AI149-AH149</f>
        <v>0</v>
      </c>
      <c r="AJ151" s="1110"/>
      <c r="AK151" s="1110"/>
      <c r="AL151" s="1110"/>
      <c r="AM151" s="1110"/>
      <c r="AN151" s="1110"/>
      <c r="AO151" s="1110"/>
      <c r="AP151" s="1110"/>
      <c r="AQ151" s="1110"/>
      <c r="AR151" s="1113"/>
      <c r="AS151" s="1114"/>
      <c r="AT151" s="1115">
        <f>(AT148+AU148)/(AJ148+AK148)</f>
        <v>1682.1717749274201</v>
      </c>
      <c r="AU151" s="1115"/>
      <c r="AV151" s="1114"/>
      <c r="AW151" s="1114"/>
      <c r="AX151" s="1114"/>
      <c r="AY151" s="1114"/>
      <c r="AZ151" s="1114"/>
      <c r="BA151" s="1115">
        <f>(BA148+BB148)/(AJ148+AK148)</f>
        <v>2679.9718101336593</v>
      </c>
      <c r="BB151" s="1115"/>
      <c r="BC151" s="1114"/>
      <c r="BD151" s="1114"/>
      <c r="BE151" s="1114"/>
      <c r="BF151" s="1114"/>
      <c r="BG151" s="1113"/>
      <c r="BH151" s="1113"/>
      <c r="BI151" s="1113"/>
      <c r="BJ151" s="1113"/>
      <c r="BK151" s="1113"/>
      <c r="BL151" s="1113"/>
      <c r="BM151" s="1113"/>
      <c r="BN151" s="1116">
        <f>BL148+BM148+BO148</f>
        <v>5585434.2554771481</v>
      </c>
      <c r="BO151" s="1113"/>
      <c r="BP151" s="1113"/>
      <c r="BQ151" s="1113"/>
      <c r="BR151" s="1113"/>
      <c r="BS151" s="1113"/>
      <c r="BT151" s="1113"/>
      <c r="BU151" s="1117">
        <f>BS148+BT148+BV148</f>
        <v>2567103.2679849314</v>
      </c>
      <c r="BV151" s="1113"/>
      <c r="BW151" s="1113"/>
      <c r="BX151" s="1113"/>
      <c r="BY151" s="1113"/>
      <c r="BZ151" s="1117"/>
      <c r="CA151" s="1113"/>
      <c r="CB151" s="1117">
        <f>BZ148+CA148</f>
        <v>4336651.5929272715</v>
      </c>
      <c r="CC151" s="1113"/>
      <c r="CD151" s="1113"/>
      <c r="CE151" s="1113"/>
      <c r="CF151" s="1113"/>
      <c r="CG151" s="1113"/>
      <c r="CH151" s="1113"/>
      <c r="CI151" s="1113"/>
      <c r="CJ151" s="1118"/>
      <c r="CK151" s="1119" t="e">
        <f>CK150/CJ150*100</f>
        <v>#REF!</v>
      </c>
      <c r="CL151" s="1118"/>
      <c r="CM151" s="1120" t="e">
        <f>N151*#REF!/1000</f>
        <v>#REF!</v>
      </c>
      <c r="CN151" s="1120" t="e">
        <f t="shared" si="189"/>
        <v>#REF!</v>
      </c>
      <c r="CO151" s="1121"/>
      <c r="CP151" s="1121"/>
      <c r="CQ151" s="1121"/>
      <c r="CR151" s="1121"/>
      <c r="CS151" s="1122">
        <f>CS150/CP150*100</f>
        <v>109.92604091881202</v>
      </c>
      <c r="CT151" s="1123">
        <f>CT150/CQ150*100</f>
        <v>109.84818915730045</v>
      </c>
      <c r="CU151" s="1122" t="e">
        <f>CU150/CR150*100</f>
        <v>#REF!</v>
      </c>
      <c r="CV151" s="1121"/>
      <c r="CW151" s="1124"/>
      <c r="CX151" s="1125"/>
      <c r="CY151" s="1126">
        <f>CY150/CX150</f>
        <v>1.089503502841751</v>
      </c>
      <c r="CZ151" s="1127" t="e">
        <f>CZ149/(2*AJ150)</f>
        <v>#DIV/0!</v>
      </c>
      <c r="DA151" s="1125"/>
      <c r="DB151" s="1128">
        <f>DB150/DA150*100</f>
        <v>111.50025193156061</v>
      </c>
      <c r="DC151" s="113"/>
      <c r="DD151" s="119" t="e">
        <f t="shared" si="194"/>
        <v>#DIV/0!</v>
      </c>
      <c r="DE151" s="113"/>
      <c r="DF151" s="113"/>
      <c r="DG151" s="113"/>
      <c r="DH151" s="1142"/>
      <c r="DI151" s="1143"/>
      <c r="DJ151" s="1142"/>
      <c r="DK151" s="1113"/>
      <c r="DL151" s="1110"/>
      <c r="DM151" s="1113"/>
      <c r="DN151" s="1113"/>
      <c r="DO151" s="106"/>
    </row>
    <row r="152" spans="1:119" customFormat="1" ht="100.5" hidden="1" customHeight="1" thickBot="1">
      <c r="A152" s="20"/>
      <c r="B152" s="2"/>
      <c r="C152" s="2"/>
      <c r="D152" s="2"/>
      <c r="E152" s="2"/>
      <c r="F152" s="2"/>
      <c r="G152" s="2"/>
      <c r="AJ152" s="691">
        <v>3726743.3058103835</v>
      </c>
      <c r="AQ152" s="25" t="e">
        <f>#REF!-AQ150</f>
        <v>#REF!</v>
      </c>
      <c r="AR152" s="106"/>
      <c r="AS152" s="137"/>
      <c r="AT152" s="1365"/>
      <c r="AU152" s="1365"/>
      <c r="AV152" s="137"/>
      <c r="AW152" s="137"/>
      <c r="AX152" s="137"/>
      <c r="AY152" s="137" t="s">
        <v>177</v>
      </c>
      <c r="AZ152" s="137"/>
      <c r="BA152" s="1365">
        <f>BA151/AT151*100</f>
        <v>159.31617983836941</v>
      </c>
      <c r="BB152" s="1365"/>
      <c r="BC152" s="137"/>
      <c r="BD152" s="137"/>
      <c r="BE152" s="137"/>
      <c r="BF152" s="137"/>
      <c r="BG152" s="106"/>
      <c r="BH152" s="106"/>
      <c r="BI152" s="106"/>
      <c r="BJ152" s="106"/>
      <c r="BK152" s="106"/>
      <c r="BL152" s="106"/>
      <c r="BM152" s="106"/>
      <c r="BN152" s="106"/>
      <c r="BO152" s="106"/>
      <c r="BP152" s="106"/>
      <c r="BQ152" s="106"/>
      <c r="BR152" s="106"/>
      <c r="BS152" s="106"/>
      <c r="BT152" s="106"/>
      <c r="BU152" s="106"/>
      <c r="BV152" s="106"/>
      <c r="BW152" s="106"/>
      <c r="BX152" s="106"/>
      <c r="BY152" s="106"/>
      <c r="BZ152" s="106"/>
      <c r="CA152" s="106"/>
      <c r="CB152" s="106"/>
      <c r="CC152" s="106"/>
      <c r="CD152" s="106"/>
      <c r="CE152" s="106"/>
      <c r="CF152" s="106"/>
      <c r="CG152" s="106"/>
      <c r="CH152" s="106"/>
      <c r="CI152" s="106"/>
      <c r="CJ152" s="106"/>
      <c r="CK152" s="106"/>
      <c r="CL152" s="106"/>
      <c r="CM152" s="18" t="e">
        <f>N152*#REF!/1000</f>
        <v>#REF!</v>
      </c>
      <c r="CN152" s="18" t="e">
        <f t="shared" si="189"/>
        <v>#REF!</v>
      </c>
      <c r="CO152" s="106"/>
      <c r="CP152" s="106"/>
      <c r="CQ152" s="106"/>
      <c r="CR152" s="106"/>
      <c r="CS152" s="106"/>
      <c r="CT152" s="106"/>
      <c r="CU152" s="106"/>
      <c r="CV152" s="106"/>
      <c r="CW152" s="822"/>
      <c r="CX152" s="106"/>
      <c r="CY152" s="106"/>
      <c r="CZ152" s="106"/>
      <c r="DA152" s="106"/>
      <c r="DB152" s="106"/>
      <c r="DC152" s="113"/>
      <c r="DD152" s="119" t="e">
        <f t="shared" si="194"/>
        <v>#DIV/0!</v>
      </c>
      <c r="DE152" s="113"/>
      <c r="DF152" s="113"/>
      <c r="DG152" s="113"/>
      <c r="DH152" s="106"/>
      <c r="DI152" s="106"/>
      <c r="DJ152" s="106"/>
      <c r="DK152" s="106"/>
      <c r="DM152" s="106"/>
      <c r="DN152" s="106"/>
      <c r="DO152" s="106"/>
    </row>
    <row r="153" spans="1:119" customFormat="1" ht="100.5" hidden="1" customHeight="1">
      <c r="A153" s="20"/>
      <c r="B153" s="2"/>
      <c r="C153" s="2"/>
      <c r="D153" s="2"/>
      <c r="E153" s="2"/>
      <c r="F153" s="2"/>
      <c r="G153" s="2"/>
      <c r="AJ153" s="691" t="e">
        <f>AJ152-#REF!</f>
        <v>#REF!</v>
      </c>
      <c r="AR153" s="106"/>
      <c r="AS153" s="142" t="s">
        <v>178</v>
      </c>
      <c r="AT153" s="143"/>
      <c r="AU153" s="143"/>
      <c r="AV153" s="137"/>
      <c r="AW153" s="137"/>
      <c r="AX153" s="137"/>
      <c r="AY153" s="137"/>
      <c r="AZ153" s="144" t="s">
        <v>178</v>
      </c>
      <c r="BA153" s="692">
        <f>BA150/AT150*100</f>
        <v>138.42610843123947</v>
      </c>
      <c r="BB153" s="692">
        <f>BB150/AU150*100</f>
        <v>270.09654998820417</v>
      </c>
      <c r="BC153" s="137"/>
      <c r="BD153" s="137"/>
      <c r="BE153" s="137"/>
      <c r="BF153" s="689">
        <f>BF150/AY150*100</f>
        <v>117.04087252525899</v>
      </c>
      <c r="BG153" s="106"/>
      <c r="BH153" s="106"/>
      <c r="BI153" s="106"/>
      <c r="BJ153" s="106"/>
      <c r="BK153" s="106"/>
      <c r="BL153" s="106"/>
      <c r="BM153" s="106"/>
      <c r="BN153" s="106"/>
      <c r="BO153" s="106"/>
      <c r="BP153" s="106"/>
      <c r="BQ153" s="106"/>
      <c r="BR153" s="106"/>
      <c r="BS153" s="106"/>
      <c r="BT153" s="105" t="s">
        <v>222</v>
      </c>
      <c r="BU153" s="138">
        <f>BU151+BN151</f>
        <v>8152537.5234620795</v>
      </c>
      <c r="BV153" s="106"/>
      <c r="BW153" s="106"/>
      <c r="BX153" s="106"/>
      <c r="BY153" s="106"/>
      <c r="BZ153" s="106"/>
      <c r="CA153" s="106"/>
      <c r="CB153" s="106"/>
      <c r="CC153" s="106"/>
      <c r="CD153" s="106"/>
      <c r="CE153" s="106"/>
      <c r="CF153" s="106"/>
      <c r="CG153" s="106"/>
      <c r="CH153" s="106"/>
      <c r="CI153" s="106"/>
      <c r="CJ153" s="106"/>
      <c r="CK153" s="106"/>
      <c r="CL153" s="106"/>
      <c r="CM153" s="18" t="e">
        <f>N153*#REF!/1000</f>
        <v>#REF!</v>
      </c>
      <c r="CN153" s="18" t="e">
        <f t="shared" si="189"/>
        <v>#REF!</v>
      </c>
      <c r="CO153" s="106"/>
      <c r="CP153" s="106"/>
      <c r="CQ153" s="106"/>
      <c r="CR153" s="106"/>
      <c r="CS153" s="106"/>
      <c r="CT153" s="145">
        <f>BF153</f>
        <v>117.04087252525899</v>
      </c>
      <c r="CU153" s="106"/>
      <c r="CV153" s="106"/>
      <c r="CW153" s="822"/>
      <c r="CX153" s="106"/>
      <c r="CY153" s="106"/>
      <c r="CZ153" s="106"/>
      <c r="DA153" s="106"/>
      <c r="DB153" s="106"/>
      <c r="DC153" s="113"/>
      <c r="DD153" s="119" t="e">
        <f t="shared" si="194"/>
        <v>#DIV/0!</v>
      </c>
      <c r="DE153" s="113"/>
      <c r="DF153" s="113"/>
      <c r="DG153" s="113"/>
      <c r="DH153" s="106"/>
      <c r="DI153" s="106"/>
      <c r="DJ153" s="106"/>
      <c r="DK153" s="106"/>
      <c r="DM153" s="106"/>
      <c r="DN153" s="106"/>
      <c r="DO153" s="106"/>
    </row>
    <row r="154" spans="1:119" customFormat="1" ht="100.5" hidden="1" customHeight="1" thickBot="1">
      <c r="A154" s="20"/>
      <c r="B154" s="2"/>
      <c r="C154" s="2"/>
      <c r="D154" s="2"/>
      <c r="E154" s="2"/>
      <c r="F154" s="2"/>
      <c r="G154" s="2"/>
      <c r="T154" s="30">
        <f t="shared" ref="T154:AF154" si="196">SUBTOTAL(9,T47:T137)</f>
        <v>0</v>
      </c>
      <c r="U154" s="30">
        <f t="shared" si="196"/>
        <v>0</v>
      </c>
      <c r="V154" s="30">
        <f t="shared" si="196"/>
        <v>0</v>
      </c>
      <c r="W154" s="30">
        <f t="shared" si="196"/>
        <v>0</v>
      </c>
      <c r="X154" s="30">
        <f t="shared" si="196"/>
        <v>0</v>
      </c>
      <c r="Y154" s="30">
        <f t="shared" si="196"/>
        <v>0</v>
      </c>
      <c r="Z154" s="30">
        <f t="shared" si="196"/>
        <v>0</v>
      </c>
      <c r="AA154" s="30">
        <f t="shared" si="196"/>
        <v>0</v>
      </c>
      <c r="AB154" s="30">
        <f t="shared" si="196"/>
        <v>0</v>
      </c>
      <c r="AC154" s="30">
        <f t="shared" si="196"/>
        <v>0</v>
      </c>
      <c r="AD154" s="30">
        <f t="shared" si="196"/>
        <v>0</v>
      </c>
      <c r="AE154" s="30">
        <f t="shared" si="196"/>
        <v>0</v>
      </c>
      <c r="AF154" s="30">
        <f t="shared" si="196"/>
        <v>0</v>
      </c>
      <c r="AJ154" s="30">
        <f t="shared" ref="AJ154:AO154" si="197">SUBTOTAL(9,AJ47:AJ137)</f>
        <v>0</v>
      </c>
      <c r="AK154" s="30">
        <f t="shared" si="197"/>
        <v>0</v>
      </c>
      <c r="AL154" s="30">
        <f t="shared" si="197"/>
        <v>0</v>
      </c>
      <c r="AM154" s="30">
        <f t="shared" si="197"/>
        <v>0</v>
      </c>
      <c r="AN154" s="30">
        <f t="shared" si="197"/>
        <v>0</v>
      </c>
      <c r="AO154" s="30">
        <f t="shared" si="197"/>
        <v>0</v>
      </c>
      <c r="AR154" s="106"/>
      <c r="AS154" s="146" t="e">
        <f>(AS148+AV148)/(#REF!+AL148)</f>
        <v>#REF!</v>
      </c>
      <c r="AT154" s="106">
        <f>SUM(AT127:AT141)</f>
        <v>2725609509.5367918</v>
      </c>
      <c r="AU154" s="106">
        <f>SUM(AU126:AU138)</f>
        <v>554728328.08506644</v>
      </c>
      <c r="AV154" s="137"/>
      <c r="AW154" s="137"/>
      <c r="AX154" s="137"/>
      <c r="AY154" s="137"/>
      <c r="AZ154" s="693" t="e">
        <f>(AZ148+BC148)/(#REF!+AL148)</f>
        <v>#REF!</v>
      </c>
      <c r="BA154" s="694" t="s">
        <v>258</v>
      </c>
      <c r="BB154" s="694" t="s">
        <v>259</v>
      </c>
      <c r="BC154" s="137"/>
      <c r="BD154" s="137"/>
      <c r="BE154" s="137"/>
      <c r="BF154" s="137"/>
      <c r="BG154" s="106"/>
      <c r="BH154" s="106"/>
      <c r="BI154" s="106"/>
      <c r="BJ154" s="106"/>
      <c r="BK154" s="106"/>
      <c r="BL154" s="106"/>
      <c r="BM154" s="106"/>
      <c r="BN154" s="106"/>
      <c r="BO154" s="106"/>
      <c r="BP154" s="106"/>
      <c r="BQ154" s="106"/>
      <c r="BR154" s="106"/>
      <c r="BS154" s="106"/>
      <c r="BT154" s="106"/>
      <c r="BU154" s="106"/>
      <c r="BV154" s="106"/>
      <c r="BW154" s="106"/>
      <c r="BX154" s="106"/>
      <c r="BY154" s="106"/>
      <c r="BZ154" s="106"/>
      <c r="CA154" s="106"/>
      <c r="CB154" s="106"/>
      <c r="CC154" s="106"/>
      <c r="CD154" s="106"/>
      <c r="CE154" s="106"/>
      <c r="CF154" s="106"/>
      <c r="CG154" s="106"/>
      <c r="CH154" s="106"/>
      <c r="CI154" s="106"/>
      <c r="CJ154" s="106"/>
      <c r="CK154" s="106"/>
      <c r="CL154" s="106"/>
      <c r="CM154" s="18" t="e">
        <f>N154*#REF!/1000</f>
        <v>#REF!</v>
      </c>
      <c r="CN154" s="18" t="e">
        <f t="shared" si="189"/>
        <v>#REF!</v>
      </c>
      <c r="CO154" s="106"/>
      <c r="CP154" s="106"/>
      <c r="CQ154" s="106"/>
      <c r="CR154" s="106"/>
      <c r="CS154" s="106"/>
      <c r="CT154" s="106"/>
      <c r="CU154" s="106"/>
      <c r="CV154" s="106"/>
      <c r="CW154" s="822"/>
      <c r="CX154" s="106"/>
      <c r="CY154" s="106"/>
      <c r="CZ154" s="106"/>
      <c r="DA154" s="106"/>
      <c r="DB154" s="106"/>
      <c r="DC154" s="113"/>
      <c r="DD154" s="113"/>
      <c r="DE154" s="113"/>
      <c r="DF154" s="113"/>
      <c r="DG154" s="113"/>
      <c r="DH154" s="106"/>
      <c r="DI154" s="106"/>
      <c r="DJ154" s="106"/>
      <c r="DK154" s="106"/>
      <c r="DM154" s="106"/>
      <c r="DN154" s="106"/>
      <c r="DO154" s="106"/>
    </row>
    <row r="155" spans="1:119" customFormat="1" ht="100.5" hidden="1" customHeight="1">
      <c r="A155" s="20"/>
      <c r="B155" s="2"/>
      <c r="C155" s="2"/>
      <c r="D155" s="2"/>
      <c r="E155" s="2"/>
      <c r="F155" s="2"/>
      <c r="G155" s="2"/>
      <c r="Z155" s="30"/>
      <c r="AG155" s="30" t="e">
        <f>#REF!+AE137</f>
        <v>#REF!</v>
      </c>
      <c r="AR155" s="106"/>
      <c r="AS155" s="137"/>
      <c r="AT155" s="143"/>
      <c r="AU155" s="143"/>
      <c r="AV155" s="137"/>
      <c r="AW155" s="137"/>
      <c r="AX155" s="137"/>
      <c r="AY155" s="106" t="s">
        <v>176</v>
      </c>
      <c r="AZ155" s="137" t="e">
        <f>AZ154/AS154*100</f>
        <v>#REF!</v>
      </c>
      <c r="BA155" s="143"/>
      <c r="BB155" s="143"/>
      <c r="BC155" s="137"/>
      <c r="BD155" s="137"/>
      <c r="BE155" s="137"/>
      <c r="BF155" s="137"/>
      <c r="BG155" s="106"/>
      <c r="BH155" s="106"/>
      <c r="BI155" s="106"/>
      <c r="BJ155" s="106"/>
      <c r="BK155" s="106"/>
      <c r="BL155" s="106"/>
      <c r="BM155" s="106"/>
      <c r="BN155" s="106"/>
      <c r="BO155" s="106"/>
      <c r="BP155" s="106"/>
      <c r="BQ155" s="106"/>
      <c r="BR155" s="106"/>
      <c r="BS155" s="106"/>
      <c r="BT155" s="106"/>
      <c r="BU155" s="106"/>
      <c r="BV155" s="106"/>
      <c r="BW155" s="106"/>
      <c r="BX155" s="106"/>
      <c r="BY155" s="106"/>
      <c r="BZ155" s="106"/>
      <c r="CA155" s="106"/>
      <c r="CB155" s="106"/>
      <c r="CC155" s="106"/>
      <c r="CD155" s="106"/>
      <c r="CE155" s="106"/>
      <c r="CF155" s="106"/>
      <c r="CG155" s="106"/>
      <c r="CH155" s="106"/>
      <c r="CI155" s="106"/>
      <c r="CJ155" s="106"/>
      <c r="CK155" s="106"/>
      <c r="CL155" s="106"/>
      <c r="CM155" s="18">
        <f t="shared" si="188"/>
        <v>0</v>
      </c>
      <c r="CN155" s="18">
        <f t="shared" si="189"/>
        <v>0</v>
      </c>
      <c r="CO155" s="106"/>
      <c r="CP155" s="106"/>
      <c r="CQ155" s="106"/>
      <c r="CR155" s="106"/>
      <c r="CS155" s="106"/>
      <c r="CT155" s="106"/>
      <c r="CU155" s="106"/>
      <c r="CV155" s="106"/>
      <c r="CW155" s="822"/>
      <c r="CX155" s="106"/>
      <c r="CY155" s="106"/>
      <c r="CZ155" s="106"/>
      <c r="DA155" s="106"/>
      <c r="DB155" s="106"/>
      <c r="DC155" s="113"/>
      <c r="DD155" s="113"/>
      <c r="DE155" s="113"/>
      <c r="DF155" s="113"/>
      <c r="DG155" s="113"/>
      <c r="DH155" s="106"/>
      <c r="DI155" s="106"/>
      <c r="DJ155" s="106"/>
      <c r="DK155" s="106"/>
      <c r="DM155" s="106"/>
      <c r="DN155" s="106"/>
      <c r="DO155" s="106"/>
    </row>
    <row r="156" spans="1:119" customFormat="1" ht="100.5" hidden="1" customHeight="1">
      <c r="A156" s="20"/>
      <c r="AR156" s="106"/>
      <c r="AS156" s="106"/>
      <c r="AT156" s="147"/>
      <c r="AU156" s="147"/>
      <c r="AV156" s="113"/>
      <c r="AW156" s="113"/>
      <c r="AX156" s="113"/>
      <c r="AY156" s="113"/>
      <c r="AZ156" s="113"/>
      <c r="BA156" s="147"/>
      <c r="BB156" s="147"/>
      <c r="BC156" s="106"/>
      <c r="BD156" s="106"/>
      <c r="BE156" s="106"/>
      <c r="BF156" s="106"/>
      <c r="BG156" s="106"/>
      <c r="BH156" s="106"/>
      <c r="BI156" s="106"/>
      <c r="BJ156" s="106"/>
      <c r="BK156" s="106"/>
      <c r="BL156" s="106"/>
      <c r="BM156" s="106"/>
      <c r="BN156" s="106"/>
      <c r="BO156" s="106"/>
      <c r="BP156" s="106"/>
      <c r="BQ156" s="106"/>
      <c r="BR156" s="106"/>
      <c r="BS156" s="106"/>
      <c r="BT156" s="106"/>
      <c r="BU156" s="106"/>
      <c r="BV156" s="106"/>
      <c r="BW156" s="106"/>
      <c r="BX156" s="106"/>
      <c r="BY156" s="106"/>
      <c r="BZ156" s="106"/>
      <c r="CA156" s="106"/>
      <c r="CB156" s="106"/>
      <c r="CC156" s="106"/>
      <c r="CD156" s="106"/>
      <c r="CE156" s="106"/>
      <c r="CF156" s="106"/>
      <c r="CG156" s="106"/>
      <c r="CH156" s="106"/>
      <c r="CI156" s="106"/>
      <c r="CJ156" s="106"/>
      <c r="CK156" s="106"/>
      <c r="CL156" s="106"/>
      <c r="CM156" s="18">
        <f t="shared" si="188"/>
        <v>0</v>
      </c>
      <c r="CN156" s="18">
        <f t="shared" si="189"/>
        <v>0</v>
      </c>
      <c r="CO156" s="106"/>
      <c r="CP156" s="106"/>
      <c r="CQ156" s="106"/>
      <c r="CR156" s="106"/>
      <c r="CS156" s="106"/>
      <c r="CT156" s="106"/>
      <c r="CU156" s="106"/>
      <c r="CV156" s="106"/>
      <c r="CW156" s="822"/>
      <c r="CX156" s="106"/>
      <c r="CY156" s="106"/>
      <c r="CZ156" s="106"/>
      <c r="DA156" s="106"/>
      <c r="DB156" s="106"/>
      <c r="DC156" s="113"/>
      <c r="DD156" s="113"/>
      <c r="DE156" s="113"/>
      <c r="DF156" s="113"/>
      <c r="DG156" s="113"/>
      <c r="DH156" s="106"/>
      <c r="DI156" s="106"/>
      <c r="DJ156" s="106"/>
      <c r="DK156" s="106"/>
      <c r="DM156" s="106"/>
      <c r="DN156" s="106"/>
      <c r="DO156" s="106"/>
    </row>
    <row r="157" spans="1:119" customFormat="1" ht="100.5" hidden="1" customHeight="1">
      <c r="A157" s="20"/>
      <c r="AY157" s="6" t="s">
        <v>176</v>
      </c>
      <c r="AZ157" s="26" t="e">
        <f>AZ150/AS150*100</f>
        <v>#REF!</v>
      </c>
      <c r="BA157" s="26">
        <f t="shared" ref="BA157:BF157" si="198">BA150/AT150*100</f>
        <v>138.42610843123947</v>
      </c>
      <c r="BB157" s="26">
        <f t="shared" si="198"/>
        <v>270.09654998820417</v>
      </c>
      <c r="BC157" s="26">
        <f t="shared" si="198"/>
        <v>168.16647214555388</v>
      </c>
      <c r="BD157" s="26">
        <f t="shared" si="198"/>
        <v>254.84659843904467</v>
      </c>
      <c r="BE157" s="26">
        <f t="shared" si="198"/>
        <v>125.02556634421961</v>
      </c>
      <c r="BF157" s="26">
        <f t="shared" si="198"/>
        <v>117.04087252525899</v>
      </c>
      <c r="CM157" s="18">
        <f t="shared" si="188"/>
        <v>0</v>
      </c>
      <c r="CN157" s="18">
        <f t="shared" si="189"/>
        <v>0</v>
      </c>
      <c r="DC157" s="1133"/>
      <c r="DD157" s="1133"/>
      <c r="DE157" s="1133"/>
      <c r="DF157" s="1133"/>
      <c r="DG157" s="1133"/>
    </row>
    <row r="158" spans="1:119" customFormat="1" ht="100.5" hidden="1" customHeight="1">
      <c r="A158" s="20"/>
      <c r="H158" s="6">
        <f>H130*1.2</f>
        <v>5024.9088000000002</v>
      </c>
      <c r="I158" s="6">
        <f>I130*1.2</f>
        <v>5024.9088000000002</v>
      </c>
      <c r="N158" s="6">
        <f>N130*1.2</f>
        <v>5276.16</v>
      </c>
      <c r="O158" s="6">
        <f>O130*1.2</f>
        <v>5276.16</v>
      </c>
      <c r="AA158" s="181"/>
      <c r="AB158" s="181"/>
      <c r="AC158" s="230">
        <f>AC137+AC51+AC47</f>
        <v>118291.45089566863</v>
      </c>
      <c r="AD158" s="181"/>
      <c r="AE158" s="181"/>
      <c r="AF158" s="181"/>
      <c r="AG158" s="181"/>
      <c r="AH158" s="181">
        <f>AH137+AH51+AH47</f>
        <v>2036193.915</v>
      </c>
      <c r="AK158" s="181">
        <f>AK137+AK51+AK47</f>
        <v>249163.56181267492</v>
      </c>
      <c r="AP158" s="6">
        <f>AP137+AP51+AP47</f>
        <v>2042138.915</v>
      </c>
      <c r="AT158" s="6">
        <f>AT154+AU154</f>
        <v>3280337837.6218581</v>
      </c>
      <c r="CM158" s="18">
        <f t="shared" si="188"/>
        <v>10743284.886566401</v>
      </c>
      <c r="CN158" s="18">
        <f t="shared" si="189"/>
        <v>10743284.886566401</v>
      </c>
      <c r="DC158" s="1133"/>
      <c r="DD158" s="1133"/>
      <c r="DE158" s="1133"/>
      <c r="DF158" s="1133"/>
      <c r="DG158" s="1133"/>
    </row>
    <row r="159" spans="1:119" customFormat="1" ht="100.5" hidden="1" customHeight="1">
      <c r="A159" s="20"/>
      <c r="K159" s="9"/>
      <c r="CM159" s="18">
        <f t="shared" si="188"/>
        <v>0</v>
      </c>
      <c r="CN159" s="18">
        <f t="shared" si="189"/>
        <v>0</v>
      </c>
      <c r="DC159" s="1133"/>
      <c r="DD159" s="1133"/>
      <c r="DE159" s="1133"/>
      <c r="DF159" s="1133"/>
      <c r="DG159" s="1133"/>
    </row>
    <row r="160" spans="1:119" customFormat="1" ht="100.5" hidden="1" customHeight="1">
      <c r="A160" s="20"/>
      <c r="K160" s="9"/>
      <c r="AS160" s="6" t="s">
        <v>179</v>
      </c>
      <c r="AT160" s="6">
        <f>AT158/AK158</f>
        <v>13165.39952213425</v>
      </c>
      <c r="BA160" s="97">
        <f>BA150/AT150*100</f>
        <v>138.42610843123947</v>
      </c>
      <c r="BB160" s="6">
        <f>BB150/AU150*100</f>
        <v>270.09654998820417</v>
      </c>
      <c r="BF160" s="6" t="s">
        <v>185</v>
      </c>
      <c r="CM160" s="18">
        <f t="shared" si="188"/>
        <v>0</v>
      </c>
      <c r="CN160" s="18">
        <f t="shared" si="189"/>
        <v>0</v>
      </c>
      <c r="DC160" s="1133"/>
      <c r="DD160" s="1133"/>
      <c r="DE160" s="1133"/>
      <c r="DF160" s="1133"/>
      <c r="DG160" s="1133"/>
    </row>
    <row r="161" spans="1:114" customFormat="1" ht="100.5" hidden="1" customHeight="1">
      <c r="A161" s="20"/>
      <c r="K161" s="9"/>
      <c r="CL161" s="6">
        <f>SUBTOTAL(9,CL70:CL82)</f>
        <v>0</v>
      </c>
      <c r="CM161" s="18">
        <f t="shared" si="188"/>
        <v>0</v>
      </c>
      <c r="CN161" s="18">
        <f t="shared" si="189"/>
        <v>0</v>
      </c>
      <c r="DC161" s="1133"/>
      <c r="DD161" s="1133"/>
      <c r="DE161" s="1133"/>
      <c r="DF161" s="1133"/>
      <c r="DG161" s="1133"/>
    </row>
    <row r="162" spans="1:114" customFormat="1" ht="100.5" hidden="1" customHeight="1">
      <c r="A162" s="20"/>
      <c r="CM162" s="18">
        <f t="shared" si="188"/>
        <v>0</v>
      </c>
      <c r="CN162" s="18">
        <f t="shared" si="189"/>
        <v>0</v>
      </c>
      <c r="DC162" s="1133"/>
      <c r="DD162" s="1133"/>
      <c r="DE162" s="1133"/>
      <c r="DF162" s="1133"/>
      <c r="DG162" s="1133"/>
    </row>
    <row r="163" spans="1:114" customFormat="1" ht="100.5" hidden="1" customHeight="1">
      <c r="A163" s="20"/>
      <c r="AS163" s="6" t="s">
        <v>180</v>
      </c>
      <c r="AT163" s="9" t="e">
        <f>AT154/AJ153</f>
        <v>#REF!</v>
      </c>
      <c r="BB163" s="25">
        <f>AZ148+BA148+BC148</f>
        <v>9334731204.7467384</v>
      </c>
      <c r="CM163" s="18">
        <f t="shared" si="188"/>
        <v>0</v>
      </c>
      <c r="CN163" s="18">
        <f t="shared" si="189"/>
        <v>0</v>
      </c>
      <c r="DC163" s="1133"/>
      <c r="DD163" s="1133"/>
      <c r="DE163" s="1133"/>
      <c r="DF163" s="1133"/>
      <c r="DG163" s="1133"/>
    </row>
    <row r="164" spans="1:114" customFormat="1" ht="100.5" hidden="1" customHeight="1">
      <c r="A164" s="20"/>
      <c r="BB164" s="25" t="e">
        <f>#REF!+AJ148+AL148</f>
        <v>#REF!</v>
      </c>
      <c r="CM164" s="18">
        <f t="shared" si="188"/>
        <v>0</v>
      </c>
      <c r="CN164" s="18">
        <f t="shared" si="189"/>
        <v>0</v>
      </c>
      <c r="DC164" s="1133"/>
      <c r="DD164" s="1133"/>
      <c r="DE164" s="1133"/>
      <c r="DF164" s="1133"/>
      <c r="DG164" s="1133"/>
    </row>
    <row r="165" spans="1:114" customFormat="1" ht="100.5" hidden="1" customHeight="1">
      <c r="A165" s="20"/>
      <c r="BB165" s="6" t="e">
        <f>BB163/BB164</f>
        <v>#REF!</v>
      </c>
      <c r="CM165" s="18">
        <f t="shared" si="188"/>
        <v>0</v>
      </c>
      <c r="CN165" s="18">
        <f t="shared" si="189"/>
        <v>0</v>
      </c>
      <c r="DC165" s="1133"/>
      <c r="DD165" s="1133"/>
      <c r="DE165" s="1133"/>
      <c r="DF165" s="1133"/>
      <c r="DG165" s="1133"/>
    </row>
    <row r="166" spans="1:114" customFormat="1" ht="100.5" hidden="1" customHeight="1">
      <c r="A166" s="20"/>
      <c r="CM166" s="18">
        <f t="shared" si="188"/>
        <v>0</v>
      </c>
      <c r="CN166" s="18">
        <f t="shared" si="189"/>
        <v>0</v>
      </c>
      <c r="DC166" s="1133"/>
      <c r="DD166" s="1133"/>
      <c r="DE166" s="1133"/>
      <c r="DF166" s="1133"/>
      <c r="DG166" s="1133"/>
    </row>
    <row r="167" spans="1:114" customFormat="1" ht="100.5" hidden="1" customHeight="1">
      <c r="A167" s="20"/>
      <c r="CM167" s="18">
        <f t="shared" si="188"/>
        <v>0</v>
      </c>
      <c r="CN167" s="18">
        <f t="shared" si="189"/>
        <v>0</v>
      </c>
      <c r="DC167" s="1133"/>
      <c r="DD167" s="1133"/>
      <c r="DE167" s="1133"/>
      <c r="DF167" s="1133"/>
      <c r="DG167" s="1133"/>
    </row>
    <row r="168" spans="1:114" customFormat="1" ht="100.5" hidden="1" customHeight="1">
      <c r="A168" s="20"/>
      <c r="AY168" s="25">
        <f>AY148+BF148</f>
        <v>14406084297.264164</v>
      </c>
      <c r="BA168" s="25">
        <f>BA148+BB148+AT148+AU148</f>
        <v>10877848603.129564</v>
      </c>
      <c r="CM168" s="18">
        <f t="shared" si="188"/>
        <v>0</v>
      </c>
      <c r="CN168" s="18">
        <f t="shared" si="189"/>
        <v>0</v>
      </c>
      <c r="DC168" s="1133"/>
      <c r="DD168" s="1133"/>
      <c r="DE168" s="1133"/>
      <c r="DF168" s="1133"/>
      <c r="DG168" s="1133"/>
    </row>
    <row r="169" spans="1:114" customFormat="1" ht="100.5" hidden="1" customHeight="1">
      <c r="A169" s="20"/>
      <c r="AY169" s="25">
        <f>AQ150*2</f>
        <v>7415131.4788205037</v>
      </c>
      <c r="BA169" s="6">
        <f>(AJ149*2)</f>
        <v>4987386.7702946104</v>
      </c>
      <c r="CM169" s="18">
        <f t="shared" si="188"/>
        <v>0</v>
      </c>
      <c r="CN169" s="18">
        <f t="shared" si="189"/>
        <v>0</v>
      </c>
      <c r="DC169" s="1133"/>
      <c r="DD169" s="1133"/>
      <c r="DE169" s="1133"/>
      <c r="DF169" s="1133"/>
      <c r="DG169" s="1133"/>
    </row>
    <row r="170" spans="1:114" customFormat="1" ht="100.5" hidden="1" customHeight="1">
      <c r="A170" s="20"/>
      <c r="S170" s="6">
        <v>436449</v>
      </c>
      <c r="T170" s="30">
        <v>11020</v>
      </c>
      <c r="AY170" s="101">
        <f>AY168/AY169</f>
        <v>1942.7955307888465</v>
      </c>
      <c r="BA170" s="102">
        <f>BA168/BA169</f>
        <v>2181.0717925305394</v>
      </c>
      <c r="CM170" s="18">
        <f t="shared" si="188"/>
        <v>0</v>
      </c>
      <c r="CN170" s="18">
        <f t="shared" si="189"/>
        <v>0</v>
      </c>
      <c r="DC170" s="1133"/>
      <c r="DD170" s="1133"/>
      <c r="DE170" s="1133"/>
      <c r="DF170" s="1133"/>
      <c r="DG170" s="1133"/>
    </row>
    <row r="171" spans="1:114" customFormat="1" ht="100.5" hidden="1" customHeight="1">
      <c r="S171" s="30">
        <f>S170-T170</f>
        <v>425429</v>
      </c>
      <c r="T171" s="6"/>
      <c r="AA171" s="6"/>
      <c r="AB171" s="8"/>
      <c r="AG171" s="6">
        <v>234909.61222926635</v>
      </c>
      <c r="AO171" s="9"/>
      <c r="AP171" s="9"/>
      <c r="AQ171" s="9"/>
      <c r="AR171" s="43"/>
      <c r="CL171" s="25">
        <f>CL120/1.2</f>
        <v>1053537.8099612901</v>
      </c>
      <c r="CM171" s="18">
        <f t="shared" si="188"/>
        <v>0</v>
      </c>
      <c r="CN171" s="18">
        <f t="shared" si="189"/>
        <v>-1053537.8099612901</v>
      </c>
      <c r="DC171" s="1133"/>
      <c r="DD171" s="1133"/>
      <c r="DE171" s="1133"/>
      <c r="DF171" s="1133"/>
      <c r="DG171" s="1133"/>
      <c r="DJ171" s="25"/>
    </row>
    <row r="172" spans="1:114" customFormat="1" ht="100.5" hidden="1" customHeight="1">
      <c r="T172" s="6"/>
      <c r="AB172" s="8"/>
      <c r="AG172" s="30">
        <f>AG120-AG171</f>
        <v>0.42077073364634998</v>
      </c>
      <c r="AO172" s="9"/>
      <c r="AP172" s="9"/>
      <c r="AQ172" s="9"/>
      <c r="AR172" s="43"/>
      <c r="CM172" s="18">
        <f t="shared" si="188"/>
        <v>0</v>
      </c>
      <c r="CN172" s="18">
        <f t="shared" si="189"/>
        <v>0</v>
      </c>
      <c r="DC172" s="1133"/>
      <c r="DD172" s="1133"/>
      <c r="DE172" s="1133"/>
      <c r="DF172" s="1133"/>
      <c r="DG172" s="1133"/>
    </row>
    <row r="173" spans="1:114" customFormat="1" ht="100.5" hidden="1" customHeight="1">
      <c r="AB173" s="8"/>
      <c r="CM173" s="18">
        <f t="shared" si="188"/>
        <v>0</v>
      </c>
      <c r="CN173" s="18">
        <f t="shared" si="189"/>
        <v>0</v>
      </c>
      <c r="DC173" s="1133"/>
      <c r="DD173" s="1133"/>
      <c r="DE173" s="1133"/>
      <c r="DF173" s="1133"/>
      <c r="DG173" s="1133"/>
    </row>
    <row r="174" spans="1:114" customFormat="1" ht="100.5" hidden="1" customHeight="1">
      <c r="N174" s="6">
        <f>N142/1.2</f>
        <v>271.02999999999997</v>
      </c>
      <c r="AB174" s="8"/>
      <c r="CJ174" s="159"/>
      <c r="CK174" s="159"/>
      <c r="CL174" s="159"/>
      <c r="CM174" s="18">
        <f t="shared" si="188"/>
        <v>0</v>
      </c>
      <c r="CN174" s="18">
        <f t="shared" si="189"/>
        <v>0</v>
      </c>
      <c r="DC174" s="1133"/>
      <c r="DD174" s="1133"/>
      <c r="DE174" s="1133"/>
      <c r="DF174" s="1133"/>
      <c r="DG174" s="1133"/>
      <c r="DH174" s="159"/>
      <c r="DI174" s="159"/>
      <c r="DJ174" s="159"/>
    </row>
    <row r="175" spans="1:114" customFormat="1" ht="100.5" hidden="1" customHeight="1">
      <c r="BG175" s="30"/>
      <c r="BH175" s="30"/>
      <c r="CJ175" s="160"/>
      <c r="CK175" s="160"/>
      <c r="CL175" s="160"/>
      <c r="CM175" s="18">
        <f t="shared" si="188"/>
        <v>0</v>
      </c>
      <c r="CN175" s="18">
        <f t="shared" si="189"/>
        <v>0</v>
      </c>
      <c r="DC175" s="1133"/>
      <c r="DD175" s="1133"/>
      <c r="DE175" s="1133"/>
      <c r="DF175" s="1133"/>
      <c r="DG175" s="1133"/>
      <c r="DH175" s="160"/>
      <c r="DI175" s="160"/>
      <c r="DJ175" s="160"/>
    </row>
    <row r="176" spans="1:114" hidden="1">
      <c r="T176" s="6"/>
      <c r="V176" s="6"/>
      <c r="AA176" s="6"/>
      <c r="AC176" s="6"/>
      <c r="AR176" s="6"/>
      <c r="CL176" s="8"/>
      <c r="CM176" s="18">
        <f t="shared" si="188"/>
        <v>0</v>
      </c>
      <c r="CN176" s="18">
        <f t="shared" si="189"/>
        <v>0</v>
      </c>
      <c r="CW176" s="6"/>
      <c r="DJ176" s="160"/>
    </row>
    <row r="177" spans="61:92" hidden="1">
      <c r="BI177" s="753"/>
      <c r="CM177" s="18">
        <f t="shared" si="188"/>
        <v>0</v>
      </c>
      <c r="CN177" s="18">
        <f t="shared" si="189"/>
        <v>0</v>
      </c>
    </row>
    <row r="178" spans="61:92" hidden="1">
      <c r="CL178" s="753"/>
      <c r="CM178" s="18">
        <f t="shared" si="188"/>
        <v>0</v>
      </c>
      <c r="CN178" s="18">
        <f t="shared" si="189"/>
        <v>0</v>
      </c>
    </row>
    <row r="179" spans="61:92" hidden="1">
      <c r="CM179" s="18">
        <f t="shared" si="188"/>
        <v>0</v>
      </c>
      <c r="CN179" s="18">
        <f t="shared" si="189"/>
        <v>0</v>
      </c>
    </row>
    <row r="180" spans="61:92" hidden="1">
      <c r="BI180" s="30"/>
      <c r="CL180" s="753"/>
      <c r="CM180" s="18">
        <f t="shared" si="188"/>
        <v>0</v>
      </c>
      <c r="CN180" s="18">
        <f t="shared" si="189"/>
        <v>0</v>
      </c>
    </row>
    <row r="181" spans="61:92" hidden="1">
      <c r="BI181" s="753"/>
      <c r="CM181" s="18">
        <f t="shared" si="188"/>
        <v>0</v>
      </c>
      <c r="CN181" s="18">
        <f t="shared" si="189"/>
        <v>0</v>
      </c>
    </row>
    <row r="182" spans="61:92" hidden="1">
      <c r="CM182" s="18">
        <f t="shared" si="188"/>
        <v>0</v>
      </c>
      <c r="CN182" s="18">
        <f t="shared" si="189"/>
        <v>0</v>
      </c>
    </row>
    <row r="183" spans="61:92" hidden="1">
      <c r="CM183" s="18">
        <f t="shared" si="188"/>
        <v>0</v>
      </c>
      <c r="CN183" s="18">
        <f t="shared" si="189"/>
        <v>0</v>
      </c>
    </row>
    <row r="184" spans="61:92" hidden="1">
      <c r="CL184" s="753"/>
      <c r="CM184" s="18">
        <f t="shared" si="188"/>
        <v>0</v>
      </c>
      <c r="CN184" s="18">
        <f t="shared" si="189"/>
        <v>0</v>
      </c>
    </row>
    <row r="185" spans="61:92" hidden="1">
      <c r="CM185" s="18">
        <f t="shared" si="188"/>
        <v>0</v>
      </c>
      <c r="CN185" s="18">
        <f t="shared" si="189"/>
        <v>0</v>
      </c>
    </row>
    <row r="186" spans="61:92" hidden="1">
      <c r="CM186" s="18">
        <f t="shared" si="188"/>
        <v>0</v>
      </c>
      <c r="CN186" s="18">
        <f t="shared" si="189"/>
        <v>0</v>
      </c>
    </row>
    <row r="187" spans="61:92" hidden="1">
      <c r="CM187" s="18">
        <f t="shared" si="188"/>
        <v>0</v>
      </c>
      <c r="CN187" s="18">
        <f t="shared" si="189"/>
        <v>0</v>
      </c>
    </row>
    <row r="188" spans="61:92" hidden="1">
      <c r="CM188" s="18">
        <f t="shared" si="188"/>
        <v>0</v>
      </c>
      <c r="CN188" s="18">
        <f t="shared" si="189"/>
        <v>0</v>
      </c>
    </row>
    <row r="189" spans="61:92" hidden="1">
      <c r="CM189" s="18">
        <f t="shared" si="188"/>
        <v>0</v>
      </c>
      <c r="CN189" s="18">
        <f t="shared" si="189"/>
        <v>0</v>
      </c>
    </row>
    <row r="190" spans="61:92" hidden="1">
      <c r="CM190" s="18">
        <f t="shared" si="188"/>
        <v>0</v>
      </c>
      <c r="CN190" s="18">
        <f t="shared" si="189"/>
        <v>0</v>
      </c>
    </row>
    <row r="191" spans="61:92" hidden="1">
      <c r="CM191" s="18">
        <f t="shared" si="188"/>
        <v>0</v>
      </c>
      <c r="CN191" s="18">
        <f t="shared" si="189"/>
        <v>0</v>
      </c>
    </row>
    <row r="192" spans="61:92" hidden="1">
      <c r="CM192" s="18">
        <f t="shared" si="188"/>
        <v>0</v>
      </c>
      <c r="CN192" s="18">
        <f t="shared" si="189"/>
        <v>0</v>
      </c>
    </row>
    <row r="193" spans="91:92" hidden="1">
      <c r="CM193" s="18">
        <f t="shared" si="188"/>
        <v>0</v>
      </c>
      <c r="CN193" s="18">
        <f t="shared" si="189"/>
        <v>0</v>
      </c>
    </row>
    <row r="194" spans="91:92" hidden="1">
      <c r="CM194" s="18">
        <f t="shared" si="188"/>
        <v>0</v>
      </c>
      <c r="CN194" s="18">
        <f t="shared" si="189"/>
        <v>0</v>
      </c>
    </row>
    <row r="195" spans="91:92" hidden="1">
      <c r="CM195" s="18">
        <f t="shared" si="188"/>
        <v>0</v>
      </c>
      <c r="CN195" s="18">
        <f t="shared" si="189"/>
        <v>0</v>
      </c>
    </row>
    <row r="196" spans="91:92" hidden="1">
      <c r="CM196" s="18">
        <f t="shared" si="188"/>
        <v>0</v>
      </c>
      <c r="CN196" s="18">
        <f t="shared" si="189"/>
        <v>0</v>
      </c>
    </row>
    <row r="197" spans="91:92" hidden="1">
      <c r="CM197" s="18">
        <f t="shared" si="188"/>
        <v>0</v>
      </c>
      <c r="CN197" s="18">
        <f t="shared" si="189"/>
        <v>0</v>
      </c>
    </row>
    <row r="198" spans="91:92" hidden="1">
      <c r="CM198" s="18">
        <f t="shared" si="188"/>
        <v>0</v>
      </c>
      <c r="CN198" s="18">
        <f t="shared" si="189"/>
        <v>0</v>
      </c>
    </row>
    <row r="199" spans="91:92" hidden="1">
      <c r="CM199" s="18">
        <f t="shared" si="188"/>
        <v>0</v>
      </c>
      <c r="CN199" s="18">
        <f t="shared" si="189"/>
        <v>0</v>
      </c>
    </row>
    <row r="200" spans="91:92" hidden="1">
      <c r="CM200" s="18">
        <f t="shared" si="188"/>
        <v>0</v>
      </c>
      <c r="CN200" s="18">
        <f t="shared" si="189"/>
        <v>0</v>
      </c>
    </row>
    <row r="201" spans="91:92" hidden="1">
      <c r="CM201" s="18">
        <f t="shared" si="188"/>
        <v>0</v>
      </c>
      <c r="CN201" s="18">
        <f t="shared" si="189"/>
        <v>0</v>
      </c>
    </row>
    <row r="202" spans="91:92" hidden="1">
      <c r="CM202" s="18">
        <f t="shared" si="188"/>
        <v>0</v>
      </c>
      <c r="CN202" s="18">
        <f t="shared" si="189"/>
        <v>0</v>
      </c>
    </row>
    <row r="203" spans="91:92" hidden="1">
      <c r="CM203" s="18">
        <f t="shared" si="188"/>
        <v>0</v>
      </c>
      <c r="CN203" s="18">
        <f t="shared" si="189"/>
        <v>0</v>
      </c>
    </row>
    <row r="204" spans="91:92" hidden="1">
      <c r="CM204" s="18">
        <f t="shared" si="188"/>
        <v>0</v>
      </c>
      <c r="CN204" s="18">
        <f t="shared" si="189"/>
        <v>0</v>
      </c>
    </row>
    <row r="205" spans="91:92" hidden="1">
      <c r="CM205" s="18">
        <f t="shared" si="188"/>
        <v>0</v>
      </c>
      <c r="CN205" s="18">
        <f t="shared" si="189"/>
        <v>0</v>
      </c>
    </row>
    <row r="206" spans="91:92" hidden="1">
      <c r="CM206" s="18">
        <f t="shared" si="188"/>
        <v>0</v>
      </c>
      <c r="CN206" s="18">
        <f t="shared" si="189"/>
        <v>0</v>
      </c>
    </row>
    <row r="207" spans="91:92" hidden="1">
      <c r="CM207" s="18">
        <f t="shared" si="188"/>
        <v>0</v>
      </c>
      <c r="CN207" s="18">
        <f t="shared" si="189"/>
        <v>0</v>
      </c>
    </row>
    <row r="208" spans="91:92" hidden="1">
      <c r="CM208" s="18">
        <f t="shared" si="188"/>
        <v>0</v>
      </c>
      <c r="CN208" s="18">
        <f t="shared" si="189"/>
        <v>0</v>
      </c>
    </row>
    <row r="209" spans="91:92" hidden="1">
      <c r="CM209" s="18">
        <f t="shared" ref="CM209:CM272" si="199">N209*AH209/1000</f>
        <v>0</v>
      </c>
      <c r="CN209" s="18">
        <f t="shared" ref="CN209:CN272" si="200">CM209-CL209</f>
        <v>0</v>
      </c>
    </row>
    <row r="210" spans="91:92" hidden="1">
      <c r="CM210" s="18">
        <f t="shared" si="199"/>
        <v>0</v>
      </c>
      <c r="CN210" s="18">
        <f t="shared" si="200"/>
        <v>0</v>
      </c>
    </row>
    <row r="211" spans="91:92" hidden="1">
      <c r="CM211" s="18">
        <f t="shared" si="199"/>
        <v>0</v>
      </c>
      <c r="CN211" s="18">
        <f t="shared" si="200"/>
        <v>0</v>
      </c>
    </row>
    <row r="212" spans="91:92" hidden="1">
      <c r="CM212" s="18">
        <f t="shared" si="199"/>
        <v>0</v>
      </c>
      <c r="CN212" s="18">
        <f t="shared" si="200"/>
        <v>0</v>
      </c>
    </row>
    <row r="213" spans="91:92" hidden="1">
      <c r="CM213" s="18">
        <f t="shared" si="199"/>
        <v>0</v>
      </c>
      <c r="CN213" s="18">
        <f t="shared" si="200"/>
        <v>0</v>
      </c>
    </row>
    <row r="214" spans="91:92" hidden="1">
      <c r="CM214" s="18">
        <f t="shared" si="199"/>
        <v>0</v>
      </c>
      <c r="CN214" s="18">
        <f t="shared" si="200"/>
        <v>0</v>
      </c>
    </row>
    <row r="215" spans="91:92" hidden="1">
      <c r="CM215" s="18">
        <f t="shared" si="199"/>
        <v>0</v>
      </c>
      <c r="CN215" s="18">
        <f t="shared" si="200"/>
        <v>0</v>
      </c>
    </row>
    <row r="216" spans="91:92" hidden="1">
      <c r="CM216" s="18">
        <f t="shared" si="199"/>
        <v>0</v>
      </c>
      <c r="CN216" s="18">
        <f t="shared" si="200"/>
        <v>0</v>
      </c>
    </row>
    <row r="217" spans="91:92" hidden="1">
      <c r="CM217" s="18">
        <f t="shared" si="199"/>
        <v>0</v>
      </c>
      <c r="CN217" s="18">
        <f t="shared" si="200"/>
        <v>0</v>
      </c>
    </row>
    <row r="218" spans="91:92" hidden="1">
      <c r="CM218" s="18">
        <f t="shared" si="199"/>
        <v>0</v>
      </c>
      <c r="CN218" s="18">
        <f t="shared" si="200"/>
        <v>0</v>
      </c>
    </row>
    <row r="219" spans="91:92" hidden="1">
      <c r="CM219" s="18">
        <f t="shared" si="199"/>
        <v>0</v>
      </c>
      <c r="CN219" s="18">
        <f t="shared" si="200"/>
        <v>0</v>
      </c>
    </row>
    <row r="220" spans="91:92" hidden="1">
      <c r="CM220" s="18">
        <f t="shared" si="199"/>
        <v>0</v>
      </c>
      <c r="CN220" s="18">
        <f t="shared" si="200"/>
        <v>0</v>
      </c>
    </row>
    <row r="221" spans="91:92" hidden="1">
      <c r="CM221" s="18">
        <f t="shared" si="199"/>
        <v>0</v>
      </c>
      <c r="CN221" s="18">
        <f t="shared" si="200"/>
        <v>0</v>
      </c>
    </row>
    <row r="222" spans="91:92" hidden="1">
      <c r="CM222" s="18">
        <f t="shared" si="199"/>
        <v>0</v>
      </c>
      <c r="CN222" s="18">
        <f t="shared" si="200"/>
        <v>0</v>
      </c>
    </row>
    <row r="223" spans="91:92" hidden="1">
      <c r="CM223" s="18">
        <f t="shared" si="199"/>
        <v>0</v>
      </c>
      <c r="CN223" s="18">
        <f t="shared" si="200"/>
        <v>0</v>
      </c>
    </row>
    <row r="224" spans="91:92" hidden="1">
      <c r="CM224" s="18">
        <f t="shared" si="199"/>
        <v>0</v>
      </c>
      <c r="CN224" s="18">
        <f t="shared" si="200"/>
        <v>0</v>
      </c>
    </row>
    <row r="225" spans="91:92" hidden="1">
      <c r="CM225" s="18">
        <f t="shared" si="199"/>
        <v>0</v>
      </c>
      <c r="CN225" s="18">
        <f t="shared" si="200"/>
        <v>0</v>
      </c>
    </row>
    <row r="226" spans="91:92" hidden="1">
      <c r="CM226" s="18">
        <f t="shared" si="199"/>
        <v>0</v>
      </c>
      <c r="CN226" s="18">
        <f t="shared" si="200"/>
        <v>0</v>
      </c>
    </row>
    <row r="227" spans="91:92" hidden="1">
      <c r="CM227" s="18">
        <f t="shared" si="199"/>
        <v>0</v>
      </c>
      <c r="CN227" s="18">
        <f t="shared" si="200"/>
        <v>0</v>
      </c>
    </row>
    <row r="228" spans="91:92" hidden="1">
      <c r="CM228" s="18">
        <f t="shared" si="199"/>
        <v>0</v>
      </c>
      <c r="CN228" s="18">
        <f t="shared" si="200"/>
        <v>0</v>
      </c>
    </row>
    <row r="229" spans="91:92" hidden="1">
      <c r="CM229" s="18">
        <f t="shared" si="199"/>
        <v>0</v>
      </c>
      <c r="CN229" s="18">
        <f t="shared" si="200"/>
        <v>0</v>
      </c>
    </row>
    <row r="230" spans="91:92" hidden="1">
      <c r="CM230" s="18">
        <f t="shared" si="199"/>
        <v>0</v>
      </c>
      <c r="CN230" s="18">
        <f t="shared" si="200"/>
        <v>0</v>
      </c>
    </row>
    <row r="231" spans="91:92" hidden="1">
      <c r="CM231" s="18">
        <f t="shared" si="199"/>
        <v>0</v>
      </c>
      <c r="CN231" s="18">
        <f t="shared" si="200"/>
        <v>0</v>
      </c>
    </row>
    <row r="232" spans="91:92" hidden="1">
      <c r="CM232" s="18">
        <f t="shared" si="199"/>
        <v>0</v>
      </c>
      <c r="CN232" s="18">
        <f t="shared" si="200"/>
        <v>0</v>
      </c>
    </row>
    <row r="233" spans="91:92" hidden="1">
      <c r="CM233" s="18">
        <f t="shared" si="199"/>
        <v>0</v>
      </c>
      <c r="CN233" s="18">
        <f t="shared" si="200"/>
        <v>0</v>
      </c>
    </row>
    <row r="234" spans="91:92" hidden="1">
      <c r="CM234" s="18">
        <f t="shared" si="199"/>
        <v>0</v>
      </c>
      <c r="CN234" s="18">
        <f t="shared" si="200"/>
        <v>0</v>
      </c>
    </row>
    <row r="235" spans="91:92" hidden="1">
      <c r="CM235" s="18">
        <f t="shared" si="199"/>
        <v>0</v>
      </c>
      <c r="CN235" s="18">
        <f t="shared" si="200"/>
        <v>0</v>
      </c>
    </row>
    <row r="236" spans="91:92" hidden="1">
      <c r="CM236" s="18">
        <f t="shared" si="199"/>
        <v>0</v>
      </c>
      <c r="CN236" s="18">
        <f t="shared" si="200"/>
        <v>0</v>
      </c>
    </row>
    <row r="237" spans="91:92" hidden="1">
      <c r="CM237" s="18">
        <f t="shared" si="199"/>
        <v>0</v>
      </c>
      <c r="CN237" s="18">
        <f t="shared" si="200"/>
        <v>0</v>
      </c>
    </row>
    <row r="238" spans="91:92" hidden="1">
      <c r="CM238" s="18">
        <f t="shared" si="199"/>
        <v>0</v>
      </c>
      <c r="CN238" s="18">
        <f t="shared" si="200"/>
        <v>0</v>
      </c>
    </row>
    <row r="239" spans="91:92" hidden="1">
      <c r="CM239" s="18">
        <f t="shared" si="199"/>
        <v>0</v>
      </c>
      <c r="CN239" s="18">
        <f t="shared" si="200"/>
        <v>0</v>
      </c>
    </row>
    <row r="240" spans="91:92" hidden="1">
      <c r="CM240" s="18">
        <f t="shared" si="199"/>
        <v>0</v>
      </c>
      <c r="CN240" s="18">
        <f t="shared" si="200"/>
        <v>0</v>
      </c>
    </row>
    <row r="241" spans="91:92" hidden="1">
      <c r="CM241" s="18">
        <f t="shared" si="199"/>
        <v>0</v>
      </c>
      <c r="CN241" s="18">
        <f t="shared" si="200"/>
        <v>0</v>
      </c>
    </row>
    <row r="242" spans="91:92" hidden="1">
      <c r="CM242" s="18">
        <f t="shared" si="199"/>
        <v>0</v>
      </c>
      <c r="CN242" s="18">
        <f t="shared" si="200"/>
        <v>0</v>
      </c>
    </row>
    <row r="243" spans="91:92" hidden="1">
      <c r="CM243" s="18">
        <f t="shared" si="199"/>
        <v>0</v>
      </c>
      <c r="CN243" s="18">
        <f t="shared" si="200"/>
        <v>0</v>
      </c>
    </row>
    <row r="244" spans="91:92" hidden="1">
      <c r="CM244" s="18">
        <f t="shared" si="199"/>
        <v>0</v>
      </c>
      <c r="CN244" s="18">
        <f t="shared" si="200"/>
        <v>0</v>
      </c>
    </row>
    <row r="245" spans="91:92" hidden="1">
      <c r="CM245" s="18">
        <f t="shared" si="199"/>
        <v>0</v>
      </c>
      <c r="CN245" s="18">
        <f t="shared" si="200"/>
        <v>0</v>
      </c>
    </row>
    <row r="246" spans="91:92" hidden="1">
      <c r="CM246" s="18">
        <f t="shared" si="199"/>
        <v>0</v>
      </c>
      <c r="CN246" s="18">
        <f t="shared" si="200"/>
        <v>0</v>
      </c>
    </row>
    <row r="247" spans="91:92" hidden="1">
      <c r="CM247" s="18">
        <f t="shared" si="199"/>
        <v>0</v>
      </c>
      <c r="CN247" s="18">
        <f t="shared" si="200"/>
        <v>0</v>
      </c>
    </row>
    <row r="248" spans="91:92" hidden="1">
      <c r="CM248" s="18">
        <f t="shared" si="199"/>
        <v>0</v>
      </c>
      <c r="CN248" s="18">
        <f t="shared" si="200"/>
        <v>0</v>
      </c>
    </row>
    <row r="249" spans="91:92" hidden="1">
      <c r="CM249" s="18">
        <f t="shared" si="199"/>
        <v>0</v>
      </c>
      <c r="CN249" s="18">
        <f t="shared" si="200"/>
        <v>0</v>
      </c>
    </row>
    <row r="250" spans="91:92" hidden="1">
      <c r="CM250" s="18">
        <f t="shared" si="199"/>
        <v>0</v>
      </c>
      <c r="CN250" s="18">
        <f t="shared" si="200"/>
        <v>0</v>
      </c>
    </row>
    <row r="251" spans="91:92" hidden="1">
      <c r="CM251" s="18">
        <f t="shared" si="199"/>
        <v>0</v>
      </c>
      <c r="CN251" s="18">
        <f t="shared" si="200"/>
        <v>0</v>
      </c>
    </row>
    <row r="252" spans="91:92" hidden="1">
      <c r="CM252" s="18">
        <f t="shared" si="199"/>
        <v>0</v>
      </c>
      <c r="CN252" s="18">
        <f t="shared" si="200"/>
        <v>0</v>
      </c>
    </row>
    <row r="253" spans="91:92" hidden="1">
      <c r="CM253" s="18">
        <f t="shared" si="199"/>
        <v>0</v>
      </c>
      <c r="CN253" s="18">
        <f t="shared" si="200"/>
        <v>0</v>
      </c>
    </row>
    <row r="254" spans="91:92" hidden="1">
      <c r="CM254" s="18">
        <f t="shared" si="199"/>
        <v>0</v>
      </c>
      <c r="CN254" s="18">
        <f t="shared" si="200"/>
        <v>0</v>
      </c>
    </row>
    <row r="255" spans="91:92" hidden="1">
      <c r="CM255" s="18">
        <f t="shared" si="199"/>
        <v>0</v>
      </c>
      <c r="CN255" s="18">
        <f t="shared" si="200"/>
        <v>0</v>
      </c>
    </row>
    <row r="256" spans="91:92" hidden="1">
      <c r="CM256" s="18">
        <f t="shared" si="199"/>
        <v>0</v>
      </c>
      <c r="CN256" s="18">
        <f t="shared" si="200"/>
        <v>0</v>
      </c>
    </row>
    <row r="257" spans="91:92" hidden="1">
      <c r="CM257" s="18">
        <f t="shared" si="199"/>
        <v>0</v>
      </c>
      <c r="CN257" s="18">
        <f t="shared" si="200"/>
        <v>0</v>
      </c>
    </row>
    <row r="258" spans="91:92" hidden="1">
      <c r="CM258" s="18">
        <f t="shared" si="199"/>
        <v>0</v>
      </c>
      <c r="CN258" s="18">
        <f t="shared" si="200"/>
        <v>0</v>
      </c>
    </row>
    <row r="259" spans="91:92" hidden="1">
      <c r="CM259" s="18">
        <f t="shared" si="199"/>
        <v>0</v>
      </c>
      <c r="CN259" s="18">
        <f t="shared" si="200"/>
        <v>0</v>
      </c>
    </row>
    <row r="260" spans="91:92" hidden="1">
      <c r="CM260" s="18">
        <f t="shared" si="199"/>
        <v>0</v>
      </c>
      <c r="CN260" s="18">
        <f t="shared" si="200"/>
        <v>0</v>
      </c>
    </row>
    <row r="261" spans="91:92" hidden="1">
      <c r="CM261" s="18">
        <f t="shared" si="199"/>
        <v>0</v>
      </c>
      <c r="CN261" s="18">
        <f t="shared" si="200"/>
        <v>0</v>
      </c>
    </row>
    <row r="262" spans="91:92" hidden="1">
      <c r="CM262" s="18">
        <f t="shared" si="199"/>
        <v>0</v>
      </c>
      <c r="CN262" s="18">
        <f t="shared" si="200"/>
        <v>0</v>
      </c>
    </row>
    <row r="263" spans="91:92" hidden="1">
      <c r="CM263" s="18">
        <f t="shared" si="199"/>
        <v>0</v>
      </c>
      <c r="CN263" s="18">
        <f t="shared" si="200"/>
        <v>0</v>
      </c>
    </row>
    <row r="264" spans="91:92" hidden="1">
      <c r="CM264" s="18">
        <f t="shared" si="199"/>
        <v>0</v>
      </c>
      <c r="CN264" s="18">
        <f t="shared" si="200"/>
        <v>0</v>
      </c>
    </row>
    <row r="265" spans="91:92" hidden="1">
      <c r="CM265" s="18">
        <f t="shared" si="199"/>
        <v>0</v>
      </c>
      <c r="CN265" s="18">
        <f t="shared" si="200"/>
        <v>0</v>
      </c>
    </row>
    <row r="266" spans="91:92" hidden="1">
      <c r="CM266" s="18">
        <f t="shared" si="199"/>
        <v>0</v>
      </c>
      <c r="CN266" s="18">
        <f t="shared" si="200"/>
        <v>0</v>
      </c>
    </row>
    <row r="267" spans="91:92" hidden="1">
      <c r="CM267" s="18">
        <f t="shared" si="199"/>
        <v>0</v>
      </c>
      <c r="CN267" s="18">
        <f t="shared" si="200"/>
        <v>0</v>
      </c>
    </row>
    <row r="268" spans="91:92" hidden="1">
      <c r="CM268" s="18">
        <f t="shared" si="199"/>
        <v>0</v>
      </c>
      <c r="CN268" s="18">
        <f t="shared" si="200"/>
        <v>0</v>
      </c>
    </row>
    <row r="269" spans="91:92" hidden="1">
      <c r="CM269" s="18">
        <f t="shared" si="199"/>
        <v>0</v>
      </c>
      <c r="CN269" s="18">
        <f t="shared" si="200"/>
        <v>0</v>
      </c>
    </row>
    <row r="270" spans="91:92" hidden="1">
      <c r="CM270" s="18">
        <f t="shared" si="199"/>
        <v>0</v>
      </c>
      <c r="CN270" s="18">
        <f t="shared" si="200"/>
        <v>0</v>
      </c>
    </row>
    <row r="271" spans="91:92" hidden="1">
      <c r="CM271" s="18">
        <f t="shared" si="199"/>
        <v>0</v>
      </c>
      <c r="CN271" s="18">
        <f t="shared" si="200"/>
        <v>0</v>
      </c>
    </row>
    <row r="272" spans="91:92" hidden="1">
      <c r="CM272" s="18">
        <f t="shared" si="199"/>
        <v>0</v>
      </c>
      <c r="CN272" s="18">
        <f t="shared" si="200"/>
        <v>0</v>
      </c>
    </row>
    <row r="273" spans="91:92" hidden="1">
      <c r="CM273" s="18">
        <f t="shared" ref="CM273:CM336" si="201">N273*AH273/1000</f>
        <v>0</v>
      </c>
      <c r="CN273" s="18">
        <f t="shared" ref="CN273:CN336" si="202">CM273-CL273</f>
        <v>0</v>
      </c>
    </row>
    <row r="274" spans="91:92" hidden="1">
      <c r="CM274" s="18">
        <f t="shared" si="201"/>
        <v>0</v>
      </c>
      <c r="CN274" s="18">
        <f t="shared" si="202"/>
        <v>0</v>
      </c>
    </row>
    <row r="275" spans="91:92" hidden="1">
      <c r="CM275" s="18">
        <f t="shared" si="201"/>
        <v>0</v>
      </c>
      <c r="CN275" s="18">
        <f t="shared" si="202"/>
        <v>0</v>
      </c>
    </row>
    <row r="276" spans="91:92" hidden="1">
      <c r="CM276" s="18">
        <f t="shared" si="201"/>
        <v>0</v>
      </c>
      <c r="CN276" s="18">
        <f t="shared" si="202"/>
        <v>0</v>
      </c>
    </row>
    <row r="277" spans="91:92" hidden="1">
      <c r="CM277" s="18">
        <f t="shared" si="201"/>
        <v>0</v>
      </c>
      <c r="CN277" s="18">
        <f t="shared" si="202"/>
        <v>0</v>
      </c>
    </row>
    <row r="278" spans="91:92" hidden="1">
      <c r="CM278" s="18">
        <f t="shared" si="201"/>
        <v>0</v>
      </c>
      <c r="CN278" s="18">
        <f t="shared" si="202"/>
        <v>0</v>
      </c>
    </row>
    <row r="279" spans="91:92" hidden="1">
      <c r="CM279" s="18">
        <f t="shared" si="201"/>
        <v>0</v>
      </c>
      <c r="CN279" s="18">
        <f t="shared" si="202"/>
        <v>0</v>
      </c>
    </row>
    <row r="280" spans="91:92" hidden="1">
      <c r="CM280" s="18">
        <f t="shared" si="201"/>
        <v>0</v>
      </c>
      <c r="CN280" s="18">
        <f t="shared" si="202"/>
        <v>0</v>
      </c>
    </row>
    <row r="281" spans="91:92" hidden="1">
      <c r="CM281" s="18">
        <f t="shared" si="201"/>
        <v>0</v>
      </c>
      <c r="CN281" s="18">
        <f t="shared" si="202"/>
        <v>0</v>
      </c>
    </row>
    <row r="282" spans="91:92" hidden="1">
      <c r="CM282" s="18">
        <f t="shared" si="201"/>
        <v>0</v>
      </c>
      <c r="CN282" s="18">
        <f t="shared" si="202"/>
        <v>0</v>
      </c>
    </row>
    <row r="283" spans="91:92" hidden="1">
      <c r="CM283" s="18">
        <f t="shared" si="201"/>
        <v>0</v>
      </c>
      <c r="CN283" s="18">
        <f t="shared" si="202"/>
        <v>0</v>
      </c>
    </row>
    <row r="284" spans="91:92" hidden="1">
      <c r="CM284" s="18">
        <f t="shared" si="201"/>
        <v>0</v>
      </c>
      <c r="CN284" s="18">
        <f t="shared" si="202"/>
        <v>0</v>
      </c>
    </row>
    <row r="285" spans="91:92" hidden="1">
      <c r="CM285" s="18">
        <f t="shared" si="201"/>
        <v>0</v>
      </c>
      <c r="CN285" s="18">
        <f t="shared" si="202"/>
        <v>0</v>
      </c>
    </row>
    <row r="286" spans="91:92" hidden="1">
      <c r="CM286" s="18">
        <f t="shared" si="201"/>
        <v>0</v>
      </c>
      <c r="CN286" s="18">
        <f t="shared" si="202"/>
        <v>0</v>
      </c>
    </row>
    <row r="287" spans="91:92" hidden="1">
      <c r="CM287" s="18">
        <f t="shared" si="201"/>
        <v>0</v>
      </c>
      <c r="CN287" s="18">
        <f t="shared" si="202"/>
        <v>0</v>
      </c>
    </row>
    <row r="288" spans="91:92" hidden="1">
      <c r="CM288" s="18">
        <f t="shared" si="201"/>
        <v>0</v>
      </c>
      <c r="CN288" s="18">
        <f t="shared" si="202"/>
        <v>0</v>
      </c>
    </row>
    <row r="289" spans="91:92" hidden="1">
      <c r="CM289" s="18">
        <f t="shared" si="201"/>
        <v>0</v>
      </c>
      <c r="CN289" s="18">
        <f t="shared" si="202"/>
        <v>0</v>
      </c>
    </row>
    <row r="290" spans="91:92" hidden="1">
      <c r="CM290" s="18">
        <f t="shared" si="201"/>
        <v>0</v>
      </c>
      <c r="CN290" s="18">
        <f t="shared" si="202"/>
        <v>0</v>
      </c>
    </row>
    <row r="291" spans="91:92" hidden="1">
      <c r="CM291" s="18">
        <f t="shared" si="201"/>
        <v>0</v>
      </c>
      <c r="CN291" s="18">
        <f t="shared" si="202"/>
        <v>0</v>
      </c>
    </row>
    <row r="292" spans="91:92" hidden="1">
      <c r="CM292" s="18">
        <f t="shared" si="201"/>
        <v>0</v>
      </c>
      <c r="CN292" s="18">
        <f t="shared" si="202"/>
        <v>0</v>
      </c>
    </row>
    <row r="293" spans="91:92" hidden="1">
      <c r="CM293" s="18">
        <f t="shared" si="201"/>
        <v>0</v>
      </c>
      <c r="CN293" s="18">
        <f t="shared" si="202"/>
        <v>0</v>
      </c>
    </row>
    <row r="294" spans="91:92" hidden="1">
      <c r="CM294" s="18">
        <f t="shared" si="201"/>
        <v>0</v>
      </c>
      <c r="CN294" s="18">
        <f t="shared" si="202"/>
        <v>0</v>
      </c>
    </row>
    <row r="295" spans="91:92" hidden="1">
      <c r="CM295" s="18">
        <f t="shared" si="201"/>
        <v>0</v>
      </c>
      <c r="CN295" s="18">
        <f t="shared" si="202"/>
        <v>0</v>
      </c>
    </row>
    <row r="296" spans="91:92" hidden="1">
      <c r="CM296" s="18">
        <f t="shared" si="201"/>
        <v>0</v>
      </c>
      <c r="CN296" s="18">
        <f t="shared" si="202"/>
        <v>0</v>
      </c>
    </row>
    <row r="297" spans="91:92" hidden="1">
      <c r="CM297" s="18">
        <f t="shared" si="201"/>
        <v>0</v>
      </c>
      <c r="CN297" s="18">
        <f t="shared" si="202"/>
        <v>0</v>
      </c>
    </row>
    <row r="298" spans="91:92" hidden="1">
      <c r="CM298" s="18">
        <f t="shared" si="201"/>
        <v>0</v>
      </c>
      <c r="CN298" s="18">
        <f t="shared" si="202"/>
        <v>0</v>
      </c>
    </row>
    <row r="299" spans="91:92" hidden="1">
      <c r="CM299" s="18">
        <f t="shared" si="201"/>
        <v>0</v>
      </c>
      <c r="CN299" s="18">
        <f t="shared" si="202"/>
        <v>0</v>
      </c>
    </row>
    <row r="300" spans="91:92" hidden="1">
      <c r="CM300" s="18">
        <f t="shared" si="201"/>
        <v>0</v>
      </c>
      <c r="CN300" s="18">
        <f t="shared" si="202"/>
        <v>0</v>
      </c>
    </row>
    <row r="301" spans="91:92" hidden="1">
      <c r="CM301" s="18">
        <f t="shared" si="201"/>
        <v>0</v>
      </c>
      <c r="CN301" s="18">
        <f t="shared" si="202"/>
        <v>0</v>
      </c>
    </row>
    <row r="302" spans="91:92" hidden="1">
      <c r="CM302" s="18">
        <f t="shared" si="201"/>
        <v>0</v>
      </c>
      <c r="CN302" s="18">
        <f t="shared" si="202"/>
        <v>0</v>
      </c>
    </row>
    <row r="303" spans="91:92" hidden="1">
      <c r="CM303" s="18">
        <f t="shared" si="201"/>
        <v>0</v>
      </c>
      <c r="CN303" s="18">
        <f t="shared" si="202"/>
        <v>0</v>
      </c>
    </row>
    <row r="304" spans="91:92" hidden="1">
      <c r="CM304" s="18">
        <f t="shared" si="201"/>
        <v>0</v>
      </c>
      <c r="CN304" s="18">
        <f t="shared" si="202"/>
        <v>0</v>
      </c>
    </row>
    <row r="305" spans="91:92" hidden="1">
      <c r="CM305" s="18">
        <f t="shared" si="201"/>
        <v>0</v>
      </c>
      <c r="CN305" s="18">
        <f t="shared" si="202"/>
        <v>0</v>
      </c>
    </row>
    <row r="306" spans="91:92" hidden="1">
      <c r="CM306" s="18">
        <f t="shared" si="201"/>
        <v>0</v>
      </c>
      <c r="CN306" s="18">
        <f t="shared" si="202"/>
        <v>0</v>
      </c>
    </row>
    <row r="307" spans="91:92" hidden="1">
      <c r="CM307" s="18">
        <f t="shared" si="201"/>
        <v>0</v>
      </c>
      <c r="CN307" s="18">
        <f t="shared" si="202"/>
        <v>0</v>
      </c>
    </row>
    <row r="308" spans="91:92" hidden="1">
      <c r="CM308" s="18">
        <f t="shared" si="201"/>
        <v>0</v>
      </c>
      <c r="CN308" s="18">
        <f t="shared" si="202"/>
        <v>0</v>
      </c>
    </row>
    <row r="309" spans="91:92" hidden="1">
      <c r="CM309" s="18">
        <f t="shared" si="201"/>
        <v>0</v>
      </c>
      <c r="CN309" s="18">
        <f t="shared" si="202"/>
        <v>0</v>
      </c>
    </row>
    <row r="310" spans="91:92" hidden="1">
      <c r="CM310" s="18">
        <f t="shared" si="201"/>
        <v>0</v>
      </c>
      <c r="CN310" s="18">
        <f t="shared" si="202"/>
        <v>0</v>
      </c>
    </row>
    <row r="311" spans="91:92" hidden="1">
      <c r="CM311" s="18">
        <f t="shared" si="201"/>
        <v>0</v>
      </c>
      <c r="CN311" s="18">
        <f t="shared" si="202"/>
        <v>0</v>
      </c>
    </row>
    <row r="312" spans="91:92" hidden="1">
      <c r="CM312" s="18">
        <f t="shared" si="201"/>
        <v>0</v>
      </c>
      <c r="CN312" s="18">
        <f t="shared" si="202"/>
        <v>0</v>
      </c>
    </row>
    <row r="313" spans="91:92" hidden="1">
      <c r="CM313" s="18">
        <f t="shared" si="201"/>
        <v>0</v>
      </c>
      <c r="CN313" s="18">
        <f t="shared" si="202"/>
        <v>0</v>
      </c>
    </row>
    <row r="314" spans="91:92" hidden="1">
      <c r="CM314" s="18">
        <f t="shared" si="201"/>
        <v>0</v>
      </c>
      <c r="CN314" s="18">
        <f t="shared" si="202"/>
        <v>0</v>
      </c>
    </row>
    <row r="315" spans="91:92" hidden="1">
      <c r="CM315" s="18">
        <f t="shared" si="201"/>
        <v>0</v>
      </c>
      <c r="CN315" s="18">
        <f t="shared" si="202"/>
        <v>0</v>
      </c>
    </row>
    <row r="316" spans="91:92" hidden="1">
      <c r="CM316" s="18">
        <f t="shared" si="201"/>
        <v>0</v>
      </c>
      <c r="CN316" s="18">
        <f t="shared" si="202"/>
        <v>0</v>
      </c>
    </row>
    <row r="317" spans="91:92" hidden="1">
      <c r="CM317" s="18">
        <f t="shared" si="201"/>
        <v>0</v>
      </c>
      <c r="CN317" s="18">
        <f t="shared" si="202"/>
        <v>0</v>
      </c>
    </row>
    <row r="318" spans="91:92" hidden="1">
      <c r="CM318" s="18">
        <f t="shared" si="201"/>
        <v>0</v>
      </c>
      <c r="CN318" s="18">
        <f t="shared" si="202"/>
        <v>0</v>
      </c>
    </row>
    <row r="319" spans="91:92" hidden="1">
      <c r="CM319" s="18">
        <f t="shared" si="201"/>
        <v>0</v>
      </c>
      <c r="CN319" s="18">
        <f t="shared" si="202"/>
        <v>0</v>
      </c>
    </row>
    <row r="320" spans="91:92" hidden="1">
      <c r="CM320" s="18">
        <f t="shared" si="201"/>
        <v>0</v>
      </c>
      <c r="CN320" s="18">
        <f t="shared" si="202"/>
        <v>0</v>
      </c>
    </row>
    <row r="321" spans="91:92" hidden="1">
      <c r="CM321" s="18">
        <f t="shared" si="201"/>
        <v>0</v>
      </c>
      <c r="CN321" s="18">
        <f t="shared" si="202"/>
        <v>0</v>
      </c>
    </row>
    <row r="322" spans="91:92" hidden="1">
      <c r="CM322" s="18">
        <f t="shared" si="201"/>
        <v>0</v>
      </c>
      <c r="CN322" s="18">
        <f t="shared" si="202"/>
        <v>0</v>
      </c>
    </row>
    <row r="323" spans="91:92" hidden="1">
      <c r="CM323" s="18">
        <f t="shared" si="201"/>
        <v>0</v>
      </c>
      <c r="CN323" s="18">
        <f t="shared" si="202"/>
        <v>0</v>
      </c>
    </row>
    <row r="324" spans="91:92" hidden="1">
      <c r="CM324" s="18">
        <f t="shared" si="201"/>
        <v>0</v>
      </c>
      <c r="CN324" s="18">
        <f t="shared" si="202"/>
        <v>0</v>
      </c>
    </row>
    <row r="325" spans="91:92" hidden="1">
      <c r="CM325" s="18">
        <f t="shared" si="201"/>
        <v>0</v>
      </c>
      <c r="CN325" s="18">
        <f t="shared" si="202"/>
        <v>0</v>
      </c>
    </row>
    <row r="326" spans="91:92" hidden="1">
      <c r="CM326" s="18">
        <f t="shared" si="201"/>
        <v>0</v>
      </c>
      <c r="CN326" s="18">
        <f t="shared" si="202"/>
        <v>0</v>
      </c>
    </row>
    <row r="327" spans="91:92" hidden="1">
      <c r="CM327" s="18">
        <f t="shared" si="201"/>
        <v>0</v>
      </c>
      <c r="CN327" s="18">
        <f t="shared" si="202"/>
        <v>0</v>
      </c>
    </row>
    <row r="328" spans="91:92" hidden="1">
      <c r="CM328" s="18">
        <f t="shared" si="201"/>
        <v>0</v>
      </c>
      <c r="CN328" s="18">
        <f t="shared" si="202"/>
        <v>0</v>
      </c>
    </row>
    <row r="329" spans="91:92" hidden="1">
      <c r="CM329" s="18">
        <f t="shared" si="201"/>
        <v>0</v>
      </c>
      <c r="CN329" s="18">
        <f t="shared" si="202"/>
        <v>0</v>
      </c>
    </row>
    <row r="330" spans="91:92" hidden="1">
      <c r="CM330" s="18">
        <f t="shared" si="201"/>
        <v>0</v>
      </c>
      <c r="CN330" s="18">
        <f t="shared" si="202"/>
        <v>0</v>
      </c>
    </row>
    <row r="331" spans="91:92" hidden="1">
      <c r="CM331" s="18">
        <f t="shared" si="201"/>
        <v>0</v>
      </c>
      <c r="CN331" s="18">
        <f t="shared" si="202"/>
        <v>0</v>
      </c>
    </row>
    <row r="332" spans="91:92" hidden="1">
      <c r="CM332" s="18">
        <f t="shared" si="201"/>
        <v>0</v>
      </c>
      <c r="CN332" s="18">
        <f t="shared" si="202"/>
        <v>0</v>
      </c>
    </row>
    <row r="333" spans="91:92" hidden="1">
      <c r="CM333" s="18">
        <f t="shared" si="201"/>
        <v>0</v>
      </c>
      <c r="CN333" s="18">
        <f t="shared" si="202"/>
        <v>0</v>
      </c>
    </row>
    <row r="334" spans="91:92" hidden="1">
      <c r="CM334" s="18">
        <f t="shared" si="201"/>
        <v>0</v>
      </c>
      <c r="CN334" s="18">
        <f t="shared" si="202"/>
        <v>0</v>
      </c>
    </row>
    <row r="335" spans="91:92" hidden="1">
      <c r="CM335" s="18">
        <f t="shared" si="201"/>
        <v>0</v>
      </c>
      <c r="CN335" s="18">
        <f t="shared" si="202"/>
        <v>0</v>
      </c>
    </row>
    <row r="336" spans="91:92" hidden="1">
      <c r="CM336" s="18">
        <f t="shared" si="201"/>
        <v>0</v>
      </c>
      <c r="CN336" s="18">
        <f t="shared" si="202"/>
        <v>0</v>
      </c>
    </row>
    <row r="337" spans="91:92" hidden="1">
      <c r="CM337" s="18">
        <f t="shared" ref="CM337:CM400" si="203">N337*AH337/1000</f>
        <v>0</v>
      </c>
      <c r="CN337" s="18">
        <f t="shared" ref="CN337:CN400" si="204">CM337-CL337</f>
        <v>0</v>
      </c>
    </row>
    <row r="338" spans="91:92" hidden="1">
      <c r="CM338" s="18">
        <f t="shared" si="203"/>
        <v>0</v>
      </c>
      <c r="CN338" s="18">
        <f t="shared" si="204"/>
        <v>0</v>
      </c>
    </row>
    <row r="339" spans="91:92" hidden="1">
      <c r="CM339" s="18">
        <f t="shared" si="203"/>
        <v>0</v>
      </c>
      <c r="CN339" s="18">
        <f t="shared" si="204"/>
        <v>0</v>
      </c>
    </row>
    <row r="340" spans="91:92" hidden="1">
      <c r="CM340" s="18">
        <f t="shared" si="203"/>
        <v>0</v>
      </c>
      <c r="CN340" s="18">
        <f t="shared" si="204"/>
        <v>0</v>
      </c>
    </row>
    <row r="341" spans="91:92" hidden="1">
      <c r="CM341" s="18">
        <f t="shared" si="203"/>
        <v>0</v>
      </c>
      <c r="CN341" s="18">
        <f t="shared" si="204"/>
        <v>0</v>
      </c>
    </row>
    <row r="342" spans="91:92" hidden="1">
      <c r="CM342" s="18">
        <f t="shared" si="203"/>
        <v>0</v>
      </c>
      <c r="CN342" s="18">
        <f t="shared" si="204"/>
        <v>0</v>
      </c>
    </row>
    <row r="343" spans="91:92" hidden="1">
      <c r="CM343" s="18">
        <f t="shared" si="203"/>
        <v>0</v>
      </c>
      <c r="CN343" s="18">
        <f t="shared" si="204"/>
        <v>0</v>
      </c>
    </row>
    <row r="344" spans="91:92" hidden="1">
      <c r="CM344" s="18">
        <f t="shared" si="203"/>
        <v>0</v>
      </c>
      <c r="CN344" s="18">
        <f t="shared" si="204"/>
        <v>0</v>
      </c>
    </row>
    <row r="345" spans="91:92" hidden="1">
      <c r="CM345" s="18">
        <f t="shared" si="203"/>
        <v>0</v>
      </c>
      <c r="CN345" s="18">
        <f t="shared" si="204"/>
        <v>0</v>
      </c>
    </row>
    <row r="346" spans="91:92" hidden="1">
      <c r="CM346" s="18">
        <f t="shared" si="203"/>
        <v>0</v>
      </c>
      <c r="CN346" s="18">
        <f t="shared" si="204"/>
        <v>0</v>
      </c>
    </row>
    <row r="347" spans="91:92" hidden="1">
      <c r="CM347" s="18">
        <f t="shared" si="203"/>
        <v>0</v>
      </c>
      <c r="CN347" s="18">
        <f t="shared" si="204"/>
        <v>0</v>
      </c>
    </row>
    <row r="348" spans="91:92" hidden="1">
      <c r="CM348" s="18">
        <f t="shared" si="203"/>
        <v>0</v>
      </c>
      <c r="CN348" s="18">
        <f t="shared" si="204"/>
        <v>0</v>
      </c>
    </row>
    <row r="349" spans="91:92" hidden="1">
      <c r="CM349" s="18">
        <f t="shared" si="203"/>
        <v>0</v>
      </c>
      <c r="CN349" s="18">
        <f t="shared" si="204"/>
        <v>0</v>
      </c>
    </row>
    <row r="350" spans="91:92" hidden="1">
      <c r="CM350" s="18">
        <f t="shared" si="203"/>
        <v>0</v>
      </c>
      <c r="CN350" s="18">
        <f t="shared" si="204"/>
        <v>0</v>
      </c>
    </row>
    <row r="351" spans="91:92" hidden="1">
      <c r="CM351" s="18">
        <f t="shared" si="203"/>
        <v>0</v>
      </c>
      <c r="CN351" s="18">
        <f t="shared" si="204"/>
        <v>0</v>
      </c>
    </row>
    <row r="352" spans="91:92" hidden="1">
      <c r="CM352" s="18">
        <f t="shared" si="203"/>
        <v>0</v>
      </c>
      <c r="CN352" s="18">
        <f t="shared" si="204"/>
        <v>0</v>
      </c>
    </row>
    <row r="353" spans="91:92" hidden="1">
      <c r="CM353" s="18">
        <f t="shared" si="203"/>
        <v>0</v>
      </c>
      <c r="CN353" s="18">
        <f t="shared" si="204"/>
        <v>0</v>
      </c>
    </row>
    <row r="354" spans="91:92" hidden="1">
      <c r="CM354" s="18">
        <f t="shared" si="203"/>
        <v>0</v>
      </c>
      <c r="CN354" s="18">
        <f t="shared" si="204"/>
        <v>0</v>
      </c>
    </row>
    <row r="355" spans="91:92" hidden="1">
      <c r="CM355" s="18">
        <f t="shared" si="203"/>
        <v>0</v>
      </c>
      <c r="CN355" s="18">
        <f t="shared" si="204"/>
        <v>0</v>
      </c>
    </row>
    <row r="356" spans="91:92" hidden="1">
      <c r="CM356" s="18">
        <f t="shared" si="203"/>
        <v>0</v>
      </c>
      <c r="CN356" s="18">
        <f t="shared" si="204"/>
        <v>0</v>
      </c>
    </row>
    <row r="357" spans="91:92" hidden="1">
      <c r="CM357" s="18">
        <f t="shared" si="203"/>
        <v>0</v>
      </c>
      <c r="CN357" s="18">
        <f t="shared" si="204"/>
        <v>0</v>
      </c>
    </row>
    <row r="358" spans="91:92" hidden="1">
      <c r="CM358" s="18">
        <f t="shared" si="203"/>
        <v>0</v>
      </c>
      <c r="CN358" s="18">
        <f t="shared" si="204"/>
        <v>0</v>
      </c>
    </row>
    <row r="359" spans="91:92" hidden="1">
      <c r="CM359" s="18">
        <f t="shared" si="203"/>
        <v>0</v>
      </c>
      <c r="CN359" s="18">
        <f t="shared" si="204"/>
        <v>0</v>
      </c>
    </row>
    <row r="360" spans="91:92" hidden="1">
      <c r="CM360" s="18">
        <f t="shared" si="203"/>
        <v>0</v>
      </c>
      <c r="CN360" s="18">
        <f t="shared" si="204"/>
        <v>0</v>
      </c>
    </row>
    <row r="361" spans="91:92" hidden="1">
      <c r="CM361" s="18">
        <f t="shared" si="203"/>
        <v>0</v>
      </c>
      <c r="CN361" s="18">
        <f t="shared" si="204"/>
        <v>0</v>
      </c>
    </row>
    <row r="362" spans="91:92" hidden="1">
      <c r="CM362" s="18">
        <f t="shared" si="203"/>
        <v>0</v>
      </c>
      <c r="CN362" s="18">
        <f t="shared" si="204"/>
        <v>0</v>
      </c>
    </row>
    <row r="363" spans="91:92" hidden="1">
      <c r="CM363" s="18">
        <f t="shared" si="203"/>
        <v>0</v>
      </c>
      <c r="CN363" s="18">
        <f t="shared" si="204"/>
        <v>0</v>
      </c>
    </row>
    <row r="364" spans="91:92" hidden="1">
      <c r="CM364" s="18">
        <f t="shared" si="203"/>
        <v>0</v>
      </c>
      <c r="CN364" s="18">
        <f t="shared" si="204"/>
        <v>0</v>
      </c>
    </row>
    <row r="365" spans="91:92" hidden="1">
      <c r="CM365" s="18">
        <f t="shared" si="203"/>
        <v>0</v>
      </c>
      <c r="CN365" s="18">
        <f t="shared" si="204"/>
        <v>0</v>
      </c>
    </row>
    <row r="366" spans="91:92" hidden="1">
      <c r="CM366" s="18">
        <f t="shared" si="203"/>
        <v>0</v>
      </c>
      <c r="CN366" s="18">
        <f t="shared" si="204"/>
        <v>0</v>
      </c>
    </row>
    <row r="367" spans="91:92" hidden="1">
      <c r="CM367" s="18">
        <f t="shared" si="203"/>
        <v>0</v>
      </c>
      <c r="CN367" s="18">
        <f t="shared" si="204"/>
        <v>0</v>
      </c>
    </row>
    <row r="368" spans="91:92" hidden="1">
      <c r="CM368" s="18">
        <f t="shared" si="203"/>
        <v>0</v>
      </c>
      <c r="CN368" s="18">
        <f t="shared" si="204"/>
        <v>0</v>
      </c>
    </row>
    <row r="369" spans="91:92" hidden="1">
      <c r="CM369" s="18">
        <f t="shared" si="203"/>
        <v>0</v>
      </c>
      <c r="CN369" s="18">
        <f t="shared" si="204"/>
        <v>0</v>
      </c>
    </row>
    <row r="370" spans="91:92" hidden="1">
      <c r="CM370" s="18">
        <f t="shared" si="203"/>
        <v>0</v>
      </c>
      <c r="CN370" s="18">
        <f t="shared" si="204"/>
        <v>0</v>
      </c>
    </row>
    <row r="371" spans="91:92" hidden="1">
      <c r="CM371" s="18">
        <f t="shared" si="203"/>
        <v>0</v>
      </c>
      <c r="CN371" s="18">
        <f t="shared" si="204"/>
        <v>0</v>
      </c>
    </row>
    <row r="372" spans="91:92" hidden="1">
      <c r="CM372" s="18">
        <f t="shared" si="203"/>
        <v>0</v>
      </c>
      <c r="CN372" s="18">
        <f t="shared" si="204"/>
        <v>0</v>
      </c>
    </row>
    <row r="373" spans="91:92" hidden="1">
      <c r="CM373" s="18">
        <f t="shared" si="203"/>
        <v>0</v>
      </c>
      <c r="CN373" s="18">
        <f t="shared" si="204"/>
        <v>0</v>
      </c>
    </row>
    <row r="374" spans="91:92" hidden="1">
      <c r="CM374" s="18">
        <f t="shared" si="203"/>
        <v>0</v>
      </c>
      <c r="CN374" s="18">
        <f t="shared" si="204"/>
        <v>0</v>
      </c>
    </row>
    <row r="375" spans="91:92" hidden="1">
      <c r="CM375" s="18">
        <f t="shared" si="203"/>
        <v>0</v>
      </c>
      <c r="CN375" s="18">
        <f t="shared" si="204"/>
        <v>0</v>
      </c>
    </row>
    <row r="376" spans="91:92" hidden="1">
      <c r="CM376" s="18">
        <f t="shared" si="203"/>
        <v>0</v>
      </c>
      <c r="CN376" s="18">
        <f t="shared" si="204"/>
        <v>0</v>
      </c>
    </row>
    <row r="377" spans="91:92" hidden="1">
      <c r="CM377" s="18">
        <f t="shared" si="203"/>
        <v>0</v>
      </c>
      <c r="CN377" s="18">
        <f t="shared" si="204"/>
        <v>0</v>
      </c>
    </row>
    <row r="378" spans="91:92" hidden="1">
      <c r="CM378" s="18">
        <f t="shared" si="203"/>
        <v>0</v>
      </c>
      <c r="CN378" s="18">
        <f t="shared" si="204"/>
        <v>0</v>
      </c>
    </row>
    <row r="379" spans="91:92" hidden="1">
      <c r="CM379" s="18">
        <f t="shared" si="203"/>
        <v>0</v>
      </c>
      <c r="CN379" s="18">
        <f t="shared" si="204"/>
        <v>0</v>
      </c>
    </row>
    <row r="380" spans="91:92" hidden="1">
      <c r="CM380" s="18">
        <f t="shared" si="203"/>
        <v>0</v>
      </c>
      <c r="CN380" s="18">
        <f t="shared" si="204"/>
        <v>0</v>
      </c>
    </row>
    <row r="381" spans="91:92" hidden="1">
      <c r="CM381" s="18">
        <f t="shared" si="203"/>
        <v>0</v>
      </c>
      <c r="CN381" s="18">
        <f t="shared" si="204"/>
        <v>0</v>
      </c>
    </row>
    <row r="382" spans="91:92" hidden="1">
      <c r="CM382" s="18">
        <f t="shared" si="203"/>
        <v>0</v>
      </c>
      <c r="CN382" s="18">
        <f t="shared" si="204"/>
        <v>0</v>
      </c>
    </row>
    <row r="383" spans="91:92" hidden="1">
      <c r="CM383" s="18">
        <f t="shared" si="203"/>
        <v>0</v>
      </c>
      <c r="CN383" s="18">
        <f t="shared" si="204"/>
        <v>0</v>
      </c>
    </row>
    <row r="384" spans="91:92" hidden="1">
      <c r="CM384" s="18">
        <f t="shared" si="203"/>
        <v>0</v>
      </c>
      <c r="CN384" s="18">
        <f t="shared" si="204"/>
        <v>0</v>
      </c>
    </row>
    <row r="385" spans="91:92" hidden="1">
      <c r="CM385" s="18">
        <f t="shared" si="203"/>
        <v>0</v>
      </c>
      <c r="CN385" s="18">
        <f t="shared" si="204"/>
        <v>0</v>
      </c>
    </row>
    <row r="386" spans="91:92" hidden="1">
      <c r="CM386" s="18">
        <f t="shared" si="203"/>
        <v>0</v>
      </c>
      <c r="CN386" s="18">
        <f t="shared" si="204"/>
        <v>0</v>
      </c>
    </row>
    <row r="387" spans="91:92" hidden="1">
      <c r="CM387" s="18">
        <f t="shared" si="203"/>
        <v>0</v>
      </c>
      <c r="CN387" s="18">
        <f t="shared" si="204"/>
        <v>0</v>
      </c>
    </row>
    <row r="388" spans="91:92" hidden="1">
      <c r="CM388" s="18">
        <f t="shared" si="203"/>
        <v>0</v>
      </c>
      <c r="CN388" s="18">
        <f t="shared" si="204"/>
        <v>0</v>
      </c>
    </row>
    <row r="389" spans="91:92" hidden="1">
      <c r="CM389" s="18">
        <f t="shared" si="203"/>
        <v>0</v>
      </c>
      <c r="CN389" s="18">
        <f t="shared" si="204"/>
        <v>0</v>
      </c>
    </row>
    <row r="390" spans="91:92" hidden="1">
      <c r="CM390" s="18">
        <f t="shared" si="203"/>
        <v>0</v>
      </c>
      <c r="CN390" s="18">
        <f t="shared" si="204"/>
        <v>0</v>
      </c>
    </row>
    <row r="391" spans="91:92" hidden="1">
      <c r="CM391" s="18">
        <f t="shared" si="203"/>
        <v>0</v>
      </c>
      <c r="CN391" s="18">
        <f t="shared" si="204"/>
        <v>0</v>
      </c>
    </row>
    <row r="392" spans="91:92" hidden="1">
      <c r="CM392" s="18">
        <f t="shared" si="203"/>
        <v>0</v>
      </c>
      <c r="CN392" s="18">
        <f t="shared" si="204"/>
        <v>0</v>
      </c>
    </row>
    <row r="393" spans="91:92" hidden="1">
      <c r="CM393" s="18">
        <f t="shared" si="203"/>
        <v>0</v>
      </c>
      <c r="CN393" s="18">
        <f t="shared" si="204"/>
        <v>0</v>
      </c>
    </row>
    <row r="394" spans="91:92" hidden="1">
      <c r="CM394" s="18">
        <f t="shared" si="203"/>
        <v>0</v>
      </c>
      <c r="CN394" s="18">
        <f t="shared" si="204"/>
        <v>0</v>
      </c>
    </row>
    <row r="395" spans="91:92" hidden="1">
      <c r="CM395" s="18">
        <f t="shared" si="203"/>
        <v>0</v>
      </c>
      <c r="CN395" s="18">
        <f t="shared" si="204"/>
        <v>0</v>
      </c>
    </row>
    <row r="396" spans="91:92" hidden="1">
      <c r="CM396" s="18">
        <f t="shared" si="203"/>
        <v>0</v>
      </c>
      <c r="CN396" s="18">
        <f t="shared" si="204"/>
        <v>0</v>
      </c>
    </row>
    <row r="397" spans="91:92" hidden="1">
      <c r="CM397" s="18">
        <f t="shared" si="203"/>
        <v>0</v>
      </c>
      <c r="CN397" s="18">
        <f t="shared" si="204"/>
        <v>0</v>
      </c>
    </row>
    <row r="398" spans="91:92" hidden="1">
      <c r="CM398" s="18">
        <f t="shared" si="203"/>
        <v>0</v>
      </c>
      <c r="CN398" s="18">
        <f t="shared" si="204"/>
        <v>0</v>
      </c>
    </row>
    <row r="399" spans="91:92" hidden="1">
      <c r="CM399" s="18">
        <f t="shared" si="203"/>
        <v>0</v>
      </c>
      <c r="CN399" s="18">
        <f t="shared" si="204"/>
        <v>0</v>
      </c>
    </row>
    <row r="400" spans="91:92" hidden="1">
      <c r="CM400" s="18">
        <f t="shared" si="203"/>
        <v>0</v>
      </c>
      <c r="CN400" s="18">
        <f t="shared" si="204"/>
        <v>0</v>
      </c>
    </row>
    <row r="401" spans="91:92" hidden="1">
      <c r="CM401" s="18">
        <f t="shared" ref="CM401:CM425" si="205">N401*AH401/1000</f>
        <v>0</v>
      </c>
      <c r="CN401" s="18">
        <f t="shared" ref="CN401:CN425" si="206">CM401-CL401</f>
        <v>0</v>
      </c>
    </row>
    <row r="402" spans="91:92" hidden="1">
      <c r="CM402" s="18">
        <f t="shared" si="205"/>
        <v>0</v>
      </c>
      <c r="CN402" s="18">
        <f t="shared" si="206"/>
        <v>0</v>
      </c>
    </row>
    <row r="403" spans="91:92" hidden="1">
      <c r="CM403" s="18">
        <f t="shared" si="205"/>
        <v>0</v>
      </c>
      <c r="CN403" s="18">
        <f t="shared" si="206"/>
        <v>0</v>
      </c>
    </row>
    <row r="404" spans="91:92" hidden="1">
      <c r="CM404" s="18">
        <f t="shared" si="205"/>
        <v>0</v>
      </c>
      <c r="CN404" s="18">
        <f t="shared" si="206"/>
        <v>0</v>
      </c>
    </row>
    <row r="405" spans="91:92" hidden="1">
      <c r="CM405" s="18">
        <f t="shared" si="205"/>
        <v>0</v>
      </c>
      <c r="CN405" s="18">
        <f t="shared" si="206"/>
        <v>0</v>
      </c>
    </row>
    <row r="406" spans="91:92" hidden="1">
      <c r="CM406" s="18">
        <f t="shared" si="205"/>
        <v>0</v>
      </c>
      <c r="CN406" s="18">
        <f t="shared" si="206"/>
        <v>0</v>
      </c>
    </row>
    <row r="407" spans="91:92" hidden="1">
      <c r="CM407" s="18">
        <f t="shared" si="205"/>
        <v>0</v>
      </c>
      <c r="CN407" s="18">
        <f t="shared" si="206"/>
        <v>0</v>
      </c>
    </row>
    <row r="408" spans="91:92" hidden="1">
      <c r="CM408" s="18">
        <f t="shared" si="205"/>
        <v>0</v>
      </c>
      <c r="CN408" s="18">
        <f t="shared" si="206"/>
        <v>0</v>
      </c>
    </row>
    <row r="409" spans="91:92" hidden="1">
      <c r="CM409" s="18">
        <f t="shared" si="205"/>
        <v>0</v>
      </c>
      <c r="CN409" s="18">
        <f t="shared" si="206"/>
        <v>0</v>
      </c>
    </row>
    <row r="410" spans="91:92" hidden="1">
      <c r="CM410" s="18">
        <f t="shared" si="205"/>
        <v>0</v>
      </c>
      <c r="CN410" s="18">
        <f t="shared" si="206"/>
        <v>0</v>
      </c>
    </row>
    <row r="411" spans="91:92" hidden="1">
      <c r="CM411" s="18">
        <f t="shared" si="205"/>
        <v>0</v>
      </c>
      <c r="CN411" s="18">
        <f t="shared" si="206"/>
        <v>0</v>
      </c>
    </row>
    <row r="412" spans="91:92" hidden="1">
      <c r="CM412" s="18">
        <f t="shared" si="205"/>
        <v>0</v>
      </c>
      <c r="CN412" s="18">
        <f t="shared" si="206"/>
        <v>0</v>
      </c>
    </row>
    <row r="413" spans="91:92" hidden="1">
      <c r="CM413" s="18">
        <f t="shared" si="205"/>
        <v>0</v>
      </c>
      <c r="CN413" s="18">
        <f t="shared" si="206"/>
        <v>0</v>
      </c>
    </row>
    <row r="414" spans="91:92" hidden="1">
      <c r="CM414" s="18">
        <f t="shared" si="205"/>
        <v>0</v>
      </c>
      <c r="CN414" s="18">
        <f t="shared" si="206"/>
        <v>0</v>
      </c>
    </row>
    <row r="415" spans="91:92" hidden="1">
      <c r="CM415" s="18">
        <f t="shared" si="205"/>
        <v>0</v>
      </c>
      <c r="CN415" s="18">
        <f t="shared" si="206"/>
        <v>0</v>
      </c>
    </row>
    <row r="416" spans="91:92" hidden="1">
      <c r="CM416" s="18">
        <f t="shared" si="205"/>
        <v>0</v>
      </c>
      <c r="CN416" s="18">
        <f t="shared" si="206"/>
        <v>0</v>
      </c>
    </row>
    <row r="417" spans="21:92" hidden="1">
      <c r="CM417" s="18">
        <f t="shared" si="205"/>
        <v>0</v>
      </c>
      <c r="CN417" s="18">
        <f t="shared" si="206"/>
        <v>0</v>
      </c>
    </row>
    <row r="418" spans="21:92" hidden="1">
      <c r="CM418" s="18">
        <f t="shared" si="205"/>
        <v>0</v>
      </c>
      <c r="CN418" s="18">
        <f t="shared" si="206"/>
        <v>0</v>
      </c>
    </row>
    <row r="419" spans="21:92" hidden="1">
      <c r="CM419" s="18">
        <f t="shared" si="205"/>
        <v>0</v>
      </c>
      <c r="CN419" s="18">
        <f t="shared" si="206"/>
        <v>0</v>
      </c>
    </row>
    <row r="420" spans="21:92" hidden="1">
      <c r="CM420" s="18">
        <f t="shared" si="205"/>
        <v>0</v>
      </c>
      <c r="CN420" s="18">
        <f t="shared" si="206"/>
        <v>0</v>
      </c>
    </row>
    <row r="421" spans="21:92" hidden="1">
      <c r="CM421" s="18">
        <f t="shared" si="205"/>
        <v>0</v>
      </c>
      <c r="CN421" s="18">
        <f t="shared" si="206"/>
        <v>0</v>
      </c>
    </row>
    <row r="422" spans="21:92" hidden="1">
      <c r="CM422" s="18">
        <f t="shared" si="205"/>
        <v>0</v>
      </c>
      <c r="CN422" s="18">
        <f t="shared" si="206"/>
        <v>0</v>
      </c>
    </row>
    <row r="423" spans="21:92" hidden="1">
      <c r="CM423" s="18">
        <f t="shared" si="205"/>
        <v>0</v>
      </c>
      <c r="CN423" s="18">
        <f t="shared" si="206"/>
        <v>0</v>
      </c>
    </row>
    <row r="424" spans="21:92" hidden="1">
      <c r="CM424" s="18">
        <f t="shared" si="205"/>
        <v>0</v>
      </c>
      <c r="CN424" s="18">
        <f t="shared" si="206"/>
        <v>0</v>
      </c>
    </row>
    <row r="425" spans="21:92" hidden="1">
      <c r="CM425" s="18">
        <f t="shared" si="205"/>
        <v>0</v>
      </c>
      <c r="CN425" s="18">
        <f t="shared" si="206"/>
        <v>0</v>
      </c>
    </row>
    <row r="427" spans="21:92">
      <c r="BH427" s="6">
        <f>+(O49-Q49)/1.2*AC49/1000</f>
        <v>820.14874912033179</v>
      </c>
      <c r="BJ427" s="754"/>
      <c r="CL427" s="753"/>
    </row>
    <row r="428" spans="21:92">
      <c r="BJ428" s="8"/>
    </row>
    <row r="429" spans="21:92">
      <c r="AP429" s="754">
        <f>AL142+AM142</f>
        <v>433308</v>
      </c>
    </row>
    <row r="430" spans="21:92">
      <c r="V430" s="6"/>
    </row>
    <row r="431" spans="21:92">
      <c r="V431" s="6"/>
      <c r="AP431" s="754">
        <f>AP429-AP142</f>
        <v>-499</v>
      </c>
    </row>
    <row r="432" spans="21:92">
      <c r="U432" s="1402">
        <v>1551.42</v>
      </c>
      <c r="V432" s="1402">
        <v>1117.3499999999999</v>
      </c>
      <c r="W432" s="1402">
        <v>2668.77</v>
      </c>
    </row>
    <row r="433" spans="19:90">
      <c r="V433" s="6"/>
      <c r="X433" s="837"/>
      <c r="Z433" s="837"/>
    </row>
    <row r="434" spans="19:90">
      <c r="S434" s="30" t="s">
        <v>280</v>
      </c>
      <c r="T434" s="6" t="s">
        <v>563</v>
      </c>
      <c r="U434" s="6">
        <f>U59</f>
        <v>2970.0699999999997</v>
      </c>
      <c r="V434" s="6">
        <f>AB59</f>
        <v>2227.5500000000002</v>
      </c>
      <c r="W434" s="6">
        <f>U434+V434</f>
        <v>5197.62</v>
      </c>
      <c r="Y434" s="837"/>
    </row>
    <row r="435" spans="19:90">
      <c r="T435" s="30" t="s">
        <v>991</v>
      </c>
      <c r="V435" s="6"/>
      <c r="CL435" s="6">
        <f>CL58+CL59</f>
        <v>77816.543063519988</v>
      </c>
    </row>
    <row r="436" spans="19:90">
      <c r="V436" s="837"/>
      <c r="W436" s="837"/>
      <c r="CL436" s="6">
        <f>CL435/1.2</f>
        <v>64847.11921959999</v>
      </c>
    </row>
    <row r="437" spans="19:90">
      <c r="S437" s="6" t="s">
        <v>992</v>
      </c>
      <c r="T437" s="6" t="s">
        <v>563</v>
      </c>
      <c r="U437" s="6">
        <f>U58</f>
        <v>2152.96</v>
      </c>
      <c r="V437" s="6">
        <f>AB58</f>
        <v>1614.72</v>
      </c>
      <c r="W437" s="6">
        <f>U437+V437</f>
        <v>3767.6800000000003</v>
      </c>
      <c r="CL437" s="6">
        <v>42113.565977463193</v>
      </c>
    </row>
    <row r="438" spans="19:90">
      <c r="T438" s="30" t="s">
        <v>991</v>
      </c>
      <c r="U438" s="9">
        <f>U445-U437</f>
        <v>2797.71</v>
      </c>
      <c r="V438" s="9">
        <f>V445-V437</f>
        <v>1912.28</v>
      </c>
      <c r="W438" s="6">
        <f>W445-W437</f>
        <v>4709.99</v>
      </c>
    </row>
    <row r="439" spans="19:90">
      <c r="V439" s="6"/>
    </row>
    <row r="440" spans="19:90">
      <c r="V440" s="6"/>
    </row>
    <row r="441" spans="19:90">
      <c r="V441" s="6"/>
    </row>
    <row r="442" spans="19:90">
      <c r="V442" s="6"/>
    </row>
    <row r="443" spans="19:90">
      <c r="V443" s="6"/>
    </row>
    <row r="444" spans="19:90">
      <c r="V444" s="6"/>
      <c r="CL444" s="753">
        <f>CL8/1.2</f>
        <v>237952.8892225</v>
      </c>
    </row>
    <row r="445" spans="19:90">
      <c r="U445" s="1401">
        <v>4950.67</v>
      </c>
      <c r="V445" s="1401">
        <v>3527</v>
      </c>
      <c r="W445" s="1402">
        <v>8477.67</v>
      </c>
      <c r="CL445" s="754">
        <v>622789.14354952786</v>
      </c>
    </row>
    <row r="446" spans="19:90">
      <c r="V446" s="6"/>
      <c r="CL446" s="6">
        <v>640879.24932240241</v>
      </c>
    </row>
    <row r="447" spans="19:90">
      <c r="V447" s="6"/>
      <c r="CL447" s="753">
        <f>CL446-CL8/1.2</f>
        <v>402926.36009990238</v>
      </c>
    </row>
    <row r="448" spans="19:90">
      <c r="V448" s="6"/>
    </row>
    <row r="449" spans="22:22">
      <c r="V449" s="6"/>
    </row>
    <row r="450" spans="22:22">
      <c r="V450" s="6"/>
    </row>
    <row r="451" spans="22:22">
      <c r="V451" s="6"/>
    </row>
  </sheetData>
  <autoFilter ref="A13:GI425">
    <filterColumn colId="2">
      <filters>
        <filter val="г.Курчатов"/>
      </filters>
    </filterColumn>
    <filterColumn colId="93" showButton="0"/>
    <filterColumn colId="94" showButton="0"/>
    <filterColumn colId="96" showButton="0"/>
    <filterColumn colId="97" showButton="0"/>
  </autoFilter>
  <dataConsolidate link="1"/>
  <mergeCells count="95">
    <mergeCell ref="F10:F13"/>
    <mergeCell ref="A10:A13"/>
    <mergeCell ref="B10:B13"/>
    <mergeCell ref="C10:C13"/>
    <mergeCell ref="D10:D13"/>
    <mergeCell ref="E10:E13"/>
    <mergeCell ref="G10:G13"/>
    <mergeCell ref="H10:S10"/>
    <mergeCell ref="T10:AG10"/>
    <mergeCell ref="AH10:AQ10"/>
    <mergeCell ref="AS10:BF10"/>
    <mergeCell ref="S12:S13"/>
    <mergeCell ref="T12:T13"/>
    <mergeCell ref="U12:V12"/>
    <mergeCell ref="W12:W13"/>
    <mergeCell ref="AS11:AY11"/>
    <mergeCell ref="AZ11:BF11"/>
    <mergeCell ref="AD12:AD13"/>
    <mergeCell ref="H12:H13"/>
    <mergeCell ref="I12:I13"/>
    <mergeCell ref="J12:K12"/>
    <mergeCell ref="L12:L13"/>
    <mergeCell ref="BL10:BY10"/>
    <mergeCell ref="BZ10:BZ13"/>
    <mergeCell ref="CA10:CA13"/>
    <mergeCell ref="BL11:BR11"/>
    <mergeCell ref="BS11:BY11"/>
    <mergeCell ref="BL12:BL13"/>
    <mergeCell ref="BY12:BY13"/>
    <mergeCell ref="BG10:BI10"/>
    <mergeCell ref="H11:M11"/>
    <mergeCell ref="N11:S11"/>
    <mergeCell ref="T11:Z11"/>
    <mergeCell ref="AA11:AG11"/>
    <mergeCell ref="AI11:AQ11"/>
    <mergeCell ref="DI11:DI13"/>
    <mergeCell ref="CS13:CU13"/>
    <mergeCell ref="CX10:CZ10"/>
    <mergeCell ref="DA10:DB10"/>
    <mergeCell ref="DH10:DJ10"/>
    <mergeCell ref="CP10:CW10"/>
    <mergeCell ref="DJ11:DJ13"/>
    <mergeCell ref="M12:M13"/>
    <mergeCell ref="N12:N13"/>
    <mergeCell ref="O12:O13"/>
    <mergeCell ref="P12:Q12"/>
    <mergeCell ref="R12:R13"/>
    <mergeCell ref="CL11:CL13"/>
    <mergeCell ref="CO11:CO13"/>
    <mergeCell ref="DA11:DA13"/>
    <mergeCell ref="DB11:DB13"/>
    <mergeCell ref="DH11:DH13"/>
    <mergeCell ref="X12:X13"/>
    <mergeCell ref="Y12:Y13"/>
    <mergeCell ref="Z12:Z13"/>
    <mergeCell ref="AA12:AA13"/>
    <mergeCell ref="AB12:AC12"/>
    <mergeCell ref="AS12:AS13"/>
    <mergeCell ref="AE12:AE13"/>
    <mergeCell ref="AF12:AF13"/>
    <mergeCell ref="AG12:AG13"/>
    <mergeCell ref="AI12:AI13"/>
    <mergeCell ref="AJ12:AK12"/>
    <mergeCell ref="AL12:AL13"/>
    <mergeCell ref="AM12:AM13"/>
    <mergeCell ref="AN12:AN13"/>
    <mergeCell ref="AO12:AO13"/>
    <mergeCell ref="AP12:AP13"/>
    <mergeCell ref="AQ12:AQ13"/>
    <mergeCell ref="AT12:AU12"/>
    <mergeCell ref="AV12:AV13"/>
    <mergeCell ref="AW12:AW13"/>
    <mergeCell ref="AX12:AX13"/>
    <mergeCell ref="AY12:AY13"/>
    <mergeCell ref="AZ12:AZ13"/>
    <mergeCell ref="BA12:BB12"/>
    <mergeCell ref="BC12:BC13"/>
    <mergeCell ref="BD12:BD13"/>
    <mergeCell ref="BE12:BE13"/>
    <mergeCell ref="BF12:BF13"/>
    <mergeCell ref="CP13:CR13"/>
    <mergeCell ref="BM12:BN12"/>
    <mergeCell ref="BO12:BO13"/>
    <mergeCell ref="BP12:BP13"/>
    <mergeCell ref="BQ12:BQ13"/>
    <mergeCell ref="BR12:BR13"/>
    <mergeCell ref="BS12:BS13"/>
    <mergeCell ref="CB10:CB13"/>
    <mergeCell ref="CJ10:CL10"/>
    <mergeCell ref="CJ11:CJ13"/>
    <mergeCell ref="CK11:CK13"/>
    <mergeCell ref="BT12:BU12"/>
    <mergeCell ref="BV12:BV13"/>
    <mergeCell ref="BW12:BW13"/>
    <mergeCell ref="BX12:BX13"/>
  </mergeCells>
  <pageMargins left="0.11811023622047245" right="0.11811023622047245" top="0.35433070866141736" bottom="0.35433070866141736" header="0.31496062992125984" footer="0.31496062992125984"/>
  <pageSetup paperSize="9" scale="55" fitToWidth="2" fitToHeight="0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4">
    <tabColor rgb="FFFF0000"/>
  </sheetPr>
  <dimension ref="A1:GI408"/>
  <sheetViews>
    <sheetView topLeftCell="A4" zoomScale="85" zoomScaleNormal="85" workbookViewId="0">
      <pane xSplit="4" ySplit="10" topLeftCell="E127" activePane="bottomRight" state="frozen"/>
      <selection activeCell="G125" sqref="G125"/>
      <selection pane="topRight" activeCell="G125" sqref="G125"/>
      <selection pane="bottomLeft" activeCell="G125" sqref="G125"/>
      <selection pane="bottomRight" activeCell="G131" sqref="G131"/>
    </sheetView>
  </sheetViews>
  <sheetFormatPr defaultRowHeight="15"/>
  <cols>
    <col min="1" max="1" width="9.140625" style="6" hidden="1" customWidth="1"/>
    <col min="2" max="2" width="17.42578125" style="6" customWidth="1"/>
    <col min="3" max="3" width="16.7109375" style="6" customWidth="1"/>
    <col min="4" max="4" width="24.140625" style="6" customWidth="1"/>
    <col min="5" max="5" width="19.28515625" style="6" customWidth="1"/>
    <col min="6" max="6" width="10.5703125" style="6" customWidth="1"/>
    <col min="7" max="7" width="27.28515625" style="6" customWidth="1"/>
    <col min="8" max="8" width="11.140625" style="6" customWidth="1"/>
    <col min="9" max="9" width="13.140625" style="6" customWidth="1"/>
    <col min="10" max="10" width="13.42578125" style="6" customWidth="1"/>
    <col min="11" max="11" width="12.5703125" style="6" customWidth="1"/>
    <col min="12" max="12" width="11.140625" style="6" customWidth="1"/>
    <col min="13" max="13" width="12.42578125" style="6" customWidth="1"/>
    <col min="14" max="16" width="11.140625" style="6" customWidth="1"/>
    <col min="17" max="17" width="15.7109375" style="6" customWidth="1"/>
    <col min="18" max="18" width="13.140625" style="6" customWidth="1"/>
    <col min="19" max="19" width="12.5703125" style="6" customWidth="1"/>
    <col min="20" max="20" width="15.42578125" style="30" customWidth="1"/>
    <col min="21" max="21" width="19.140625" style="6" customWidth="1"/>
    <col min="22" max="22" width="17.5703125" style="222" customWidth="1"/>
    <col min="23" max="23" width="15.28515625" style="6" customWidth="1"/>
    <col min="24" max="24" width="15.85546875" style="6" customWidth="1"/>
    <col min="25" max="25" width="16.85546875" style="6" customWidth="1"/>
    <col min="26" max="26" width="17.140625" style="6" customWidth="1"/>
    <col min="27" max="27" width="16.5703125" style="30" customWidth="1"/>
    <col min="28" max="28" width="15.42578125" style="6" customWidth="1"/>
    <col min="29" max="29" width="15.7109375" style="222" customWidth="1"/>
    <col min="30" max="31" width="18.140625" style="6" customWidth="1"/>
    <col min="32" max="32" width="16.28515625" style="6" customWidth="1"/>
    <col min="33" max="33" width="18.28515625" style="6" customWidth="1"/>
    <col min="34" max="34" width="22.42578125" style="6" customWidth="1"/>
    <col min="35" max="35" width="17.7109375" style="6" customWidth="1"/>
    <col min="36" max="36" width="18.7109375" style="6" customWidth="1"/>
    <col min="37" max="37" width="17" style="6" customWidth="1"/>
    <col min="38" max="38" width="13.7109375" style="6" customWidth="1"/>
    <col min="39" max="39" width="14.28515625" style="6" customWidth="1"/>
    <col min="40" max="40" width="12.7109375" style="6" customWidth="1"/>
    <col min="41" max="41" width="15.85546875" style="6" customWidth="1"/>
    <col min="42" max="42" width="16.5703125" style="6" customWidth="1"/>
    <col min="43" max="43" width="17" style="6" customWidth="1"/>
    <col min="44" max="44" width="17" style="42" customWidth="1"/>
    <col min="45" max="45" width="19.140625" style="6" customWidth="1"/>
    <col min="46" max="46" width="19.28515625" style="6" customWidth="1"/>
    <col min="47" max="47" width="19.140625" style="6" customWidth="1"/>
    <col min="48" max="48" width="19.7109375" style="6" customWidth="1"/>
    <col min="49" max="49" width="20" style="6" customWidth="1"/>
    <col min="50" max="50" width="21.28515625" style="6" customWidth="1"/>
    <col min="51" max="51" width="20.42578125" style="6" customWidth="1"/>
    <col min="52" max="52" width="21.7109375" style="6" customWidth="1"/>
    <col min="53" max="53" width="20.140625" style="6" customWidth="1"/>
    <col min="54" max="54" width="18.5703125" style="6" customWidth="1"/>
    <col min="55" max="55" width="19.42578125" style="6" customWidth="1"/>
    <col min="56" max="56" width="17.5703125" style="6" customWidth="1"/>
    <col min="57" max="57" width="20.140625" style="6" customWidth="1"/>
    <col min="58" max="58" width="20.85546875" style="6" customWidth="1"/>
    <col min="59" max="59" width="19.7109375" style="6" customWidth="1"/>
    <col min="60" max="60" width="17.140625" style="6" customWidth="1"/>
    <col min="61" max="61" width="18.85546875" style="6" customWidth="1"/>
    <col min="62" max="62" width="19.7109375" style="6" customWidth="1"/>
    <col min="63" max="63" width="18.85546875" style="6" customWidth="1"/>
    <col min="64" max="64" width="20.140625" style="6" customWidth="1"/>
    <col min="65" max="65" width="19.85546875" style="6" customWidth="1"/>
    <col min="66" max="66" width="21.42578125" style="6" customWidth="1"/>
    <col min="67" max="67" width="20.5703125" style="6" customWidth="1"/>
    <col min="68" max="68" width="16.28515625" style="6" customWidth="1"/>
    <col min="69" max="70" width="16" style="6" customWidth="1"/>
    <col min="71" max="71" width="16.28515625" style="6" customWidth="1"/>
    <col min="72" max="72" width="17.140625" style="6" customWidth="1"/>
    <col min="73" max="73" width="16.7109375" style="6" customWidth="1"/>
    <col min="74" max="74" width="15.42578125" style="6" customWidth="1"/>
    <col min="75" max="75" width="16" style="6" customWidth="1"/>
    <col min="76" max="76" width="16.140625" style="6" customWidth="1"/>
    <col min="77" max="79" width="16.5703125" style="6" customWidth="1"/>
    <col min="80" max="80" width="21" style="6" customWidth="1"/>
    <col min="81" max="81" width="23.42578125" style="6" customWidth="1"/>
    <col min="82" max="82" width="17.140625" style="6" customWidth="1"/>
    <col min="83" max="83" width="22.7109375" style="6" customWidth="1"/>
    <col min="84" max="84" width="20.85546875" style="6" customWidth="1"/>
    <col min="85" max="85" width="20.28515625" style="6" customWidth="1"/>
    <col min="86" max="86" width="18.7109375" style="6" customWidth="1"/>
    <col min="87" max="87" width="13.28515625" style="6" customWidth="1"/>
    <col min="88" max="88" width="22.85546875" style="6" customWidth="1"/>
    <col min="89" max="89" width="20.28515625" style="6" customWidth="1"/>
    <col min="90" max="90" width="21" style="6" customWidth="1"/>
    <col min="91" max="92" width="21" style="13" customWidth="1"/>
    <col min="93" max="93" width="21.7109375" style="6" customWidth="1"/>
    <col min="94" max="94" width="21.140625" style="6" customWidth="1"/>
    <col min="95" max="96" width="18.28515625" style="6" customWidth="1"/>
    <col min="97" max="99" width="20" style="6" customWidth="1"/>
    <col min="100" max="100" width="19.140625" style="6" customWidth="1"/>
    <col min="101" max="101" width="26.28515625" style="821" customWidth="1"/>
    <col min="102" max="104" width="21.28515625" style="6" customWidth="1"/>
    <col min="105" max="105" width="21" style="6" customWidth="1"/>
    <col min="106" max="106" width="20.28515625" style="6" customWidth="1"/>
    <col min="107" max="111" width="9.140625" style="27" customWidth="1"/>
    <col min="112" max="112" width="24.7109375" style="6" customWidth="1"/>
    <col min="113" max="114" width="22.28515625" style="6" customWidth="1"/>
    <col min="115" max="115" width="9.140625" style="6" customWidth="1"/>
    <col min="116" max="116" width="20.140625" style="219" bestFit="1" customWidth="1"/>
    <col min="117" max="118" width="20.140625" style="6" bestFit="1" customWidth="1"/>
    <col min="119" max="119" width="9.140625" style="6" customWidth="1"/>
    <col min="120" max="16384" width="9.140625" style="6"/>
  </cols>
  <sheetData>
    <row r="1" spans="1:142">
      <c r="A1" s="6">
        <v>1</v>
      </c>
      <c r="B1" s="6">
        <v>2</v>
      </c>
      <c r="C1" s="6">
        <v>3</v>
      </c>
      <c r="D1" s="6">
        <f t="shared" ref="D1:BO1" si="0">C1+1</f>
        <v>4</v>
      </c>
      <c r="E1" s="6">
        <f>D1+1</f>
        <v>5</v>
      </c>
      <c r="F1" s="6">
        <f t="shared" si="0"/>
        <v>6</v>
      </c>
      <c r="G1" s="6">
        <f t="shared" si="0"/>
        <v>7</v>
      </c>
      <c r="H1" s="6">
        <f t="shared" si="0"/>
        <v>8</v>
      </c>
      <c r="I1" s="6">
        <f t="shared" si="0"/>
        <v>9</v>
      </c>
      <c r="J1" s="6">
        <f t="shared" si="0"/>
        <v>10</v>
      </c>
      <c r="K1" s="6">
        <f t="shared" si="0"/>
        <v>11</v>
      </c>
      <c r="L1" s="6">
        <f t="shared" si="0"/>
        <v>12</v>
      </c>
      <c r="M1" s="6">
        <f t="shared" si="0"/>
        <v>13</v>
      </c>
      <c r="N1" s="6">
        <f t="shared" si="0"/>
        <v>14</v>
      </c>
      <c r="O1" s="6">
        <f t="shared" si="0"/>
        <v>15</v>
      </c>
      <c r="P1" s="6">
        <f t="shared" si="0"/>
        <v>16</v>
      </c>
      <c r="Q1" s="6">
        <f t="shared" si="0"/>
        <v>17</v>
      </c>
      <c r="R1" s="6">
        <f t="shared" si="0"/>
        <v>18</v>
      </c>
      <c r="S1" s="6">
        <f t="shared" si="0"/>
        <v>19</v>
      </c>
      <c r="T1" s="6">
        <f t="shared" si="0"/>
        <v>20</v>
      </c>
      <c r="U1" s="6">
        <f t="shared" si="0"/>
        <v>21</v>
      </c>
      <c r="V1" s="222">
        <f t="shared" si="0"/>
        <v>22</v>
      </c>
      <c r="W1" s="6">
        <f t="shared" si="0"/>
        <v>23</v>
      </c>
      <c r="X1" s="6">
        <f t="shared" si="0"/>
        <v>24</v>
      </c>
      <c r="Y1" s="6">
        <f t="shared" si="0"/>
        <v>25</v>
      </c>
      <c r="Z1" s="6">
        <f t="shared" si="0"/>
        <v>26</v>
      </c>
      <c r="AA1" s="6">
        <f t="shared" si="0"/>
        <v>27</v>
      </c>
      <c r="AB1" s="6">
        <f t="shared" si="0"/>
        <v>28</v>
      </c>
      <c r="AC1" s="222">
        <f t="shared" si="0"/>
        <v>29</v>
      </c>
      <c r="AD1" s="6">
        <f t="shared" si="0"/>
        <v>30</v>
      </c>
      <c r="AE1" s="6">
        <f t="shared" si="0"/>
        <v>31</v>
      </c>
      <c r="AF1" s="6">
        <f t="shared" si="0"/>
        <v>32</v>
      </c>
      <c r="AG1" s="6">
        <f t="shared" si="0"/>
        <v>33</v>
      </c>
      <c r="AH1" s="6">
        <f t="shared" si="0"/>
        <v>34</v>
      </c>
      <c r="AI1" s="6">
        <f t="shared" si="0"/>
        <v>35</v>
      </c>
      <c r="AJ1" s="6">
        <f t="shared" si="0"/>
        <v>36</v>
      </c>
      <c r="AK1" s="6">
        <f t="shared" si="0"/>
        <v>37</v>
      </c>
      <c r="AL1" s="6">
        <f t="shared" si="0"/>
        <v>38</v>
      </c>
      <c r="AM1" s="6">
        <f t="shared" si="0"/>
        <v>39</v>
      </c>
      <c r="AN1" s="6">
        <f t="shared" si="0"/>
        <v>40</v>
      </c>
      <c r="AO1" s="6">
        <f t="shared" si="0"/>
        <v>41</v>
      </c>
      <c r="AP1" s="6">
        <f t="shared" si="0"/>
        <v>42</v>
      </c>
      <c r="AQ1" s="6">
        <f t="shared" si="0"/>
        <v>43</v>
      </c>
      <c r="AR1" s="6">
        <f t="shared" si="0"/>
        <v>44</v>
      </c>
      <c r="AS1" s="6">
        <f t="shared" si="0"/>
        <v>45</v>
      </c>
      <c r="AT1" s="6">
        <f t="shared" si="0"/>
        <v>46</v>
      </c>
      <c r="AU1" s="6">
        <f t="shared" si="0"/>
        <v>47</v>
      </c>
      <c r="AV1" s="6">
        <f t="shared" si="0"/>
        <v>48</v>
      </c>
      <c r="AW1" s="6">
        <f t="shared" si="0"/>
        <v>49</v>
      </c>
      <c r="AX1" s="6">
        <f t="shared" si="0"/>
        <v>50</v>
      </c>
      <c r="AY1" s="6">
        <f t="shared" si="0"/>
        <v>51</v>
      </c>
      <c r="AZ1" s="6">
        <f t="shared" si="0"/>
        <v>52</v>
      </c>
      <c r="BA1" s="6">
        <f t="shared" si="0"/>
        <v>53</v>
      </c>
      <c r="BB1" s="6">
        <f t="shared" si="0"/>
        <v>54</v>
      </c>
      <c r="BC1" s="6">
        <f t="shared" si="0"/>
        <v>55</v>
      </c>
      <c r="BD1" s="6">
        <f t="shared" si="0"/>
        <v>56</v>
      </c>
      <c r="BE1" s="6">
        <f t="shared" si="0"/>
        <v>57</v>
      </c>
      <c r="BF1" s="6">
        <f t="shared" si="0"/>
        <v>58</v>
      </c>
      <c r="BG1" s="6">
        <f t="shared" si="0"/>
        <v>59</v>
      </c>
      <c r="BH1" s="6">
        <f t="shared" si="0"/>
        <v>60</v>
      </c>
      <c r="BI1" s="6">
        <f t="shared" si="0"/>
        <v>61</v>
      </c>
      <c r="BL1" s="6">
        <f>BI1+1</f>
        <v>62</v>
      </c>
      <c r="BM1" s="6">
        <f t="shared" si="0"/>
        <v>63</v>
      </c>
      <c r="BN1" s="6">
        <f t="shared" si="0"/>
        <v>64</v>
      </c>
      <c r="BO1" s="6">
        <f t="shared" si="0"/>
        <v>65</v>
      </c>
      <c r="BP1" s="6">
        <f t="shared" ref="BP1:DB1" si="1">BO1+1</f>
        <v>66</v>
      </c>
      <c r="BQ1" s="6">
        <f t="shared" si="1"/>
        <v>67</v>
      </c>
      <c r="BR1" s="6">
        <f t="shared" si="1"/>
        <v>68</v>
      </c>
      <c r="BS1" s="6">
        <f t="shared" si="1"/>
        <v>69</v>
      </c>
      <c r="BT1" s="6">
        <f t="shared" si="1"/>
        <v>70</v>
      </c>
      <c r="BU1" s="6">
        <f t="shared" si="1"/>
        <v>71</v>
      </c>
      <c r="BV1" s="6">
        <f t="shared" si="1"/>
        <v>72</v>
      </c>
      <c r="BW1" s="6">
        <f t="shared" si="1"/>
        <v>73</v>
      </c>
      <c r="BX1" s="6">
        <f t="shared" si="1"/>
        <v>74</v>
      </c>
      <c r="BY1" s="6">
        <f t="shared" si="1"/>
        <v>75</v>
      </c>
      <c r="BZ1" s="6">
        <f t="shared" si="1"/>
        <v>76</v>
      </c>
      <c r="CA1" s="6">
        <f t="shared" si="1"/>
        <v>77</v>
      </c>
      <c r="CB1" s="6">
        <f t="shared" si="1"/>
        <v>78</v>
      </c>
      <c r="CC1" s="6">
        <f t="shared" si="1"/>
        <v>79</v>
      </c>
      <c r="CD1" s="6">
        <f t="shared" si="1"/>
        <v>80</v>
      </c>
      <c r="CE1" s="6">
        <f t="shared" si="1"/>
        <v>81</v>
      </c>
      <c r="CF1" s="6">
        <f t="shared" si="1"/>
        <v>82</v>
      </c>
      <c r="CG1" s="6">
        <f t="shared" si="1"/>
        <v>83</v>
      </c>
      <c r="CH1" s="6">
        <f t="shared" si="1"/>
        <v>84</v>
      </c>
      <c r="CI1" s="6">
        <f t="shared" si="1"/>
        <v>85</v>
      </c>
      <c r="CJ1" s="6">
        <f t="shared" si="1"/>
        <v>86</v>
      </c>
      <c r="CK1" s="6">
        <f t="shared" si="1"/>
        <v>87</v>
      </c>
      <c r="CL1" s="6">
        <f t="shared" si="1"/>
        <v>88</v>
      </c>
      <c r="CO1" s="6">
        <f>CL1+1</f>
        <v>89</v>
      </c>
      <c r="CP1" s="6">
        <f t="shared" si="1"/>
        <v>90</v>
      </c>
      <c r="CQ1" s="6">
        <f t="shared" si="1"/>
        <v>91</v>
      </c>
      <c r="CR1" s="6">
        <f t="shared" si="1"/>
        <v>92</v>
      </c>
      <c r="CS1" s="6">
        <f t="shared" si="1"/>
        <v>93</v>
      </c>
      <c r="CT1" s="6">
        <f t="shared" si="1"/>
        <v>94</v>
      </c>
      <c r="CU1" s="6">
        <f t="shared" si="1"/>
        <v>95</v>
      </c>
      <c r="CV1" s="6">
        <f t="shared" si="1"/>
        <v>96</v>
      </c>
      <c r="CW1" s="821">
        <f t="shared" si="1"/>
        <v>97</v>
      </c>
      <c r="CX1" s="6">
        <f t="shared" si="1"/>
        <v>98</v>
      </c>
      <c r="CY1" s="6">
        <f t="shared" si="1"/>
        <v>99</v>
      </c>
      <c r="CZ1" s="6">
        <f t="shared" si="1"/>
        <v>100</v>
      </c>
      <c r="DA1" s="6">
        <f t="shared" si="1"/>
        <v>101</v>
      </c>
      <c r="DB1" s="6">
        <f t="shared" si="1"/>
        <v>102</v>
      </c>
    </row>
    <row r="3" spans="1:142">
      <c r="B3" s="2"/>
      <c r="C3" s="2"/>
      <c r="D3" s="2"/>
      <c r="E3" s="2"/>
      <c r="F3" s="2"/>
      <c r="G3" s="2"/>
      <c r="AH3" s="6">
        <v>11100.263467004976</v>
      </c>
    </row>
    <row r="4" spans="1:142" ht="15" hidden="1" customHeight="1">
      <c r="B4" s="2"/>
      <c r="C4" s="2"/>
      <c r="D4" s="2"/>
      <c r="E4" s="2"/>
      <c r="F4" s="2"/>
      <c r="G4" s="2"/>
      <c r="AH4" s="6">
        <v>11100.263467004976</v>
      </c>
      <c r="CJ4" s="25">
        <f>CJ6*1000-CJ5</f>
        <v>3548597913.2405906</v>
      </c>
      <c r="CK4" s="25">
        <f>CK6*1000-CK5</f>
        <v>3122803073.0456161</v>
      </c>
      <c r="CM4" s="6"/>
      <c r="CN4" s="6"/>
      <c r="DH4" s="25"/>
      <c r="DI4" s="25"/>
    </row>
    <row r="5" spans="1:142" ht="15" hidden="1" customHeight="1">
      <c r="B5" s="2"/>
      <c r="C5" s="2"/>
      <c r="D5" s="2"/>
      <c r="E5" s="2"/>
      <c r="F5" s="2"/>
      <c r="G5" s="2"/>
      <c r="AH5" s="6">
        <v>11100.263467004976</v>
      </c>
      <c r="CJ5" s="6">
        <f>299808.113340764*1000</f>
        <v>299808113.34076399</v>
      </c>
      <c r="CK5" s="6">
        <f>203653.415106384*1000</f>
        <v>203653415.10638401</v>
      </c>
      <c r="CM5" s="6"/>
      <c r="CN5" s="6"/>
    </row>
    <row r="6" spans="1:142" ht="15" hidden="1" customHeight="1">
      <c r="B6" s="2"/>
      <c r="C6" s="2"/>
      <c r="D6" s="2"/>
      <c r="E6" s="2"/>
      <c r="F6" s="2"/>
      <c r="G6" s="2"/>
      <c r="V6" s="231"/>
      <c r="Z6" s="8" t="e">
        <f>R15*#REF!/1000</f>
        <v>#REF!</v>
      </c>
      <c r="AH6" s="6">
        <v>11100.263467004976</v>
      </c>
      <c r="BI6" s="6">
        <f>BI8/1.2</f>
        <v>242651.61858014434</v>
      </c>
      <c r="CG6" s="25"/>
      <c r="CH6" s="25"/>
      <c r="CJ6" s="8">
        <f>CJ8/1.2</f>
        <v>3848406.0265813544</v>
      </c>
      <c r="CK6" s="8">
        <f>CK8/1.2</f>
        <v>3326456.4881520001</v>
      </c>
      <c r="CL6" s="8">
        <f>CL8/1.2</f>
        <v>7174575.2002513539</v>
      </c>
      <c r="CM6" s="8"/>
      <c r="CN6" s="8"/>
      <c r="DH6" s="8"/>
      <c r="DI6" s="8"/>
      <c r="DJ6" s="8"/>
    </row>
    <row r="7" spans="1:142" ht="18.75">
      <c r="B7" s="2">
        <v>2024</v>
      </c>
      <c r="C7" s="2"/>
      <c r="D7" s="2"/>
      <c r="E7" s="2"/>
      <c r="F7" s="2"/>
      <c r="G7" s="1240">
        <v>100</v>
      </c>
      <c r="H7" s="1258">
        <f>2762.47*1.2</f>
        <v>3314.9639999999995</v>
      </c>
      <c r="L7" s="6">
        <v>3758.5679999999998</v>
      </c>
      <c r="M7" s="1239">
        <f>3132.14*1.2</f>
        <v>3758.5679999999998</v>
      </c>
      <c r="N7" s="752">
        <f>2749.3*1.2</f>
        <v>3299.1600000000003</v>
      </c>
      <c r="O7" s="752">
        <f>2749.3*1.2</f>
        <v>3299.1600000000003</v>
      </c>
      <c r="P7" s="10"/>
      <c r="Q7" s="10"/>
      <c r="R7" s="752">
        <f>2749.3*1.2</f>
        <v>3299.1600000000003</v>
      </c>
      <c r="T7" s="30">
        <v>928.61700000002747</v>
      </c>
      <c r="V7" s="231"/>
      <c r="Z7" s="8">
        <f>Z8/AH8</f>
        <v>0.56414428128883132</v>
      </c>
      <c r="AA7" s="30">
        <v>2177.7200000000003</v>
      </c>
      <c r="AB7" s="6">
        <f>SUBTOTAL(9,AA71:AA77)</f>
        <v>2177.7199999999998</v>
      </c>
      <c r="AH7" s="836">
        <v>11100.263467004976</v>
      </c>
      <c r="AI7" s="837">
        <v>-216.48632414783424</v>
      </c>
      <c r="BE7" s="6">
        <f>(N119-P119)*AB119/1000/1.2</f>
        <v>-0.24010086499432237</v>
      </c>
      <c r="BG7" s="623">
        <f>(I7-J7)/1.2*U7/1000+(I7-K7)/1.2*V7/1000</f>
        <v>0</v>
      </c>
      <c r="BH7" s="624">
        <f>(O7-P7)/1.2*AB7/1000+(O7-Q7)/1.2*AC7/1000</f>
        <v>5987.2055959999998</v>
      </c>
      <c r="BI7" s="623">
        <f>BG7+BH7</f>
        <v>5987.2055959999998</v>
      </c>
      <c r="BJ7" s="753">
        <v>59417.220359300787</v>
      </c>
      <c r="BK7" s="753">
        <f>BJ7-BI8</f>
        <v>-231764.7219368724</v>
      </c>
      <c r="CG7" s="25"/>
      <c r="CH7" s="25"/>
      <c r="CI7" s="754"/>
      <c r="CL7" s="753">
        <f>CL8/1.2</f>
        <v>7174575.2002513539</v>
      </c>
      <c r="CM7" s="843"/>
      <c r="CN7" s="843"/>
      <c r="DH7" s="159"/>
      <c r="DI7" s="159"/>
      <c r="DJ7" s="8"/>
    </row>
    <row r="8" spans="1:142" ht="26.25">
      <c r="B8" s="7" t="s">
        <v>945</v>
      </c>
      <c r="C8" s="7"/>
      <c r="D8" s="7"/>
      <c r="E8" s="7"/>
      <c r="F8" s="7"/>
      <c r="G8" s="7"/>
      <c r="T8" s="610">
        <f t="shared" ref="T8:AD8" si="2">SUBTOTAL(9,T14:T141)</f>
        <v>369317.49348872562</v>
      </c>
      <c r="U8" s="610">
        <f t="shared" si="2"/>
        <v>1228900.3062076473</v>
      </c>
      <c r="V8" s="826">
        <f t="shared" si="2"/>
        <v>228116.05416751603</v>
      </c>
      <c r="W8" s="610">
        <f t="shared" si="2"/>
        <v>264770.06681881717</v>
      </c>
      <c r="X8" s="610">
        <f t="shared" si="2"/>
        <v>387415.53</v>
      </c>
      <c r="Y8" s="610">
        <f t="shared" si="2"/>
        <v>18137.689999999999</v>
      </c>
      <c r="Z8" s="610">
        <f t="shared" si="2"/>
        <v>2091103.9206827064</v>
      </c>
      <c r="AA8" s="610">
        <f t="shared" si="2"/>
        <v>241874.74529803102</v>
      </c>
      <c r="AB8" s="610">
        <f t="shared" si="2"/>
        <v>825964.3869833335</v>
      </c>
      <c r="AC8" s="826">
        <f t="shared" si="2"/>
        <v>209613.6577888077</v>
      </c>
      <c r="AD8" s="610">
        <f t="shared" si="2"/>
        <v>338126.11851451616</v>
      </c>
      <c r="AE8" s="610">
        <v>0</v>
      </c>
      <c r="AF8" s="610">
        <f>77580.827-AG8</f>
        <v>-1537998.0815846885</v>
      </c>
      <c r="AG8" s="610">
        <f t="shared" ref="AG8:AQ8" si="3">SUBTOTAL(9,AG14:AG141)</f>
        <v>1615578.9085846886</v>
      </c>
      <c r="AH8" s="616">
        <f t="shared" si="3"/>
        <v>3706682.8292673947</v>
      </c>
      <c r="AI8" s="613">
        <f t="shared" si="3"/>
        <v>611192.23878675653</v>
      </c>
      <c r="AJ8" s="613">
        <f t="shared" si="3"/>
        <v>2054864.6931909812</v>
      </c>
      <c r="AK8" s="613">
        <f t="shared" si="3"/>
        <v>437729.71195632371</v>
      </c>
      <c r="AL8" s="181">
        <f t="shared" si="3"/>
        <v>602896.18533333333</v>
      </c>
      <c r="AM8" s="181">
        <f t="shared" si="3"/>
        <v>679639.33000000007</v>
      </c>
      <c r="AN8" s="181">
        <f t="shared" si="3"/>
        <v>33289.279999999999</v>
      </c>
      <c r="AO8" s="611">
        <f t="shared" si="3"/>
        <v>4419611.4392673951</v>
      </c>
      <c r="AP8" s="611">
        <f t="shared" si="3"/>
        <v>4386322.1592673948</v>
      </c>
      <c r="AQ8" s="613">
        <f t="shared" si="3"/>
        <v>3706682.8292673947</v>
      </c>
      <c r="BG8" s="611">
        <f>SUBTOTAL(9,BG14:BG141)</f>
        <v>137228.92798016377</v>
      </c>
      <c r="BH8" s="611">
        <f>SUBTOTAL(9,BH14:BH141)</f>
        <v>153707.67106736213</v>
      </c>
      <c r="BI8" s="611">
        <f>SUBTOTAL(9,BI14:BI141)</f>
        <v>291181.94229617319</v>
      </c>
      <c r="BJ8" s="753">
        <f>BK8-BI8</f>
        <v>-63446.74929853942</v>
      </c>
      <c r="BK8" s="773">
        <v>227735.19299763377</v>
      </c>
      <c r="CF8" s="25"/>
      <c r="CG8" s="611">
        <f t="shared" ref="CG8:CL8" si="4">SUBTOTAL(9,CG14:CG141)</f>
        <v>5449748461.1419458</v>
      </c>
      <c r="CH8" s="611" t="e">
        <f t="shared" si="4"/>
        <v>#DIV/0!</v>
      </c>
      <c r="CI8" s="611">
        <f t="shared" si="4"/>
        <v>0</v>
      </c>
      <c r="CJ8" s="611">
        <f t="shared" si="4"/>
        <v>4618087.2318976251</v>
      </c>
      <c r="CK8" s="611">
        <f t="shared" si="4"/>
        <v>3991747.7857824001</v>
      </c>
      <c r="CL8" s="611">
        <f t="shared" si="4"/>
        <v>8609490.2403016239</v>
      </c>
      <c r="CM8" s="844"/>
      <c r="CN8" s="844"/>
      <c r="CO8" s="754">
        <f>CL8/1.2</f>
        <v>7174575.2002513539</v>
      </c>
      <c r="CP8" s="25"/>
      <c r="CQ8" s="158">
        <f>503461.528447148*1000</f>
        <v>503461528.44714797</v>
      </c>
      <c r="DH8" s="611">
        <f>SUM(DH14:DH141)</f>
        <v>3636705.0742431781</v>
      </c>
      <c r="DI8" s="611">
        <f>SUM(DI14:DI141)</f>
        <v>2368581.4918644154</v>
      </c>
      <c r="DJ8" s="611">
        <f>SUM(DJ14:DJ141)</f>
        <v>1268123.5823787621</v>
      </c>
      <c r="DL8" s="6"/>
    </row>
    <row r="9" spans="1:142" s="814" customFormat="1" ht="15.75" thickBot="1">
      <c r="A9" s="814">
        <v>1</v>
      </c>
      <c r="B9" s="814">
        <v>2</v>
      </c>
      <c r="C9" s="814">
        <v>3</v>
      </c>
      <c r="D9" s="814">
        <f t="shared" ref="D9:BO9" si="5">C9+1</f>
        <v>4</v>
      </c>
      <c r="E9" s="814">
        <f>D9+1</f>
        <v>5</v>
      </c>
      <c r="F9" s="814">
        <f t="shared" si="5"/>
        <v>6</v>
      </c>
      <c r="G9" s="814">
        <f t="shared" si="5"/>
        <v>7</v>
      </c>
      <c r="H9" s="814">
        <f t="shared" si="5"/>
        <v>8</v>
      </c>
      <c r="I9" s="814">
        <f t="shared" si="5"/>
        <v>9</v>
      </c>
      <c r="J9" s="814">
        <f t="shared" si="5"/>
        <v>10</v>
      </c>
      <c r="K9" s="814">
        <f t="shared" si="5"/>
        <v>11</v>
      </c>
      <c r="L9" s="814">
        <f t="shared" si="5"/>
        <v>12</v>
      </c>
      <c r="M9" s="814">
        <f t="shared" si="5"/>
        <v>13</v>
      </c>
      <c r="N9" s="814">
        <f t="shared" si="5"/>
        <v>14</v>
      </c>
      <c r="O9" s="814">
        <f t="shared" si="5"/>
        <v>15</v>
      </c>
      <c r="P9" s="814">
        <f t="shared" si="5"/>
        <v>16</v>
      </c>
      <c r="Q9" s="814">
        <f t="shared" si="5"/>
        <v>17</v>
      </c>
      <c r="R9" s="814">
        <f t="shared" si="5"/>
        <v>18</v>
      </c>
      <c r="S9" s="814">
        <f t="shared" si="5"/>
        <v>19</v>
      </c>
      <c r="T9" s="814">
        <f t="shared" si="5"/>
        <v>20</v>
      </c>
      <c r="U9" s="814">
        <f t="shared" si="5"/>
        <v>21</v>
      </c>
      <c r="V9" s="815">
        <f t="shared" si="5"/>
        <v>22</v>
      </c>
      <c r="W9" s="814">
        <f t="shared" si="5"/>
        <v>23</v>
      </c>
      <c r="X9" s="814">
        <f t="shared" si="5"/>
        <v>24</v>
      </c>
      <c r="Y9" s="814">
        <f t="shared" si="5"/>
        <v>25</v>
      </c>
      <c r="Z9" s="814">
        <f t="shared" si="5"/>
        <v>26</v>
      </c>
      <c r="AA9" s="814">
        <f t="shared" si="5"/>
        <v>27</v>
      </c>
      <c r="AB9" s="814">
        <f t="shared" si="5"/>
        <v>28</v>
      </c>
      <c r="AC9" s="815">
        <f t="shared" si="5"/>
        <v>29</v>
      </c>
      <c r="AD9" s="814">
        <f t="shared" si="5"/>
        <v>30</v>
      </c>
      <c r="AE9" s="814">
        <f t="shared" si="5"/>
        <v>31</v>
      </c>
      <c r="AF9" s="814">
        <f t="shared" si="5"/>
        <v>32</v>
      </c>
      <c r="AG9" s="814">
        <f t="shared" si="5"/>
        <v>33</v>
      </c>
      <c r="AH9" s="814">
        <f t="shared" si="5"/>
        <v>34</v>
      </c>
      <c r="AI9" s="814">
        <f t="shared" si="5"/>
        <v>35</v>
      </c>
      <c r="AJ9" s="814">
        <f t="shared" si="5"/>
        <v>36</v>
      </c>
      <c r="AK9" s="814">
        <f t="shared" si="5"/>
        <v>37</v>
      </c>
      <c r="AL9" s="814">
        <f t="shared" si="5"/>
        <v>38</v>
      </c>
      <c r="AM9" s="814">
        <f t="shared" si="5"/>
        <v>39</v>
      </c>
      <c r="AN9" s="814">
        <f t="shared" si="5"/>
        <v>40</v>
      </c>
      <c r="AO9" s="814">
        <f t="shared" si="5"/>
        <v>41</v>
      </c>
      <c r="AP9" s="814">
        <f t="shared" si="5"/>
        <v>42</v>
      </c>
      <c r="AQ9" s="814">
        <f t="shared" si="5"/>
        <v>43</v>
      </c>
      <c r="AR9" s="814">
        <f t="shared" si="5"/>
        <v>44</v>
      </c>
      <c r="AS9" s="814">
        <f t="shared" si="5"/>
        <v>45</v>
      </c>
      <c r="AT9" s="814">
        <f t="shared" si="5"/>
        <v>46</v>
      </c>
      <c r="AU9" s="814">
        <f t="shared" si="5"/>
        <v>47</v>
      </c>
      <c r="AV9" s="814">
        <f t="shared" si="5"/>
        <v>48</v>
      </c>
      <c r="AW9" s="814">
        <f t="shared" si="5"/>
        <v>49</v>
      </c>
      <c r="AX9" s="814">
        <f t="shared" si="5"/>
        <v>50</v>
      </c>
      <c r="AY9" s="814">
        <f t="shared" si="5"/>
        <v>51</v>
      </c>
      <c r="AZ9" s="814">
        <f t="shared" si="5"/>
        <v>52</v>
      </c>
      <c r="BA9" s="814">
        <f t="shared" si="5"/>
        <v>53</v>
      </c>
      <c r="BB9" s="814">
        <f t="shared" si="5"/>
        <v>54</v>
      </c>
      <c r="BC9" s="814">
        <f t="shared" si="5"/>
        <v>55</v>
      </c>
      <c r="BD9" s="814">
        <f t="shared" si="5"/>
        <v>56</v>
      </c>
      <c r="BE9" s="814">
        <f t="shared" si="5"/>
        <v>57</v>
      </c>
      <c r="BF9" s="814">
        <f t="shared" si="5"/>
        <v>58</v>
      </c>
      <c r="BG9" s="814">
        <f t="shared" si="5"/>
        <v>59</v>
      </c>
      <c r="BH9" s="814">
        <f t="shared" si="5"/>
        <v>60</v>
      </c>
      <c r="BI9" s="814">
        <f t="shared" si="5"/>
        <v>61</v>
      </c>
      <c r="BL9" s="814">
        <f>BI9+1</f>
        <v>62</v>
      </c>
      <c r="BM9" s="814">
        <f t="shared" si="5"/>
        <v>63</v>
      </c>
      <c r="BN9" s="814">
        <f t="shared" si="5"/>
        <v>64</v>
      </c>
      <c r="BO9" s="814">
        <f t="shared" si="5"/>
        <v>65</v>
      </c>
      <c r="BP9" s="814">
        <f t="shared" ref="BP9:DB9" si="6">BO9+1</f>
        <v>66</v>
      </c>
      <c r="BQ9" s="814">
        <f t="shared" si="6"/>
        <v>67</v>
      </c>
      <c r="BR9" s="814">
        <f t="shared" si="6"/>
        <v>68</v>
      </c>
      <c r="BS9" s="814">
        <f t="shared" si="6"/>
        <v>69</v>
      </c>
      <c r="BT9" s="814">
        <f t="shared" si="6"/>
        <v>70</v>
      </c>
      <c r="BU9" s="814">
        <f t="shared" si="6"/>
        <v>71</v>
      </c>
      <c r="BV9" s="814">
        <f t="shared" si="6"/>
        <v>72</v>
      </c>
      <c r="BW9" s="814">
        <f t="shared" si="6"/>
        <v>73</v>
      </c>
      <c r="BX9" s="814">
        <f t="shared" si="6"/>
        <v>74</v>
      </c>
      <c r="BY9" s="814">
        <f t="shared" si="6"/>
        <v>75</v>
      </c>
      <c r="BZ9" s="814">
        <f t="shared" si="6"/>
        <v>76</v>
      </c>
      <c r="CA9" s="814">
        <f t="shared" si="6"/>
        <v>77</v>
      </c>
      <c r="CB9" s="814">
        <f t="shared" si="6"/>
        <v>78</v>
      </c>
      <c r="CC9" s="814">
        <f t="shared" si="6"/>
        <v>79</v>
      </c>
      <c r="CD9" s="814">
        <f t="shared" si="6"/>
        <v>80</v>
      </c>
      <c r="CE9" s="814">
        <f t="shared" si="6"/>
        <v>81</v>
      </c>
      <c r="CF9" s="814">
        <f t="shared" si="6"/>
        <v>82</v>
      </c>
      <c r="CG9" s="814">
        <f t="shared" si="6"/>
        <v>83</v>
      </c>
      <c r="CH9" s="814">
        <f t="shared" si="6"/>
        <v>84</v>
      </c>
      <c r="CI9" s="814">
        <f t="shared" si="6"/>
        <v>85</v>
      </c>
      <c r="CJ9" s="814">
        <f t="shared" si="6"/>
        <v>86</v>
      </c>
      <c r="CK9" s="814">
        <f t="shared" si="6"/>
        <v>87</v>
      </c>
      <c r="CL9" s="814">
        <f t="shared" si="6"/>
        <v>88</v>
      </c>
      <c r="CM9" s="845"/>
      <c r="CN9" s="845"/>
      <c r="CO9" s="814">
        <f>CL9+1</f>
        <v>89</v>
      </c>
      <c r="CP9" s="814">
        <f t="shared" si="6"/>
        <v>90</v>
      </c>
      <c r="CQ9" s="814">
        <f t="shared" si="6"/>
        <v>91</v>
      </c>
      <c r="CR9" s="814">
        <f t="shared" si="6"/>
        <v>92</v>
      </c>
      <c r="CS9" s="814">
        <f t="shared" si="6"/>
        <v>93</v>
      </c>
      <c r="CT9" s="814">
        <f t="shared" si="6"/>
        <v>94</v>
      </c>
      <c r="CU9" s="814">
        <f t="shared" si="6"/>
        <v>95</v>
      </c>
      <c r="CV9" s="814">
        <f t="shared" si="6"/>
        <v>96</v>
      </c>
      <c r="CW9" s="820">
        <f t="shared" si="6"/>
        <v>97</v>
      </c>
      <c r="CX9" s="814">
        <f t="shared" si="6"/>
        <v>98</v>
      </c>
      <c r="CY9" s="814">
        <f t="shared" si="6"/>
        <v>99</v>
      </c>
      <c r="CZ9" s="814">
        <f t="shared" si="6"/>
        <v>100</v>
      </c>
      <c r="DA9" s="814">
        <f t="shared" si="6"/>
        <v>101</v>
      </c>
      <c r="DB9" s="814">
        <f t="shared" si="6"/>
        <v>102</v>
      </c>
      <c r="DC9" s="1129"/>
      <c r="DD9" s="1129"/>
      <c r="DE9" s="1129"/>
      <c r="DF9" s="1129"/>
      <c r="DG9" s="1129"/>
    </row>
    <row r="10" spans="1:142" s="816" customFormat="1" ht="41.25" customHeight="1" thickBot="1">
      <c r="A10" s="1501" t="s">
        <v>233</v>
      </c>
      <c r="B10" s="1502" t="s">
        <v>134</v>
      </c>
      <c r="C10" s="1502" t="s">
        <v>1</v>
      </c>
      <c r="D10" s="1502" t="s">
        <v>0</v>
      </c>
      <c r="E10" s="1502" t="s">
        <v>223</v>
      </c>
      <c r="F10" s="1505" t="s">
        <v>2</v>
      </c>
      <c r="G10" s="1502" t="s">
        <v>3</v>
      </c>
      <c r="H10" s="1637" t="s">
        <v>230</v>
      </c>
      <c r="I10" s="1637"/>
      <c r="J10" s="1637"/>
      <c r="K10" s="1637"/>
      <c r="L10" s="1637"/>
      <c r="M10" s="1637"/>
      <c r="N10" s="1637"/>
      <c r="O10" s="1637"/>
      <c r="P10" s="1637"/>
      <c r="Q10" s="1637"/>
      <c r="R10" s="1637"/>
      <c r="S10" s="1637"/>
      <c r="T10" s="1638" t="s">
        <v>915</v>
      </c>
      <c r="U10" s="1638"/>
      <c r="V10" s="1638"/>
      <c r="W10" s="1638"/>
      <c r="X10" s="1638"/>
      <c r="Y10" s="1638"/>
      <c r="Z10" s="1638"/>
      <c r="AA10" s="1638"/>
      <c r="AB10" s="1638"/>
      <c r="AC10" s="1638"/>
      <c r="AD10" s="1638"/>
      <c r="AE10" s="1638"/>
      <c r="AF10" s="1638"/>
      <c r="AG10" s="1639"/>
      <c r="AH10" s="1640" t="s">
        <v>267</v>
      </c>
      <c r="AI10" s="1641"/>
      <c r="AJ10" s="1641"/>
      <c r="AK10" s="1641"/>
      <c r="AL10" s="1641"/>
      <c r="AM10" s="1641"/>
      <c r="AN10" s="1641"/>
      <c r="AO10" s="1641"/>
      <c r="AP10" s="1641"/>
      <c r="AQ10" s="1642"/>
      <c r="AR10" s="876"/>
      <c r="AS10" s="1643" t="s">
        <v>268</v>
      </c>
      <c r="AT10" s="1644"/>
      <c r="AU10" s="1644"/>
      <c r="AV10" s="1644"/>
      <c r="AW10" s="1644"/>
      <c r="AX10" s="1644"/>
      <c r="AY10" s="1644"/>
      <c r="AZ10" s="1644"/>
      <c r="BA10" s="1644"/>
      <c r="BB10" s="1644"/>
      <c r="BC10" s="1644"/>
      <c r="BD10" s="1644"/>
      <c r="BE10" s="1644"/>
      <c r="BF10" s="1645"/>
      <c r="BG10" s="1622" t="s">
        <v>269</v>
      </c>
      <c r="BH10" s="1622"/>
      <c r="BI10" s="1623"/>
      <c r="BJ10" s="835" t="s">
        <v>937</v>
      </c>
      <c r="BK10" s="842" t="s">
        <v>990</v>
      </c>
      <c r="BL10" s="1633" t="s">
        <v>946</v>
      </c>
      <c r="BM10" s="1633"/>
      <c r="BN10" s="1633"/>
      <c r="BO10" s="1633"/>
      <c r="BP10" s="1633"/>
      <c r="BQ10" s="1633"/>
      <c r="BR10" s="1633"/>
      <c r="BS10" s="1633"/>
      <c r="BT10" s="1633"/>
      <c r="BU10" s="1633"/>
      <c r="BV10" s="1633"/>
      <c r="BW10" s="1633"/>
      <c r="BX10" s="1633"/>
      <c r="BY10" s="1633"/>
      <c r="BZ10" s="1634" t="s">
        <v>192</v>
      </c>
      <c r="CA10" s="1634" t="s">
        <v>193</v>
      </c>
      <c r="CB10" s="1585" t="s">
        <v>201</v>
      </c>
      <c r="CC10" s="854" t="s">
        <v>191</v>
      </c>
      <c r="CD10" s="854" t="s">
        <v>191</v>
      </c>
      <c r="CE10" s="854" t="s">
        <v>202</v>
      </c>
      <c r="CF10" s="854" t="s">
        <v>197</v>
      </c>
      <c r="CG10" s="855" t="s">
        <v>199</v>
      </c>
      <c r="CH10" s="856" t="s">
        <v>198</v>
      </c>
      <c r="CI10" s="625"/>
      <c r="CJ10" s="1588" t="s">
        <v>277</v>
      </c>
      <c r="CK10" s="1589"/>
      <c r="CL10" s="1590"/>
      <c r="CM10" s="857"/>
      <c r="CN10" s="857"/>
      <c r="CO10" s="858" t="s">
        <v>211</v>
      </c>
      <c r="CP10" s="1615" t="s">
        <v>228</v>
      </c>
      <c r="CQ10" s="1616"/>
      <c r="CR10" s="1616"/>
      <c r="CS10" s="1616"/>
      <c r="CT10" s="1616"/>
      <c r="CU10" s="1616"/>
      <c r="CV10" s="1616"/>
      <c r="CW10" s="1617"/>
      <c r="CX10" s="1615" t="s">
        <v>229</v>
      </c>
      <c r="CY10" s="1616"/>
      <c r="CZ10" s="1617"/>
      <c r="DA10" s="1618" t="s">
        <v>221</v>
      </c>
      <c r="DB10" s="1618"/>
      <c r="DC10" s="675"/>
      <c r="DD10" s="675" t="s">
        <v>263</v>
      </c>
      <c r="DE10" s="675"/>
      <c r="DF10" s="675"/>
      <c r="DG10" s="675"/>
      <c r="DH10" s="1619" t="s">
        <v>944</v>
      </c>
      <c r="DI10" s="1620"/>
      <c r="DJ10" s="1621"/>
      <c r="DK10" s="625"/>
      <c r="DL10" s="625"/>
      <c r="DM10" s="625"/>
      <c r="DN10" s="625"/>
      <c r="DO10" s="625"/>
    </row>
    <row r="11" spans="1:142" s="816" customFormat="1" ht="28.5" customHeight="1">
      <c r="A11" s="1501"/>
      <c r="B11" s="1503"/>
      <c r="C11" s="1503"/>
      <c r="D11" s="1503"/>
      <c r="E11" s="1503"/>
      <c r="F11" s="1506"/>
      <c r="G11" s="1636"/>
      <c r="H11" s="1624" t="s">
        <v>939</v>
      </c>
      <c r="I11" s="1625"/>
      <c r="J11" s="1625"/>
      <c r="K11" s="1625"/>
      <c r="L11" s="1625"/>
      <c r="M11" s="1626"/>
      <c r="N11" s="1625" t="s">
        <v>938</v>
      </c>
      <c r="O11" s="1625"/>
      <c r="P11" s="1625"/>
      <c r="Q11" s="1625"/>
      <c r="R11" s="1625"/>
      <c r="S11" s="1626"/>
      <c r="T11" s="1627" t="s">
        <v>265</v>
      </c>
      <c r="U11" s="1628"/>
      <c r="V11" s="1628"/>
      <c r="W11" s="1628"/>
      <c r="X11" s="1628"/>
      <c r="Y11" s="1628"/>
      <c r="Z11" s="1629"/>
      <c r="AA11" s="1628" t="s">
        <v>266</v>
      </c>
      <c r="AB11" s="1628"/>
      <c r="AC11" s="1628"/>
      <c r="AD11" s="1628"/>
      <c r="AE11" s="1628"/>
      <c r="AF11" s="1628"/>
      <c r="AG11" s="1628"/>
      <c r="AH11" s="873" t="s">
        <v>208</v>
      </c>
      <c r="AI11" s="1630"/>
      <c r="AJ11" s="1631"/>
      <c r="AK11" s="1631"/>
      <c r="AL11" s="1631"/>
      <c r="AM11" s="1631"/>
      <c r="AN11" s="1631"/>
      <c r="AO11" s="1631"/>
      <c r="AP11" s="1631"/>
      <c r="AQ11" s="1632"/>
      <c r="AR11" s="1479" t="s">
        <v>210</v>
      </c>
      <c r="AS11" s="1666" t="s">
        <v>265</v>
      </c>
      <c r="AT11" s="1667"/>
      <c r="AU11" s="1667"/>
      <c r="AV11" s="1667"/>
      <c r="AW11" s="1667"/>
      <c r="AX11" s="1667"/>
      <c r="AY11" s="1668"/>
      <c r="AZ11" s="1669" t="s">
        <v>266</v>
      </c>
      <c r="BA11" s="1670"/>
      <c r="BB11" s="1670"/>
      <c r="BC11" s="1670"/>
      <c r="BD11" s="1670"/>
      <c r="BE11" s="1670"/>
      <c r="BF11" s="1671"/>
      <c r="BG11" s="879" t="s">
        <v>225</v>
      </c>
      <c r="BH11" s="108" t="s">
        <v>226</v>
      </c>
      <c r="BI11" s="1477" t="s">
        <v>163</v>
      </c>
      <c r="BJ11" s="1477"/>
      <c r="BK11" s="1191"/>
      <c r="BL11" s="1635" t="s">
        <v>940</v>
      </c>
      <c r="BM11" s="1635"/>
      <c r="BN11" s="1635"/>
      <c r="BO11" s="1635"/>
      <c r="BP11" s="1635"/>
      <c r="BQ11" s="1635"/>
      <c r="BR11" s="1635"/>
      <c r="BS11" s="1635" t="s">
        <v>941</v>
      </c>
      <c r="BT11" s="1635"/>
      <c r="BU11" s="1635"/>
      <c r="BV11" s="1635"/>
      <c r="BW11" s="1635"/>
      <c r="BX11" s="1635"/>
      <c r="BY11" s="1635"/>
      <c r="BZ11" s="1634"/>
      <c r="CA11" s="1634"/>
      <c r="CB11" s="1586"/>
      <c r="CC11" s="1477" t="s">
        <v>194</v>
      </c>
      <c r="CD11" s="859" t="s">
        <v>195</v>
      </c>
      <c r="CE11" s="1477" t="s">
        <v>200</v>
      </c>
      <c r="CF11" s="1477"/>
      <c r="CG11" s="111"/>
      <c r="CH11" s="625"/>
      <c r="CI11" s="625"/>
      <c r="CJ11" s="1591" t="s">
        <v>203</v>
      </c>
      <c r="CK11" s="1591" t="s">
        <v>204</v>
      </c>
      <c r="CL11" s="1591" t="s">
        <v>205</v>
      </c>
      <c r="CM11" s="846"/>
      <c r="CN11" s="846"/>
      <c r="CO11" s="1604"/>
      <c r="CP11" s="126"/>
      <c r="CQ11" s="126"/>
      <c r="CR11" s="126"/>
      <c r="CS11" s="126"/>
      <c r="CT11" s="126"/>
      <c r="CU11" s="126"/>
      <c r="CV11" s="126"/>
      <c r="CW11" s="860"/>
      <c r="CX11" s="126" t="s">
        <v>218</v>
      </c>
      <c r="CY11" s="126" t="s">
        <v>218</v>
      </c>
      <c r="CZ11" s="126" t="s">
        <v>218</v>
      </c>
      <c r="DA11" s="1604" t="s">
        <v>203</v>
      </c>
      <c r="DB11" s="1604" t="s">
        <v>204</v>
      </c>
      <c r="DC11" s="675"/>
      <c r="DD11" s="675" t="s">
        <v>264</v>
      </c>
      <c r="DE11" s="675"/>
      <c r="DF11" s="675"/>
      <c r="DG11" s="675"/>
      <c r="DH11" s="1607" t="s">
        <v>163</v>
      </c>
      <c r="DI11" s="1612" t="s">
        <v>969</v>
      </c>
      <c r="DJ11" s="1612" t="s">
        <v>919</v>
      </c>
      <c r="DK11" s="625"/>
      <c r="DL11" s="625"/>
      <c r="DM11" s="625"/>
      <c r="DN11" s="625"/>
      <c r="DO11" s="625"/>
    </row>
    <row r="12" spans="1:142" s="816" customFormat="1" ht="29.25" customHeight="1">
      <c r="A12" s="1501"/>
      <c r="B12" s="1503"/>
      <c r="C12" s="1503"/>
      <c r="D12" s="1503"/>
      <c r="E12" s="1503"/>
      <c r="F12" s="1506"/>
      <c r="G12" s="1636"/>
      <c r="H12" s="1650" t="s">
        <v>207</v>
      </c>
      <c r="I12" s="1573" t="s">
        <v>909</v>
      </c>
      <c r="J12" s="1520" t="s">
        <v>139</v>
      </c>
      <c r="K12" s="1521"/>
      <c r="L12" s="1502" t="s">
        <v>5</v>
      </c>
      <c r="M12" s="1600" t="s">
        <v>6</v>
      </c>
      <c r="N12" s="1610" t="s">
        <v>207</v>
      </c>
      <c r="O12" s="1502" t="s">
        <v>909</v>
      </c>
      <c r="P12" s="1520" t="s">
        <v>139</v>
      </c>
      <c r="Q12" s="1521"/>
      <c r="R12" s="1502" t="s">
        <v>5</v>
      </c>
      <c r="S12" s="1600" t="s">
        <v>6</v>
      </c>
      <c r="T12" s="1646" t="s">
        <v>909</v>
      </c>
      <c r="U12" s="1520" t="s">
        <v>139</v>
      </c>
      <c r="V12" s="1521"/>
      <c r="W12" s="1502" t="s">
        <v>5</v>
      </c>
      <c r="X12" s="1502" t="s">
        <v>6</v>
      </c>
      <c r="Y12" s="1502" t="s">
        <v>164</v>
      </c>
      <c r="Z12" s="1600" t="s">
        <v>206</v>
      </c>
      <c r="AA12" s="1602" t="s">
        <v>909</v>
      </c>
      <c r="AB12" s="1520" t="s">
        <v>139</v>
      </c>
      <c r="AC12" s="1521"/>
      <c r="AD12" s="1502" t="s">
        <v>5</v>
      </c>
      <c r="AE12" s="1502" t="s">
        <v>6</v>
      </c>
      <c r="AF12" s="1502" t="s">
        <v>164</v>
      </c>
      <c r="AG12" s="1596" t="s">
        <v>206</v>
      </c>
      <c r="AH12" s="874" t="s">
        <v>209</v>
      </c>
      <c r="AI12" s="1502" t="s">
        <v>909</v>
      </c>
      <c r="AJ12" s="1598" t="s">
        <v>139</v>
      </c>
      <c r="AK12" s="1599"/>
      <c r="AL12" s="1502" t="s">
        <v>5</v>
      </c>
      <c r="AM12" s="1502" t="s">
        <v>6</v>
      </c>
      <c r="AN12" s="1502" t="s">
        <v>164</v>
      </c>
      <c r="AO12" s="1502" t="s">
        <v>173</v>
      </c>
      <c r="AP12" s="1502" t="s">
        <v>174</v>
      </c>
      <c r="AQ12" s="1600" t="s">
        <v>175</v>
      </c>
      <c r="AR12" s="877"/>
      <c r="AS12" s="1664" t="s">
        <v>4</v>
      </c>
      <c r="AT12" s="1660" t="s">
        <v>139</v>
      </c>
      <c r="AU12" s="1661"/>
      <c r="AV12" s="1662" t="s">
        <v>5</v>
      </c>
      <c r="AW12" s="1662" t="s">
        <v>6</v>
      </c>
      <c r="AX12" s="1662" t="s">
        <v>171</v>
      </c>
      <c r="AY12" s="1662" t="s">
        <v>172</v>
      </c>
      <c r="AZ12" s="1654" t="s">
        <v>909</v>
      </c>
      <c r="BA12" s="1656" t="s">
        <v>139</v>
      </c>
      <c r="BB12" s="1657"/>
      <c r="BC12" s="1654" t="s">
        <v>5</v>
      </c>
      <c r="BD12" s="1658" t="s">
        <v>6</v>
      </c>
      <c r="BE12" s="1654" t="s">
        <v>171</v>
      </c>
      <c r="BF12" s="1652" t="s">
        <v>172</v>
      </c>
      <c r="BG12" s="880"/>
      <c r="BH12" s="126"/>
      <c r="BI12" s="126">
        <f>BG12+BH12</f>
        <v>0</v>
      </c>
      <c r="BJ12" s="861"/>
      <c r="BK12" s="1192"/>
      <c r="BL12" s="1551" t="s">
        <v>4</v>
      </c>
      <c r="BM12" s="1553" t="s">
        <v>139</v>
      </c>
      <c r="BN12" s="1554"/>
      <c r="BO12" s="1551" t="s">
        <v>5</v>
      </c>
      <c r="BP12" s="1551" t="s">
        <v>6</v>
      </c>
      <c r="BQ12" s="1551" t="s">
        <v>171</v>
      </c>
      <c r="BR12" s="1551" t="s">
        <v>172</v>
      </c>
      <c r="BS12" s="1551" t="s">
        <v>4</v>
      </c>
      <c r="BT12" s="1553" t="s">
        <v>139</v>
      </c>
      <c r="BU12" s="1554"/>
      <c r="BV12" s="1551" t="s">
        <v>5</v>
      </c>
      <c r="BW12" s="1559" t="s">
        <v>6</v>
      </c>
      <c r="BX12" s="1551" t="s">
        <v>171</v>
      </c>
      <c r="BY12" s="1551" t="s">
        <v>172</v>
      </c>
      <c r="BZ12" s="1634"/>
      <c r="CA12" s="1634"/>
      <c r="CB12" s="1586"/>
      <c r="CC12" s="126"/>
      <c r="CD12" s="126"/>
      <c r="CE12" s="126"/>
      <c r="CF12" s="126"/>
      <c r="CG12" s="675"/>
      <c r="CH12" s="625"/>
      <c r="CI12" s="625"/>
      <c r="CJ12" s="1592"/>
      <c r="CK12" s="1592"/>
      <c r="CL12" s="1592"/>
      <c r="CM12" s="847"/>
      <c r="CN12" s="847"/>
      <c r="CO12" s="1605"/>
      <c r="CP12" s="858" t="s">
        <v>216</v>
      </c>
      <c r="CQ12" s="858" t="s">
        <v>217</v>
      </c>
      <c r="CR12" s="126" t="s">
        <v>215</v>
      </c>
      <c r="CS12" s="858" t="s">
        <v>216</v>
      </c>
      <c r="CT12" s="858" t="s">
        <v>217</v>
      </c>
      <c r="CU12" s="126" t="s">
        <v>215</v>
      </c>
      <c r="CV12" s="858" t="s">
        <v>216</v>
      </c>
      <c r="CW12" s="860"/>
      <c r="CX12" s="866" t="s">
        <v>942</v>
      </c>
      <c r="CY12" s="866" t="s">
        <v>943</v>
      </c>
      <c r="CZ12" s="823" t="s">
        <v>205</v>
      </c>
      <c r="DA12" s="1605"/>
      <c r="DB12" s="1605"/>
      <c r="DC12" s="675"/>
      <c r="DD12" s="675"/>
      <c r="DE12" s="675"/>
      <c r="DF12" s="675"/>
      <c r="DG12" s="675"/>
      <c r="DH12" s="1608"/>
      <c r="DI12" s="1613"/>
      <c r="DJ12" s="1613"/>
      <c r="DK12" s="625"/>
      <c r="DL12" s="862" t="s">
        <v>285</v>
      </c>
      <c r="DM12" s="862"/>
      <c r="DN12" s="862"/>
      <c r="DO12" s="625"/>
    </row>
    <row r="13" spans="1:142" s="816" customFormat="1" ht="45" customHeight="1">
      <c r="A13" s="1501"/>
      <c r="B13" s="1504"/>
      <c r="C13" s="1504"/>
      <c r="D13" s="1504"/>
      <c r="E13" s="1504"/>
      <c r="F13" s="1507"/>
      <c r="G13" s="1597"/>
      <c r="H13" s="1651"/>
      <c r="I13" s="1502"/>
      <c r="J13" s="1478" t="s">
        <v>149</v>
      </c>
      <c r="K13" s="1478" t="s">
        <v>150</v>
      </c>
      <c r="L13" s="1504"/>
      <c r="M13" s="1601"/>
      <c r="N13" s="1611"/>
      <c r="O13" s="1504"/>
      <c r="P13" s="1478" t="s">
        <v>149</v>
      </c>
      <c r="Q13" s="1478" t="s">
        <v>150</v>
      </c>
      <c r="R13" s="1504"/>
      <c r="S13" s="1601"/>
      <c r="T13" s="1647"/>
      <c r="U13" s="1478" t="s">
        <v>149</v>
      </c>
      <c r="V13" s="223" t="s">
        <v>150</v>
      </c>
      <c r="W13" s="1504"/>
      <c r="X13" s="1504"/>
      <c r="Y13" s="1504"/>
      <c r="Z13" s="1601"/>
      <c r="AA13" s="1603"/>
      <c r="AB13" s="1478" t="s">
        <v>149</v>
      </c>
      <c r="AC13" s="223" t="s">
        <v>150</v>
      </c>
      <c r="AD13" s="1504"/>
      <c r="AE13" s="1504"/>
      <c r="AF13" s="1504"/>
      <c r="AG13" s="1597"/>
      <c r="AH13" s="875"/>
      <c r="AI13" s="1504"/>
      <c r="AJ13" s="819" t="s">
        <v>149</v>
      </c>
      <c r="AK13" s="819" t="s">
        <v>150</v>
      </c>
      <c r="AL13" s="1504"/>
      <c r="AM13" s="1504"/>
      <c r="AN13" s="1504"/>
      <c r="AO13" s="1504"/>
      <c r="AP13" s="1504"/>
      <c r="AQ13" s="1601"/>
      <c r="AR13" s="878"/>
      <c r="AS13" s="1665"/>
      <c r="AT13" s="1403" t="s">
        <v>149</v>
      </c>
      <c r="AU13" s="1403" t="s">
        <v>150</v>
      </c>
      <c r="AV13" s="1663"/>
      <c r="AW13" s="1663"/>
      <c r="AX13" s="1663"/>
      <c r="AY13" s="1663"/>
      <c r="AZ13" s="1655"/>
      <c r="BA13" s="1404" t="s">
        <v>149</v>
      </c>
      <c r="BB13" s="1404" t="s">
        <v>150</v>
      </c>
      <c r="BC13" s="1655"/>
      <c r="BD13" s="1659"/>
      <c r="BE13" s="1655"/>
      <c r="BF13" s="1653"/>
      <c r="BG13" s="880"/>
      <c r="BH13" s="126"/>
      <c r="BI13" s="126">
        <f t="shared" ref="BI13:BI41" si="7">BG13+BH13</f>
        <v>0</v>
      </c>
      <c r="BJ13" s="863"/>
      <c r="BK13" s="1193"/>
      <c r="BL13" s="1552"/>
      <c r="BM13" s="114" t="s">
        <v>149</v>
      </c>
      <c r="BN13" s="114" t="s">
        <v>150</v>
      </c>
      <c r="BO13" s="1552"/>
      <c r="BP13" s="1552"/>
      <c r="BQ13" s="1552"/>
      <c r="BR13" s="1552"/>
      <c r="BS13" s="1552"/>
      <c r="BT13" s="114" t="s">
        <v>149</v>
      </c>
      <c r="BU13" s="114" t="s">
        <v>150</v>
      </c>
      <c r="BV13" s="1552"/>
      <c r="BW13" s="1560"/>
      <c r="BX13" s="1552"/>
      <c r="BY13" s="1552"/>
      <c r="BZ13" s="1634"/>
      <c r="CA13" s="1634"/>
      <c r="CB13" s="1587"/>
      <c r="CC13" s="126"/>
      <c r="CD13" s="126"/>
      <c r="CE13" s="126"/>
      <c r="CF13" s="126"/>
      <c r="CG13" s="675"/>
      <c r="CH13" s="625"/>
      <c r="CI13" s="625"/>
      <c r="CJ13" s="1593"/>
      <c r="CK13" s="1593"/>
      <c r="CL13" s="1593"/>
      <c r="CM13" s="848"/>
      <c r="CN13" s="848"/>
      <c r="CO13" s="1606"/>
      <c r="CP13" s="1582" t="s">
        <v>939</v>
      </c>
      <c r="CQ13" s="1583"/>
      <c r="CR13" s="1584"/>
      <c r="CS13" s="1582" t="s">
        <v>938</v>
      </c>
      <c r="CT13" s="1583"/>
      <c r="CU13" s="1584"/>
      <c r="CV13" s="126" t="s">
        <v>227</v>
      </c>
      <c r="CW13" s="864" t="s">
        <v>214</v>
      </c>
      <c r="CX13" s="126"/>
      <c r="CY13" s="126"/>
      <c r="CZ13" s="126"/>
      <c r="DA13" s="1606"/>
      <c r="DB13" s="1606"/>
      <c r="DC13" s="675"/>
      <c r="DD13" s="675"/>
      <c r="DE13" s="675"/>
      <c r="DF13" s="675"/>
      <c r="DG13" s="675"/>
      <c r="DH13" s="1609"/>
      <c r="DI13" s="1614"/>
      <c r="DJ13" s="1614"/>
      <c r="DK13" s="865"/>
      <c r="DL13" s="865" t="s">
        <v>203</v>
      </c>
      <c r="DM13" s="865" t="s">
        <v>204</v>
      </c>
      <c r="DN13" s="865" t="s">
        <v>208</v>
      </c>
      <c r="DO13" s="865"/>
    </row>
    <row r="14" spans="1:142" s="869" customFormat="1" ht="80.25" customHeight="1">
      <c r="A14" s="6">
        <v>1</v>
      </c>
      <c r="B14" s="881" t="s">
        <v>7</v>
      </c>
      <c r="C14" s="1393" t="s">
        <v>69</v>
      </c>
      <c r="D14" s="1261" t="s">
        <v>141</v>
      </c>
      <c r="E14" s="882">
        <v>4632024035</v>
      </c>
      <c r="F14" s="881" t="s">
        <v>8</v>
      </c>
      <c r="G14" s="1238" t="s">
        <v>983</v>
      </c>
      <c r="H14" s="1256">
        <v>3314.9639999999995</v>
      </c>
      <c r="I14" s="1257">
        <f>H14</f>
        <v>3314.9639999999995</v>
      </c>
      <c r="J14" s="883"/>
      <c r="K14" s="883"/>
      <c r="L14" s="1256">
        <v>3314.9639999999995</v>
      </c>
      <c r="M14" s="1277"/>
      <c r="N14" s="1259">
        <f>3132.14*1.2</f>
        <v>3758.5679999999998</v>
      </c>
      <c r="O14" s="1260">
        <f>N14</f>
        <v>3758.5679999999998</v>
      </c>
      <c r="P14" s="883"/>
      <c r="Q14" s="883"/>
      <c r="R14" s="1260">
        <f>O14</f>
        <v>3758.5679999999998</v>
      </c>
      <c r="S14" s="1277"/>
      <c r="T14" s="1307">
        <v>667.96300000000008</v>
      </c>
      <c r="U14" s="1278"/>
      <c r="V14" s="1278"/>
      <c r="W14" s="1278"/>
      <c r="X14" s="1278"/>
      <c r="Y14" s="1278"/>
      <c r="Z14" s="1279">
        <f t="shared" ref="Z14:Z74" si="8">SUM(T14:W14)</f>
        <v>667.96300000000008</v>
      </c>
      <c r="AA14" s="1308">
        <v>392.226</v>
      </c>
      <c r="AB14" s="1278"/>
      <c r="AC14" s="1278"/>
      <c r="AD14" s="1278"/>
      <c r="AE14" s="1278"/>
      <c r="AF14" s="1278"/>
      <c r="AG14" s="1280">
        <f>SUM(AA14:AD14)</f>
        <v>392.226</v>
      </c>
      <c r="AH14" s="1310">
        <f>Z14+AG14</f>
        <v>1060.1890000000001</v>
      </c>
      <c r="AI14" s="1278">
        <f t="shared" ref="AI14:AM29" si="9">T14+AA14</f>
        <v>1060.1890000000001</v>
      </c>
      <c r="AJ14" s="1278">
        <f t="shared" si="9"/>
        <v>0</v>
      </c>
      <c r="AK14" s="1278">
        <f t="shared" si="9"/>
        <v>0</v>
      </c>
      <c r="AL14" s="1278">
        <f t="shared" si="9"/>
        <v>0</v>
      </c>
      <c r="AM14" s="1278">
        <f t="shared" si="9"/>
        <v>0</v>
      </c>
      <c r="AN14" s="1278"/>
      <c r="AO14" s="1278">
        <f t="shared" ref="AO14:AO27" si="10">SUM(AI14:AN14)</f>
        <v>1060.1890000000001</v>
      </c>
      <c r="AP14" s="1278">
        <f t="shared" ref="AP14:AP27" si="11">SUM(AI14:AM14)</f>
        <v>1060.1890000000001</v>
      </c>
      <c r="AQ14" s="1281">
        <f t="shared" ref="AQ14:AQ27" si="12">SUM(AI14:AL14)</f>
        <v>1060.1890000000001</v>
      </c>
      <c r="AR14" s="1282">
        <f>AQ14-AH14</f>
        <v>0</v>
      </c>
      <c r="AS14" s="1283">
        <f t="shared" ref="AS14:AW29" si="13">I14*AI14</f>
        <v>3514488.3681959999</v>
      </c>
      <c r="AT14" s="1278">
        <f t="shared" si="13"/>
        <v>0</v>
      </c>
      <c r="AU14" s="1278">
        <f t="shared" si="13"/>
        <v>0</v>
      </c>
      <c r="AV14" s="1278">
        <f t="shared" si="13"/>
        <v>0</v>
      </c>
      <c r="AW14" s="1278">
        <f t="shared" si="13"/>
        <v>0</v>
      </c>
      <c r="AX14" s="1278">
        <f>SUM(AS14:AW14)</f>
        <v>3514488.3681959999</v>
      </c>
      <c r="AY14" s="1278">
        <f>SUM(AS14:AV14)</f>
        <v>3514488.3681959999</v>
      </c>
      <c r="AZ14" s="1278">
        <f t="shared" ref="AZ14:BD29" si="14">O14*AI14</f>
        <v>3984792.4493519999</v>
      </c>
      <c r="BA14" s="1278">
        <f t="shared" si="14"/>
        <v>0</v>
      </c>
      <c r="BB14" s="1278">
        <f t="shared" si="14"/>
        <v>0</v>
      </c>
      <c r="BC14" s="1278">
        <f t="shared" si="14"/>
        <v>0</v>
      </c>
      <c r="BD14" s="1278">
        <f t="shared" si="14"/>
        <v>0</v>
      </c>
      <c r="BE14" s="1278">
        <f>SUM(AZ14:BD14)</f>
        <v>3984792.4493519999</v>
      </c>
      <c r="BF14" s="1281">
        <f>SUM(AZ14:BC14)</f>
        <v>3984792.4493519999</v>
      </c>
      <c r="BG14" s="953">
        <f>(H14-J14)/1.2*U14/1000+(H14-K14)/1.2*V14/1000</f>
        <v>0</v>
      </c>
      <c r="BH14" s="954">
        <f>(O14-P14)*AB14/1000/1.2+(O14-Q14)/1.2*AC14/1000</f>
        <v>0</v>
      </c>
      <c r="BI14" s="955">
        <f t="shared" si="7"/>
        <v>0</v>
      </c>
      <c r="BJ14" s="1278"/>
      <c r="BK14" s="1284"/>
      <c r="BL14" s="1278">
        <f t="shared" ref="BL14:BP29" si="15">I14*T14</f>
        <v>2214273.2983320002</v>
      </c>
      <c r="BM14" s="1278">
        <f t="shared" si="15"/>
        <v>0</v>
      </c>
      <c r="BN14" s="1278">
        <f t="shared" si="15"/>
        <v>0</v>
      </c>
      <c r="BO14" s="1278">
        <f t="shared" si="15"/>
        <v>0</v>
      </c>
      <c r="BP14" s="1278">
        <f t="shared" si="15"/>
        <v>0</v>
      </c>
      <c r="BQ14" s="1278">
        <f>BL14+BM14+BN14+BO14+BP14</f>
        <v>2214273.2983320002</v>
      </c>
      <c r="BR14" s="1278">
        <f>BQ14-BP14</f>
        <v>2214273.2983320002</v>
      </c>
      <c r="BS14" s="1278">
        <f t="shared" ref="BS14:BU29" si="16">O14*AA14</f>
        <v>1474208.092368</v>
      </c>
      <c r="BT14" s="1278">
        <f t="shared" si="16"/>
        <v>0</v>
      </c>
      <c r="BU14" s="1278">
        <f t="shared" si="16"/>
        <v>0</v>
      </c>
      <c r="BV14" s="1278">
        <f>R14*W14</f>
        <v>0</v>
      </c>
      <c r="BW14" s="1278">
        <f t="shared" ref="BW14:BW77" si="17">S14*AE14</f>
        <v>0</v>
      </c>
      <c r="BX14" s="1278">
        <f>BS14+BT14+BU14+BV14+BW14</f>
        <v>1474208.092368</v>
      </c>
      <c r="BY14" s="1278">
        <f>BX14-BW14</f>
        <v>1474208.092368</v>
      </c>
      <c r="BZ14" s="1285">
        <f>BM14+BT14</f>
        <v>0</v>
      </c>
      <c r="CA14" s="1285">
        <f>BN14+BU14</f>
        <v>0</v>
      </c>
      <c r="CB14" s="1285">
        <f>BZ14+CA14</f>
        <v>0</v>
      </c>
      <c r="CC14" s="1285" t="e">
        <f>BZ14/AJ14</f>
        <v>#DIV/0!</v>
      </c>
      <c r="CD14" s="1285" t="e">
        <f>CA14/AK14</f>
        <v>#DIV/0!</v>
      </c>
      <c r="CE14" s="1285" t="e">
        <f>CB14/(AJ14+AK14)</f>
        <v>#DIV/0!</v>
      </c>
      <c r="CF14" s="1285" t="e">
        <f t="shared" ref="CF14:CF77" si="18">CB14/(U14+V14+AB14+AC14)</f>
        <v>#DIV/0!</v>
      </c>
      <c r="CG14" s="1285">
        <f t="shared" ref="CG14:CG77" si="19">I14*(U14+V14)+O14*(AB14+AC14)</f>
        <v>0</v>
      </c>
      <c r="CH14" s="1285" t="e">
        <f>CG14/(AJ14+AK14)</f>
        <v>#DIV/0!</v>
      </c>
      <c r="CI14" s="1285"/>
      <c r="CJ14" s="1405">
        <f t="shared" ref="CJ14:CJ32" si="20">H14*Z14/1000</f>
        <v>2214.2732983320002</v>
      </c>
      <c r="CK14" s="1405">
        <f t="shared" ref="CK14:CK32" si="21">N14*AG14/1000</f>
        <v>1474.2080923680001</v>
      </c>
      <c r="CL14" s="1405">
        <f>CJ14+CK14</f>
        <v>3688.4813907000002</v>
      </c>
      <c r="CM14" s="1278">
        <f>N14*AH14/1000</f>
        <v>3984.7924493519999</v>
      </c>
      <c r="CN14" s="1278">
        <f>CM14-CL14</f>
        <v>296.3110586519997</v>
      </c>
      <c r="CO14" s="1278">
        <f t="shared" ref="CO14:CO77" si="22">H14*Z14+N14*AG14</f>
        <v>3688481.3907000003</v>
      </c>
      <c r="CP14" s="1278">
        <f t="shared" ref="CP14:CP77" si="23">I14*AI14+J14*AJ14+K14*AK14+L14*AL14</f>
        <v>3514488.3681959999</v>
      </c>
      <c r="CQ14" s="1278">
        <f t="shared" ref="CQ14:CQ77" si="24">I14*AI14+J14*(AJ14+AK14)+L14*AL14</f>
        <v>3514488.3681959999</v>
      </c>
      <c r="CR14" s="1278">
        <f t="shared" ref="CR14:CR77" si="25">I14*T14+J14*U14+K14*V14+L14*W14</f>
        <v>2214273.2983320002</v>
      </c>
      <c r="CS14" s="1278">
        <f t="shared" ref="CS14:CS77" si="26">O14*AI14+P14*AJ14+Q14*AK14+R14*AL14</f>
        <v>3984792.4493519999</v>
      </c>
      <c r="CT14" s="1278">
        <f t="shared" ref="CT14:CT77" si="27">O14*AI14+P14*(AJ14+AK14)+R14*AL14</f>
        <v>3984792.4493519999</v>
      </c>
      <c r="CU14" s="1278">
        <f t="shared" ref="CU14:CU77" si="28">O14*AA14+P14*AB14+Q14*AC14+R14*AD14</f>
        <v>1474208.092368</v>
      </c>
      <c r="CV14" s="1278">
        <f>CP14+CS14</f>
        <v>7499280.8175479993</v>
      </c>
      <c r="CW14" s="1286">
        <f>CV14/AH14</f>
        <v>7073.5319999999992</v>
      </c>
      <c r="CX14" s="1278">
        <f t="shared" ref="CX14:CX77" si="29">J14*AJ14+K14*AK14</f>
        <v>0</v>
      </c>
      <c r="CY14" s="1278">
        <f t="shared" ref="CY14:CY77" si="30">P14*AJ14+Q14*AK14</f>
        <v>0</v>
      </c>
      <c r="CZ14" s="1278"/>
      <c r="DA14" s="1278">
        <f t="shared" ref="DA14:DA77" si="31">H14*AI14+H14*AJ14+H14*AK14+H14*AL14</f>
        <v>3514488.3681959999</v>
      </c>
      <c r="DB14" s="1278">
        <f t="shared" ref="DB14:DB77" si="32">N14*AI14+N14*AJ14+N14*AK14+N14*AL14</f>
        <v>3984792.4493519999</v>
      </c>
      <c r="DC14" s="840"/>
      <c r="DD14" s="841" t="e">
        <f>N14/J14*100</f>
        <v>#DIV/0!</v>
      </c>
      <c r="DE14" s="840"/>
      <c r="DF14" s="840"/>
      <c r="DG14" s="840"/>
      <c r="DH14" s="1287"/>
      <c r="DI14" s="1287"/>
      <c r="DJ14" s="1287"/>
      <c r="DK14" s="1285"/>
      <c r="DL14" s="1288">
        <f t="shared" ref="DL14:DL77" si="33">M14*X14/1000</f>
        <v>0</v>
      </c>
      <c r="DM14" s="1288">
        <f t="shared" ref="DM14:DM77" si="34">S14*AE14/1000</f>
        <v>0</v>
      </c>
      <c r="DN14" s="1288">
        <f t="shared" ref="DN14:DN77" si="35">DL14+DM14</f>
        <v>0</v>
      </c>
      <c r="DO14" s="816"/>
      <c r="DP14" s="871"/>
      <c r="DQ14" s="871"/>
      <c r="DR14" s="871"/>
      <c r="DS14" s="871"/>
      <c r="DT14" s="871"/>
      <c r="DU14" s="871"/>
      <c r="DV14" s="871"/>
      <c r="DW14" s="871"/>
      <c r="DX14" s="871"/>
      <c r="DY14" s="871"/>
      <c r="DZ14" s="871"/>
      <c r="EA14" s="871"/>
      <c r="EB14" s="871"/>
      <c r="EC14" s="871"/>
      <c r="ED14" s="871"/>
      <c r="EE14" s="871"/>
      <c r="EF14" s="871"/>
      <c r="EG14" s="871"/>
      <c r="EH14" s="871"/>
      <c r="EI14" s="871"/>
      <c r="EJ14" s="871"/>
      <c r="EK14" s="871"/>
      <c r="EL14" s="871"/>
    </row>
    <row r="15" spans="1:142" s="869" customFormat="1" ht="72.75" customHeight="1">
      <c r="A15" s="6">
        <f>A14+1</f>
        <v>2</v>
      </c>
      <c r="B15" s="881" t="s">
        <v>7</v>
      </c>
      <c r="C15" s="1394" t="s">
        <v>70</v>
      </c>
      <c r="D15" s="1262" t="s">
        <v>141</v>
      </c>
      <c r="E15" s="887">
        <v>4632024035</v>
      </c>
      <c r="F15" s="886" t="s">
        <v>8</v>
      </c>
      <c r="G15" s="1238" t="s">
        <v>983</v>
      </c>
      <c r="H15" s="1256">
        <v>3314.9639999999995</v>
      </c>
      <c r="I15" s="1257">
        <f>H15</f>
        <v>3314.9639999999995</v>
      </c>
      <c r="J15" s="891"/>
      <c r="K15" s="891"/>
      <c r="L15" s="1256">
        <v>3314.9639999999995</v>
      </c>
      <c r="M15" s="946"/>
      <c r="N15" s="1259">
        <f>3132.14*1.2</f>
        <v>3758.5679999999998</v>
      </c>
      <c r="O15" s="1260">
        <f>N15</f>
        <v>3758.5679999999998</v>
      </c>
      <c r="P15" s="891"/>
      <c r="Q15" s="891"/>
      <c r="R15" s="1260">
        <f>O15</f>
        <v>3758.5679999999998</v>
      </c>
      <c r="S15" s="946"/>
      <c r="T15" s="1307">
        <v>215.74499999999998</v>
      </c>
      <c r="U15" s="890"/>
      <c r="V15" s="890"/>
      <c r="W15" s="890"/>
      <c r="X15" s="890"/>
      <c r="Y15" s="890"/>
      <c r="Z15" s="949">
        <f t="shared" si="8"/>
        <v>215.74499999999998</v>
      </c>
      <c r="AA15" s="1308">
        <v>125.28</v>
      </c>
      <c r="AB15" s="890"/>
      <c r="AC15" s="890"/>
      <c r="AD15" s="890"/>
      <c r="AE15" s="890"/>
      <c r="AF15" s="890"/>
      <c r="AG15" s="951">
        <f>SUM(AA15:AD15)</f>
        <v>125.28</v>
      </c>
      <c r="AH15" s="1307">
        <f>Z15+AG15</f>
        <v>341.02499999999998</v>
      </c>
      <c r="AI15" s="890">
        <f t="shared" si="9"/>
        <v>341.02499999999998</v>
      </c>
      <c r="AJ15" s="890">
        <f t="shared" si="9"/>
        <v>0</v>
      </c>
      <c r="AK15" s="890">
        <f t="shared" si="9"/>
        <v>0</v>
      </c>
      <c r="AL15" s="890">
        <f t="shared" si="9"/>
        <v>0</v>
      </c>
      <c r="AM15" s="890">
        <f t="shared" si="9"/>
        <v>0</v>
      </c>
      <c r="AN15" s="890"/>
      <c r="AO15" s="890">
        <f t="shared" si="10"/>
        <v>341.02499999999998</v>
      </c>
      <c r="AP15" s="890">
        <f t="shared" si="11"/>
        <v>341.02499999999998</v>
      </c>
      <c r="AQ15" s="952">
        <f t="shared" si="12"/>
        <v>341.02499999999998</v>
      </c>
      <c r="AR15" s="973">
        <f t="shared" ref="AR15:AR78" si="36">AQ15-AH15</f>
        <v>0</v>
      </c>
      <c r="AS15" s="889">
        <f t="shared" si="13"/>
        <v>1130485.5980999998</v>
      </c>
      <c r="AT15" s="890">
        <f t="shared" si="13"/>
        <v>0</v>
      </c>
      <c r="AU15" s="890">
        <f t="shared" si="13"/>
        <v>0</v>
      </c>
      <c r="AV15" s="890">
        <f t="shared" si="13"/>
        <v>0</v>
      </c>
      <c r="AW15" s="890">
        <f t="shared" si="13"/>
        <v>0</v>
      </c>
      <c r="AX15" s="890">
        <f>SUM(AS15:AW15)</f>
        <v>1130485.5980999998</v>
      </c>
      <c r="AY15" s="890">
        <f>SUM(AS15:AV15)</f>
        <v>1130485.5980999998</v>
      </c>
      <c r="AZ15" s="890">
        <f t="shared" si="14"/>
        <v>1281765.6521999999</v>
      </c>
      <c r="BA15" s="890">
        <f t="shared" si="14"/>
        <v>0</v>
      </c>
      <c r="BB15" s="890">
        <f t="shared" si="14"/>
        <v>0</v>
      </c>
      <c r="BC15" s="890">
        <f t="shared" si="14"/>
        <v>0</v>
      </c>
      <c r="BD15" s="890">
        <f t="shared" si="14"/>
        <v>0</v>
      </c>
      <c r="BE15" s="890">
        <f>SUM(AZ15:BD15)</f>
        <v>1281765.6521999999</v>
      </c>
      <c r="BF15" s="952">
        <f>SUM(AZ15:BC15)</f>
        <v>1281765.6521999999</v>
      </c>
      <c r="BG15" s="953">
        <f>(H15-J15)/1.2*U15/1000+(H15-K15)/1.2*V15/1000</f>
        <v>0</v>
      </c>
      <c r="BH15" s="954">
        <f>(O15-P15)*AB15/1000/1.2+(O15-Q15)/1.2*AC15/1000</f>
        <v>0</v>
      </c>
      <c r="BI15" s="955">
        <f t="shared" si="7"/>
        <v>0</v>
      </c>
      <c r="BJ15" s="890"/>
      <c r="BK15" s="1199"/>
      <c r="BL15" s="890">
        <f t="shared" si="15"/>
        <v>715186.90817999979</v>
      </c>
      <c r="BM15" s="890">
        <f t="shared" si="15"/>
        <v>0</v>
      </c>
      <c r="BN15" s="890">
        <f t="shared" si="15"/>
        <v>0</v>
      </c>
      <c r="BO15" s="890">
        <f t="shared" si="15"/>
        <v>0</v>
      </c>
      <c r="BP15" s="890">
        <f t="shared" si="15"/>
        <v>0</v>
      </c>
      <c r="BQ15" s="890">
        <f>BL15+BM15+BN15+BO15+BP15</f>
        <v>715186.90817999979</v>
      </c>
      <c r="BR15" s="890">
        <f>BQ15-BP15</f>
        <v>715186.90817999979</v>
      </c>
      <c r="BS15" s="890">
        <f t="shared" si="16"/>
        <v>470873.39903999999</v>
      </c>
      <c r="BT15" s="890">
        <f t="shared" si="16"/>
        <v>0</v>
      </c>
      <c r="BU15" s="890">
        <f t="shared" si="16"/>
        <v>0</v>
      </c>
      <c r="BV15" s="890">
        <f>R15*W15</f>
        <v>0</v>
      </c>
      <c r="BW15" s="890">
        <f t="shared" si="17"/>
        <v>0</v>
      </c>
      <c r="BX15" s="890">
        <f>BS15+BT15+BU15+BV15+BW15</f>
        <v>470873.39903999999</v>
      </c>
      <c r="BY15" s="890">
        <f>BX15-BW15</f>
        <v>470873.39903999999</v>
      </c>
      <c r="BZ15" s="945">
        <f t="shared" ref="BZ15:CA30" si="37">BM15+BT15</f>
        <v>0</v>
      </c>
      <c r="CA15" s="945">
        <f t="shared" si="37"/>
        <v>0</v>
      </c>
      <c r="CB15" s="945">
        <f>BZ15+CA15</f>
        <v>0</v>
      </c>
      <c r="CC15" s="945" t="e">
        <f t="shared" ref="CC15:CD30" si="38">BZ15/AJ15</f>
        <v>#DIV/0!</v>
      </c>
      <c r="CD15" s="945" t="e">
        <f t="shared" si="38"/>
        <v>#DIV/0!</v>
      </c>
      <c r="CE15" s="945" t="e">
        <f t="shared" ref="CE15:CE78" si="39">CB15/(AJ15+AK15)</f>
        <v>#DIV/0!</v>
      </c>
      <c r="CF15" s="945" t="e">
        <f t="shared" si="18"/>
        <v>#DIV/0!</v>
      </c>
      <c r="CG15" s="945">
        <f t="shared" si="19"/>
        <v>0</v>
      </c>
      <c r="CH15" s="945" t="e">
        <f t="shared" ref="CH15:CH78" si="40">CG15/(AJ15+AK15)</f>
        <v>#DIV/0!</v>
      </c>
      <c r="CI15" s="945"/>
      <c r="CJ15" s="1405">
        <f t="shared" si="20"/>
        <v>715.18690817999982</v>
      </c>
      <c r="CK15" s="1405">
        <f>N15*AG15/1000</f>
        <v>470.87339903999998</v>
      </c>
      <c r="CL15" s="1405">
        <f>CJ15+CK15</f>
        <v>1186.0603072199997</v>
      </c>
      <c r="CM15" s="890">
        <f t="shared" ref="CM15:CM78" si="41">N15*AH15/1000</f>
        <v>1281.7656522</v>
      </c>
      <c r="CN15" s="890">
        <f t="shared" ref="CN15:CN78" si="42">CM15-CL15</f>
        <v>95.705344980000291</v>
      </c>
      <c r="CO15" s="890">
        <f t="shared" si="22"/>
        <v>1186060.3072199998</v>
      </c>
      <c r="CP15" s="890">
        <f t="shared" si="23"/>
        <v>1130485.5980999998</v>
      </c>
      <c r="CQ15" s="890">
        <f t="shared" si="24"/>
        <v>1130485.5980999998</v>
      </c>
      <c r="CR15" s="890">
        <f t="shared" si="25"/>
        <v>715186.90817999979</v>
      </c>
      <c r="CS15" s="890">
        <f t="shared" si="26"/>
        <v>1281765.6521999999</v>
      </c>
      <c r="CT15" s="890">
        <f t="shared" si="27"/>
        <v>1281765.6521999999</v>
      </c>
      <c r="CU15" s="890">
        <f t="shared" si="28"/>
        <v>470873.39903999999</v>
      </c>
      <c r="CV15" s="890">
        <f t="shared" ref="CV15:CV78" si="43">CP15+CS15</f>
        <v>2412251.2502999995</v>
      </c>
      <c r="CW15" s="978">
        <f t="shared" ref="CW15:CW78" si="44">CV15/AH15</f>
        <v>7073.5319999999992</v>
      </c>
      <c r="CX15" s="890">
        <f t="shared" si="29"/>
        <v>0</v>
      </c>
      <c r="CY15" s="890">
        <f t="shared" si="30"/>
        <v>0</v>
      </c>
      <c r="CZ15" s="890"/>
      <c r="DA15" s="890">
        <f t="shared" si="31"/>
        <v>1130485.5980999998</v>
      </c>
      <c r="DB15" s="890">
        <f t="shared" si="32"/>
        <v>1281765.6521999999</v>
      </c>
      <c r="DC15" s="840"/>
      <c r="DD15" s="841" t="e">
        <f t="shared" ref="DD15:DD78" si="45">N15/J15*100</f>
        <v>#DIV/0!</v>
      </c>
      <c r="DE15" s="840"/>
      <c r="DF15" s="840"/>
      <c r="DG15" s="840"/>
      <c r="DH15" s="1050"/>
      <c r="DI15" s="1050"/>
      <c r="DJ15" s="1050"/>
      <c r="DK15" s="945"/>
      <c r="DL15" s="975">
        <f t="shared" si="33"/>
        <v>0</v>
      </c>
      <c r="DM15" s="975">
        <f t="shared" si="34"/>
        <v>0</v>
      </c>
      <c r="DN15" s="975">
        <f t="shared" si="35"/>
        <v>0</v>
      </c>
      <c r="DO15" s="816"/>
      <c r="DP15" s="871"/>
      <c r="DQ15" s="871"/>
      <c r="DR15" s="871"/>
      <c r="DS15" s="871"/>
      <c r="DT15" s="871"/>
      <c r="DU15" s="871"/>
      <c r="DV15" s="871"/>
      <c r="DW15" s="871"/>
      <c r="DX15" s="871"/>
      <c r="DY15" s="871"/>
      <c r="DZ15" s="871"/>
      <c r="EA15" s="871"/>
      <c r="EB15" s="871"/>
      <c r="EC15" s="871"/>
      <c r="ED15" s="871"/>
      <c r="EE15" s="871"/>
      <c r="EF15" s="871"/>
      <c r="EG15" s="871"/>
      <c r="EH15" s="871"/>
      <c r="EI15" s="871"/>
      <c r="EJ15" s="871"/>
      <c r="EK15" s="871"/>
      <c r="EL15" s="871"/>
    </row>
    <row r="16" spans="1:142" s="869" customFormat="1" ht="79.5" customHeight="1">
      <c r="A16" s="6">
        <f t="shared" ref="A16:A79" si="46">A15+1</f>
        <v>3</v>
      </c>
      <c r="B16" s="881" t="s">
        <v>7</v>
      </c>
      <c r="C16" s="1394" t="s">
        <v>71</v>
      </c>
      <c r="D16" s="1262" t="s">
        <v>141</v>
      </c>
      <c r="E16" s="887">
        <v>4632024035</v>
      </c>
      <c r="F16" s="886" t="s">
        <v>8</v>
      </c>
      <c r="G16" s="1238" t="s">
        <v>983</v>
      </c>
      <c r="H16" s="1256">
        <v>3314.9639999999995</v>
      </c>
      <c r="I16" s="1257">
        <f>H16</f>
        <v>3314.9639999999995</v>
      </c>
      <c r="J16" s="891"/>
      <c r="K16" s="891"/>
      <c r="L16" s="1256">
        <v>3314.9639999999995</v>
      </c>
      <c r="M16" s="946"/>
      <c r="N16" s="1259">
        <f>3132.14*1.2</f>
        <v>3758.5679999999998</v>
      </c>
      <c r="O16" s="1260">
        <f>N16</f>
        <v>3758.5679999999998</v>
      </c>
      <c r="P16" s="891"/>
      <c r="Q16" s="891"/>
      <c r="R16" s="1260">
        <f>O16</f>
        <v>3758.5679999999998</v>
      </c>
      <c r="S16" s="946"/>
      <c r="T16" s="1307">
        <v>179.78700000000001</v>
      </c>
      <c r="U16" s="890"/>
      <c r="V16" s="890"/>
      <c r="W16" s="890"/>
      <c r="X16" s="890"/>
      <c r="Y16" s="890"/>
      <c r="Z16" s="949">
        <f t="shared" si="8"/>
        <v>179.78700000000001</v>
      </c>
      <c r="AA16" s="1308">
        <v>104.4</v>
      </c>
      <c r="AB16" s="890"/>
      <c r="AC16" s="890"/>
      <c r="AD16" s="890"/>
      <c r="AE16" s="890"/>
      <c r="AF16" s="890"/>
      <c r="AG16" s="951">
        <f>SUM(AA16:AD16)</f>
        <v>104.4</v>
      </c>
      <c r="AH16" s="1307">
        <f>Z16+AG16</f>
        <v>284.18700000000001</v>
      </c>
      <c r="AI16" s="890">
        <f t="shared" si="9"/>
        <v>284.18700000000001</v>
      </c>
      <c r="AJ16" s="890">
        <f t="shared" si="9"/>
        <v>0</v>
      </c>
      <c r="AK16" s="890">
        <f t="shared" si="9"/>
        <v>0</v>
      </c>
      <c r="AL16" s="890">
        <f t="shared" si="9"/>
        <v>0</v>
      </c>
      <c r="AM16" s="890">
        <f t="shared" si="9"/>
        <v>0</v>
      </c>
      <c r="AN16" s="890"/>
      <c r="AO16" s="890">
        <f t="shared" si="10"/>
        <v>284.18700000000001</v>
      </c>
      <c r="AP16" s="890">
        <f t="shared" si="11"/>
        <v>284.18700000000001</v>
      </c>
      <c r="AQ16" s="952">
        <f t="shared" si="12"/>
        <v>284.18700000000001</v>
      </c>
      <c r="AR16" s="973">
        <f t="shared" si="36"/>
        <v>0</v>
      </c>
      <c r="AS16" s="889">
        <f t="shared" si="13"/>
        <v>942069.67426799994</v>
      </c>
      <c r="AT16" s="890">
        <f t="shared" si="13"/>
        <v>0</v>
      </c>
      <c r="AU16" s="890">
        <f t="shared" si="13"/>
        <v>0</v>
      </c>
      <c r="AV16" s="890">
        <f t="shared" si="13"/>
        <v>0</v>
      </c>
      <c r="AW16" s="890">
        <f t="shared" si="13"/>
        <v>0</v>
      </c>
      <c r="AX16" s="890">
        <f>SUM(AS16:AW16)</f>
        <v>942069.67426799994</v>
      </c>
      <c r="AY16" s="890">
        <f>SUM(AS16:AV16)</f>
        <v>942069.67426799994</v>
      </c>
      <c r="AZ16" s="890">
        <f t="shared" si="14"/>
        <v>1068136.1642159999</v>
      </c>
      <c r="BA16" s="890">
        <f t="shared" si="14"/>
        <v>0</v>
      </c>
      <c r="BB16" s="890">
        <f t="shared" si="14"/>
        <v>0</v>
      </c>
      <c r="BC16" s="890">
        <f t="shared" si="14"/>
        <v>0</v>
      </c>
      <c r="BD16" s="890">
        <f t="shared" si="14"/>
        <v>0</v>
      </c>
      <c r="BE16" s="890">
        <f>SUM(AZ16:BD16)</f>
        <v>1068136.1642159999</v>
      </c>
      <c r="BF16" s="952">
        <f>SUM(AZ16:BC16)</f>
        <v>1068136.1642159999</v>
      </c>
      <c r="BG16" s="953">
        <f>(H16-J16)/1.2*U16/1000+(H16-K16)/1.2*V16/1000</f>
        <v>0</v>
      </c>
      <c r="BH16" s="954">
        <f>(O16-P16)*AB16/1000/1.2+(O16-Q16)/1.2*AC16/1000</f>
        <v>0</v>
      </c>
      <c r="BI16" s="955">
        <f t="shared" si="7"/>
        <v>0</v>
      </c>
      <c r="BJ16" s="890"/>
      <c r="BK16" s="1199"/>
      <c r="BL16" s="890">
        <f t="shared" si="15"/>
        <v>595987.43266799988</v>
      </c>
      <c r="BM16" s="890">
        <f t="shared" si="15"/>
        <v>0</v>
      </c>
      <c r="BN16" s="890">
        <f t="shared" si="15"/>
        <v>0</v>
      </c>
      <c r="BO16" s="890">
        <f t="shared" si="15"/>
        <v>0</v>
      </c>
      <c r="BP16" s="890">
        <f t="shared" si="15"/>
        <v>0</v>
      </c>
      <c r="BQ16" s="890">
        <f>BL16+BM16+BN16+BO16+BP16</f>
        <v>595987.43266799988</v>
      </c>
      <c r="BR16" s="890">
        <f>BQ16-BP16</f>
        <v>595987.43266799988</v>
      </c>
      <c r="BS16" s="890">
        <f t="shared" si="16"/>
        <v>392394.49920000002</v>
      </c>
      <c r="BT16" s="890">
        <f t="shared" si="16"/>
        <v>0</v>
      </c>
      <c r="BU16" s="890">
        <f t="shared" si="16"/>
        <v>0</v>
      </c>
      <c r="BV16" s="890">
        <f>R16*W16</f>
        <v>0</v>
      </c>
      <c r="BW16" s="890">
        <f t="shared" si="17"/>
        <v>0</v>
      </c>
      <c r="BX16" s="890">
        <f>BS16+BT16+BU16+BV16+BW16</f>
        <v>392394.49920000002</v>
      </c>
      <c r="BY16" s="890">
        <f>BX16-BW16</f>
        <v>392394.49920000002</v>
      </c>
      <c r="BZ16" s="945">
        <f t="shared" si="37"/>
        <v>0</v>
      </c>
      <c r="CA16" s="945">
        <f t="shared" si="37"/>
        <v>0</v>
      </c>
      <c r="CB16" s="945">
        <f>BZ16+CA16</f>
        <v>0</v>
      </c>
      <c r="CC16" s="945" t="e">
        <f t="shared" si="38"/>
        <v>#DIV/0!</v>
      </c>
      <c r="CD16" s="945" t="e">
        <f t="shared" si="38"/>
        <v>#DIV/0!</v>
      </c>
      <c r="CE16" s="945" t="e">
        <f t="shared" si="39"/>
        <v>#DIV/0!</v>
      </c>
      <c r="CF16" s="945" t="e">
        <f t="shared" si="18"/>
        <v>#DIV/0!</v>
      </c>
      <c r="CG16" s="945">
        <f t="shared" si="19"/>
        <v>0</v>
      </c>
      <c r="CH16" s="945" t="e">
        <f t="shared" si="40"/>
        <v>#DIV/0!</v>
      </c>
      <c r="CI16" s="945"/>
      <c r="CJ16" s="1405">
        <f t="shared" si="20"/>
        <v>595.98743266799988</v>
      </c>
      <c r="CK16" s="1405">
        <f>N16*AG16/1000</f>
        <v>392.39449920000004</v>
      </c>
      <c r="CL16" s="1405">
        <f>CJ16+CK16</f>
        <v>988.38193186799992</v>
      </c>
      <c r="CM16" s="890">
        <f t="shared" si="41"/>
        <v>1068.136164216</v>
      </c>
      <c r="CN16" s="890">
        <f t="shared" si="42"/>
        <v>79.754232348000073</v>
      </c>
      <c r="CO16" s="890">
        <f t="shared" si="22"/>
        <v>988381.93186799996</v>
      </c>
      <c r="CP16" s="890">
        <f t="shared" si="23"/>
        <v>942069.67426799994</v>
      </c>
      <c r="CQ16" s="890">
        <f t="shared" si="24"/>
        <v>942069.67426799994</v>
      </c>
      <c r="CR16" s="890">
        <f t="shared" si="25"/>
        <v>595987.43266799988</v>
      </c>
      <c r="CS16" s="890">
        <f t="shared" si="26"/>
        <v>1068136.1642159999</v>
      </c>
      <c r="CT16" s="890">
        <f t="shared" si="27"/>
        <v>1068136.1642159999</v>
      </c>
      <c r="CU16" s="890">
        <f t="shared" si="28"/>
        <v>392394.49920000002</v>
      </c>
      <c r="CV16" s="890">
        <f t="shared" si="43"/>
        <v>2010205.8384839999</v>
      </c>
      <c r="CW16" s="978">
        <f t="shared" si="44"/>
        <v>7073.5319999999992</v>
      </c>
      <c r="CX16" s="890">
        <f t="shared" si="29"/>
        <v>0</v>
      </c>
      <c r="CY16" s="890">
        <f t="shared" si="30"/>
        <v>0</v>
      </c>
      <c r="CZ16" s="890"/>
      <c r="DA16" s="890">
        <f t="shared" si="31"/>
        <v>942069.67426799994</v>
      </c>
      <c r="DB16" s="890">
        <f t="shared" si="32"/>
        <v>1068136.1642159999</v>
      </c>
      <c r="DC16" s="840"/>
      <c r="DD16" s="841" t="e">
        <f t="shared" si="45"/>
        <v>#DIV/0!</v>
      </c>
      <c r="DE16" s="840"/>
      <c r="DF16" s="840"/>
      <c r="DG16" s="840"/>
      <c r="DH16" s="1050"/>
      <c r="DI16" s="1050"/>
      <c r="DJ16" s="1050"/>
      <c r="DK16" s="945"/>
      <c r="DL16" s="975">
        <f t="shared" si="33"/>
        <v>0</v>
      </c>
      <c r="DM16" s="975">
        <f t="shared" si="34"/>
        <v>0</v>
      </c>
      <c r="DN16" s="975">
        <f t="shared" si="35"/>
        <v>0</v>
      </c>
      <c r="DO16" s="816"/>
      <c r="DP16" s="871"/>
      <c r="DQ16" s="871"/>
      <c r="DR16" s="871"/>
      <c r="DS16" s="871"/>
      <c r="DT16" s="871"/>
      <c r="DU16" s="871"/>
      <c r="DV16" s="871"/>
      <c r="DW16" s="871"/>
      <c r="DX16" s="871"/>
      <c r="DY16" s="871"/>
      <c r="DZ16" s="871"/>
      <c r="EA16" s="871"/>
      <c r="EB16" s="871"/>
      <c r="EC16" s="871"/>
      <c r="ED16" s="871"/>
      <c r="EE16" s="871"/>
      <c r="EF16" s="871"/>
      <c r="EG16" s="871"/>
      <c r="EH16" s="871"/>
      <c r="EI16" s="871"/>
      <c r="EJ16" s="871"/>
      <c r="EK16" s="871"/>
      <c r="EL16" s="871"/>
    </row>
    <row r="17" spans="1:142" s="869" customFormat="1" ht="79.5" customHeight="1">
      <c r="A17" s="6">
        <f t="shared" si="46"/>
        <v>4</v>
      </c>
      <c r="B17" s="881" t="s">
        <v>7</v>
      </c>
      <c r="C17" s="1394" t="s">
        <v>72</v>
      </c>
      <c r="D17" s="1262" t="s">
        <v>141</v>
      </c>
      <c r="E17" s="887">
        <v>4632024035</v>
      </c>
      <c r="F17" s="886" t="s">
        <v>8</v>
      </c>
      <c r="G17" s="223" t="s">
        <v>983</v>
      </c>
      <c r="H17" s="1256">
        <v>3314.9639999999995</v>
      </c>
      <c r="I17" s="1257">
        <f>H17</f>
        <v>3314.9639999999995</v>
      </c>
      <c r="J17" s="891"/>
      <c r="K17" s="891"/>
      <c r="L17" s="1256">
        <v>3314.9639999999995</v>
      </c>
      <c r="M17" s="946"/>
      <c r="N17" s="1259">
        <f>3132.14*1.2</f>
        <v>3758.5679999999998</v>
      </c>
      <c r="O17" s="1260">
        <f>N17</f>
        <v>3758.5679999999998</v>
      </c>
      <c r="P17" s="891"/>
      <c r="Q17" s="891"/>
      <c r="R17" s="1260">
        <f>O17</f>
        <v>3758.5679999999998</v>
      </c>
      <c r="S17" s="946"/>
      <c r="T17" s="1307">
        <v>367.07799999999997</v>
      </c>
      <c r="U17" s="890"/>
      <c r="V17" s="890"/>
      <c r="W17" s="890"/>
      <c r="X17" s="890"/>
      <c r="Y17" s="890"/>
      <c r="Z17" s="949">
        <f t="shared" si="8"/>
        <v>367.07799999999997</v>
      </c>
      <c r="AA17" s="1308">
        <v>264.05</v>
      </c>
      <c r="AB17" s="890"/>
      <c r="AC17" s="890"/>
      <c r="AD17" s="890"/>
      <c r="AE17" s="890"/>
      <c r="AF17" s="890"/>
      <c r="AG17" s="951">
        <f>SUM(AA17:AD17)</f>
        <v>264.05</v>
      </c>
      <c r="AH17" s="1307">
        <f>Z17+AG17</f>
        <v>631.12799999999993</v>
      </c>
      <c r="AI17" s="890">
        <f t="shared" si="9"/>
        <v>631.12799999999993</v>
      </c>
      <c r="AJ17" s="890">
        <f t="shared" si="9"/>
        <v>0</v>
      </c>
      <c r="AK17" s="890">
        <f t="shared" si="9"/>
        <v>0</v>
      </c>
      <c r="AL17" s="890">
        <f t="shared" si="9"/>
        <v>0</v>
      </c>
      <c r="AM17" s="890">
        <f t="shared" si="9"/>
        <v>0</v>
      </c>
      <c r="AN17" s="890"/>
      <c r="AO17" s="890">
        <f t="shared" si="10"/>
        <v>631.12799999999993</v>
      </c>
      <c r="AP17" s="890">
        <f t="shared" si="11"/>
        <v>631.12799999999993</v>
      </c>
      <c r="AQ17" s="952">
        <f t="shared" si="12"/>
        <v>631.12799999999993</v>
      </c>
      <c r="AR17" s="973">
        <f t="shared" si="36"/>
        <v>0</v>
      </c>
      <c r="AS17" s="889">
        <f t="shared" si="13"/>
        <v>2092166.5993919994</v>
      </c>
      <c r="AT17" s="890">
        <f t="shared" si="13"/>
        <v>0</v>
      </c>
      <c r="AU17" s="890">
        <f t="shared" si="13"/>
        <v>0</v>
      </c>
      <c r="AV17" s="890">
        <f t="shared" si="13"/>
        <v>0</v>
      </c>
      <c r="AW17" s="890">
        <f t="shared" si="13"/>
        <v>0</v>
      </c>
      <c r="AX17" s="890">
        <f>SUM(AS17:AW17)</f>
        <v>2092166.5993919994</v>
      </c>
      <c r="AY17" s="890">
        <f>SUM(AS17:AV17)</f>
        <v>2092166.5993919994</v>
      </c>
      <c r="AZ17" s="890">
        <f t="shared" si="14"/>
        <v>2372137.5047039995</v>
      </c>
      <c r="BA17" s="890">
        <f t="shared" si="14"/>
        <v>0</v>
      </c>
      <c r="BB17" s="890">
        <f t="shared" si="14"/>
        <v>0</v>
      </c>
      <c r="BC17" s="890">
        <f t="shared" si="14"/>
        <v>0</v>
      </c>
      <c r="BD17" s="890">
        <f t="shared" si="14"/>
        <v>0</v>
      </c>
      <c r="BE17" s="890">
        <f>SUM(AZ17:BD17)</f>
        <v>2372137.5047039995</v>
      </c>
      <c r="BF17" s="952">
        <f>SUM(AZ17:BC17)</f>
        <v>2372137.5047039995</v>
      </c>
      <c r="BG17" s="953">
        <f>(H17-J17)/1.2*U17/1000+(H17-K17)/1.2*V17/1000</f>
        <v>0</v>
      </c>
      <c r="BH17" s="954">
        <f>(O17-P17)*AB17/1000/1.2+(O17-Q17)/1.2*AC17/1000</f>
        <v>0</v>
      </c>
      <c r="BI17" s="955">
        <f t="shared" si="7"/>
        <v>0</v>
      </c>
      <c r="BJ17" s="890"/>
      <c r="BK17" s="1199"/>
      <c r="BL17" s="890">
        <f t="shared" si="15"/>
        <v>1216850.3551919998</v>
      </c>
      <c r="BM17" s="890">
        <f t="shared" si="15"/>
        <v>0</v>
      </c>
      <c r="BN17" s="890">
        <f t="shared" si="15"/>
        <v>0</v>
      </c>
      <c r="BO17" s="890">
        <f t="shared" si="15"/>
        <v>0</v>
      </c>
      <c r="BP17" s="890">
        <f t="shared" si="15"/>
        <v>0</v>
      </c>
      <c r="BQ17" s="890">
        <f>BL17+BM17+BN17+BO17+BP17</f>
        <v>1216850.3551919998</v>
      </c>
      <c r="BR17" s="890">
        <f>BQ17-BP17</f>
        <v>1216850.3551919998</v>
      </c>
      <c r="BS17" s="890">
        <f t="shared" si="16"/>
        <v>992449.88040000002</v>
      </c>
      <c r="BT17" s="890">
        <f t="shared" si="16"/>
        <v>0</v>
      </c>
      <c r="BU17" s="890">
        <f t="shared" si="16"/>
        <v>0</v>
      </c>
      <c r="BV17" s="890">
        <f>R17*W17</f>
        <v>0</v>
      </c>
      <c r="BW17" s="890">
        <f t="shared" si="17"/>
        <v>0</v>
      </c>
      <c r="BX17" s="890">
        <f>BS17+BT17+BU17+BV17+BW17</f>
        <v>992449.88040000002</v>
      </c>
      <c r="BY17" s="890">
        <f>BX17-BW17</f>
        <v>992449.88040000002</v>
      </c>
      <c r="BZ17" s="945">
        <f t="shared" si="37"/>
        <v>0</v>
      </c>
      <c r="CA17" s="945">
        <f t="shared" si="37"/>
        <v>0</v>
      </c>
      <c r="CB17" s="945">
        <f>BZ17+CA17</f>
        <v>0</v>
      </c>
      <c r="CC17" s="945" t="e">
        <f t="shared" si="38"/>
        <v>#DIV/0!</v>
      </c>
      <c r="CD17" s="945" t="e">
        <f t="shared" si="38"/>
        <v>#DIV/0!</v>
      </c>
      <c r="CE17" s="945" t="e">
        <f t="shared" si="39"/>
        <v>#DIV/0!</v>
      </c>
      <c r="CF17" s="945" t="e">
        <f t="shared" si="18"/>
        <v>#DIV/0!</v>
      </c>
      <c r="CG17" s="945">
        <f t="shared" si="19"/>
        <v>0</v>
      </c>
      <c r="CH17" s="945" t="e">
        <f t="shared" si="40"/>
        <v>#DIV/0!</v>
      </c>
      <c r="CI17" s="945"/>
      <c r="CJ17" s="1405">
        <f t="shared" si="20"/>
        <v>1216.8503551919998</v>
      </c>
      <c r="CK17" s="1405">
        <f>N17*AG17/1000</f>
        <v>992.44988039999998</v>
      </c>
      <c r="CL17" s="1405">
        <f>CJ17+CK17</f>
        <v>2209.3002355919998</v>
      </c>
      <c r="CM17" s="890">
        <f t="shared" si="41"/>
        <v>2372.1375047039996</v>
      </c>
      <c r="CN17" s="890">
        <f t="shared" si="42"/>
        <v>162.83726911199983</v>
      </c>
      <c r="CO17" s="890">
        <f t="shared" si="22"/>
        <v>2209300.2355919997</v>
      </c>
      <c r="CP17" s="890">
        <f t="shared" si="23"/>
        <v>2092166.5993919994</v>
      </c>
      <c r="CQ17" s="890">
        <f t="shared" si="24"/>
        <v>2092166.5993919994</v>
      </c>
      <c r="CR17" s="890">
        <f t="shared" si="25"/>
        <v>1216850.3551919998</v>
      </c>
      <c r="CS17" s="890">
        <f t="shared" si="26"/>
        <v>2372137.5047039995</v>
      </c>
      <c r="CT17" s="890">
        <f t="shared" si="27"/>
        <v>2372137.5047039995</v>
      </c>
      <c r="CU17" s="890">
        <f t="shared" si="28"/>
        <v>992449.88040000002</v>
      </c>
      <c r="CV17" s="890">
        <f t="shared" si="43"/>
        <v>4464304.1040959992</v>
      </c>
      <c r="CW17" s="978">
        <f t="shared" si="44"/>
        <v>7073.5319999999992</v>
      </c>
      <c r="CX17" s="890">
        <f t="shared" si="29"/>
        <v>0</v>
      </c>
      <c r="CY17" s="890">
        <f t="shared" si="30"/>
        <v>0</v>
      </c>
      <c r="CZ17" s="890"/>
      <c r="DA17" s="890">
        <f t="shared" si="31"/>
        <v>2092166.5993919994</v>
      </c>
      <c r="DB17" s="890">
        <f t="shared" si="32"/>
        <v>2372137.5047039995</v>
      </c>
      <c r="DC17" s="840"/>
      <c r="DD17" s="841" t="e">
        <f t="shared" si="45"/>
        <v>#DIV/0!</v>
      </c>
      <c r="DE17" s="840"/>
      <c r="DF17" s="840"/>
      <c r="DG17" s="840"/>
      <c r="DH17" s="1050"/>
      <c r="DI17" s="1050"/>
      <c r="DJ17" s="1050"/>
      <c r="DK17" s="945"/>
      <c r="DL17" s="975">
        <f t="shared" si="33"/>
        <v>0</v>
      </c>
      <c r="DM17" s="975">
        <f t="shared" si="34"/>
        <v>0</v>
      </c>
      <c r="DN17" s="975">
        <f t="shared" si="35"/>
        <v>0</v>
      </c>
      <c r="DO17" s="816"/>
      <c r="DP17" s="871"/>
      <c r="DQ17" s="871"/>
      <c r="DR17" s="871"/>
      <c r="DS17" s="871"/>
      <c r="DT17" s="871"/>
      <c r="DU17" s="871"/>
      <c r="DV17" s="871"/>
      <c r="DW17" s="871"/>
      <c r="DX17" s="871"/>
      <c r="DY17" s="871"/>
      <c r="DZ17" s="871"/>
      <c r="EA17" s="871"/>
      <c r="EB17" s="871"/>
      <c r="EC17" s="871"/>
      <c r="ED17" s="871"/>
      <c r="EE17" s="871"/>
      <c r="EF17" s="871"/>
      <c r="EG17" s="871"/>
      <c r="EH17" s="871"/>
      <c r="EI17" s="871"/>
      <c r="EJ17" s="871"/>
      <c r="EK17" s="871"/>
      <c r="EL17" s="871"/>
    </row>
    <row r="18" spans="1:142" s="869" customFormat="1" ht="76.5" customHeight="1">
      <c r="A18" s="816">
        <f t="shared" si="46"/>
        <v>5</v>
      </c>
      <c r="B18" s="909" t="s">
        <v>9</v>
      </c>
      <c r="C18" s="909" t="s">
        <v>73</v>
      </c>
      <c r="D18" s="1224" t="s">
        <v>933</v>
      </c>
      <c r="E18" s="910" t="s">
        <v>1003</v>
      </c>
      <c r="F18" s="909" t="s">
        <v>8</v>
      </c>
      <c r="G18" s="1480" t="s">
        <v>934</v>
      </c>
      <c r="H18" s="607">
        <v>3079.41</v>
      </c>
      <c r="I18" s="607">
        <v>3079.41</v>
      </c>
      <c r="J18" s="912">
        <v>2953.2</v>
      </c>
      <c r="K18" s="912">
        <v>0</v>
      </c>
      <c r="L18" s="912">
        <v>3079.41</v>
      </c>
      <c r="M18" s="991">
        <v>0</v>
      </c>
      <c r="N18" s="1406">
        <v>3469.64</v>
      </c>
      <c r="O18" s="912">
        <v>3469.64</v>
      </c>
      <c r="P18" s="912">
        <v>3307.58</v>
      </c>
      <c r="Q18" s="912">
        <v>0</v>
      </c>
      <c r="R18" s="912">
        <v>3469.64</v>
      </c>
      <c r="S18" s="991">
        <v>0</v>
      </c>
      <c r="T18" s="1407">
        <v>1077</v>
      </c>
      <c r="U18" s="992">
        <v>1388</v>
      </c>
      <c r="V18" s="992">
        <v>0</v>
      </c>
      <c r="W18" s="992">
        <v>170</v>
      </c>
      <c r="X18" s="992">
        <v>0</v>
      </c>
      <c r="Y18" s="992">
        <v>0</v>
      </c>
      <c r="Z18" s="949">
        <f t="shared" si="8"/>
        <v>2635</v>
      </c>
      <c r="AA18" s="1408">
        <v>827.06</v>
      </c>
      <c r="AB18" s="992">
        <v>816.18</v>
      </c>
      <c r="AC18" s="992">
        <v>0</v>
      </c>
      <c r="AD18" s="992">
        <v>87.33</v>
      </c>
      <c r="AE18" s="992">
        <v>0</v>
      </c>
      <c r="AF18" s="992">
        <v>0</v>
      </c>
      <c r="AG18" s="951">
        <f>SUM(AA18:AD18)</f>
        <v>1730.5699999999997</v>
      </c>
      <c r="AH18" s="947">
        <f>Z18+AG18</f>
        <v>4365.57</v>
      </c>
      <c r="AI18" s="894">
        <f t="shared" si="9"/>
        <v>1904.06</v>
      </c>
      <c r="AJ18" s="894">
        <f t="shared" si="9"/>
        <v>2204.1799999999998</v>
      </c>
      <c r="AK18" s="894">
        <f t="shared" si="9"/>
        <v>0</v>
      </c>
      <c r="AL18" s="894">
        <f t="shared" si="9"/>
        <v>257.33</v>
      </c>
      <c r="AM18" s="890">
        <f t="shared" si="9"/>
        <v>0</v>
      </c>
      <c r="AN18" s="890"/>
      <c r="AO18" s="894">
        <f t="shared" si="10"/>
        <v>4365.57</v>
      </c>
      <c r="AP18" s="894">
        <f t="shared" si="11"/>
        <v>4365.57</v>
      </c>
      <c r="AQ18" s="972">
        <f t="shared" si="12"/>
        <v>4365.57</v>
      </c>
      <c r="AR18" s="973">
        <f t="shared" si="36"/>
        <v>0</v>
      </c>
      <c r="AS18" s="889">
        <f t="shared" si="13"/>
        <v>5863381.4046</v>
      </c>
      <c r="AT18" s="890">
        <f t="shared" si="13"/>
        <v>6509384.3759999992</v>
      </c>
      <c r="AU18" s="890">
        <f t="shared" si="13"/>
        <v>0</v>
      </c>
      <c r="AV18" s="890">
        <f t="shared" si="13"/>
        <v>792424.57529999991</v>
      </c>
      <c r="AW18" s="890">
        <f t="shared" si="13"/>
        <v>0</v>
      </c>
      <c r="AX18" s="890">
        <f t="shared" ref="AX18:AX68" si="47">SUM(AS18:AW18)</f>
        <v>13165190.355900001</v>
      </c>
      <c r="AY18" s="890">
        <f t="shared" ref="AY18:AY68" si="48">SUM(AS18:AV18)</f>
        <v>13165190.355900001</v>
      </c>
      <c r="AZ18" s="890">
        <f>O18*AI18</f>
        <v>6606402.7383999992</v>
      </c>
      <c r="BA18" s="890">
        <f>P18*AJ18</f>
        <v>7290501.6843999997</v>
      </c>
      <c r="BB18" s="890">
        <f t="shared" si="14"/>
        <v>0</v>
      </c>
      <c r="BC18" s="890">
        <f t="shared" si="14"/>
        <v>892842.4611999999</v>
      </c>
      <c r="BD18" s="890">
        <f t="shared" si="14"/>
        <v>0</v>
      </c>
      <c r="BE18" s="890">
        <f t="shared" ref="BE18:BE69" si="49">SUM(AZ18:BD18)</f>
        <v>14789746.884</v>
      </c>
      <c r="BF18" s="952">
        <f>SUM(AZ18:BC18)</f>
        <v>14789746.884</v>
      </c>
      <c r="BG18" s="1409">
        <f>(H18-J18)*U18/1000-0.00348</f>
        <v>175.17600000000004</v>
      </c>
      <c r="BH18" s="1410">
        <f>(N18-P18)*AB18/1000-0.00313</f>
        <v>132.26700079999995</v>
      </c>
      <c r="BI18" s="1411">
        <f>BG18+BH18</f>
        <v>307.44300079999999</v>
      </c>
      <c r="BJ18" s="948">
        <v>14118.69</v>
      </c>
      <c r="BK18" s="1202"/>
      <c r="BL18" s="890">
        <f>I18*T18</f>
        <v>3316524.57</v>
      </c>
      <c r="BM18" s="890">
        <f>J18*U18</f>
        <v>4099041.5999999996</v>
      </c>
      <c r="BN18" s="890">
        <f t="shared" si="15"/>
        <v>0</v>
      </c>
      <c r="BO18" s="890">
        <f>L18*W18</f>
        <v>523499.69999999995</v>
      </c>
      <c r="BP18" s="890">
        <f t="shared" si="15"/>
        <v>0</v>
      </c>
      <c r="BQ18" s="890">
        <f>BL18+BM18+BN18+BO18+BP18</f>
        <v>7939065.8700000001</v>
      </c>
      <c r="BR18" s="890">
        <f>BQ18-BP18</f>
        <v>7939065.8700000001</v>
      </c>
      <c r="BS18" s="890">
        <f>O18*AA18</f>
        <v>2869600.4583999999</v>
      </c>
      <c r="BT18" s="890">
        <f>P18*AB18</f>
        <v>2699580.6443999996</v>
      </c>
      <c r="BU18" s="890">
        <f t="shared" si="16"/>
        <v>0</v>
      </c>
      <c r="BV18" s="890">
        <f>R18*AD18</f>
        <v>303003.66119999997</v>
      </c>
      <c r="BW18" s="890">
        <f t="shared" si="17"/>
        <v>0</v>
      </c>
      <c r="BX18" s="890">
        <f>BS18+BT18+BU18+BV18+BW18</f>
        <v>5872184.7639999995</v>
      </c>
      <c r="BY18" s="890">
        <f>BX18-BW18</f>
        <v>5872184.7639999995</v>
      </c>
      <c r="BZ18" s="945">
        <f>BM18+BT18</f>
        <v>6798622.2443999993</v>
      </c>
      <c r="CA18" s="945">
        <f t="shared" si="37"/>
        <v>0</v>
      </c>
      <c r="CB18" s="945">
        <f>BZ18+CA18</f>
        <v>6798622.2443999993</v>
      </c>
      <c r="CC18" s="976">
        <f>BZ18/AJ18</f>
        <v>3084.4224357357384</v>
      </c>
      <c r="CD18" s="976" t="e">
        <f t="shared" si="38"/>
        <v>#DIV/0!</v>
      </c>
      <c r="CE18" s="976">
        <f t="shared" si="39"/>
        <v>3084.4224357357384</v>
      </c>
      <c r="CF18" s="976">
        <f t="shared" si="18"/>
        <v>3084.4224357357384</v>
      </c>
      <c r="CG18" s="977">
        <f t="shared" si="19"/>
        <v>7106071.8552000001</v>
      </c>
      <c r="CH18" s="977">
        <f t="shared" si="40"/>
        <v>3223.9072377029102</v>
      </c>
      <c r="CI18" s="1183"/>
      <c r="CJ18" s="1410">
        <f t="shared" si="20"/>
        <v>8114.2453499999992</v>
      </c>
      <c r="CK18" s="1410">
        <f t="shared" si="21"/>
        <v>6004.4548947999992</v>
      </c>
      <c r="CL18" s="1410">
        <f t="shared" ref="CL18:CL68" si="50">CJ18+CK18</f>
        <v>14118.700244799998</v>
      </c>
      <c r="CM18" s="890">
        <f t="shared" si="41"/>
        <v>15146.956294799998</v>
      </c>
      <c r="CN18" s="890">
        <f t="shared" si="42"/>
        <v>1028.25605</v>
      </c>
      <c r="CO18" s="890">
        <f t="shared" si="22"/>
        <v>14118700.244799998</v>
      </c>
      <c r="CP18" s="890">
        <f t="shared" si="23"/>
        <v>13165190.355900001</v>
      </c>
      <c r="CQ18" s="890">
        <f t="shared" si="24"/>
        <v>13165190.355900001</v>
      </c>
      <c r="CR18" s="890">
        <f t="shared" si="25"/>
        <v>7939065.8700000001</v>
      </c>
      <c r="CS18" s="890">
        <f t="shared" si="26"/>
        <v>14789746.884</v>
      </c>
      <c r="CT18" s="890">
        <f t="shared" si="27"/>
        <v>14789746.884</v>
      </c>
      <c r="CU18" s="890">
        <f t="shared" si="28"/>
        <v>5872184.7639999995</v>
      </c>
      <c r="CV18" s="890">
        <f t="shared" si="43"/>
        <v>27954937.2399</v>
      </c>
      <c r="CW18" s="978">
        <f t="shared" si="44"/>
        <v>6403.5022322170989</v>
      </c>
      <c r="CX18" s="890">
        <f t="shared" si="29"/>
        <v>6509384.3759999992</v>
      </c>
      <c r="CY18" s="890">
        <f t="shared" si="30"/>
        <v>7290501.6843999997</v>
      </c>
      <c r="CZ18" s="890"/>
      <c r="DA18" s="890">
        <f t="shared" si="31"/>
        <v>13443379.913699999</v>
      </c>
      <c r="DB18" s="890">
        <f t="shared" si="32"/>
        <v>15146956.2948</v>
      </c>
      <c r="DC18" s="1412"/>
      <c r="DD18" s="841">
        <f t="shared" si="45"/>
        <v>117.4874712176622</v>
      </c>
      <c r="DE18" s="1412"/>
      <c r="DF18" s="1412"/>
      <c r="DG18" s="1412"/>
      <c r="DH18" s="1050">
        <v>4365.57</v>
      </c>
      <c r="DI18" s="1050">
        <v>2204.1799999999998</v>
      </c>
      <c r="DJ18" s="1050">
        <f>DH18-DI18</f>
        <v>2161.39</v>
      </c>
      <c r="DK18" s="1183"/>
      <c r="DL18" s="975">
        <f t="shared" si="33"/>
        <v>0</v>
      </c>
      <c r="DM18" s="975">
        <f t="shared" si="34"/>
        <v>0</v>
      </c>
      <c r="DN18" s="975">
        <f t="shared" si="35"/>
        <v>0</v>
      </c>
      <c r="DO18" s="1413"/>
      <c r="DP18" s="871"/>
      <c r="DQ18" s="871"/>
      <c r="DR18" s="871"/>
      <c r="DS18" s="871"/>
      <c r="DT18" s="871"/>
      <c r="DU18" s="871"/>
      <c r="DV18" s="871"/>
      <c r="DW18" s="871"/>
      <c r="DX18" s="871"/>
      <c r="DY18" s="871"/>
      <c r="DZ18" s="871"/>
      <c r="EA18" s="871"/>
      <c r="EB18" s="871"/>
      <c r="EC18" s="871"/>
      <c r="ED18" s="871"/>
      <c r="EE18" s="871"/>
      <c r="EF18" s="871"/>
      <c r="EG18" s="871"/>
      <c r="EH18" s="871"/>
      <c r="EI18" s="871"/>
      <c r="EJ18" s="871"/>
      <c r="EK18" s="871"/>
      <c r="EL18" s="871"/>
    </row>
    <row r="19" spans="1:142" s="50" customFormat="1" ht="73.5" customHeight="1">
      <c r="A19" s="6">
        <f t="shared" si="46"/>
        <v>6</v>
      </c>
      <c r="B19" s="909" t="s">
        <v>9</v>
      </c>
      <c r="C19" s="886" t="s">
        <v>167</v>
      </c>
      <c r="D19" s="886" t="s">
        <v>232</v>
      </c>
      <c r="E19" s="886">
        <v>4603004186</v>
      </c>
      <c r="F19" s="886" t="s">
        <v>8</v>
      </c>
      <c r="G19" s="1478" t="s">
        <v>968</v>
      </c>
      <c r="H19" s="38">
        <v>2541.2199999999998</v>
      </c>
      <c r="I19" s="38">
        <v>2541.2199999999998</v>
      </c>
      <c r="J19" s="891">
        <v>2541.2199999999998</v>
      </c>
      <c r="K19" s="891">
        <v>0</v>
      </c>
      <c r="L19" s="891">
        <v>2541.2199999999998</v>
      </c>
      <c r="M19" s="926">
        <v>0</v>
      </c>
      <c r="N19" s="927">
        <v>2798.28</v>
      </c>
      <c r="O19" s="928">
        <v>2798.28</v>
      </c>
      <c r="P19" s="928">
        <v>2798.28</v>
      </c>
      <c r="Q19" s="928"/>
      <c r="R19" s="928">
        <v>2798.28</v>
      </c>
      <c r="S19" s="926"/>
      <c r="T19" s="929">
        <v>2356.9499999999998</v>
      </c>
      <c r="U19" s="930">
        <v>1254</v>
      </c>
      <c r="V19" s="930">
        <v>0</v>
      </c>
      <c r="W19" s="930">
        <v>346.56</v>
      </c>
      <c r="X19" s="931">
        <v>0</v>
      </c>
      <c r="Y19" s="931">
        <v>0</v>
      </c>
      <c r="Z19" s="932">
        <f t="shared" si="8"/>
        <v>3957.5099999999998</v>
      </c>
      <c r="AA19" s="933">
        <v>1778.05</v>
      </c>
      <c r="AB19" s="930">
        <v>946</v>
      </c>
      <c r="AC19" s="930">
        <v>0</v>
      </c>
      <c r="AD19" s="930">
        <v>261.44</v>
      </c>
      <c r="AE19" s="931">
        <v>0</v>
      </c>
      <c r="AF19" s="931">
        <v>0</v>
      </c>
      <c r="AG19" s="934">
        <f t="shared" ref="AG19:AG74" si="51">SUM(AA19:AD19)</f>
        <v>2985.4900000000002</v>
      </c>
      <c r="AH19" s="935">
        <f t="shared" ref="AH19:AH82" si="52">Z19+AG19</f>
        <v>6943</v>
      </c>
      <c r="AI19" s="928">
        <f t="shared" si="9"/>
        <v>4135</v>
      </c>
      <c r="AJ19" s="928">
        <f t="shared" si="9"/>
        <v>2200</v>
      </c>
      <c r="AK19" s="931">
        <f t="shared" si="9"/>
        <v>0</v>
      </c>
      <c r="AL19" s="928">
        <f t="shared" si="9"/>
        <v>608</v>
      </c>
      <c r="AM19" s="931">
        <f t="shared" si="9"/>
        <v>0</v>
      </c>
      <c r="AN19" s="931">
        <v>0</v>
      </c>
      <c r="AO19" s="928">
        <f t="shared" si="10"/>
        <v>6943</v>
      </c>
      <c r="AP19" s="928">
        <f t="shared" si="11"/>
        <v>6943</v>
      </c>
      <c r="AQ19" s="926">
        <f t="shared" si="12"/>
        <v>6943</v>
      </c>
      <c r="AR19" s="936">
        <f t="shared" si="36"/>
        <v>0</v>
      </c>
      <c r="AS19" s="937">
        <f t="shared" si="13"/>
        <v>10507944.699999999</v>
      </c>
      <c r="AT19" s="931">
        <f t="shared" si="13"/>
        <v>5590684</v>
      </c>
      <c r="AU19" s="931">
        <f t="shared" si="13"/>
        <v>0</v>
      </c>
      <c r="AV19" s="931">
        <f t="shared" si="13"/>
        <v>1545061.7599999998</v>
      </c>
      <c r="AW19" s="931">
        <f t="shared" si="13"/>
        <v>0</v>
      </c>
      <c r="AX19" s="931">
        <f t="shared" si="47"/>
        <v>17643690.460000001</v>
      </c>
      <c r="AY19" s="931">
        <f t="shared" si="48"/>
        <v>17643690.460000001</v>
      </c>
      <c r="AZ19" s="931">
        <f t="shared" si="14"/>
        <v>11570887.800000001</v>
      </c>
      <c r="BA19" s="931">
        <f t="shared" si="14"/>
        <v>6156216</v>
      </c>
      <c r="BB19" s="931">
        <f t="shared" si="14"/>
        <v>0</v>
      </c>
      <c r="BC19" s="931">
        <f t="shared" si="14"/>
        <v>1701354.2400000002</v>
      </c>
      <c r="BD19" s="931">
        <f t="shared" si="14"/>
        <v>0</v>
      </c>
      <c r="BE19" s="931">
        <f t="shared" si="49"/>
        <v>19428458.039999999</v>
      </c>
      <c r="BF19" s="938">
        <f t="shared" ref="BF19:BF69" si="53">SUM(AZ19:BC19)</f>
        <v>19428458.039999999</v>
      </c>
      <c r="BG19" s="939">
        <v>0</v>
      </c>
      <c r="BH19" s="931">
        <v>0</v>
      </c>
      <c r="BI19" s="931">
        <f t="shared" si="7"/>
        <v>0</v>
      </c>
      <c r="BJ19" s="940">
        <v>18411.14</v>
      </c>
      <c r="BK19" s="1196">
        <v>20037.580000000002</v>
      </c>
      <c r="BL19" s="931">
        <f t="shared" ref="BL19:BP43" si="54">I19*T19</f>
        <v>5989528.4789999994</v>
      </c>
      <c r="BM19" s="931">
        <f t="shared" si="54"/>
        <v>3186689.88</v>
      </c>
      <c r="BN19" s="931">
        <f t="shared" si="15"/>
        <v>0</v>
      </c>
      <c r="BO19" s="931">
        <f t="shared" si="15"/>
        <v>880685.20319999999</v>
      </c>
      <c r="BP19" s="931">
        <f t="shared" si="15"/>
        <v>0</v>
      </c>
      <c r="BQ19" s="931">
        <f t="shared" ref="BQ19:BQ82" si="55">BL19+BM19+BN19+BO19+BP19</f>
        <v>10056903.562199999</v>
      </c>
      <c r="BR19" s="931">
        <f t="shared" ref="BR19:BR82" si="56">BQ19-BP19</f>
        <v>10056903.562199999</v>
      </c>
      <c r="BS19" s="931">
        <f t="shared" ref="BS19:BU43" si="57">O19*AA19</f>
        <v>4975481.7540000007</v>
      </c>
      <c r="BT19" s="931">
        <f t="shared" si="57"/>
        <v>2647172.8800000004</v>
      </c>
      <c r="BU19" s="931">
        <f t="shared" si="16"/>
        <v>0</v>
      </c>
      <c r="BV19" s="931">
        <f t="shared" ref="BV19:BV82" si="58">R19*W19</f>
        <v>969771.91680000012</v>
      </c>
      <c r="BW19" s="931">
        <f t="shared" si="17"/>
        <v>0</v>
      </c>
      <c r="BX19" s="931">
        <f t="shared" ref="BX19:BX82" si="59">BS19+BT19+BU19+BV19+BW19</f>
        <v>8592426.5508000012</v>
      </c>
      <c r="BY19" s="931">
        <f t="shared" ref="BY19:BY82" si="60">BX19-BW19</f>
        <v>8592426.5508000012</v>
      </c>
      <c r="BZ19" s="941">
        <f t="shared" ref="BZ19:CA73" si="61">BM19+BT19</f>
        <v>5833862.7599999998</v>
      </c>
      <c r="CA19" s="941">
        <f t="shared" si="37"/>
        <v>0</v>
      </c>
      <c r="CB19" s="941">
        <f t="shared" ref="CB19:CB82" si="62">BZ19+CA19</f>
        <v>5833862.7599999998</v>
      </c>
      <c r="CC19" s="936">
        <f t="shared" ref="CC19:CD73" si="63">BZ19/AJ19</f>
        <v>2651.7557999999999</v>
      </c>
      <c r="CD19" s="936" t="e">
        <f t="shared" si="38"/>
        <v>#DIV/0!</v>
      </c>
      <c r="CE19" s="936">
        <f t="shared" si="39"/>
        <v>2651.7557999999999</v>
      </c>
      <c r="CF19" s="942">
        <f t="shared" si="18"/>
        <v>2651.7557999999999</v>
      </c>
      <c r="CG19" s="943">
        <f t="shared" si="19"/>
        <v>5833862.7599999998</v>
      </c>
      <c r="CH19" s="943">
        <f t="shared" si="40"/>
        <v>2651.7557999999999</v>
      </c>
      <c r="CI19" s="941"/>
      <c r="CJ19" s="1405">
        <f t="shared" si="20"/>
        <v>10056.903562199999</v>
      </c>
      <c r="CK19" s="1405">
        <f t="shared" si="21"/>
        <v>8354.2369572000007</v>
      </c>
      <c r="CL19" s="1405">
        <f t="shared" si="50"/>
        <v>18411.1405194</v>
      </c>
      <c r="CM19" s="897">
        <f t="shared" si="41"/>
        <v>19428.458040000001</v>
      </c>
      <c r="CN19" s="897">
        <f t="shared" si="42"/>
        <v>1017.3175206000014</v>
      </c>
      <c r="CO19" s="931">
        <f t="shared" si="22"/>
        <v>18411140.519400001</v>
      </c>
      <c r="CP19" s="931">
        <f t="shared" si="23"/>
        <v>17643690.460000001</v>
      </c>
      <c r="CQ19" s="931">
        <f t="shared" si="24"/>
        <v>17643690.460000001</v>
      </c>
      <c r="CR19" s="931">
        <f t="shared" si="25"/>
        <v>10056903.562199999</v>
      </c>
      <c r="CS19" s="931">
        <f t="shared" si="26"/>
        <v>19428458.039999999</v>
      </c>
      <c r="CT19" s="931">
        <f t="shared" si="27"/>
        <v>19428458.039999999</v>
      </c>
      <c r="CU19" s="931">
        <f t="shared" si="28"/>
        <v>8354236.9572000019</v>
      </c>
      <c r="CV19" s="931">
        <f t="shared" si="43"/>
        <v>37072148.5</v>
      </c>
      <c r="CW19" s="906">
        <f t="shared" si="44"/>
        <v>5339.5</v>
      </c>
      <c r="CX19" s="931">
        <f t="shared" si="29"/>
        <v>5590684</v>
      </c>
      <c r="CY19" s="931">
        <f t="shared" si="30"/>
        <v>6156216</v>
      </c>
      <c r="CZ19" s="931"/>
      <c r="DA19" s="931">
        <f t="shared" si="31"/>
        <v>17643690.460000001</v>
      </c>
      <c r="DB19" s="931">
        <f t="shared" si="32"/>
        <v>19428458.039999999</v>
      </c>
      <c r="DC19" s="870"/>
      <c r="DD19" s="40">
        <f t="shared" si="45"/>
        <v>110.11561376031986</v>
      </c>
      <c r="DE19" s="870"/>
      <c r="DF19" s="870"/>
      <c r="DG19" s="870"/>
      <c r="DH19" s="1226">
        <v>6943</v>
      </c>
      <c r="DI19" s="1226">
        <v>2200</v>
      </c>
      <c r="DJ19" s="1226">
        <f>DH19-DI19</f>
        <v>4743</v>
      </c>
      <c r="DK19" s="941"/>
      <c r="DL19" s="908">
        <f t="shared" si="33"/>
        <v>0</v>
      </c>
      <c r="DM19" s="908">
        <f t="shared" si="34"/>
        <v>0</v>
      </c>
      <c r="DN19" s="908">
        <f t="shared" si="35"/>
        <v>0</v>
      </c>
      <c r="DO19" s="81"/>
      <c r="DP19" s="81"/>
      <c r="DQ19" s="81"/>
      <c r="DR19" s="81"/>
      <c r="DS19" s="81"/>
      <c r="DT19" s="81"/>
      <c r="DU19" s="81"/>
      <c r="DV19" s="81"/>
      <c r="DW19" s="81"/>
      <c r="DX19" s="81"/>
      <c r="DY19" s="81"/>
      <c r="DZ19" s="81"/>
      <c r="EA19" s="81"/>
      <c r="EB19" s="81"/>
      <c r="EC19" s="81"/>
      <c r="ED19" s="81"/>
      <c r="EE19" s="81"/>
      <c r="EF19" s="81"/>
      <c r="EG19" s="81"/>
      <c r="EH19" s="81"/>
      <c r="EI19" s="81"/>
      <c r="EJ19" s="81"/>
      <c r="EK19" s="81"/>
      <c r="EL19" s="81"/>
    </row>
    <row r="20" spans="1:142" s="869" customFormat="1" ht="79.5" customHeight="1">
      <c r="A20" s="6">
        <f t="shared" si="46"/>
        <v>7</v>
      </c>
      <c r="B20" s="909" t="s">
        <v>9</v>
      </c>
      <c r="C20" s="1394" t="s">
        <v>132</v>
      </c>
      <c r="D20" s="1262" t="s">
        <v>142</v>
      </c>
      <c r="E20" s="887">
        <v>4632024035</v>
      </c>
      <c r="F20" s="886" t="s">
        <v>8</v>
      </c>
      <c r="G20" s="1238" t="s">
        <v>983</v>
      </c>
      <c r="H20" s="1256">
        <v>3314.9639999999995</v>
      </c>
      <c r="I20" s="1257">
        <f t="shared" ref="I20:I28" si="64">H20</f>
        <v>3314.9639999999995</v>
      </c>
      <c r="J20" s="891"/>
      <c r="K20" s="891"/>
      <c r="L20" s="1256">
        <v>3314.9639999999995</v>
      </c>
      <c r="M20" s="946"/>
      <c r="N20" s="1259">
        <f t="shared" ref="N20:N28" si="65">3132.14*1.2</f>
        <v>3758.5679999999998</v>
      </c>
      <c r="O20" s="1260">
        <f t="shared" ref="O20:O28" si="66">N20</f>
        <v>3758.5679999999998</v>
      </c>
      <c r="P20" s="891"/>
      <c r="Q20" s="891"/>
      <c r="R20" s="1260">
        <f t="shared" ref="R20:R28" si="67">O20</f>
        <v>3758.5679999999998</v>
      </c>
      <c r="S20" s="946"/>
      <c r="T20" s="1307">
        <v>463.24599999999998</v>
      </c>
      <c r="U20" s="890"/>
      <c r="V20" s="890"/>
      <c r="W20" s="890"/>
      <c r="X20" s="890"/>
      <c r="Y20" s="890"/>
      <c r="Z20" s="949">
        <f t="shared" si="8"/>
        <v>463.24599999999998</v>
      </c>
      <c r="AA20" s="1308">
        <v>275</v>
      </c>
      <c r="AB20" s="890"/>
      <c r="AC20" s="890"/>
      <c r="AD20" s="890"/>
      <c r="AE20" s="890"/>
      <c r="AF20" s="890"/>
      <c r="AG20" s="951">
        <f t="shared" si="51"/>
        <v>275</v>
      </c>
      <c r="AH20" s="1292">
        <f t="shared" si="52"/>
        <v>738.24599999999998</v>
      </c>
      <c r="AI20" s="890">
        <f t="shared" si="9"/>
        <v>738.24599999999998</v>
      </c>
      <c r="AJ20" s="890">
        <f t="shared" si="9"/>
        <v>0</v>
      </c>
      <c r="AK20" s="890">
        <f t="shared" si="9"/>
        <v>0</v>
      </c>
      <c r="AL20" s="890">
        <f t="shared" si="9"/>
        <v>0</v>
      </c>
      <c r="AM20" s="890">
        <f t="shared" si="9"/>
        <v>0</v>
      </c>
      <c r="AN20" s="890"/>
      <c r="AO20" s="890">
        <f t="shared" si="10"/>
        <v>738.24599999999998</v>
      </c>
      <c r="AP20" s="890">
        <f t="shared" si="11"/>
        <v>738.24599999999998</v>
      </c>
      <c r="AQ20" s="952">
        <f t="shared" si="12"/>
        <v>738.24599999999998</v>
      </c>
      <c r="AR20" s="973">
        <f t="shared" si="36"/>
        <v>0</v>
      </c>
      <c r="AS20" s="889">
        <f t="shared" si="13"/>
        <v>2447258.9131439994</v>
      </c>
      <c r="AT20" s="890">
        <f t="shared" si="13"/>
        <v>0</v>
      </c>
      <c r="AU20" s="890">
        <f t="shared" si="13"/>
        <v>0</v>
      </c>
      <c r="AV20" s="890">
        <f t="shared" si="13"/>
        <v>0</v>
      </c>
      <c r="AW20" s="890">
        <f t="shared" si="13"/>
        <v>0</v>
      </c>
      <c r="AX20" s="890">
        <f t="shared" si="47"/>
        <v>2447258.9131439994</v>
      </c>
      <c r="AY20" s="890">
        <f t="shared" si="48"/>
        <v>2447258.9131439994</v>
      </c>
      <c r="AZ20" s="890">
        <f t="shared" si="14"/>
        <v>2774747.7917279997</v>
      </c>
      <c r="BA20" s="890">
        <f t="shared" si="14"/>
        <v>0</v>
      </c>
      <c r="BB20" s="890">
        <f t="shared" si="14"/>
        <v>0</v>
      </c>
      <c r="BC20" s="890">
        <f t="shared" si="14"/>
        <v>0</v>
      </c>
      <c r="BD20" s="890">
        <f t="shared" si="14"/>
        <v>0</v>
      </c>
      <c r="BE20" s="890">
        <f t="shared" si="49"/>
        <v>2774747.7917279997</v>
      </c>
      <c r="BF20" s="952">
        <f t="shared" si="53"/>
        <v>2774747.7917279997</v>
      </c>
      <c r="BG20" s="953">
        <f t="shared" ref="BG20:BG28" si="68">(H20-J20)/1.2*U20/1000+(H20-K20)/1.2*V20/1000</f>
        <v>0</v>
      </c>
      <c r="BH20" s="954">
        <f t="shared" ref="BH20:BH28" si="69">(O20-P20)*AB20/1000/1.2+(O20-Q20)/1.2*AC20/1000</f>
        <v>0</v>
      </c>
      <c r="BI20" s="955">
        <f t="shared" si="7"/>
        <v>0</v>
      </c>
      <c r="BJ20" s="890"/>
      <c r="BK20" s="1199"/>
      <c r="BL20" s="890">
        <f t="shared" si="54"/>
        <v>1535643.8131439998</v>
      </c>
      <c r="BM20" s="890">
        <f t="shared" si="54"/>
        <v>0</v>
      </c>
      <c r="BN20" s="890">
        <f t="shared" si="15"/>
        <v>0</v>
      </c>
      <c r="BO20" s="890">
        <f t="shared" si="15"/>
        <v>0</v>
      </c>
      <c r="BP20" s="890">
        <f t="shared" si="15"/>
        <v>0</v>
      </c>
      <c r="BQ20" s="890">
        <f t="shared" si="55"/>
        <v>1535643.8131439998</v>
      </c>
      <c r="BR20" s="890">
        <f t="shared" si="56"/>
        <v>1535643.8131439998</v>
      </c>
      <c r="BS20" s="890">
        <f t="shared" si="57"/>
        <v>1033606.2</v>
      </c>
      <c r="BT20" s="890">
        <f t="shared" si="57"/>
        <v>0</v>
      </c>
      <c r="BU20" s="890">
        <f t="shared" si="16"/>
        <v>0</v>
      </c>
      <c r="BV20" s="890">
        <f t="shared" si="58"/>
        <v>0</v>
      </c>
      <c r="BW20" s="890">
        <f t="shared" si="17"/>
        <v>0</v>
      </c>
      <c r="BX20" s="890">
        <f t="shared" si="59"/>
        <v>1033606.2</v>
      </c>
      <c r="BY20" s="890">
        <f t="shared" si="60"/>
        <v>1033606.2</v>
      </c>
      <c r="BZ20" s="945">
        <f t="shared" si="61"/>
        <v>0</v>
      </c>
      <c r="CA20" s="945">
        <f t="shared" si="37"/>
        <v>0</v>
      </c>
      <c r="CB20" s="945">
        <f t="shared" si="62"/>
        <v>0</v>
      </c>
      <c r="CC20" s="973" t="e">
        <f t="shared" si="63"/>
        <v>#DIV/0!</v>
      </c>
      <c r="CD20" s="973" t="e">
        <f t="shared" si="38"/>
        <v>#DIV/0!</v>
      </c>
      <c r="CE20" s="973" t="e">
        <f t="shared" si="39"/>
        <v>#DIV/0!</v>
      </c>
      <c r="CF20" s="945" t="e">
        <f t="shared" si="18"/>
        <v>#DIV/0!</v>
      </c>
      <c r="CG20" s="977">
        <f t="shared" si="19"/>
        <v>0</v>
      </c>
      <c r="CH20" s="977" t="e">
        <f t="shared" si="40"/>
        <v>#DIV/0!</v>
      </c>
      <c r="CI20" s="945"/>
      <c r="CJ20" s="1405">
        <f t="shared" si="20"/>
        <v>1535.6438131439998</v>
      </c>
      <c r="CK20" s="1405">
        <f t="shared" si="21"/>
        <v>1033.6061999999999</v>
      </c>
      <c r="CL20" s="1405">
        <f t="shared" si="50"/>
        <v>2569.2500131439997</v>
      </c>
      <c r="CM20" s="890">
        <f t="shared" si="41"/>
        <v>2774.7477917279998</v>
      </c>
      <c r="CN20" s="890">
        <f t="shared" si="42"/>
        <v>205.49777858400012</v>
      </c>
      <c r="CO20" s="890">
        <f t="shared" si="22"/>
        <v>2569250.0131439995</v>
      </c>
      <c r="CP20" s="890">
        <f t="shared" si="23"/>
        <v>2447258.9131439994</v>
      </c>
      <c r="CQ20" s="890">
        <f t="shared" si="24"/>
        <v>2447258.9131439994</v>
      </c>
      <c r="CR20" s="890">
        <f t="shared" si="25"/>
        <v>1535643.8131439998</v>
      </c>
      <c r="CS20" s="890">
        <f t="shared" si="26"/>
        <v>2774747.7917279997</v>
      </c>
      <c r="CT20" s="890">
        <f t="shared" si="27"/>
        <v>2774747.7917279997</v>
      </c>
      <c r="CU20" s="890">
        <f t="shared" si="28"/>
        <v>1033606.2</v>
      </c>
      <c r="CV20" s="890">
        <f t="shared" si="43"/>
        <v>5222006.7048719991</v>
      </c>
      <c r="CW20" s="978">
        <f t="shared" si="44"/>
        <v>7073.5319999999992</v>
      </c>
      <c r="CX20" s="890">
        <f t="shared" si="29"/>
        <v>0</v>
      </c>
      <c r="CY20" s="890">
        <f t="shared" si="30"/>
        <v>0</v>
      </c>
      <c r="CZ20" s="890"/>
      <c r="DA20" s="890">
        <f t="shared" si="31"/>
        <v>2447258.9131439994</v>
      </c>
      <c r="DB20" s="890">
        <f t="shared" si="32"/>
        <v>2774747.7917279997</v>
      </c>
      <c r="DC20" s="840"/>
      <c r="DD20" s="841" t="e">
        <f t="shared" si="45"/>
        <v>#DIV/0!</v>
      </c>
      <c r="DE20" s="840"/>
      <c r="DF20" s="840"/>
      <c r="DG20" s="840"/>
      <c r="DH20" s="1050"/>
      <c r="DI20" s="1050"/>
      <c r="DJ20" s="1050"/>
      <c r="DK20" s="945"/>
      <c r="DL20" s="975">
        <f t="shared" si="33"/>
        <v>0</v>
      </c>
      <c r="DM20" s="975">
        <f t="shared" si="34"/>
        <v>0</v>
      </c>
      <c r="DN20" s="975">
        <f t="shared" si="35"/>
        <v>0</v>
      </c>
      <c r="DO20" s="816"/>
      <c r="DP20" s="871"/>
      <c r="DQ20" s="871"/>
      <c r="DR20" s="871"/>
      <c r="DS20" s="871"/>
      <c r="DT20" s="871"/>
      <c r="DU20" s="871"/>
      <c r="DV20" s="871"/>
      <c r="DW20" s="871"/>
      <c r="DX20" s="871"/>
      <c r="DY20" s="871"/>
      <c r="DZ20" s="871"/>
      <c r="EA20" s="871"/>
      <c r="EB20" s="871"/>
      <c r="EC20" s="871"/>
      <c r="ED20" s="871"/>
      <c r="EE20" s="871"/>
      <c r="EF20" s="871"/>
      <c r="EG20" s="871"/>
      <c r="EH20" s="871"/>
      <c r="EI20" s="871"/>
      <c r="EJ20" s="871"/>
      <c r="EK20" s="871"/>
      <c r="EL20" s="871"/>
    </row>
    <row r="21" spans="1:142" s="869" customFormat="1" ht="79.5" customHeight="1">
      <c r="A21" s="6">
        <f t="shared" si="46"/>
        <v>8</v>
      </c>
      <c r="B21" s="909" t="s">
        <v>9</v>
      </c>
      <c r="C21" s="1394" t="s">
        <v>74</v>
      </c>
      <c r="D21" s="1262" t="s">
        <v>141</v>
      </c>
      <c r="E21" s="887">
        <v>4632024035</v>
      </c>
      <c r="F21" s="886" t="s">
        <v>8</v>
      </c>
      <c r="G21" s="1238" t="s">
        <v>983</v>
      </c>
      <c r="H21" s="1256">
        <v>3314.9639999999995</v>
      </c>
      <c r="I21" s="1257">
        <f t="shared" si="64"/>
        <v>3314.9639999999995</v>
      </c>
      <c r="J21" s="891"/>
      <c r="K21" s="891"/>
      <c r="L21" s="1256">
        <v>3314.9639999999995</v>
      </c>
      <c r="M21" s="946"/>
      <c r="N21" s="1259">
        <f t="shared" si="65"/>
        <v>3758.5679999999998</v>
      </c>
      <c r="O21" s="1260">
        <f t="shared" si="66"/>
        <v>3758.5679999999998</v>
      </c>
      <c r="P21" s="891"/>
      <c r="Q21" s="891"/>
      <c r="R21" s="1260">
        <f t="shared" si="67"/>
        <v>3758.5679999999998</v>
      </c>
      <c r="S21" s="946"/>
      <c r="T21" s="1308">
        <v>275.15599999999995</v>
      </c>
      <c r="U21" s="890"/>
      <c r="V21" s="890"/>
      <c r="W21" s="890"/>
      <c r="X21" s="890"/>
      <c r="Y21" s="890"/>
      <c r="Z21" s="949">
        <f t="shared" si="8"/>
        <v>275.15599999999995</v>
      </c>
      <c r="AA21" s="1308">
        <v>132.26300000000001</v>
      </c>
      <c r="AB21" s="890"/>
      <c r="AC21" s="890"/>
      <c r="AD21" s="890"/>
      <c r="AE21" s="890"/>
      <c r="AF21" s="890"/>
      <c r="AG21" s="951">
        <f t="shared" si="51"/>
        <v>132.26300000000001</v>
      </c>
      <c r="AH21" s="1292">
        <f t="shared" si="52"/>
        <v>407.41899999999998</v>
      </c>
      <c r="AI21" s="890">
        <f t="shared" si="9"/>
        <v>407.41899999999998</v>
      </c>
      <c r="AJ21" s="890">
        <f t="shared" si="9"/>
        <v>0</v>
      </c>
      <c r="AK21" s="890">
        <f t="shared" si="9"/>
        <v>0</v>
      </c>
      <c r="AL21" s="890">
        <f t="shared" si="9"/>
        <v>0</v>
      </c>
      <c r="AM21" s="890">
        <f t="shared" si="9"/>
        <v>0</v>
      </c>
      <c r="AN21" s="890"/>
      <c r="AO21" s="890">
        <f t="shared" si="10"/>
        <v>407.41899999999998</v>
      </c>
      <c r="AP21" s="890">
        <f t="shared" si="11"/>
        <v>407.41899999999998</v>
      </c>
      <c r="AQ21" s="952">
        <f t="shared" si="12"/>
        <v>407.41899999999998</v>
      </c>
      <c r="AR21" s="973">
        <f t="shared" si="36"/>
        <v>0</v>
      </c>
      <c r="AS21" s="889">
        <f t="shared" si="13"/>
        <v>1350579.3179159998</v>
      </c>
      <c r="AT21" s="890">
        <f t="shared" si="13"/>
        <v>0</v>
      </c>
      <c r="AU21" s="890">
        <f t="shared" si="13"/>
        <v>0</v>
      </c>
      <c r="AV21" s="890">
        <f t="shared" si="13"/>
        <v>0</v>
      </c>
      <c r="AW21" s="890">
        <f t="shared" si="13"/>
        <v>0</v>
      </c>
      <c r="AX21" s="890">
        <f t="shared" si="47"/>
        <v>1350579.3179159998</v>
      </c>
      <c r="AY21" s="890">
        <f t="shared" si="48"/>
        <v>1350579.3179159998</v>
      </c>
      <c r="AZ21" s="890">
        <f t="shared" si="14"/>
        <v>1531312.0159919998</v>
      </c>
      <c r="BA21" s="890">
        <f t="shared" si="14"/>
        <v>0</v>
      </c>
      <c r="BB21" s="890">
        <f t="shared" si="14"/>
        <v>0</v>
      </c>
      <c r="BC21" s="890">
        <f t="shared" si="14"/>
        <v>0</v>
      </c>
      <c r="BD21" s="890">
        <f t="shared" si="14"/>
        <v>0</v>
      </c>
      <c r="BE21" s="890">
        <f t="shared" si="49"/>
        <v>1531312.0159919998</v>
      </c>
      <c r="BF21" s="952">
        <f t="shared" si="53"/>
        <v>1531312.0159919998</v>
      </c>
      <c r="BG21" s="953">
        <f t="shared" si="68"/>
        <v>0</v>
      </c>
      <c r="BH21" s="954">
        <f t="shared" si="69"/>
        <v>0</v>
      </c>
      <c r="BI21" s="955">
        <f t="shared" si="7"/>
        <v>0</v>
      </c>
      <c r="BJ21" s="890"/>
      <c r="BK21" s="1199"/>
      <c r="BL21" s="890">
        <f t="shared" si="54"/>
        <v>912132.23438399972</v>
      </c>
      <c r="BM21" s="890">
        <f t="shared" si="54"/>
        <v>0</v>
      </c>
      <c r="BN21" s="890">
        <f t="shared" si="15"/>
        <v>0</v>
      </c>
      <c r="BO21" s="890">
        <f t="shared" si="15"/>
        <v>0</v>
      </c>
      <c r="BP21" s="890">
        <f t="shared" si="15"/>
        <v>0</v>
      </c>
      <c r="BQ21" s="890">
        <f t="shared" si="55"/>
        <v>912132.23438399972</v>
      </c>
      <c r="BR21" s="890">
        <f t="shared" si="56"/>
        <v>912132.23438399972</v>
      </c>
      <c r="BS21" s="890">
        <f t="shared" si="57"/>
        <v>497119.47938400001</v>
      </c>
      <c r="BT21" s="890">
        <f t="shared" si="57"/>
        <v>0</v>
      </c>
      <c r="BU21" s="890">
        <f t="shared" si="16"/>
        <v>0</v>
      </c>
      <c r="BV21" s="890">
        <f t="shared" si="58"/>
        <v>0</v>
      </c>
      <c r="BW21" s="890">
        <f t="shared" si="17"/>
        <v>0</v>
      </c>
      <c r="BX21" s="890">
        <f t="shared" si="59"/>
        <v>497119.47938400001</v>
      </c>
      <c r="BY21" s="890">
        <f t="shared" si="60"/>
        <v>497119.47938400001</v>
      </c>
      <c r="BZ21" s="945">
        <f t="shared" si="61"/>
        <v>0</v>
      </c>
      <c r="CA21" s="945">
        <f t="shared" si="37"/>
        <v>0</v>
      </c>
      <c r="CB21" s="945">
        <f t="shared" si="62"/>
        <v>0</v>
      </c>
      <c r="CC21" s="973" t="e">
        <f t="shared" si="63"/>
        <v>#DIV/0!</v>
      </c>
      <c r="CD21" s="973" t="e">
        <f t="shared" si="38"/>
        <v>#DIV/0!</v>
      </c>
      <c r="CE21" s="973" t="e">
        <f t="shared" si="39"/>
        <v>#DIV/0!</v>
      </c>
      <c r="CF21" s="945" t="e">
        <f t="shared" si="18"/>
        <v>#DIV/0!</v>
      </c>
      <c r="CG21" s="977">
        <f t="shared" si="19"/>
        <v>0</v>
      </c>
      <c r="CH21" s="977" t="e">
        <f t="shared" si="40"/>
        <v>#DIV/0!</v>
      </c>
      <c r="CI21" s="945"/>
      <c r="CJ21" s="1405">
        <f t="shared" si="20"/>
        <v>912.13223438399973</v>
      </c>
      <c r="CK21" s="1405">
        <f t="shared" si="21"/>
        <v>497.11947938399999</v>
      </c>
      <c r="CL21" s="1405">
        <f t="shared" si="50"/>
        <v>1409.2517137679997</v>
      </c>
      <c r="CM21" s="890">
        <f t="shared" si="41"/>
        <v>1531.3120159919997</v>
      </c>
      <c r="CN21" s="890">
        <f t="shared" si="42"/>
        <v>122.060302224</v>
      </c>
      <c r="CO21" s="890">
        <f t="shared" si="22"/>
        <v>1409251.7137679998</v>
      </c>
      <c r="CP21" s="890">
        <f t="shared" si="23"/>
        <v>1350579.3179159998</v>
      </c>
      <c r="CQ21" s="890">
        <f t="shared" si="24"/>
        <v>1350579.3179159998</v>
      </c>
      <c r="CR21" s="890">
        <f t="shared" si="25"/>
        <v>912132.23438399972</v>
      </c>
      <c r="CS21" s="890">
        <f t="shared" si="26"/>
        <v>1531312.0159919998</v>
      </c>
      <c r="CT21" s="890">
        <f t="shared" si="27"/>
        <v>1531312.0159919998</v>
      </c>
      <c r="CU21" s="890">
        <f t="shared" si="28"/>
        <v>497119.47938400001</v>
      </c>
      <c r="CV21" s="890">
        <f t="shared" si="43"/>
        <v>2881891.3339079996</v>
      </c>
      <c r="CW21" s="978">
        <f t="shared" si="44"/>
        <v>7073.5319999999992</v>
      </c>
      <c r="CX21" s="890">
        <f t="shared" si="29"/>
        <v>0</v>
      </c>
      <c r="CY21" s="890">
        <f t="shared" si="30"/>
        <v>0</v>
      </c>
      <c r="CZ21" s="890"/>
      <c r="DA21" s="890">
        <f t="shared" si="31"/>
        <v>1350579.3179159998</v>
      </c>
      <c r="DB21" s="890">
        <f t="shared" si="32"/>
        <v>1531312.0159919998</v>
      </c>
      <c r="DC21" s="840"/>
      <c r="DD21" s="841" t="e">
        <f t="shared" si="45"/>
        <v>#DIV/0!</v>
      </c>
      <c r="DE21" s="840"/>
      <c r="DF21" s="840"/>
      <c r="DG21" s="840"/>
      <c r="DH21" s="1050"/>
      <c r="DI21" s="1050"/>
      <c r="DJ21" s="1050"/>
      <c r="DK21" s="945"/>
      <c r="DL21" s="975">
        <f t="shared" si="33"/>
        <v>0</v>
      </c>
      <c r="DM21" s="975">
        <f t="shared" si="34"/>
        <v>0</v>
      </c>
      <c r="DN21" s="975">
        <f t="shared" si="35"/>
        <v>0</v>
      </c>
      <c r="DO21" s="816"/>
      <c r="DP21" s="871"/>
      <c r="DQ21" s="871"/>
      <c r="DR21" s="871"/>
      <c r="DS21" s="871"/>
      <c r="DT21" s="871"/>
      <c r="DU21" s="871"/>
      <c r="DV21" s="871"/>
      <c r="DW21" s="871"/>
      <c r="DX21" s="871"/>
      <c r="DY21" s="871"/>
      <c r="DZ21" s="871"/>
      <c r="EA21" s="871"/>
      <c r="EB21" s="871"/>
      <c r="EC21" s="871"/>
      <c r="ED21" s="871"/>
      <c r="EE21" s="871"/>
      <c r="EF21" s="871"/>
      <c r="EG21" s="871"/>
      <c r="EH21" s="871"/>
      <c r="EI21" s="871"/>
      <c r="EJ21" s="871"/>
      <c r="EK21" s="871"/>
      <c r="EL21" s="871"/>
    </row>
    <row r="22" spans="1:142" s="869" customFormat="1" ht="75.75" customHeight="1">
      <c r="A22" s="6">
        <f t="shared" si="46"/>
        <v>9</v>
      </c>
      <c r="B22" s="886" t="s">
        <v>11</v>
      </c>
      <c r="C22" s="1395" t="s">
        <v>75</v>
      </c>
      <c r="D22" s="1262" t="s">
        <v>142</v>
      </c>
      <c r="E22" s="887">
        <v>4632024035</v>
      </c>
      <c r="F22" s="886" t="s">
        <v>8</v>
      </c>
      <c r="G22" s="1238" t="s">
        <v>983</v>
      </c>
      <c r="H22" s="1256">
        <v>3314.9639999999995</v>
      </c>
      <c r="I22" s="1257">
        <f t="shared" si="64"/>
        <v>3314.9639999999995</v>
      </c>
      <c r="J22" s="1263">
        <v>2484</v>
      </c>
      <c r="K22" s="891"/>
      <c r="L22" s="1256">
        <v>3314.9639999999995</v>
      </c>
      <c r="M22" s="946"/>
      <c r="N22" s="1259">
        <f t="shared" si="65"/>
        <v>3758.5679999999998</v>
      </c>
      <c r="O22" s="1260">
        <f t="shared" si="66"/>
        <v>3758.5679999999998</v>
      </c>
      <c r="P22" s="1264">
        <v>2719.98</v>
      </c>
      <c r="Q22" s="891"/>
      <c r="R22" s="1260">
        <f t="shared" si="67"/>
        <v>3758.5679999999998</v>
      </c>
      <c r="S22" s="946"/>
      <c r="T22" s="1308">
        <v>3592.6419999999998</v>
      </c>
      <c r="U22" s="1292">
        <v>425.14700000000005</v>
      </c>
      <c r="V22" s="890"/>
      <c r="W22" s="890"/>
      <c r="X22" s="890"/>
      <c r="Y22" s="890"/>
      <c r="Z22" s="949">
        <f t="shared" si="8"/>
        <v>4017.7889999999998</v>
      </c>
      <c r="AA22" s="1308">
        <v>2260.248</v>
      </c>
      <c r="AB22" s="1292">
        <v>424.18200000000002</v>
      </c>
      <c r="AC22" s="890"/>
      <c r="AD22" s="890"/>
      <c r="AE22" s="890"/>
      <c r="AF22" s="890"/>
      <c r="AG22" s="951">
        <f t="shared" si="51"/>
        <v>2684.4300000000003</v>
      </c>
      <c r="AH22" s="947">
        <f t="shared" si="52"/>
        <v>6702.2190000000001</v>
      </c>
      <c r="AI22" s="890">
        <f t="shared" si="9"/>
        <v>5852.8899999999994</v>
      </c>
      <c r="AJ22" s="890">
        <f t="shared" si="9"/>
        <v>849.32900000000006</v>
      </c>
      <c r="AK22" s="890">
        <f t="shared" si="9"/>
        <v>0</v>
      </c>
      <c r="AL22" s="890">
        <f t="shared" si="9"/>
        <v>0</v>
      </c>
      <c r="AM22" s="890">
        <f t="shared" si="9"/>
        <v>0</v>
      </c>
      <c r="AN22" s="890"/>
      <c r="AO22" s="890">
        <f t="shared" si="10"/>
        <v>6702.2189999999991</v>
      </c>
      <c r="AP22" s="890">
        <f t="shared" si="11"/>
        <v>6702.2189999999991</v>
      </c>
      <c r="AQ22" s="952">
        <f t="shared" si="12"/>
        <v>6702.2189999999991</v>
      </c>
      <c r="AR22" s="973">
        <f t="shared" si="36"/>
        <v>0</v>
      </c>
      <c r="AS22" s="889">
        <f t="shared" si="13"/>
        <v>19402119.645959996</v>
      </c>
      <c r="AT22" s="890">
        <f t="shared" si="13"/>
        <v>2109733.236</v>
      </c>
      <c r="AU22" s="890">
        <f t="shared" si="13"/>
        <v>0</v>
      </c>
      <c r="AV22" s="890">
        <f t="shared" si="13"/>
        <v>0</v>
      </c>
      <c r="AW22" s="890">
        <f t="shared" si="13"/>
        <v>0</v>
      </c>
      <c r="AX22" s="890">
        <f t="shared" si="47"/>
        <v>21511852.881959997</v>
      </c>
      <c r="AY22" s="890">
        <f t="shared" si="48"/>
        <v>21511852.881959997</v>
      </c>
      <c r="AZ22" s="890">
        <f t="shared" si="14"/>
        <v>21998485.061519995</v>
      </c>
      <c r="BA22" s="890">
        <f t="shared" si="14"/>
        <v>2310157.8934200001</v>
      </c>
      <c r="BB22" s="890">
        <f t="shared" si="14"/>
        <v>0</v>
      </c>
      <c r="BC22" s="890">
        <f t="shared" si="14"/>
        <v>0</v>
      </c>
      <c r="BD22" s="890">
        <f t="shared" si="14"/>
        <v>0</v>
      </c>
      <c r="BE22" s="890">
        <f t="shared" si="49"/>
        <v>24308642.954939995</v>
      </c>
      <c r="BF22" s="952">
        <f t="shared" si="53"/>
        <v>24308642.954939995</v>
      </c>
      <c r="BG22" s="953">
        <f t="shared" si="68"/>
        <v>294.40154308999985</v>
      </c>
      <c r="BH22" s="954">
        <f t="shared" si="69"/>
        <v>367.12527917999995</v>
      </c>
      <c r="BI22" s="955">
        <f t="shared" si="7"/>
        <v>661.5268222699998</v>
      </c>
      <c r="BJ22" s="955"/>
      <c r="BK22" s="1197"/>
      <c r="BL22" s="890">
        <f t="shared" si="54"/>
        <v>11909478.894887997</v>
      </c>
      <c r="BM22" s="890">
        <f t="shared" si="54"/>
        <v>1056065.148</v>
      </c>
      <c r="BN22" s="890">
        <f t="shared" si="15"/>
        <v>0</v>
      </c>
      <c r="BO22" s="890">
        <f t="shared" si="15"/>
        <v>0</v>
      </c>
      <c r="BP22" s="890">
        <f t="shared" si="15"/>
        <v>0</v>
      </c>
      <c r="BQ22" s="890">
        <f t="shared" si="55"/>
        <v>12965544.042887997</v>
      </c>
      <c r="BR22" s="890">
        <f t="shared" si="56"/>
        <v>12965544.042887997</v>
      </c>
      <c r="BS22" s="890">
        <f t="shared" si="57"/>
        <v>8495295.8048640005</v>
      </c>
      <c r="BT22" s="890">
        <f t="shared" si="57"/>
        <v>1153766.55636</v>
      </c>
      <c r="BU22" s="890">
        <f t="shared" si="16"/>
        <v>0</v>
      </c>
      <c r="BV22" s="890">
        <f t="shared" si="58"/>
        <v>0</v>
      </c>
      <c r="BW22" s="890">
        <f t="shared" si="17"/>
        <v>0</v>
      </c>
      <c r="BX22" s="890">
        <f t="shared" si="59"/>
        <v>9649062.3612240013</v>
      </c>
      <c r="BY22" s="890">
        <f t="shared" si="60"/>
        <v>9649062.3612240013</v>
      </c>
      <c r="BZ22" s="945">
        <f t="shared" si="61"/>
        <v>2209831.7043599999</v>
      </c>
      <c r="CA22" s="945">
        <f t="shared" si="37"/>
        <v>0</v>
      </c>
      <c r="CB22" s="945">
        <f t="shared" si="62"/>
        <v>2209831.7043599999</v>
      </c>
      <c r="CC22" s="976">
        <f t="shared" si="63"/>
        <v>2601.8559408191641</v>
      </c>
      <c r="CD22" s="976" t="e">
        <f t="shared" si="38"/>
        <v>#DIV/0!</v>
      </c>
      <c r="CE22" s="976">
        <f t="shared" si="39"/>
        <v>2601.8559408191641</v>
      </c>
      <c r="CF22" s="976">
        <f t="shared" si="18"/>
        <v>2601.8559408191641</v>
      </c>
      <c r="CG22" s="977">
        <f t="shared" si="19"/>
        <v>3003663.8910839995</v>
      </c>
      <c r="CH22" s="977">
        <f t="shared" si="40"/>
        <v>3536.5139905548958</v>
      </c>
      <c r="CI22" s="945"/>
      <c r="CJ22" s="1405">
        <f t="shared" si="20"/>
        <v>13318.825894595997</v>
      </c>
      <c r="CK22" s="1405">
        <f t="shared" si="21"/>
        <v>10089.612696240001</v>
      </c>
      <c r="CL22" s="1405">
        <f t="shared" si="50"/>
        <v>23408.438590835998</v>
      </c>
      <c r="CM22" s="890">
        <f t="shared" si="41"/>
        <v>25190.745862391996</v>
      </c>
      <c r="CN22" s="890">
        <f t="shared" si="42"/>
        <v>1782.3072715559974</v>
      </c>
      <c r="CO22" s="890">
        <f t="shared" si="22"/>
        <v>23408438.590835996</v>
      </c>
      <c r="CP22" s="890">
        <f t="shared" si="23"/>
        <v>21511852.881959997</v>
      </c>
      <c r="CQ22" s="890">
        <f t="shared" si="24"/>
        <v>21511852.881959997</v>
      </c>
      <c r="CR22" s="890">
        <f t="shared" si="25"/>
        <v>12965544.042887997</v>
      </c>
      <c r="CS22" s="890">
        <f t="shared" si="26"/>
        <v>24308642.954939995</v>
      </c>
      <c r="CT22" s="890">
        <f t="shared" si="27"/>
        <v>24308642.954939995</v>
      </c>
      <c r="CU22" s="890">
        <f t="shared" si="28"/>
        <v>9649062.3612240013</v>
      </c>
      <c r="CV22" s="890">
        <f t="shared" si="43"/>
        <v>45820495.836899996</v>
      </c>
      <c r="CW22" s="978">
        <f t="shared" si="44"/>
        <v>6836.6157293427741</v>
      </c>
      <c r="CX22" s="890">
        <f t="shared" si="29"/>
        <v>2109733.236</v>
      </c>
      <c r="CY22" s="890">
        <f t="shared" si="30"/>
        <v>2310157.8934200001</v>
      </c>
      <c r="CZ22" s="890"/>
      <c r="DA22" s="890">
        <f t="shared" si="31"/>
        <v>22217614.705115996</v>
      </c>
      <c r="DB22" s="890">
        <f t="shared" si="32"/>
        <v>25190745.862391993</v>
      </c>
      <c r="DC22" s="840"/>
      <c r="DD22" s="841">
        <f t="shared" si="45"/>
        <v>151.3111111111111</v>
      </c>
      <c r="DE22" s="840"/>
      <c r="DF22" s="840"/>
      <c r="DG22" s="840"/>
      <c r="DH22" s="1050"/>
      <c r="DI22" s="1050"/>
      <c r="DJ22" s="1050"/>
      <c r="DK22" s="945"/>
      <c r="DL22" s="975">
        <f t="shared" si="33"/>
        <v>0</v>
      </c>
      <c r="DM22" s="975">
        <f t="shared" si="34"/>
        <v>0</v>
      </c>
      <c r="DN22" s="975">
        <f t="shared" si="35"/>
        <v>0</v>
      </c>
      <c r="DO22" s="816"/>
      <c r="DP22" s="871"/>
      <c r="DQ22" s="871"/>
      <c r="DR22" s="871"/>
      <c r="DS22" s="871"/>
      <c r="DT22" s="871"/>
      <c r="DU22" s="871"/>
      <c r="DV22" s="871"/>
      <c r="DW22" s="871"/>
      <c r="DX22" s="871"/>
      <c r="DY22" s="871"/>
      <c r="DZ22" s="871"/>
      <c r="EA22" s="871"/>
      <c r="EB22" s="871"/>
      <c r="EC22" s="871"/>
      <c r="ED22" s="871"/>
      <c r="EE22" s="871"/>
      <c r="EF22" s="871"/>
      <c r="EG22" s="871"/>
      <c r="EH22" s="871"/>
      <c r="EI22" s="871"/>
      <c r="EJ22" s="871"/>
      <c r="EK22" s="871"/>
      <c r="EL22" s="871"/>
    </row>
    <row r="23" spans="1:142" s="869" customFormat="1" ht="69.75" customHeight="1">
      <c r="A23" s="6">
        <f t="shared" si="46"/>
        <v>10</v>
      </c>
      <c r="B23" s="886" t="s">
        <v>11</v>
      </c>
      <c r="C23" s="1395" t="s">
        <v>76</v>
      </c>
      <c r="D23" s="1262" t="s">
        <v>141</v>
      </c>
      <c r="E23" s="887">
        <v>4632024035</v>
      </c>
      <c r="F23" s="886" t="s">
        <v>8</v>
      </c>
      <c r="G23" s="1238" t="s">
        <v>983</v>
      </c>
      <c r="H23" s="1256">
        <v>3314.9639999999995</v>
      </c>
      <c r="I23" s="1257">
        <f t="shared" si="64"/>
        <v>3314.9639999999995</v>
      </c>
      <c r="J23" s="891"/>
      <c r="K23" s="891"/>
      <c r="L23" s="1256">
        <v>3314.9639999999995</v>
      </c>
      <c r="M23" s="946"/>
      <c r="N23" s="1259">
        <f t="shared" si="65"/>
        <v>3758.5679999999998</v>
      </c>
      <c r="O23" s="1260">
        <f t="shared" si="66"/>
        <v>3758.5679999999998</v>
      </c>
      <c r="P23" s="891"/>
      <c r="Q23" s="891"/>
      <c r="R23" s="1260">
        <f t="shared" si="67"/>
        <v>3758.5679999999998</v>
      </c>
      <c r="S23" s="946"/>
      <c r="T23" s="1307">
        <v>203.75800000000032</v>
      </c>
      <c r="U23" s="1275"/>
      <c r="V23" s="890"/>
      <c r="W23" s="890"/>
      <c r="X23" s="890"/>
      <c r="Y23" s="890"/>
      <c r="Z23" s="949">
        <f t="shared" si="8"/>
        <v>203.75800000000032</v>
      </c>
      <c r="AA23" s="1308">
        <v>118.32</v>
      </c>
      <c r="AB23" s="890"/>
      <c r="AC23" s="890"/>
      <c r="AD23" s="890"/>
      <c r="AE23" s="890"/>
      <c r="AF23" s="890"/>
      <c r="AG23" s="951">
        <f t="shared" si="51"/>
        <v>118.32</v>
      </c>
      <c r="AH23" s="947">
        <f t="shared" si="52"/>
        <v>322.07800000000032</v>
      </c>
      <c r="AI23" s="890">
        <f t="shared" si="9"/>
        <v>322.07800000000032</v>
      </c>
      <c r="AJ23" s="890">
        <f t="shared" si="9"/>
        <v>0</v>
      </c>
      <c r="AK23" s="890">
        <f t="shared" si="9"/>
        <v>0</v>
      </c>
      <c r="AL23" s="890">
        <f t="shared" si="9"/>
        <v>0</v>
      </c>
      <c r="AM23" s="890">
        <f t="shared" si="9"/>
        <v>0</v>
      </c>
      <c r="AN23" s="890"/>
      <c r="AO23" s="890">
        <f t="shared" si="10"/>
        <v>322.07800000000032</v>
      </c>
      <c r="AP23" s="890">
        <f t="shared" si="11"/>
        <v>322.07800000000032</v>
      </c>
      <c r="AQ23" s="952">
        <f t="shared" si="12"/>
        <v>322.07800000000032</v>
      </c>
      <c r="AR23" s="973">
        <f t="shared" si="36"/>
        <v>0</v>
      </c>
      <c r="AS23" s="889">
        <f t="shared" si="13"/>
        <v>1067676.9751920009</v>
      </c>
      <c r="AT23" s="890">
        <f t="shared" si="13"/>
        <v>0</v>
      </c>
      <c r="AU23" s="890">
        <f t="shared" si="13"/>
        <v>0</v>
      </c>
      <c r="AV23" s="890">
        <f t="shared" si="13"/>
        <v>0</v>
      </c>
      <c r="AW23" s="890">
        <f t="shared" si="13"/>
        <v>0</v>
      </c>
      <c r="AX23" s="890">
        <f t="shared" si="47"/>
        <v>1067676.9751920009</v>
      </c>
      <c r="AY23" s="890">
        <f t="shared" si="48"/>
        <v>1067676.9751920009</v>
      </c>
      <c r="AZ23" s="890">
        <f t="shared" si="14"/>
        <v>1210552.0643040012</v>
      </c>
      <c r="BA23" s="890">
        <f t="shared" si="14"/>
        <v>0</v>
      </c>
      <c r="BB23" s="890">
        <f t="shared" si="14"/>
        <v>0</v>
      </c>
      <c r="BC23" s="890">
        <f t="shared" si="14"/>
        <v>0</v>
      </c>
      <c r="BD23" s="890">
        <f t="shared" si="14"/>
        <v>0</v>
      </c>
      <c r="BE23" s="890">
        <f t="shared" si="49"/>
        <v>1210552.0643040012</v>
      </c>
      <c r="BF23" s="952">
        <f t="shared" si="53"/>
        <v>1210552.0643040012</v>
      </c>
      <c r="BG23" s="953">
        <f t="shared" si="68"/>
        <v>0</v>
      </c>
      <c r="BH23" s="954">
        <f t="shared" si="69"/>
        <v>0</v>
      </c>
      <c r="BI23" s="955">
        <f t="shared" si="7"/>
        <v>0</v>
      </c>
      <c r="BJ23" s="890"/>
      <c r="BK23" s="1199"/>
      <c r="BL23" s="890">
        <f t="shared" si="54"/>
        <v>675450.43471200101</v>
      </c>
      <c r="BM23" s="890">
        <f t="shared" si="54"/>
        <v>0</v>
      </c>
      <c r="BN23" s="890">
        <f t="shared" si="15"/>
        <v>0</v>
      </c>
      <c r="BO23" s="890">
        <f t="shared" si="15"/>
        <v>0</v>
      </c>
      <c r="BP23" s="890">
        <f t="shared" si="15"/>
        <v>0</v>
      </c>
      <c r="BQ23" s="890">
        <f t="shared" si="55"/>
        <v>675450.43471200101</v>
      </c>
      <c r="BR23" s="890">
        <f t="shared" si="56"/>
        <v>675450.43471200101</v>
      </c>
      <c r="BS23" s="890">
        <f t="shared" si="57"/>
        <v>444713.76575999992</v>
      </c>
      <c r="BT23" s="890">
        <f t="shared" si="57"/>
        <v>0</v>
      </c>
      <c r="BU23" s="890">
        <f t="shared" si="16"/>
        <v>0</v>
      </c>
      <c r="BV23" s="890">
        <f t="shared" si="58"/>
        <v>0</v>
      </c>
      <c r="BW23" s="890">
        <f t="shared" si="17"/>
        <v>0</v>
      </c>
      <c r="BX23" s="890">
        <f t="shared" si="59"/>
        <v>444713.76575999992</v>
      </c>
      <c r="BY23" s="890">
        <f t="shared" si="60"/>
        <v>444713.76575999992</v>
      </c>
      <c r="BZ23" s="945">
        <f t="shared" si="61"/>
        <v>0</v>
      </c>
      <c r="CA23" s="945">
        <f t="shared" si="37"/>
        <v>0</v>
      </c>
      <c r="CB23" s="945">
        <f t="shared" si="62"/>
        <v>0</v>
      </c>
      <c r="CC23" s="976" t="e">
        <f t="shared" si="63"/>
        <v>#DIV/0!</v>
      </c>
      <c r="CD23" s="976" t="e">
        <f t="shared" si="38"/>
        <v>#DIV/0!</v>
      </c>
      <c r="CE23" s="976" t="e">
        <f t="shared" si="39"/>
        <v>#DIV/0!</v>
      </c>
      <c r="CF23" s="945" t="e">
        <f t="shared" si="18"/>
        <v>#DIV/0!</v>
      </c>
      <c r="CG23" s="977">
        <f t="shared" si="19"/>
        <v>0</v>
      </c>
      <c r="CH23" s="977" t="e">
        <f t="shared" si="40"/>
        <v>#DIV/0!</v>
      </c>
      <c r="CI23" s="945"/>
      <c r="CJ23" s="1405">
        <f t="shared" si="20"/>
        <v>675.45043471200097</v>
      </c>
      <c r="CK23" s="1405">
        <f t="shared" si="21"/>
        <v>444.71376575999994</v>
      </c>
      <c r="CL23" s="1405">
        <f t="shared" si="50"/>
        <v>1120.1642004720009</v>
      </c>
      <c r="CM23" s="890">
        <f t="shared" si="41"/>
        <v>1210.5520643040011</v>
      </c>
      <c r="CN23" s="890">
        <f t="shared" si="42"/>
        <v>90.387863832000221</v>
      </c>
      <c r="CO23" s="890">
        <f t="shared" si="22"/>
        <v>1120164.200472001</v>
      </c>
      <c r="CP23" s="890">
        <f t="shared" si="23"/>
        <v>1067676.9751920009</v>
      </c>
      <c r="CQ23" s="890">
        <f t="shared" si="24"/>
        <v>1067676.9751920009</v>
      </c>
      <c r="CR23" s="890">
        <f t="shared" si="25"/>
        <v>675450.43471200101</v>
      </c>
      <c r="CS23" s="890">
        <f t="shared" si="26"/>
        <v>1210552.0643040012</v>
      </c>
      <c r="CT23" s="890">
        <f t="shared" si="27"/>
        <v>1210552.0643040012</v>
      </c>
      <c r="CU23" s="890">
        <f t="shared" si="28"/>
        <v>444713.76575999992</v>
      </c>
      <c r="CV23" s="890">
        <f t="shared" si="43"/>
        <v>2278229.0394960018</v>
      </c>
      <c r="CW23" s="978">
        <f t="shared" si="44"/>
        <v>7073.5319999999983</v>
      </c>
      <c r="CX23" s="890">
        <f t="shared" si="29"/>
        <v>0</v>
      </c>
      <c r="CY23" s="890">
        <f t="shared" si="30"/>
        <v>0</v>
      </c>
      <c r="CZ23" s="890"/>
      <c r="DA23" s="890">
        <f t="shared" si="31"/>
        <v>1067676.9751920009</v>
      </c>
      <c r="DB23" s="890">
        <f t="shared" si="32"/>
        <v>1210552.0643040012</v>
      </c>
      <c r="DC23" s="840"/>
      <c r="DD23" s="841" t="e">
        <f t="shared" si="45"/>
        <v>#DIV/0!</v>
      </c>
      <c r="DE23" s="840"/>
      <c r="DF23" s="840"/>
      <c r="DG23" s="840"/>
      <c r="DH23" s="1050"/>
      <c r="DI23" s="1050"/>
      <c r="DJ23" s="1050"/>
      <c r="DK23" s="945"/>
      <c r="DL23" s="975">
        <f t="shared" si="33"/>
        <v>0</v>
      </c>
      <c r="DM23" s="975">
        <f t="shared" si="34"/>
        <v>0</v>
      </c>
      <c r="DN23" s="975">
        <f t="shared" si="35"/>
        <v>0</v>
      </c>
      <c r="DO23" s="816"/>
      <c r="DP23" s="871"/>
      <c r="DQ23" s="871"/>
      <c r="DR23" s="871"/>
      <c r="DS23" s="871"/>
      <c r="DT23" s="871"/>
      <c r="DU23" s="871"/>
      <c r="DV23" s="871"/>
      <c r="DW23" s="871"/>
      <c r="DX23" s="871"/>
      <c r="DY23" s="871"/>
      <c r="DZ23" s="871"/>
      <c r="EA23" s="871"/>
      <c r="EB23" s="871"/>
      <c r="EC23" s="871"/>
      <c r="ED23" s="871"/>
      <c r="EE23" s="871"/>
      <c r="EF23" s="871"/>
      <c r="EG23" s="871"/>
      <c r="EH23" s="871"/>
      <c r="EI23" s="871"/>
      <c r="EJ23" s="871"/>
      <c r="EK23" s="871"/>
      <c r="EL23" s="871"/>
    </row>
    <row r="24" spans="1:142" s="869" customFormat="1" ht="77.25" customHeight="1">
      <c r="A24" s="6">
        <f t="shared" si="46"/>
        <v>11</v>
      </c>
      <c r="B24" s="886" t="s">
        <v>11</v>
      </c>
      <c r="C24" s="1395" t="s">
        <v>77</v>
      </c>
      <c r="D24" s="1262" t="s">
        <v>141</v>
      </c>
      <c r="E24" s="887">
        <v>4632024035</v>
      </c>
      <c r="F24" s="886" t="s">
        <v>8</v>
      </c>
      <c r="G24" s="1238" t="s">
        <v>983</v>
      </c>
      <c r="H24" s="1256">
        <v>3314.9639999999995</v>
      </c>
      <c r="I24" s="1257">
        <f t="shared" si="64"/>
        <v>3314.9639999999995</v>
      </c>
      <c r="J24" s="891"/>
      <c r="K24" s="891"/>
      <c r="L24" s="1256">
        <v>3314.9639999999995</v>
      </c>
      <c r="M24" s="946"/>
      <c r="N24" s="1259">
        <f t="shared" si="65"/>
        <v>3758.5679999999998</v>
      </c>
      <c r="O24" s="1260">
        <f t="shared" si="66"/>
        <v>3758.5679999999998</v>
      </c>
      <c r="P24" s="891"/>
      <c r="Q24" s="891"/>
      <c r="R24" s="1260">
        <f t="shared" si="67"/>
        <v>3758.5679999999998</v>
      </c>
      <c r="S24" s="946"/>
      <c r="T24" s="1307">
        <v>239.71700000000035</v>
      </c>
      <c r="U24" s="1275"/>
      <c r="V24" s="890"/>
      <c r="W24" s="890"/>
      <c r="X24" s="890"/>
      <c r="Y24" s="890"/>
      <c r="Z24" s="949">
        <f t="shared" si="8"/>
        <v>239.71700000000035</v>
      </c>
      <c r="AA24" s="1308">
        <v>139.19999999999999</v>
      </c>
      <c r="AB24" s="890"/>
      <c r="AC24" s="890"/>
      <c r="AD24" s="890"/>
      <c r="AE24" s="890"/>
      <c r="AF24" s="890"/>
      <c r="AG24" s="951">
        <f t="shared" si="51"/>
        <v>139.19999999999999</v>
      </c>
      <c r="AH24" s="947">
        <f t="shared" si="52"/>
        <v>378.91700000000037</v>
      </c>
      <c r="AI24" s="890">
        <f t="shared" si="9"/>
        <v>378.91700000000037</v>
      </c>
      <c r="AJ24" s="890">
        <f t="shared" si="9"/>
        <v>0</v>
      </c>
      <c r="AK24" s="890">
        <f t="shared" si="9"/>
        <v>0</v>
      </c>
      <c r="AL24" s="890">
        <f t="shared" si="9"/>
        <v>0</v>
      </c>
      <c r="AM24" s="890">
        <f t="shared" si="9"/>
        <v>0</v>
      </c>
      <c r="AN24" s="890"/>
      <c r="AO24" s="890">
        <f t="shared" si="10"/>
        <v>378.91700000000037</v>
      </c>
      <c r="AP24" s="890">
        <f t="shared" si="11"/>
        <v>378.91700000000037</v>
      </c>
      <c r="AQ24" s="952">
        <f t="shared" si="12"/>
        <v>378.91700000000037</v>
      </c>
      <c r="AR24" s="973">
        <f t="shared" si="36"/>
        <v>0</v>
      </c>
      <c r="AS24" s="889">
        <f t="shared" si="13"/>
        <v>1256096.213988001</v>
      </c>
      <c r="AT24" s="890">
        <f t="shared" si="13"/>
        <v>0</v>
      </c>
      <c r="AU24" s="890">
        <f t="shared" si="13"/>
        <v>0</v>
      </c>
      <c r="AV24" s="890">
        <f t="shared" si="13"/>
        <v>0</v>
      </c>
      <c r="AW24" s="890">
        <f t="shared" si="13"/>
        <v>0</v>
      </c>
      <c r="AX24" s="890">
        <f t="shared" si="47"/>
        <v>1256096.213988001</v>
      </c>
      <c r="AY24" s="890">
        <f t="shared" si="48"/>
        <v>1256096.213988001</v>
      </c>
      <c r="AZ24" s="890">
        <f t="shared" si="14"/>
        <v>1424185.3108560012</v>
      </c>
      <c r="BA24" s="890">
        <f t="shared" si="14"/>
        <v>0</v>
      </c>
      <c r="BB24" s="890">
        <f t="shared" si="14"/>
        <v>0</v>
      </c>
      <c r="BC24" s="890">
        <f t="shared" si="14"/>
        <v>0</v>
      </c>
      <c r="BD24" s="890">
        <f t="shared" si="14"/>
        <v>0</v>
      </c>
      <c r="BE24" s="890">
        <f t="shared" si="49"/>
        <v>1424185.3108560012</v>
      </c>
      <c r="BF24" s="952">
        <f t="shared" si="53"/>
        <v>1424185.3108560012</v>
      </c>
      <c r="BG24" s="953">
        <f t="shared" si="68"/>
        <v>0</v>
      </c>
      <c r="BH24" s="954">
        <f t="shared" si="69"/>
        <v>0</v>
      </c>
      <c r="BI24" s="955">
        <f t="shared" si="7"/>
        <v>0</v>
      </c>
      <c r="BJ24" s="890"/>
      <c r="BK24" s="1199"/>
      <c r="BL24" s="890">
        <f t="shared" si="54"/>
        <v>794653.22518800106</v>
      </c>
      <c r="BM24" s="890">
        <f t="shared" si="54"/>
        <v>0</v>
      </c>
      <c r="BN24" s="890">
        <f t="shared" si="15"/>
        <v>0</v>
      </c>
      <c r="BO24" s="890">
        <f t="shared" si="15"/>
        <v>0</v>
      </c>
      <c r="BP24" s="890">
        <f t="shared" si="15"/>
        <v>0</v>
      </c>
      <c r="BQ24" s="890">
        <f t="shared" si="55"/>
        <v>794653.22518800106</v>
      </c>
      <c r="BR24" s="890">
        <f t="shared" si="56"/>
        <v>794653.22518800106</v>
      </c>
      <c r="BS24" s="890">
        <f t="shared" si="57"/>
        <v>523192.66559999995</v>
      </c>
      <c r="BT24" s="890">
        <f t="shared" si="57"/>
        <v>0</v>
      </c>
      <c r="BU24" s="890">
        <f t="shared" si="16"/>
        <v>0</v>
      </c>
      <c r="BV24" s="890">
        <f t="shared" si="58"/>
        <v>0</v>
      </c>
      <c r="BW24" s="890">
        <f t="shared" si="17"/>
        <v>0</v>
      </c>
      <c r="BX24" s="890">
        <f t="shared" si="59"/>
        <v>523192.66559999995</v>
      </c>
      <c r="BY24" s="890">
        <f t="shared" si="60"/>
        <v>523192.66559999995</v>
      </c>
      <c r="BZ24" s="945">
        <f t="shared" si="61"/>
        <v>0</v>
      </c>
      <c r="CA24" s="945">
        <f t="shared" si="37"/>
        <v>0</v>
      </c>
      <c r="CB24" s="945">
        <f t="shared" si="62"/>
        <v>0</v>
      </c>
      <c r="CC24" s="976" t="e">
        <f t="shared" si="63"/>
        <v>#DIV/0!</v>
      </c>
      <c r="CD24" s="976" t="e">
        <f t="shared" si="38"/>
        <v>#DIV/0!</v>
      </c>
      <c r="CE24" s="976" t="e">
        <f t="shared" si="39"/>
        <v>#DIV/0!</v>
      </c>
      <c r="CF24" s="945" t="e">
        <f t="shared" si="18"/>
        <v>#DIV/0!</v>
      </c>
      <c r="CG24" s="977">
        <f t="shared" si="19"/>
        <v>0</v>
      </c>
      <c r="CH24" s="977" t="e">
        <f t="shared" si="40"/>
        <v>#DIV/0!</v>
      </c>
      <c r="CI24" s="945"/>
      <c r="CJ24" s="1405">
        <f t="shared" si="20"/>
        <v>794.6532251880011</v>
      </c>
      <c r="CK24" s="1405">
        <f t="shared" si="21"/>
        <v>523.19266559999994</v>
      </c>
      <c r="CL24" s="1405">
        <f t="shared" si="50"/>
        <v>1317.845890788001</v>
      </c>
      <c r="CM24" s="890">
        <f t="shared" si="41"/>
        <v>1424.1853108560013</v>
      </c>
      <c r="CN24" s="890">
        <f t="shared" si="42"/>
        <v>106.33942006800021</v>
      </c>
      <c r="CO24" s="890">
        <f t="shared" si="22"/>
        <v>1317845.890788001</v>
      </c>
      <c r="CP24" s="890">
        <f t="shared" si="23"/>
        <v>1256096.213988001</v>
      </c>
      <c r="CQ24" s="890">
        <f t="shared" si="24"/>
        <v>1256096.213988001</v>
      </c>
      <c r="CR24" s="890">
        <f t="shared" si="25"/>
        <v>794653.22518800106</v>
      </c>
      <c r="CS24" s="890">
        <f t="shared" si="26"/>
        <v>1424185.3108560012</v>
      </c>
      <c r="CT24" s="890">
        <f t="shared" si="27"/>
        <v>1424185.3108560012</v>
      </c>
      <c r="CU24" s="890">
        <f t="shared" si="28"/>
        <v>523192.66559999995</v>
      </c>
      <c r="CV24" s="890">
        <f t="shared" si="43"/>
        <v>2680281.524844002</v>
      </c>
      <c r="CW24" s="978">
        <f t="shared" si="44"/>
        <v>7073.5319999999983</v>
      </c>
      <c r="CX24" s="890">
        <f t="shared" si="29"/>
        <v>0</v>
      </c>
      <c r="CY24" s="890">
        <f t="shared" si="30"/>
        <v>0</v>
      </c>
      <c r="CZ24" s="890"/>
      <c r="DA24" s="890">
        <f t="shared" si="31"/>
        <v>1256096.213988001</v>
      </c>
      <c r="DB24" s="890">
        <f t="shared" si="32"/>
        <v>1424185.3108560012</v>
      </c>
      <c r="DC24" s="840"/>
      <c r="DD24" s="841" t="e">
        <f t="shared" si="45"/>
        <v>#DIV/0!</v>
      </c>
      <c r="DE24" s="840"/>
      <c r="DF24" s="840"/>
      <c r="DG24" s="840"/>
      <c r="DH24" s="1050"/>
      <c r="DI24" s="1050"/>
      <c r="DJ24" s="1050"/>
      <c r="DK24" s="945"/>
      <c r="DL24" s="975">
        <f t="shared" si="33"/>
        <v>0</v>
      </c>
      <c r="DM24" s="975">
        <f t="shared" si="34"/>
        <v>0</v>
      </c>
      <c r="DN24" s="975">
        <f t="shared" si="35"/>
        <v>0</v>
      </c>
      <c r="DO24" s="816"/>
      <c r="DP24" s="871"/>
      <c r="DQ24" s="871"/>
      <c r="DR24" s="871"/>
      <c r="DS24" s="871"/>
      <c r="DT24" s="871"/>
      <c r="DU24" s="871"/>
      <c r="DV24" s="871"/>
      <c r="DW24" s="871"/>
      <c r="DX24" s="871"/>
      <c r="DY24" s="871"/>
      <c r="DZ24" s="871"/>
      <c r="EA24" s="871"/>
      <c r="EB24" s="871"/>
      <c r="EC24" s="871"/>
      <c r="ED24" s="871"/>
      <c r="EE24" s="871"/>
      <c r="EF24" s="871"/>
      <c r="EG24" s="871"/>
      <c r="EH24" s="871"/>
      <c r="EI24" s="871"/>
      <c r="EJ24" s="871"/>
      <c r="EK24" s="871"/>
      <c r="EL24" s="871"/>
    </row>
    <row r="25" spans="1:142" s="869" customFormat="1" ht="83.25" customHeight="1">
      <c r="A25" s="6">
        <f t="shared" si="46"/>
        <v>12</v>
      </c>
      <c r="B25" s="886" t="s">
        <v>11</v>
      </c>
      <c r="C25" s="1395" t="s">
        <v>78</v>
      </c>
      <c r="D25" s="1262" t="s">
        <v>141</v>
      </c>
      <c r="E25" s="887">
        <v>4632024035</v>
      </c>
      <c r="F25" s="886" t="s">
        <v>8</v>
      </c>
      <c r="G25" s="1238" t="s">
        <v>983</v>
      </c>
      <c r="H25" s="1256">
        <v>3314.9639999999995</v>
      </c>
      <c r="I25" s="1257">
        <f t="shared" si="64"/>
        <v>3314.9639999999995</v>
      </c>
      <c r="J25" s="891"/>
      <c r="K25" s="891"/>
      <c r="L25" s="1256">
        <v>3314.9639999999995</v>
      </c>
      <c r="M25" s="946"/>
      <c r="N25" s="1259">
        <f t="shared" si="65"/>
        <v>3758.5679999999998</v>
      </c>
      <c r="O25" s="1260">
        <f t="shared" si="66"/>
        <v>3758.5679999999998</v>
      </c>
      <c r="P25" s="891"/>
      <c r="Q25" s="891"/>
      <c r="R25" s="1260">
        <f t="shared" si="67"/>
        <v>3758.5679999999998</v>
      </c>
      <c r="S25" s="946"/>
      <c r="T25" s="1307">
        <v>155.8150000000002</v>
      </c>
      <c r="U25" s="1275"/>
      <c r="V25" s="890"/>
      <c r="W25" s="890"/>
      <c r="X25" s="890"/>
      <c r="Y25" s="890"/>
      <c r="Z25" s="949">
        <f t="shared" si="8"/>
        <v>155.8150000000002</v>
      </c>
      <c r="AA25" s="1308">
        <v>90.48</v>
      </c>
      <c r="AB25" s="890"/>
      <c r="AC25" s="890"/>
      <c r="AD25" s="890"/>
      <c r="AE25" s="890"/>
      <c r="AF25" s="890"/>
      <c r="AG25" s="951">
        <f t="shared" si="51"/>
        <v>90.48</v>
      </c>
      <c r="AH25" s="947">
        <f t="shared" si="52"/>
        <v>246.29500000000019</v>
      </c>
      <c r="AI25" s="890">
        <f t="shared" si="9"/>
        <v>246.29500000000019</v>
      </c>
      <c r="AJ25" s="890">
        <f t="shared" si="9"/>
        <v>0</v>
      </c>
      <c r="AK25" s="890">
        <f t="shared" si="9"/>
        <v>0</v>
      </c>
      <c r="AL25" s="890">
        <f t="shared" si="9"/>
        <v>0</v>
      </c>
      <c r="AM25" s="890">
        <f t="shared" si="9"/>
        <v>0</v>
      </c>
      <c r="AN25" s="890"/>
      <c r="AO25" s="890">
        <f t="shared" si="10"/>
        <v>246.29500000000019</v>
      </c>
      <c r="AP25" s="890">
        <f t="shared" si="11"/>
        <v>246.29500000000019</v>
      </c>
      <c r="AQ25" s="952">
        <f t="shared" si="12"/>
        <v>246.29500000000019</v>
      </c>
      <c r="AR25" s="973">
        <f t="shared" si="36"/>
        <v>0</v>
      </c>
      <c r="AS25" s="889">
        <f t="shared" si="13"/>
        <v>816459.05838000053</v>
      </c>
      <c r="AT25" s="890">
        <f t="shared" si="13"/>
        <v>0</v>
      </c>
      <c r="AU25" s="890">
        <f t="shared" si="13"/>
        <v>0</v>
      </c>
      <c r="AV25" s="890">
        <f t="shared" si="13"/>
        <v>0</v>
      </c>
      <c r="AW25" s="890">
        <f t="shared" si="13"/>
        <v>0</v>
      </c>
      <c r="AX25" s="890">
        <f t="shared" si="47"/>
        <v>816459.05838000053</v>
      </c>
      <c r="AY25" s="890">
        <f t="shared" si="48"/>
        <v>816459.05838000053</v>
      </c>
      <c r="AZ25" s="890">
        <f t="shared" si="14"/>
        <v>925716.50556000066</v>
      </c>
      <c r="BA25" s="890">
        <f t="shared" si="14"/>
        <v>0</v>
      </c>
      <c r="BB25" s="890">
        <f t="shared" si="14"/>
        <v>0</v>
      </c>
      <c r="BC25" s="890">
        <f t="shared" si="14"/>
        <v>0</v>
      </c>
      <c r="BD25" s="890">
        <f t="shared" si="14"/>
        <v>0</v>
      </c>
      <c r="BE25" s="890">
        <f t="shared" si="49"/>
        <v>925716.50556000066</v>
      </c>
      <c r="BF25" s="952">
        <f t="shared" si="53"/>
        <v>925716.50556000066</v>
      </c>
      <c r="BG25" s="953">
        <f t="shared" si="68"/>
        <v>0</v>
      </c>
      <c r="BH25" s="954">
        <f t="shared" si="69"/>
        <v>0</v>
      </c>
      <c r="BI25" s="955">
        <f t="shared" si="7"/>
        <v>0</v>
      </c>
      <c r="BJ25" s="890"/>
      <c r="BK25" s="1199"/>
      <c r="BL25" s="890">
        <f t="shared" si="54"/>
        <v>516521.11566000059</v>
      </c>
      <c r="BM25" s="890">
        <f t="shared" si="54"/>
        <v>0</v>
      </c>
      <c r="BN25" s="890">
        <f t="shared" si="15"/>
        <v>0</v>
      </c>
      <c r="BO25" s="890">
        <f t="shared" si="15"/>
        <v>0</v>
      </c>
      <c r="BP25" s="890">
        <f t="shared" si="15"/>
        <v>0</v>
      </c>
      <c r="BQ25" s="890">
        <f t="shared" si="55"/>
        <v>516521.11566000059</v>
      </c>
      <c r="BR25" s="890">
        <f t="shared" si="56"/>
        <v>516521.11566000059</v>
      </c>
      <c r="BS25" s="890">
        <f t="shared" si="57"/>
        <v>340075.23264</v>
      </c>
      <c r="BT25" s="890">
        <f t="shared" si="57"/>
        <v>0</v>
      </c>
      <c r="BU25" s="890">
        <f t="shared" si="16"/>
        <v>0</v>
      </c>
      <c r="BV25" s="890">
        <f t="shared" si="58"/>
        <v>0</v>
      </c>
      <c r="BW25" s="890">
        <f t="shared" si="17"/>
        <v>0</v>
      </c>
      <c r="BX25" s="890">
        <f t="shared" si="59"/>
        <v>340075.23264</v>
      </c>
      <c r="BY25" s="890">
        <f t="shared" si="60"/>
        <v>340075.23264</v>
      </c>
      <c r="BZ25" s="945">
        <f t="shared" si="61"/>
        <v>0</v>
      </c>
      <c r="CA25" s="945">
        <f t="shared" si="37"/>
        <v>0</v>
      </c>
      <c r="CB25" s="945">
        <f t="shared" si="62"/>
        <v>0</v>
      </c>
      <c r="CC25" s="976" t="e">
        <f t="shared" si="63"/>
        <v>#DIV/0!</v>
      </c>
      <c r="CD25" s="976" t="e">
        <f t="shared" si="38"/>
        <v>#DIV/0!</v>
      </c>
      <c r="CE25" s="976" t="e">
        <f t="shared" si="39"/>
        <v>#DIV/0!</v>
      </c>
      <c r="CF25" s="945" t="e">
        <f t="shared" si="18"/>
        <v>#DIV/0!</v>
      </c>
      <c r="CG25" s="977">
        <f t="shared" si="19"/>
        <v>0</v>
      </c>
      <c r="CH25" s="977" t="e">
        <f t="shared" si="40"/>
        <v>#DIV/0!</v>
      </c>
      <c r="CI25" s="945"/>
      <c r="CJ25" s="1405">
        <f t="shared" si="20"/>
        <v>516.52111566000065</v>
      </c>
      <c r="CK25" s="1405">
        <f t="shared" si="21"/>
        <v>340.07523264000002</v>
      </c>
      <c r="CL25" s="1405">
        <f t="shared" si="50"/>
        <v>856.59634830000073</v>
      </c>
      <c r="CM25" s="890">
        <f t="shared" si="41"/>
        <v>925.71650556000066</v>
      </c>
      <c r="CN25" s="890">
        <f t="shared" si="42"/>
        <v>69.120157259999928</v>
      </c>
      <c r="CO25" s="890">
        <f t="shared" si="22"/>
        <v>856596.34830000065</v>
      </c>
      <c r="CP25" s="890">
        <f t="shared" si="23"/>
        <v>816459.05838000053</v>
      </c>
      <c r="CQ25" s="890">
        <f t="shared" si="24"/>
        <v>816459.05838000053</v>
      </c>
      <c r="CR25" s="890">
        <f t="shared" si="25"/>
        <v>516521.11566000059</v>
      </c>
      <c r="CS25" s="890">
        <f t="shared" si="26"/>
        <v>925716.50556000066</v>
      </c>
      <c r="CT25" s="890">
        <f t="shared" si="27"/>
        <v>925716.50556000066</v>
      </c>
      <c r="CU25" s="890">
        <f t="shared" si="28"/>
        <v>340075.23264</v>
      </c>
      <c r="CV25" s="890">
        <f t="shared" si="43"/>
        <v>1742175.5639400012</v>
      </c>
      <c r="CW25" s="978">
        <f t="shared" si="44"/>
        <v>7073.5319999999992</v>
      </c>
      <c r="CX25" s="890">
        <f t="shared" si="29"/>
        <v>0</v>
      </c>
      <c r="CY25" s="890">
        <f t="shared" si="30"/>
        <v>0</v>
      </c>
      <c r="CZ25" s="890"/>
      <c r="DA25" s="890">
        <f t="shared" si="31"/>
        <v>816459.05838000053</v>
      </c>
      <c r="DB25" s="890">
        <f t="shared" si="32"/>
        <v>925716.50556000066</v>
      </c>
      <c r="DC25" s="840"/>
      <c r="DD25" s="841" t="e">
        <f t="shared" si="45"/>
        <v>#DIV/0!</v>
      </c>
      <c r="DE25" s="840"/>
      <c r="DF25" s="840"/>
      <c r="DG25" s="840"/>
      <c r="DH25" s="1050"/>
      <c r="DI25" s="1050"/>
      <c r="DJ25" s="1050"/>
      <c r="DK25" s="945"/>
      <c r="DL25" s="975">
        <f t="shared" si="33"/>
        <v>0</v>
      </c>
      <c r="DM25" s="975">
        <f t="shared" si="34"/>
        <v>0</v>
      </c>
      <c r="DN25" s="975">
        <f t="shared" si="35"/>
        <v>0</v>
      </c>
      <c r="DO25" s="816"/>
      <c r="DP25" s="871"/>
      <c r="DQ25" s="871"/>
      <c r="DR25" s="871"/>
      <c r="DS25" s="871"/>
      <c r="DT25" s="871"/>
      <c r="DU25" s="871"/>
      <c r="DV25" s="871"/>
      <c r="DW25" s="871"/>
      <c r="DX25" s="871"/>
      <c r="DY25" s="871"/>
      <c r="DZ25" s="871"/>
      <c r="EA25" s="871"/>
      <c r="EB25" s="871"/>
      <c r="EC25" s="871"/>
      <c r="ED25" s="871"/>
      <c r="EE25" s="871"/>
      <c r="EF25" s="871"/>
      <c r="EG25" s="871"/>
      <c r="EH25" s="871"/>
      <c r="EI25" s="871"/>
      <c r="EJ25" s="871"/>
      <c r="EK25" s="871"/>
      <c r="EL25" s="871"/>
    </row>
    <row r="26" spans="1:142" s="869" customFormat="1" ht="79.5" customHeight="1">
      <c r="A26" s="6">
        <f t="shared" si="46"/>
        <v>13</v>
      </c>
      <c r="B26" s="886" t="s">
        <v>11</v>
      </c>
      <c r="C26" s="1395" t="s">
        <v>79</v>
      </c>
      <c r="D26" s="1262" t="s">
        <v>141</v>
      </c>
      <c r="E26" s="887">
        <v>4632024035</v>
      </c>
      <c r="F26" s="886" t="s">
        <v>8</v>
      </c>
      <c r="G26" s="1238" t="s">
        <v>983</v>
      </c>
      <c r="H26" s="1256">
        <v>3314.9639999999995</v>
      </c>
      <c r="I26" s="1257">
        <f t="shared" si="64"/>
        <v>3314.9639999999995</v>
      </c>
      <c r="J26" s="891"/>
      <c r="K26" s="891"/>
      <c r="L26" s="1256">
        <v>3314.9639999999995</v>
      </c>
      <c r="M26" s="946"/>
      <c r="N26" s="1259">
        <f t="shared" si="65"/>
        <v>3758.5679999999998</v>
      </c>
      <c r="O26" s="1260">
        <f t="shared" si="66"/>
        <v>3758.5679999999998</v>
      </c>
      <c r="P26" s="891"/>
      <c r="Q26" s="891"/>
      <c r="R26" s="1260">
        <f t="shared" si="67"/>
        <v>3758.5679999999998</v>
      </c>
      <c r="S26" s="946"/>
      <c r="T26" s="1307">
        <v>179.78700000000026</v>
      </c>
      <c r="U26" s="1275"/>
      <c r="V26" s="890"/>
      <c r="W26" s="890"/>
      <c r="X26" s="890"/>
      <c r="Y26" s="890"/>
      <c r="Z26" s="949">
        <f t="shared" si="8"/>
        <v>179.78700000000026</v>
      </c>
      <c r="AA26" s="1308">
        <v>104.4</v>
      </c>
      <c r="AB26" s="890"/>
      <c r="AC26" s="890"/>
      <c r="AD26" s="890"/>
      <c r="AE26" s="890"/>
      <c r="AF26" s="890"/>
      <c r="AG26" s="951">
        <f t="shared" si="51"/>
        <v>104.4</v>
      </c>
      <c r="AH26" s="947">
        <f t="shared" si="52"/>
        <v>284.18700000000024</v>
      </c>
      <c r="AI26" s="890">
        <f t="shared" si="9"/>
        <v>284.18700000000024</v>
      </c>
      <c r="AJ26" s="890">
        <f t="shared" si="9"/>
        <v>0</v>
      </c>
      <c r="AK26" s="890">
        <f t="shared" si="9"/>
        <v>0</v>
      </c>
      <c r="AL26" s="890">
        <f t="shared" si="9"/>
        <v>0</v>
      </c>
      <c r="AM26" s="890">
        <f t="shared" si="9"/>
        <v>0</v>
      </c>
      <c r="AN26" s="890"/>
      <c r="AO26" s="890">
        <f t="shared" si="10"/>
        <v>284.18700000000024</v>
      </c>
      <c r="AP26" s="890">
        <f t="shared" si="11"/>
        <v>284.18700000000024</v>
      </c>
      <c r="AQ26" s="952">
        <f t="shared" si="12"/>
        <v>284.18700000000024</v>
      </c>
      <c r="AR26" s="973">
        <f t="shared" si="36"/>
        <v>0</v>
      </c>
      <c r="AS26" s="889">
        <f t="shared" si="13"/>
        <v>942069.67426800064</v>
      </c>
      <c r="AT26" s="890">
        <f t="shared" si="13"/>
        <v>0</v>
      </c>
      <c r="AU26" s="890">
        <f t="shared" si="13"/>
        <v>0</v>
      </c>
      <c r="AV26" s="890">
        <f t="shared" si="13"/>
        <v>0</v>
      </c>
      <c r="AW26" s="890">
        <f t="shared" si="13"/>
        <v>0</v>
      </c>
      <c r="AX26" s="890">
        <f t="shared" si="47"/>
        <v>942069.67426800064</v>
      </c>
      <c r="AY26" s="890">
        <f t="shared" si="48"/>
        <v>942069.67426800064</v>
      </c>
      <c r="AZ26" s="890">
        <f t="shared" si="14"/>
        <v>1068136.1642160008</v>
      </c>
      <c r="BA26" s="890">
        <f t="shared" si="14"/>
        <v>0</v>
      </c>
      <c r="BB26" s="890">
        <f t="shared" si="14"/>
        <v>0</v>
      </c>
      <c r="BC26" s="890">
        <f t="shared" si="14"/>
        <v>0</v>
      </c>
      <c r="BD26" s="890">
        <f t="shared" si="14"/>
        <v>0</v>
      </c>
      <c r="BE26" s="890">
        <f t="shared" si="49"/>
        <v>1068136.1642160008</v>
      </c>
      <c r="BF26" s="952">
        <f t="shared" si="53"/>
        <v>1068136.1642160008</v>
      </c>
      <c r="BG26" s="953">
        <f t="shared" si="68"/>
        <v>0</v>
      </c>
      <c r="BH26" s="954">
        <f t="shared" si="69"/>
        <v>0</v>
      </c>
      <c r="BI26" s="955">
        <f t="shared" si="7"/>
        <v>0</v>
      </c>
      <c r="BJ26" s="890"/>
      <c r="BK26" s="1199"/>
      <c r="BL26" s="890">
        <f t="shared" si="54"/>
        <v>595987.43266800081</v>
      </c>
      <c r="BM26" s="890">
        <f t="shared" si="54"/>
        <v>0</v>
      </c>
      <c r="BN26" s="890">
        <f t="shared" si="15"/>
        <v>0</v>
      </c>
      <c r="BO26" s="890">
        <f t="shared" si="15"/>
        <v>0</v>
      </c>
      <c r="BP26" s="890">
        <f t="shared" si="15"/>
        <v>0</v>
      </c>
      <c r="BQ26" s="890">
        <f t="shared" si="55"/>
        <v>595987.43266800081</v>
      </c>
      <c r="BR26" s="890">
        <f t="shared" si="56"/>
        <v>595987.43266800081</v>
      </c>
      <c r="BS26" s="890">
        <f t="shared" si="57"/>
        <v>392394.49920000002</v>
      </c>
      <c r="BT26" s="890">
        <f t="shared" si="57"/>
        <v>0</v>
      </c>
      <c r="BU26" s="890">
        <f t="shared" si="16"/>
        <v>0</v>
      </c>
      <c r="BV26" s="890">
        <f t="shared" si="58"/>
        <v>0</v>
      </c>
      <c r="BW26" s="890">
        <f t="shared" si="17"/>
        <v>0</v>
      </c>
      <c r="BX26" s="890">
        <f t="shared" si="59"/>
        <v>392394.49920000002</v>
      </c>
      <c r="BY26" s="890">
        <f t="shared" si="60"/>
        <v>392394.49920000002</v>
      </c>
      <c r="BZ26" s="945">
        <f t="shared" si="61"/>
        <v>0</v>
      </c>
      <c r="CA26" s="945">
        <f t="shared" si="37"/>
        <v>0</v>
      </c>
      <c r="CB26" s="945">
        <f t="shared" si="62"/>
        <v>0</v>
      </c>
      <c r="CC26" s="976" t="e">
        <f t="shared" si="63"/>
        <v>#DIV/0!</v>
      </c>
      <c r="CD26" s="976" t="e">
        <f t="shared" si="38"/>
        <v>#DIV/0!</v>
      </c>
      <c r="CE26" s="976" t="e">
        <f t="shared" si="39"/>
        <v>#DIV/0!</v>
      </c>
      <c r="CF26" s="945" t="e">
        <f t="shared" si="18"/>
        <v>#DIV/0!</v>
      </c>
      <c r="CG26" s="977">
        <f t="shared" si="19"/>
        <v>0</v>
      </c>
      <c r="CH26" s="977" t="e">
        <f t="shared" si="40"/>
        <v>#DIV/0!</v>
      </c>
      <c r="CI26" s="945"/>
      <c r="CJ26" s="1405">
        <f t="shared" si="20"/>
        <v>595.98743266800079</v>
      </c>
      <c r="CK26" s="1405">
        <f t="shared" si="21"/>
        <v>392.39449920000004</v>
      </c>
      <c r="CL26" s="1405">
        <f t="shared" si="50"/>
        <v>988.38193186800083</v>
      </c>
      <c r="CM26" s="890">
        <f t="shared" si="41"/>
        <v>1068.1361642160009</v>
      </c>
      <c r="CN26" s="890">
        <f t="shared" si="42"/>
        <v>79.754232348000073</v>
      </c>
      <c r="CO26" s="890">
        <f t="shared" si="22"/>
        <v>988381.93186800089</v>
      </c>
      <c r="CP26" s="890">
        <f t="shared" si="23"/>
        <v>942069.67426800064</v>
      </c>
      <c r="CQ26" s="890">
        <f t="shared" si="24"/>
        <v>942069.67426800064</v>
      </c>
      <c r="CR26" s="890">
        <f t="shared" si="25"/>
        <v>595987.43266800081</v>
      </c>
      <c r="CS26" s="890">
        <f t="shared" si="26"/>
        <v>1068136.1642160008</v>
      </c>
      <c r="CT26" s="890">
        <f t="shared" si="27"/>
        <v>1068136.1642160008</v>
      </c>
      <c r="CU26" s="890">
        <f t="shared" si="28"/>
        <v>392394.49920000002</v>
      </c>
      <c r="CV26" s="890">
        <f t="shared" si="43"/>
        <v>2010205.8384840013</v>
      </c>
      <c r="CW26" s="978">
        <f t="shared" si="44"/>
        <v>7073.5319999999983</v>
      </c>
      <c r="CX26" s="890">
        <f t="shared" si="29"/>
        <v>0</v>
      </c>
      <c r="CY26" s="890">
        <f t="shared" si="30"/>
        <v>0</v>
      </c>
      <c r="CZ26" s="890"/>
      <c r="DA26" s="890">
        <f t="shared" si="31"/>
        <v>942069.67426800064</v>
      </c>
      <c r="DB26" s="890">
        <f t="shared" si="32"/>
        <v>1068136.1642160008</v>
      </c>
      <c r="DC26" s="840"/>
      <c r="DD26" s="841" t="e">
        <f t="shared" si="45"/>
        <v>#DIV/0!</v>
      </c>
      <c r="DE26" s="840"/>
      <c r="DF26" s="840"/>
      <c r="DG26" s="840"/>
      <c r="DH26" s="1050"/>
      <c r="DI26" s="1050"/>
      <c r="DJ26" s="1050"/>
      <c r="DK26" s="945"/>
      <c r="DL26" s="975">
        <f t="shared" si="33"/>
        <v>0</v>
      </c>
      <c r="DM26" s="975">
        <f t="shared" si="34"/>
        <v>0</v>
      </c>
      <c r="DN26" s="975">
        <f t="shared" si="35"/>
        <v>0</v>
      </c>
      <c r="DO26" s="816"/>
      <c r="DP26" s="871"/>
      <c r="DQ26" s="871"/>
      <c r="DR26" s="871"/>
      <c r="DS26" s="871"/>
      <c r="DT26" s="871"/>
      <c r="DU26" s="871"/>
      <c r="DV26" s="871"/>
      <c r="DW26" s="871"/>
      <c r="DX26" s="871"/>
      <c r="DY26" s="871"/>
      <c r="DZ26" s="871"/>
      <c r="EA26" s="871"/>
      <c r="EB26" s="871"/>
      <c r="EC26" s="871"/>
      <c r="ED26" s="871"/>
      <c r="EE26" s="871"/>
      <c r="EF26" s="871"/>
      <c r="EG26" s="871"/>
      <c r="EH26" s="871"/>
      <c r="EI26" s="871"/>
      <c r="EJ26" s="871"/>
      <c r="EK26" s="871"/>
      <c r="EL26" s="871"/>
    </row>
    <row r="27" spans="1:142" s="869" customFormat="1" ht="75" customHeight="1">
      <c r="A27" s="6">
        <f t="shared" si="46"/>
        <v>14</v>
      </c>
      <c r="B27" s="886" t="s">
        <v>11</v>
      </c>
      <c r="C27" s="1395" t="s">
        <v>80</v>
      </c>
      <c r="D27" s="1262" t="s">
        <v>141</v>
      </c>
      <c r="E27" s="887">
        <v>4632024035</v>
      </c>
      <c r="F27" s="886" t="s">
        <v>8</v>
      </c>
      <c r="G27" s="1238" t="s">
        <v>983</v>
      </c>
      <c r="H27" s="1256">
        <v>3314.9639999999995</v>
      </c>
      <c r="I27" s="1257">
        <f t="shared" si="64"/>
        <v>3314.9639999999995</v>
      </c>
      <c r="J27" s="891"/>
      <c r="K27" s="891"/>
      <c r="L27" s="1256">
        <v>3314.9639999999995</v>
      </c>
      <c r="M27" s="946"/>
      <c r="N27" s="1259">
        <f t="shared" si="65"/>
        <v>3758.5679999999998</v>
      </c>
      <c r="O27" s="1260">
        <f t="shared" si="66"/>
        <v>3758.5679999999998</v>
      </c>
      <c r="P27" s="891"/>
      <c r="Q27" s="891"/>
      <c r="R27" s="1260">
        <f t="shared" si="67"/>
        <v>3758.5679999999998</v>
      </c>
      <c r="S27" s="946"/>
      <c r="T27" s="1307">
        <v>151.48999999999998</v>
      </c>
      <c r="U27" s="1275"/>
      <c r="V27" s="890"/>
      <c r="W27" s="890"/>
      <c r="X27" s="890"/>
      <c r="Y27" s="890"/>
      <c r="Z27" s="949">
        <f t="shared" si="8"/>
        <v>151.48999999999998</v>
      </c>
      <c r="AA27" s="1308">
        <v>104.4</v>
      </c>
      <c r="AB27" s="890"/>
      <c r="AC27" s="890"/>
      <c r="AD27" s="890"/>
      <c r="AE27" s="890"/>
      <c r="AF27" s="890"/>
      <c r="AG27" s="951">
        <f t="shared" si="51"/>
        <v>104.4</v>
      </c>
      <c r="AH27" s="947">
        <f t="shared" si="52"/>
        <v>255.89</v>
      </c>
      <c r="AI27" s="890">
        <f t="shared" si="9"/>
        <v>255.89</v>
      </c>
      <c r="AJ27" s="890">
        <f t="shared" si="9"/>
        <v>0</v>
      </c>
      <c r="AK27" s="890">
        <f t="shared" si="9"/>
        <v>0</v>
      </c>
      <c r="AL27" s="890">
        <f t="shared" si="9"/>
        <v>0</v>
      </c>
      <c r="AM27" s="890">
        <f t="shared" si="9"/>
        <v>0</v>
      </c>
      <c r="AN27" s="890"/>
      <c r="AO27" s="890">
        <f t="shared" si="10"/>
        <v>255.89</v>
      </c>
      <c r="AP27" s="890">
        <f t="shared" si="11"/>
        <v>255.89</v>
      </c>
      <c r="AQ27" s="952">
        <f t="shared" si="12"/>
        <v>255.89</v>
      </c>
      <c r="AR27" s="973">
        <f t="shared" si="36"/>
        <v>0</v>
      </c>
      <c r="AS27" s="889">
        <f t="shared" si="13"/>
        <v>848266.13795999985</v>
      </c>
      <c r="AT27" s="890">
        <f t="shared" si="13"/>
        <v>0</v>
      </c>
      <c r="AU27" s="890">
        <f t="shared" si="13"/>
        <v>0</v>
      </c>
      <c r="AV27" s="890">
        <f t="shared" si="13"/>
        <v>0</v>
      </c>
      <c r="AW27" s="890">
        <f t="shared" si="13"/>
        <v>0</v>
      </c>
      <c r="AX27" s="890">
        <f t="shared" si="47"/>
        <v>848266.13795999985</v>
      </c>
      <c r="AY27" s="890">
        <f t="shared" si="48"/>
        <v>848266.13795999985</v>
      </c>
      <c r="AZ27" s="890">
        <f t="shared" si="14"/>
        <v>961779.96551999985</v>
      </c>
      <c r="BA27" s="890">
        <f t="shared" si="14"/>
        <v>0</v>
      </c>
      <c r="BB27" s="890">
        <f t="shared" si="14"/>
        <v>0</v>
      </c>
      <c r="BC27" s="890">
        <f t="shared" si="14"/>
        <v>0</v>
      </c>
      <c r="BD27" s="890">
        <f t="shared" si="14"/>
        <v>0</v>
      </c>
      <c r="BE27" s="890">
        <f t="shared" si="49"/>
        <v>961779.96551999985</v>
      </c>
      <c r="BF27" s="952">
        <f t="shared" si="53"/>
        <v>961779.96551999985</v>
      </c>
      <c r="BG27" s="953">
        <f t="shared" si="68"/>
        <v>0</v>
      </c>
      <c r="BH27" s="954">
        <f t="shared" si="69"/>
        <v>0</v>
      </c>
      <c r="BI27" s="955">
        <f t="shared" si="7"/>
        <v>0</v>
      </c>
      <c r="BJ27" s="890"/>
      <c r="BK27" s="1199"/>
      <c r="BL27" s="890">
        <f t="shared" si="54"/>
        <v>502183.89635999984</v>
      </c>
      <c r="BM27" s="890">
        <f t="shared" si="54"/>
        <v>0</v>
      </c>
      <c r="BN27" s="890">
        <f t="shared" si="15"/>
        <v>0</v>
      </c>
      <c r="BO27" s="890">
        <f t="shared" si="15"/>
        <v>0</v>
      </c>
      <c r="BP27" s="890">
        <f t="shared" si="15"/>
        <v>0</v>
      </c>
      <c r="BQ27" s="890">
        <f t="shared" si="55"/>
        <v>502183.89635999984</v>
      </c>
      <c r="BR27" s="890">
        <f t="shared" si="56"/>
        <v>502183.89635999984</v>
      </c>
      <c r="BS27" s="890">
        <f t="shared" si="57"/>
        <v>392394.49920000002</v>
      </c>
      <c r="BT27" s="890">
        <f t="shared" si="57"/>
        <v>0</v>
      </c>
      <c r="BU27" s="890">
        <f t="shared" si="16"/>
        <v>0</v>
      </c>
      <c r="BV27" s="890">
        <f t="shared" si="58"/>
        <v>0</v>
      </c>
      <c r="BW27" s="890">
        <f t="shared" si="17"/>
        <v>0</v>
      </c>
      <c r="BX27" s="890">
        <f t="shared" si="59"/>
        <v>392394.49920000002</v>
      </c>
      <c r="BY27" s="890">
        <f t="shared" si="60"/>
        <v>392394.49920000002</v>
      </c>
      <c r="BZ27" s="945">
        <f t="shared" si="61"/>
        <v>0</v>
      </c>
      <c r="CA27" s="945">
        <f t="shared" si="37"/>
        <v>0</v>
      </c>
      <c r="CB27" s="945">
        <f t="shared" si="62"/>
        <v>0</v>
      </c>
      <c r="CC27" s="976" t="e">
        <f t="shared" si="63"/>
        <v>#DIV/0!</v>
      </c>
      <c r="CD27" s="976" t="e">
        <f t="shared" si="38"/>
        <v>#DIV/0!</v>
      </c>
      <c r="CE27" s="976" t="e">
        <f t="shared" si="39"/>
        <v>#DIV/0!</v>
      </c>
      <c r="CF27" s="945" t="e">
        <f t="shared" si="18"/>
        <v>#DIV/0!</v>
      </c>
      <c r="CG27" s="977">
        <f t="shared" si="19"/>
        <v>0</v>
      </c>
      <c r="CH27" s="977" t="e">
        <f t="shared" si="40"/>
        <v>#DIV/0!</v>
      </c>
      <c r="CI27" s="945"/>
      <c r="CJ27" s="1405">
        <f t="shared" si="20"/>
        <v>502.18389635999984</v>
      </c>
      <c r="CK27" s="1405">
        <f t="shared" si="21"/>
        <v>392.39449920000004</v>
      </c>
      <c r="CL27" s="1405">
        <f t="shared" si="50"/>
        <v>894.57839555999988</v>
      </c>
      <c r="CM27" s="890">
        <f t="shared" si="41"/>
        <v>961.77996551999991</v>
      </c>
      <c r="CN27" s="890">
        <f t="shared" si="42"/>
        <v>67.201569960000029</v>
      </c>
      <c r="CO27" s="890">
        <f t="shared" si="22"/>
        <v>894578.39555999986</v>
      </c>
      <c r="CP27" s="890">
        <f t="shared" si="23"/>
        <v>848266.13795999985</v>
      </c>
      <c r="CQ27" s="890">
        <f t="shared" si="24"/>
        <v>848266.13795999985</v>
      </c>
      <c r="CR27" s="890">
        <f t="shared" si="25"/>
        <v>502183.89635999984</v>
      </c>
      <c r="CS27" s="890">
        <f t="shared" si="26"/>
        <v>961779.96551999985</v>
      </c>
      <c r="CT27" s="890">
        <f t="shared" si="27"/>
        <v>961779.96551999985</v>
      </c>
      <c r="CU27" s="890">
        <f t="shared" si="28"/>
        <v>392394.49920000002</v>
      </c>
      <c r="CV27" s="890">
        <f t="shared" si="43"/>
        <v>1810046.1034799996</v>
      </c>
      <c r="CW27" s="978">
        <f t="shared" si="44"/>
        <v>7073.5319999999983</v>
      </c>
      <c r="CX27" s="890">
        <f t="shared" si="29"/>
        <v>0</v>
      </c>
      <c r="CY27" s="890">
        <f t="shared" si="30"/>
        <v>0</v>
      </c>
      <c r="CZ27" s="890"/>
      <c r="DA27" s="890">
        <f t="shared" si="31"/>
        <v>848266.13795999985</v>
      </c>
      <c r="DB27" s="890">
        <f t="shared" si="32"/>
        <v>961779.96551999985</v>
      </c>
      <c r="DC27" s="840"/>
      <c r="DD27" s="841" t="e">
        <f t="shared" si="45"/>
        <v>#DIV/0!</v>
      </c>
      <c r="DE27" s="840"/>
      <c r="DF27" s="840"/>
      <c r="DG27" s="840"/>
      <c r="DH27" s="1050"/>
      <c r="DI27" s="1050"/>
      <c r="DJ27" s="1050"/>
      <c r="DK27" s="945"/>
      <c r="DL27" s="975">
        <f t="shared" si="33"/>
        <v>0</v>
      </c>
      <c r="DM27" s="975">
        <f t="shared" si="34"/>
        <v>0</v>
      </c>
      <c r="DN27" s="975">
        <f t="shared" si="35"/>
        <v>0</v>
      </c>
      <c r="DO27" s="816"/>
      <c r="DP27" s="871"/>
      <c r="DQ27" s="871"/>
      <c r="DR27" s="871"/>
      <c r="DS27" s="871"/>
      <c r="DT27" s="871"/>
      <c r="DU27" s="871"/>
      <c r="DV27" s="871"/>
      <c r="DW27" s="871"/>
      <c r="DX27" s="871"/>
      <c r="DY27" s="871"/>
      <c r="DZ27" s="871"/>
      <c r="EA27" s="871"/>
      <c r="EB27" s="871"/>
      <c r="EC27" s="871"/>
      <c r="ED27" s="871"/>
      <c r="EE27" s="871"/>
      <c r="EF27" s="871"/>
      <c r="EG27" s="871"/>
      <c r="EH27" s="871"/>
      <c r="EI27" s="871"/>
      <c r="EJ27" s="871"/>
      <c r="EK27" s="871"/>
      <c r="EL27" s="871"/>
    </row>
    <row r="28" spans="1:142" s="869" customFormat="1" ht="78.75" customHeight="1">
      <c r="A28" s="6">
        <f t="shared" si="46"/>
        <v>15</v>
      </c>
      <c r="B28" s="956" t="s">
        <v>12</v>
      </c>
      <c r="C28" s="1396" t="s">
        <v>81</v>
      </c>
      <c r="D28" s="1262" t="s">
        <v>141</v>
      </c>
      <c r="E28" s="887">
        <v>4632024035</v>
      </c>
      <c r="F28" s="886" t="s">
        <v>8</v>
      </c>
      <c r="G28" s="1238" t="s">
        <v>983</v>
      </c>
      <c r="H28" s="1256">
        <v>3314.9639999999995</v>
      </c>
      <c r="I28" s="1257">
        <f t="shared" si="64"/>
        <v>3314.9639999999995</v>
      </c>
      <c r="J28" s="1263">
        <v>2484</v>
      </c>
      <c r="K28" s="891"/>
      <c r="L28" s="1256">
        <v>3314.9639999999995</v>
      </c>
      <c r="M28" s="946"/>
      <c r="N28" s="1259">
        <f t="shared" si="65"/>
        <v>3758.5679999999998</v>
      </c>
      <c r="O28" s="1260">
        <f t="shared" si="66"/>
        <v>3758.5679999999998</v>
      </c>
      <c r="P28" s="1264">
        <v>2719.98</v>
      </c>
      <c r="Q28" s="891"/>
      <c r="R28" s="1260">
        <f t="shared" si="67"/>
        <v>3758.5679999999998</v>
      </c>
      <c r="S28" s="946"/>
      <c r="T28" s="1307">
        <v>4174.4989999999998</v>
      </c>
      <c r="U28" s="1292">
        <v>5080.3180000000002</v>
      </c>
      <c r="V28" s="948"/>
      <c r="W28" s="948"/>
      <c r="X28" s="948"/>
      <c r="Y28" s="948"/>
      <c r="Z28" s="949">
        <f t="shared" si="8"/>
        <v>9254.8169999999991</v>
      </c>
      <c r="AA28" s="1308">
        <v>2661.5439999999999</v>
      </c>
      <c r="AB28" s="1292">
        <v>4294.5959999999995</v>
      </c>
      <c r="AC28" s="890"/>
      <c r="AD28" s="890"/>
      <c r="AE28" s="890"/>
      <c r="AF28" s="890"/>
      <c r="AG28" s="951">
        <f t="shared" si="51"/>
        <v>6956.1399999999994</v>
      </c>
      <c r="AH28" s="947">
        <f t="shared" si="52"/>
        <v>16210.956999999999</v>
      </c>
      <c r="AI28" s="890">
        <f t="shared" si="9"/>
        <v>6836.0429999999997</v>
      </c>
      <c r="AJ28" s="890">
        <f t="shared" si="9"/>
        <v>9374.9140000000007</v>
      </c>
      <c r="AK28" s="890">
        <f t="shared" si="9"/>
        <v>0</v>
      </c>
      <c r="AL28" s="890">
        <f t="shared" si="9"/>
        <v>0</v>
      </c>
      <c r="AM28" s="890">
        <f t="shared" si="9"/>
        <v>0</v>
      </c>
      <c r="AN28" s="890"/>
      <c r="AO28" s="890">
        <f t="shared" ref="AO28:AO91" si="70">SUM(AI28:AN28)</f>
        <v>16210.957</v>
      </c>
      <c r="AP28" s="890">
        <f t="shared" ref="AP28:AP91" si="71">SUM(AI28:AM28)</f>
        <v>16210.957</v>
      </c>
      <c r="AQ28" s="952">
        <f t="shared" ref="AQ28:AQ69" si="72">SUM(AI28:AL28)</f>
        <v>16210.957</v>
      </c>
      <c r="AR28" s="973">
        <f t="shared" si="36"/>
        <v>0</v>
      </c>
      <c r="AS28" s="889">
        <f t="shared" si="13"/>
        <v>22661236.447451994</v>
      </c>
      <c r="AT28" s="890">
        <f t="shared" si="13"/>
        <v>23287286.376000002</v>
      </c>
      <c r="AU28" s="890">
        <f t="shared" si="13"/>
        <v>0</v>
      </c>
      <c r="AV28" s="890">
        <f t="shared" si="13"/>
        <v>0</v>
      </c>
      <c r="AW28" s="890">
        <f t="shared" si="13"/>
        <v>0</v>
      </c>
      <c r="AX28" s="890">
        <f t="shared" si="47"/>
        <v>45948522.823451996</v>
      </c>
      <c r="AY28" s="890">
        <f t="shared" si="48"/>
        <v>45948522.823451996</v>
      </c>
      <c r="AZ28" s="890">
        <f t="shared" si="14"/>
        <v>25693732.466423996</v>
      </c>
      <c r="BA28" s="890">
        <f t="shared" si="14"/>
        <v>25499578.581720002</v>
      </c>
      <c r="BB28" s="890">
        <f t="shared" si="14"/>
        <v>0</v>
      </c>
      <c r="BC28" s="890">
        <f t="shared" si="14"/>
        <v>0</v>
      </c>
      <c r="BD28" s="890">
        <f t="shared" si="14"/>
        <v>0</v>
      </c>
      <c r="BE28" s="890">
        <f t="shared" si="49"/>
        <v>51193311.048143998</v>
      </c>
      <c r="BF28" s="952">
        <f t="shared" si="53"/>
        <v>51193311.048143998</v>
      </c>
      <c r="BG28" s="953">
        <f t="shared" si="68"/>
        <v>3517.9678054599981</v>
      </c>
      <c r="BH28" s="954">
        <f t="shared" si="69"/>
        <v>3716.9298920399997</v>
      </c>
      <c r="BI28" s="955">
        <f t="shared" si="7"/>
        <v>7234.8976974999978</v>
      </c>
      <c r="BJ28" s="955"/>
      <c r="BK28" s="1197"/>
      <c r="BL28" s="890">
        <f t="shared" si="54"/>
        <v>13838313.903035996</v>
      </c>
      <c r="BM28" s="890">
        <f t="shared" si="54"/>
        <v>12619509.912</v>
      </c>
      <c r="BN28" s="890">
        <f t="shared" si="15"/>
        <v>0</v>
      </c>
      <c r="BO28" s="890">
        <f t="shared" si="15"/>
        <v>0</v>
      </c>
      <c r="BP28" s="890">
        <f t="shared" si="15"/>
        <v>0</v>
      </c>
      <c r="BQ28" s="890">
        <f t="shared" si="55"/>
        <v>26457823.815035999</v>
      </c>
      <c r="BR28" s="890">
        <f t="shared" si="56"/>
        <v>26457823.815035999</v>
      </c>
      <c r="BS28" s="890">
        <f t="shared" si="57"/>
        <v>10003594.108991999</v>
      </c>
      <c r="BT28" s="890">
        <f t="shared" si="57"/>
        <v>11681215.228079999</v>
      </c>
      <c r="BU28" s="890">
        <f t="shared" si="16"/>
        <v>0</v>
      </c>
      <c r="BV28" s="890">
        <f t="shared" si="58"/>
        <v>0</v>
      </c>
      <c r="BW28" s="890">
        <f t="shared" si="17"/>
        <v>0</v>
      </c>
      <c r="BX28" s="890">
        <f t="shared" si="59"/>
        <v>21684809.337072</v>
      </c>
      <c r="BY28" s="890">
        <f t="shared" si="60"/>
        <v>21684809.337072</v>
      </c>
      <c r="BZ28" s="945">
        <f t="shared" si="61"/>
        <v>24300725.140079997</v>
      </c>
      <c r="CA28" s="945">
        <f t="shared" si="37"/>
        <v>0</v>
      </c>
      <c r="CB28" s="945">
        <f t="shared" si="62"/>
        <v>24300725.140079997</v>
      </c>
      <c r="CC28" s="976">
        <f t="shared" si="63"/>
        <v>2592.1011264828667</v>
      </c>
      <c r="CD28" s="976" t="e">
        <f t="shared" si="38"/>
        <v>#DIV/0!</v>
      </c>
      <c r="CE28" s="976">
        <f t="shared" si="39"/>
        <v>2592.1011264828667</v>
      </c>
      <c r="CF28" s="976">
        <f t="shared" si="18"/>
        <v>2592.1011264828667</v>
      </c>
      <c r="CG28" s="977">
        <f t="shared" si="19"/>
        <v>32982602.377079997</v>
      </c>
      <c r="CH28" s="977">
        <f t="shared" si="40"/>
        <v>3518.1765269612069</v>
      </c>
      <c r="CI28" s="945"/>
      <c r="CJ28" s="1405">
        <f t="shared" si="20"/>
        <v>30679.385181587993</v>
      </c>
      <c r="CK28" s="1405">
        <f t="shared" si="21"/>
        <v>26145.125207519995</v>
      </c>
      <c r="CL28" s="1405">
        <f t="shared" si="50"/>
        <v>56824.510389107993</v>
      </c>
      <c r="CM28" s="890">
        <f t="shared" si="41"/>
        <v>60929.984229575988</v>
      </c>
      <c r="CN28" s="890">
        <f t="shared" si="42"/>
        <v>4105.4738404679956</v>
      </c>
      <c r="CO28" s="890">
        <f t="shared" si="22"/>
        <v>56824510.389107987</v>
      </c>
      <c r="CP28" s="890">
        <f t="shared" si="23"/>
        <v>45948522.823451996</v>
      </c>
      <c r="CQ28" s="890">
        <f t="shared" si="24"/>
        <v>45948522.823451996</v>
      </c>
      <c r="CR28" s="890">
        <f t="shared" si="25"/>
        <v>26457823.815035999</v>
      </c>
      <c r="CS28" s="890">
        <f t="shared" si="26"/>
        <v>51193311.048143998</v>
      </c>
      <c r="CT28" s="890">
        <f t="shared" si="27"/>
        <v>51193311.048143998</v>
      </c>
      <c r="CU28" s="890">
        <f t="shared" si="28"/>
        <v>21684809.337072</v>
      </c>
      <c r="CV28" s="890">
        <f t="shared" si="43"/>
        <v>97141833.871595994</v>
      </c>
      <c r="CW28" s="978">
        <f t="shared" si="44"/>
        <v>5992.3565198276701</v>
      </c>
      <c r="CX28" s="890">
        <f t="shared" si="29"/>
        <v>23287286.376000002</v>
      </c>
      <c r="CY28" s="890">
        <f t="shared" si="30"/>
        <v>25499578.581720002</v>
      </c>
      <c r="CZ28" s="890"/>
      <c r="DA28" s="890">
        <f t="shared" si="31"/>
        <v>53738738.86054799</v>
      </c>
      <c r="DB28" s="890">
        <f t="shared" si="32"/>
        <v>60929984.229575999</v>
      </c>
      <c r="DC28" s="840"/>
      <c r="DD28" s="841">
        <f t="shared" si="45"/>
        <v>151.3111111111111</v>
      </c>
      <c r="DE28" s="840"/>
      <c r="DF28" s="840"/>
      <c r="DG28" s="840"/>
      <c r="DH28" s="1050"/>
      <c r="DI28" s="1050"/>
      <c r="DJ28" s="1050"/>
      <c r="DK28" s="945"/>
      <c r="DL28" s="975">
        <f t="shared" si="33"/>
        <v>0</v>
      </c>
      <c r="DM28" s="975">
        <f t="shared" si="34"/>
        <v>0</v>
      </c>
      <c r="DN28" s="975">
        <f t="shared" si="35"/>
        <v>0</v>
      </c>
      <c r="DO28" s="816"/>
      <c r="DP28" s="871"/>
      <c r="DQ28" s="871"/>
      <c r="DR28" s="871"/>
      <c r="DS28" s="871"/>
      <c r="DT28" s="871"/>
      <c r="DU28" s="871"/>
      <c r="DV28" s="871"/>
      <c r="DW28" s="871"/>
      <c r="DX28" s="871"/>
      <c r="DY28" s="871"/>
      <c r="DZ28" s="871"/>
      <c r="EA28" s="871"/>
      <c r="EB28" s="871"/>
      <c r="EC28" s="871"/>
      <c r="ED28" s="871"/>
      <c r="EE28" s="871"/>
      <c r="EF28" s="871"/>
      <c r="EG28" s="871"/>
      <c r="EH28" s="871"/>
      <c r="EI28" s="871"/>
      <c r="EJ28" s="871"/>
      <c r="EK28" s="871"/>
      <c r="EL28" s="871"/>
    </row>
    <row r="29" spans="1:142" s="50" customFormat="1" ht="80.25" customHeight="1">
      <c r="A29" s="6">
        <f t="shared" si="46"/>
        <v>16</v>
      </c>
      <c r="B29" s="886" t="s">
        <v>13</v>
      </c>
      <c r="C29" s="1336" t="s">
        <v>993</v>
      </c>
      <c r="D29" s="1336" t="s">
        <v>82</v>
      </c>
      <c r="E29" s="958">
        <v>4633037132</v>
      </c>
      <c r="F29" s="957" t="s">
        <v>8</v>
      </c>
      <c r="G29" s="888" t="s">
        <v>1004</v>
      </c>
      <c r="H29" s="1313">
        <v>2889.53</v>
      </c>
      <c r="I29" s="1316">
        <v>2889.53</v>
      </c>
      <c r="J29" s="1318">
        <v>2449.06</v>
      </c>
      <c r="K29" s="1264">
        <v>1982.98</v>
      </c>
      <c r="L29" s="891"/>
      <c r="M29" s="892"/>
      <c r="N29" s="1319">
        <v>3438.24</v>
      </c>
      <c r="O29" s="1264">
        <v>3438.24</v>
      </c>
      <c r="P29" s="1318">
        <v>2801.48</v>
      </c>
      <c r="Q29" s="1264">
        <v>2268.33</v>
      </c>
      <c r="R29" s="895"/>
      <c r="S29" s="892"/>
      <c r="T29" s="1321">
        <v>848.80000000000007</v>
      </c>
      <c r="U29" s="1320">
        <v>4138.1589999999997</v>
      </c>
      <c r="V29" s="1320">
        <v>558.25109999999995</v>
      </c>
      <c r="W29" s="1320"/>
      <c r="X29" s="1320"/>
      <c r="Y29" s="1320"/>
      <c r="Z29" s="1322">
        <f t="shared" si="8"/>
        <v>5545.2101000000002</v>
      </c>
      <c r="AA29" s="1323">
        <v>637.06000000000006</v>
      </c>
      <c r="AB29" s="1320">
        <v>3103.6190000000001</v>
      </c>
      <c r="AC29" s="1320">
        <v>434.07787819999993</v>
      </c>
      <c r="AD29" s="1320"/>
      <c r="AE29" s="1320"/>
      <c r="AF29" s="1320"/>
      <c r="AG29" s="1324">
        <f t="shared" si="51"/>
        <v>4174.7568781999998</v>
      </c>
      <c r="AH29" s="896">
        <f t="shared" si="52"/>
        <v>9719.9669782000001</v>
      </c>
      <c r="AI29" s="897">
        <f t="shared" si="9"/>
        <v>1485.8600000000001</v>
      </c>
      <c r="AJ29" s="897">
        <f t="shared" si="9"/>
        <v>7241.7780000000002</v>
      </c>
      <c r="AK29" s="897">
        <f t="shared" si="9"/>
        <v>992.32897819999994</v>
      </c>
      <c r="AL29" s="897">
        <f t="shared" si="9"/>
        <v>0</v>
      </c>
      <c r="AM29" s="897">
        <f t="shared" si="9"/>
        <v>0</v>
      </c>
      <c r="AN29" s="897"/>
      <c r="AO29" s="897">
        <f t="shared" si="70"/>
        <v>9719.9669782000001</v>
      </c>
      <c r="AP29" s="897">
        <f t="shared" si="71"/>
        <v>9719.9669782000001</v>
      </c>
      <c r="AQ29" s="901">
        <f t="shared" si="72"/>
        <v>9719.9669782000001</v>
      </c>
      <c r="AR29" s="902">
        <f t="shared" si="36"/>
        <v>0</v>
      </c>
      <c r="AS29" s="903">
        <f t="shared" si="13"/>
        <v>4293437.0458000004</v>
      </c>
      <c r="AT29" s="897">
        <f t="shared" si="13"/>
        <v>17735548.828680001</v>
      </c>
      <c r="AU29" s="897">
        <f t="shared" si="13"/>
        <v>1967768.5171910359</v>
      </c>
      <c r="AV29" s="908">
        <f t="shared" si="13"/>
        <v>0</v>
      </c>
      <c r="AW29" s="908">
        <f t="shared" si="13"/>
        <v>0</v>
      </c>
      <c r="AX29" s="897">
        <f t="shared" si="47"/>
        <v>23996754.391671039</v>
      </c>
      <c r="AY29" s="897">
        <f t="shared" si="48"/>
        <v>23996754.391671039</v>
      </c>
      <c r="AZ29" s="897">
        <f t="shared" si="14"/>
        <v>5108743.2864000006</v>
      </c>
      <c r="BA29" s="897">
        <f t="shared" si="14"/>
        <v>20287696.23144</v>
      </c>
      <c r="BB29" s="897">
        <f t="shared" si="14"/>
        <v>2250929.5911204056</v>
      </c>
      <c r="BC29" s="897">
        <f t="shared" si="14"/>
        <v>0</v>
      </c>
      <c r="BD29" s="897">
        <f t="shared" si="14"/>
        <v>0</v>
      </c>
      <c r="BE29" s="897">
        <f t="shared" si="49"/>
        <v>27647369.108960409</v>
      </c>
      <c r="BF29" s="901">
        <f t="shared" si="53"/>
        <v>27647369.108960409</v>
      </c>
      <c r="BG29" s="1293">
        <f>(H29-J29)*U29/1000+(H29-K29)*V29/1000</f>
        <v>2328.817429435001</v>
      </c>
      <c r="BH29" s="1294">
        <f>(N29-P29)*AB29/1000+(N29-Q29)*AC29/1000-0.081843591591678</f>
        <v>2484.0106413333692</v>
      </c>
      <c r="BI29" s="1296">
        <f>BG29+BH29+0.0727996472733139</f>
        <v>4812.9008704156431</v>
      </c>
      <c r="BJ29" s="1424">
        <v>61616.426499507739</v>
      </c>
      <c r="BK29" s="1429">
        <v>77535.03533720001</v>
      </c>
      <c r="BL29" s="897">
        <f t="shared" si="54"/>
        <v>2452633.0640000002</v>
      </c>
      <c r="BM29" s="897">
        <f t="shared" si="54"/>
        <v>10134599.680539999</v>
      </c>
      <c r="BN29" s="897">
        <f t="shared" si="15"/>
        <v>1107000.7662779998</v>
      </c>
      <c r="BO29" s="897">
        <f t="shared" si="15"/>
        <v>0</v>
      </c>
      <c r="BP29" s="897">
        <f t="shared" si="15"/>
        <v>0</v>
      </c>
      <c r="BQ29" s="897">
        <f t="shared" si="55"/>
        <v>13694233.510817999</v>
      </c>
      <c r="BR29" s="897">
        <f t="shared" si="56"/>
        <v>13694233.510817999</v>
      </c>
      <c r="BS29" s="897">
        <f t="shared" si="57"/>
        <v>2190365.1743999999</v>
      </c>
      <c r="BT29" s="897">
        <f t="shared" si="57"/>
        <v>8694726.5561200008</v>
      </c>
      <c r="BU29" s="897">
        <f t="shared" si="16"/>
        <v>984631.87345740583</v>
      </c>
      <c r="BV29" s="897">
        <f t="shared" si="58"/>
        <v>0</v>
      </c>
      <c r="BW29" s="897">
        <f t="shared" si="17"/>
        <v>0</v>
      </c>
      <c r="BX29" s="897">
        <f t="shared" si="59"/>
        <v>11869723.603977406</v>
      </c>
      <c r="BY29" s="897">
        <f t="shared" si="60"/>
        <v>11869723.603977406</v>
      </c>
      <c r="BZ29" s="905">
        <f t="shared" si="61"/>
        <v>18829326.23666</v>
      </c>
      <c r="CA29" s="905">
        <f t="shared" si="37"/>
        <v>2091632.6397354058</v>
      </c>
      <c r="CB29" s="905">
        <f t="shared" si="62"/>
        <v>20920958.876395404</v>
      </c>
      <c r="CC29" s="907">
        <f t="shared" si="63"/>
        <v>2600.0971359050222</v>
      </c>
      <c r="CD29" s="907">
        <f t="shared" si="38"/>
        <v>2107.8016320045886</v>
      </c>
      <c r="CE29" s="907">
        <f t="shared" si="39"/>
        <v>2540.7684077683416</v>
      </c>
      <c r="CF29" s="907">
        <f t="shared" si="18"/>
        <v>2540.7684077683416</v>
      </c>
      <c r="CG29" s="923">
        <f t="shared" si="19"/>
        <v>25733868.790755365</v>
      </c>
      <c r="CH29" s="923">
        <f t="shared" si="40"/>
        <v>3125.2774416079869</v>
      </c>
      <c r="CI29" s="907"/>
      <c r="CJ29" s="1405">
        <f t="shared" si="20"/>
        <v>16023.050940253002</v>
      </c>
      <c r="CK29" s="1405">
        <f t="shared" si="21"/>
        <v>14353.816088902367</v>
      </c>
      <c r="CL29" s="1405">
        <f t="shared" si="50"/>
        <v>30376.867029155372</v>
      </c>
      <c r="CM29" s="897">
        <f t="shared" si="41"/>
        <v>33419.579263126368</v>
      </c>
      <c r="CN29" s="897">
        <f t="shared" si="42"/>
        <v>3042.7122339709967</v>
      </c>
      <c r="CO29" s="897">
        <f t="shared" si="22"/>
        <v>30376867.02915537</v>
      </c>
      <c r="CP29" s="897">
        <f t="shared" si="23"/>
        <v>23996754.391671039</v>
      </c>
      <c r="CQ29" s="897">
        <f t="shared" si="24"/>
        <v>24459259.08183049</v>
      </c>
      <c r="CR29" s="897">
        <f t="shared" si="25"/>
        <v>13694233.510817999</v>
      </c>
      <c r="CS29" s="897">
        <f t="shared" si="26"/>
        <v>27647369.108960409</v>
      </c>
      <c r="CT29" s="897">
        <f t="shared" si="27"/>
        <v>28176429.303687736</v>
      </c>
      <c r="CU29" s="897">
        <f t="shared" si="28"/>
        <v>11869723.603977406</v>
      </c>
      <c r="CV29" s="897">
        <f t="shared" si="43"/>
        <v>51644123.500631452</v>
      </c>
      <c r="CW29" s="906">
        <f t="shared" si="44"/>
        <v>5313.1994806627636</v>
      </c>
      <c r="CX29" s="897">
        <f t="shared" si="29"/>
        <v>19703317.345871039</v>
      </c>
      <c r="CY29" s="897">
        <f t="shared" si="30"/>
        <v>22538625.822560407</v>
      </c>
      <c r="CZ29" s="897"/>
      <c r="DA29" s="897">
        <f t="shared" si="31"/>
        <v>28086136.182518248</v>
      </c>
      <c r="DB29" s="897">
        <f t="shared" si="32"/>
        <v>33419579.26312637</v>
      </c>
      <c r="DC29" s="40"/>
      <c r="DD29" s="40">
        <f t="shared" si="45"/>
        <v>140.39019052207786</v>
      </c>
      <c r="DE29" s="40"/>
      <c r="DF29" s="40"/>
      <c r="DG29" s="40"/>
      <c r="DH29" s="1043">
        <v>9772.3045312928407</v>
      </c>
      <c r="DI29" s="1043">
        <v>8444.3777042718102</v>
      </c>
      <c r="DJ29" s="1043">
        <f>DH29-DI29</f>
        <v>1327.9268270210305</v>
      </c>
      <c r="DK29" s="907"/>
      <c r="DL29" s="908">
        <f t="shared" si="33"/>
        <v>0</v>
      </c>
      <c r="DM29" s="908">
        <f t="shared" si="34"/>
        <v>0</v>
      </c>
      <c r="DN29" s="908">
        <f t="shared" si="35"/>
        <v>0</v>
      </c>
      <c r="DO29" s="9"/>
      <c r="DP29" s="81"/>
      <c r="DQ29" s="81"/>
      <c r="DR29" s="81"/>
      <c r="DS29" s="81"/>
      <c r="DT29" s="81"/>
      <c r="DU29" s="81"/>
      <c r="DV29" s="81"/>
      <c r="DW29" s="81"/>
      <c r="DX29" s="81"/>
      <c r="DY29" s="81"/>
      <c r="DZ29" s="81"/>
      <c r="EA29" s="81"/>
      <c r="EB29" s="81"/>
      <c r="EC29" s="81"/>
      <c r="ED29" s="81"/>
      <c r="EE29" s="81"/>
      <c r="EF29" s="81"/>
      <c r="EG29" s="81"/>
      <c r="EH29" s="81"/>
      <c r="EI29" s="81"/>
      <c r="EJ29" s="81"/>
      <c r="EK29" s="81"/>
      <c r="EL29" s="81"/>
    </row>
    <row r="30" spans="1:142" s="50" customFormat="1" ht="75" customHeight="1">
      <c r="A30" s="6">
        <f t="shared" si="46"/>
        <v>17</v>
      </c>
      <c r="B30" s="886" t="s">
        <v>13</v>
      </c>
      <c r="C30" s="1337" t="s">
        <v>994</v>
      </c>
      <c r="D30" s="1337" t="s">
        <v>82</v>
      </c>
      <c r="E30" s="963" t="s">
        <v>231</v>
      </c>
      <c r="F30" s="963" t="s">
        <v>8</v>
      </c>
      <c r="G30" s="888" t="s">
        <v>1004</v>
      </c>
      <c r="H30" s="1314">
        <v>2889.53</v>
      </c>
      <c r="I30" s="1264">
        <v>2889.53</v>
      </c>
      <c r="J30" s="1318">
        <v>2449.06</v>
      </c>
      <c r="K30" s="1318">
        <v>2449.06</v>
      </c>
      <c r="L30" s="912"/>
      <c r="M30" s="913"/>
      <c r="N30" s="1319">
        <v>3438.24</v>
      </c>
      <c r="O30" s="1264">
        <v>3438.24</v>
      </c>
      <c r="P30" s="1318">
        <v>2801.48</v>
      </c>
      <c r="Q30" s="1318">
        <v>2801.48</v>
      </c>
      <c r="R30" s="915"/>
      <c r="S30" s="913"/>
      <c r="T30" s="1326">
        <v>422.89</v>
      </c>
      <c r="U30" s="1325">
        <v>1479.03</v>
      </c>
      <c r="V30" s="1325">
        <v>45.148350399999991</v>
      </c>
      <c r="W30" s="1325"/>
      <c r="X30" s="1325"/>
      <c r="Y30" s="1325"/>
      <c r="Z30" s="1322">
        <f t="shared" si="8"/>
        <v>1947.0683504000001</v>
      </c>
      <c r="AA30" s="1327">
        <v>317.33</v>
      </c>
      <c r="AB30" s="1325">
        <v>1109.27</v>
      </c>
      <c r="AC30" s="1325">
        <v>22.039474800000001</v>
      </c>
      <c r="AD30" s="917"/>
      <c r="AE30" s="917"/>
      <c r="AF30" s="917"/>
      <c r="AG30" s="900">
        <f t="shared" si="51"/>
        <v>1448.6394748</v>
      </c>
      <c r="AH30" s="896">
        <f t="shared" si="52"/>
        <v>3395.7078252000001</v>
      </c>
      <c r="AI30" s="897">
        <f t="shared" ref="AI30:AM84" si="73">T30+AA30</f>
        <v>740.22</v>
      </c>
      <c r="AJ30" s="897">
        <f t="shared" si="73"/>
        <v>2588.3000000000002</v>
      </c>
      <c r="AK30" s="897">
        <f t="shared" si="73"/>
        <v>67.187825199999992</v>
      </c>
      <c r="AL30" s="897">
        <f t="shared" si="73"/>
        <v>0</v>
      </c>
      <c r="AM30" s="897">
        <f t="shared" si="73"/>
        <v>0</v>
      </c>
      <c r="AN30" s="897"/>
      <c r="AO30" s="897">
        <f t="shared" si="70"/>
        <v>3395.7078252000006</v>
      </c>
      <c r="AP30" s="897">
        <f t="shared" si="71"/>
        <v>3395.7078252000006</v>
      </c>
      <c r="AQ30" s="901">
        <f t="shared" si="72"/>
        <v>3395.7078252000006</v>
      </c>
      <c r="AR30" s="902">
        <f t="shared" si="36"/>
        <v>0</v>
      </c>
      <c r="AS30" s="903">
        <f t="shared" ref="AS30:AW55" si="74">I30*AI30</f>
        <v>2138887.8966000001</v>
      </c>
      <c r="AT30" s="897">
        <f t="shared" si="74"/>
        <v>6338901.9980000006</v>
      </c>
      <c r="AU30" s="897">
        <f t="shared" si="74"/>
        <v>164547.01518431198</v>
      </c>
      <c r="AV30" s="908">
        <f t="shared" si="74"/>
        <v>0</v>
      </c>
      <c r="AW30" s="908">
        <f t="shared" si="74"/>
        <v>0</v>
      </c>
      <c r="AX30" s="897">
        <f t="shared" si="47"/>
        <v>8642336.9097843114</v>
      </c>
      <c r="AY30" s="897">
        <f t="shared" si="48"/>
        <v>8642336.9097843114</v>
      </c>
      <c r="AZ30" s="897">
        <f t="shared" ref="AZ30:BD55" si="75">O30*AI30</f>
        <v>2545054.0128000001</v>
      </c>
      <c r="BA30" s="897">
        <f t="shared" si="75"/>
        <v>7251070.6840000004</v>
      </c>
      <c r="BB30" s="897">
        <f t="shared" si="75"/>
        <v>188225.34854129597</v>
      </c>
      <c r="BC30" s="897">
        <f t="shared" si="75"/>
        <v>0</v>
      </c>
      <c r="BD30" s="897">
        <f t="shared" si="75"/>
        <v>0</v>
      </c>
      <c r="BE30" s="897">
        <f t="shared" si="49"/>
        <v>9984350.0453412961</v>
      </c>
      <c r="BF30" s="901">
        <f t="shared" si="53"/>
        <v>9984350.0453412961</v>
      </c>
      <c r="BG30" s="1293">
        <f>(H30-J30)*U30/1000+(H30-K30)*V30/1000</f>
        <v>671.35483800068835</v>
      </c>
      <c r="BH30" s="1294">
        <f>(N30-P30)*AB30/1000+(N30-Q30)*AC30/1000</f>
        <v>720.37262117364764</v>
      </c>
      <c r="BI30" s="1296">
        <f>BG30+BH30</f>
        <v>1391.727459174336</v>
      </c>
      <c r="BJ30" s="955"/>
      <c r="BK30" s="1197"/>
      <c r="BL30" s="897">
        <f t="shared" si="54"/>
        <v>1221953.3417</v>
      </c>
      <c r="BM30" s="897">
        <f t="shared" si="54"/>
        <v>3622233.2117999997</v>
      </c>
      <c r="BN30" s="897">
        <f t="shared" si="54"/>
        <v>110571.01903062398</v>
      </c>
      <c r="BO30" s="897">
        <f t="shared" si="54"/>
        <v>0</v>
      </c>
      <c r="BP30" s="897">
        <f t="shared" si="54"/>
        <v>0</v>
      </c>
      <c r="BQ30" s="897">
        <f t="shared" si="55"/>
        <v>4954757.5725306235</v>
      </c>
      <c r="BR30" s="897">
        <f t="shared" si="56"/>
        <v>4954757.5725306235</v>
      </c>
      <c r="BS30" s="897">
        <f t="shared" si="57"/>
        <v>1091056.6991999999</v>
      </c>
      <c r="BT30" s="897">
        <f t="shared" si="57"/>
        <v>3107597.7196</v>
      </c>
      <c r="BU30" s="897">
        <f t="shared" si="57"/>
        <v>61743.147862704005</v>
      </c>
      <c r="BV30" s="897">
        <f t="shared" si="58"/>
        <v>0</v>
      </c>
      <c r="BW30" s="897">
        <f t="shared" si="17"/>
        <v>0</v>
      </c>
      <c r="BX30" s="897">
        <f t="shared" si="59"/>
        <v>4260397.5666627046</v>
      </c>
      <c r="BY30" s="897">
        <f t="shared" si="60"/>
        <v>4260397.5666627046</v>
      </c>
      <c r="BZ30" s="905">
        <f t="shared" si="61"/>
        <v>6729830.9313999992</v>
      </c>
      <c r="CA30" s="905">
        <f t="shared" si="37"/>
        <v>172314.16689332799</v>
      </c>
      <c r="CB30" s="905">
        <f t="shared" si="62"/>
        <v>6902145.0982933268</v>
      </c>
      <c r="CC30" s="907">
        <f t="shared" si="63"/>
        <v>2600.0969483444728</v>
      </c>
      <c r="CD30" s="907">
        <f t="shared" si="38"/>
        <v>2564.6635589170405</v>
      </c>
      <c r="CE30" s="907">
        <f t="shared" si="39"/>
        <v>2599.2004304419984</v>
      </c>
      <c r="CF30" s="907">
        <f t="shared" si="18"/>
        <v>2599.2004304419988</v>
      </c>
      <c r="CG30" s="923">
        <f t="shared" si="19"/>
        <v>8293872.5574676646</v>
      </c>
      <c r="CH30" s="923">
        <f t="shared" si="40"/>
        <v>3123.2952675439228</v>
      </c>
      <c r="CI30" s="964"/>
      <c r="CJ30" s="1405">
        <f t="shared" si="20"/>
        <v>5626.112410531312</v>
      </c>
      <c r="CK30" s="1405">
        <f t="shared" si="21"/>
        <v>4980.7701878363514</v>
      </c>
      <c r="CL30" s="1405">
        <f t="shared" si="50"/>
        <v>10606.882598367663</v>
      </c>
      <c r="CM30" s="897">
        <f t="shared" si="41"/>
        <v>11675.258472915648</v>
      </c>
      <c r="CN30" s="897">
        <f t="shared" si="42"/>
        <v>1068.3758745479845</v>
      </c>
      <c r="CO30" s="897">
        <f t="shared" si="22"/>
        <v>10606882.598367665</v>
      </c>
      <c r="CP30" s="897">
        <f t="shared" si="23"/>
        <v>8642336.9097843114</v>
      </c>
      <c r="CQ30" s="897">
        <f t="shared" si="24"/>
        <v>8642336.9097843133</v>
      </c>
      <c r="CR30" s="897">
        <f t="shared" si="25"/>
        <v>4954757.5725306235</v>
      </c>
      <c r="CS30" s="897">
        <f t="shared" si="26"/>
        <v>9984350.0453412961</v>
      </c>
      <c r="CT30" s="897">
        <f t="shared" si="27"/>
        <v>9984350.045341298</v>
      </c>
      <c r="CU30" s="897">
        <f t="shared" si="28"/>
        <v>4260397.5666627046</v>
      </c>
      <c r="CV30" s="897">
        <f t="shared" si="43"/>
        <v>18626686.955125608</v>
      </c>
      <c r="CW30" s="906">
        <f t="shared" si="44"/>
        <v>5485.3620847160291</v>
      </c>
      <c r="CX30" s="897">
        <f t="shared" si="29"/>
        <v>6503449.0131843127</v>
      </c>
      <c r="CY30" s="897">
        <f t="shared" si="30"/>
        <v>7439296.0325412964</v>
      </c>
      <c r="CZ30" s="897"/>
      <c r="DA30" s="897">
        <f t="shared" si="31"/>
        <v>9811999.6321501564</v>
      </c>
      <c r="DB30" s="897">
        <f t="shared" si="32"/>
        <v>11675258.472915649</v>
      </c>
      <c r="DC30" s="1130"/>
      <c r="DD30" s="40">
        <f t="shared" si="45"/>
        <v>140.39019052207786</v>
      </c>
      <c r="DE30" s="1130"/>
      <c r="DF30" s="1130"/>
      <c r="DG30" s="1130"/>
      <c r="DH30" s="1043">
        <v>3424.8225545326604</v>
      </c>
      <c r="DI30" s="1043">
        <v>2674.8400116339062</v>
      </c>
      <c r="DJ30" s="1043">
        <f>DH30-DI30</f>
        <v>749.98254289875422</v>
      </c>
      <c r="DK30" s="964"/>
      <c r="DL30" s="908">
        <f t="shared" si="33"/>
        <v>0</v>
      </c>
      <c r="DM30" s="908">
        <f t="shared" si="34"/>
        <v>0</v>
      </c>
      <c r="DN30" s="908">
        <f t="shared" si="35"/>
        <v>0</v>
      </c>
      <c r="DO30" s="868"/>
      <c r="DP30" s="81"/>
      <c r="DQ30" s="81"/>
      <c r="DR30" s="81"/>
      <c r="DS30" s="81"/>
      <c r="DT30" s="81"/>
      <c r="DU30" s="81"/>
      <c r="DV30" s="81"/>
      <c r="DW30" s="81"/>
      <c r="DX30" s="81"/>
      <c r="DY30" s="81"/>
      <c r="DZ30" s="81"/>
      <c r="EA30" s="81"/>
      <c r="EB30" s="81"/>
      <c r="EC30" s="81"/>
      <c r="ED30" s="81"/>
      <c r="EE30" s="81"/>
      <c r="EF30" s="81"/>
      <c r="EG30" s="81"/>
      <c r="EH30" s="81"/>
      <c r="EI30" s="81"/>
      <c r="EJ30" s="81"/>
      <c r="EK30" s="81"/>
      <c r="EL30" s="81"/>
    </row>
    <row r="31" spans="1:142" s="50" customFormat="1" ht="79.5" customHeight="1">
      <c r="A31" s="6">
        <f t="shared" si="46"/>
        <v>18</v>
      </c>
      <c r="B31" s="886" t="s">
        <v>13</v>
      </c>
      <c r="C31" s="1337" t="s">
        <v>995</v>
      </c>
      <c r="D31" s="1337" t="s">
        <v>82</v>
      </c>
      <c r="E31" s="963" t="s">
        <v>231</v>
      </c>
      <c r="F31" s="963" t="s">
        <v>8</v>
      </c>
      <c r="G31" s="888" t="s">
        <v>1004</v>
      </c>
      <c r="H31" s="1314">
        <v>2889.53</v>
      </c>
      <c r="I31" s="1264">
        <v>2889.53</v>
      </c>
      <c r="J31" s="1318">
        <v>2731.28</v>
      </c>
      <c r="K31" s="1318"/>
      <c r="L31" s="1318"/>
      <c r="M31" s="1328"/>
      <c r="N31" s="1319">
        <v>3438.24</v>
      </c>
      <c r="O31" s="1264">
        <v>3438.24</v>
      </c>
      <c r="P31" s="1318">
        <v>2801.48</v>
      </c>
      <c r="Q31" s="1329"/>
      <c r="R31" s="1329"/>
      <c r="S31" s="1328"/>
      <c r="T31" s="1326">
        <v>14.884</v>
      </c>
      <c r="U31" s="1325">
        <v>1194.6890000000001</v>
      </c>
      <c r="V31" s="1325"/>
      <c r="W31" s="1325"/>
      <c r="X31" s="1325"/>
      <c r="Y31" s="1325"/>
      <c r="Z31" s="1322">
        <f t="shared" si="8"/>
        <v>1209.5730000000001</v>
      </c>
      <c r="AA31" s="1327">
        <v>11.163</v>
      </c>
      <c r="AB31" s="1325">
        <v>896.01700000000005</v>
      </c>
      <c r="AC31" s="1325"/>
      <c r="AD31" s="1325"/>
      <c r="AE31" s="1325"/>
      <c r="AF31" s="1325"/>
      <c r="AG31" s="1324">
        <f t="shared" si="51"/>
        <v>907.18000000000006</v>
      </c>
      <c r="AH31" s="1330">
        <f t="shared" si="52"/>
        <v>2116.7530000000002</v>
      </c>
      <c r="AI31" s="1331">
        <f t="shared" si="73"/>
        <v>26.047000000000001</v>
      </c>
      <c r="AJ31" s="1331">
        <f t="shared" si="73"/>
        <v>2090.7060000000001</v>
      </c>
      <c r="AK31" s="1331">
        <f t="shared" si="73"/>
        <v>0</v>
      </c>
      <c r="AL31" s="1331">
        <f t="shared" si="73"/>
        <v>0</v>
      </c>
      <c r="AM31" s="1331">
        <f t="shared" si="73"/>
        <v>0</v>
      </c>
      <c r="AN31" s="1331"/>
      <c r="AO31" s="1331">
        <f t="shared" si="70"/>
        <v>2116.7530000000002</v>
      </c>
      <c r="AP31" s="1331">
        <f t="shared" si="71"/>
        <v>2116.7530000000002</v>
      </c>
      <c r="AQ31" s="1332">
        <f t="shared" si="72"/>
        <v>2116.7530000000002</v>
      </c>
      <c r="AR31" s="1333">
        <f t="shared" si="36"/>
        <v>0</v>
      </c>
      <c r="AS31" s="1334">
        <f t="shared" si="74"/>
        <v>75263.587910000002</v>
      </c>
      <c r="AT31" s="1331">
        <f t="shared" si="74"/>
        <v>5710303.4836800005</v>
      </c>
      <c r="AU31" s="1331">
        <f t="shared" si="74"/>
        <v>0</v>
      </c>
      <c r="AV31" s="1335">
        <f t="shared" si="74"/>
        <v>0</v>
      </c>
      <c r="AW31" s="1335">
        <f t="shared" si="74"/>
        <v>0</v>
      </c>
      <c r="AX31" s="1331">
        <f t="shared" si="47"/>
        <v>5785567.0715900008</v>
      </c>
      <c r="AY31" s="1331">
        <f t="shared" si="48"/>
        <v>5785567.0715900008</v>
      </c>
      <c r="AZ31" s="1331">
        <f t="shared" si="75"/>
        <v>89555.837279999992</v>
      </c>
      <c r="BA31" s="1331">
        <f t="shared" si="75"/>
        <v>5857071.0448799999</v>
      </c>
      <c r="BB31" s="1331">
        <f t="shared" si="75"/>
        <v>0</v>
      </c>
      <c r="BC31" s="1331">
        <f t="shared" si="75"/>
        <v>0</v>
      </c>
      <c r="BD31" s="1331">
        <f t="shared" si="75"/>
        <v>0</v>
      </c>
      <c r="BE31" s="1331">
        <f t="shared" si="49"/>
        <v>5946626.8821599996</v>
      </c>
      <c r="BF31" s="1332">
        <f t="shared" si="53"/>
        <v>5946626.8821599996</v>
      </c>
      <c r="BG31" s="1293">
        <f>(H31-J31)*U31/1000+(H31-K31)*V31/1000</f>
        <v>189.05953425000001</v>
      </c>
      <c r="BH31" s="1294">
        <f>(N31-P31)*AB31/1000+(N31-Q31)*AC31/1000</f>
        <v>570.5477849199998</v>
      </c>
      <c r="BI31" s="1296">
        <f>BG31+BH31</f>
        <v>759.60731916999976</v>
      </c>
      <c r="BJ31" s="955"/>
      <c r="BK31" s="1197"/>
      <c r="BL31" s="897">
        <f t="shared" si="54"/>
        <v>43007.764520000004</v>
      </c>
      <c r="BM31" s="897">
        <f t="shared" si="54"/>
        <v>3263030.1719200006</v>
      </c>
      <c r="BN31" s="897">
        <f t="shared" si="54"/>
        <v>0</v>
      </c>
      <c r="BO31" s="897">
        <f t="shared" si="54"/>
        <v>0</v>
      </c>
      <c r="BP31" s="897">
        <f t="shared" si="54"/>
        <v>0</v>
      </c>
      <c r="BQ31" s="897">
        <f t="shared" si="55"/>
        <v>3306037.9364400008</v>
      </c>
      <c r="BR31" s="897">
        <f t="shared" si="56"/>
        <v>3306037.9364400008</v>
      </c>
      <c r="BS31" s="897">
        <f t="shared" si="57"/>
        <v>38381.073120000001</v>
      </c>
      <c r="BT31" s="897">
        <f t="shared" si="57"/>
        <v>2510173.7051600004</v>
      </c>
      <c r="BU31" s="897">
        <f t="shared" si="57"/>
        <v>0</v>
      </c>
      <c r="BV31" s="897">
        <f t="shared" si="58"/>
        <v>0</v>
      </c>
      <c r="BW31" s="897">
        <f t="shared" si="17"/>
        <v>0</v>
      </c>
      <c r="BX31" s="897">
        <f t="shared" si="59"/>
        <v>2548554.7782800002</v>
      </c>
      <c r="BY31" s="897">
        <f t="shared" si="60"/>
        <v>2548554.7782800002</v>
      </c>
      <c r="BZ31" s="905">
        <f t="shared" si="61"/>
        <v>5773203.8770800009</v>
      </c>
      <c r="CA31" s="905">
        <f t="shared" si="61"/>
        <v>0</v>
      </c>
      <c r="CB31" s="905">
        <f t="shared" si="62"/>
        <v>5773203.8770800009</v>
      </c>
      <c r="CC31" s="907">
        <f t="shared" si="63"/>
        <v>2761.3657190824538</v>
      </c>
      <c r="CD31" s="907" t="e">
        <f t="shared" si="63"/>
        <v>#DIV/0!</v>
      </c>
      <c r="CE31" s="907">
        <f t="shared" si="39"/>
        <v>2761.3657190824538</v>
      </c>
      <c r="CF31" s="907">
        <f t="shared" si="18"/>
        <v>2761.3657190824538</v>
      </c>
      <c r="CG31" s="923">
        <f t="shared" si="19"/>
        <v>6532811.196250001</v>
      </c>
      <c r="CH31" s="923">
        <f t="shared" si="40"/>
        <v>3124.6914660645739</v>
      </c>
      <c r="CI31" s="964"/>
      <c r="CJ31" s="1405">
        <f t="shared" si="20"/>
        <v>3495.0974706900001</v>
      </c>
      <c r="CK31" s="1405">
        <f t="shared" si="21"/>
        <v>3119.1025632000001</v>
      </c>
      <c r="CL31" s="1405">
        <f t="shared" si="50"/>
        <v>6614.2000338899998</v>
      </c>
      <c r="CM31" s="897">
        <f t="shared" si="41"/>
        <v>7277.9048347199996</v>
      </c>
      <c r="CN31" s="897">
        <f t="shared" si="42"/>
        <v>663.70480082999984</v>
      </c>
      <c r="CO31" s="897">
        <f t="shared" si="22"/>
        <v>6614200.0338900005</v>
      </c>
      <c r="CP31" s="897">
        <f t="shared" si="23"/>
        <v>5785567.0715900008</v>
      </c>
      <c r="CQ31" s="897">
        <f t="shared" si="24"/>
        <v>5785567.0715900008</v>
      </c>
      <c r="CR31" s="897">
        <f t="shared" si="25"/>
        <v>3306037.9364400008</v>
      </c>
      <c r="CS31" s="897">
        <f t="shared" si="26"/>
        <v>5946626.8821599996</v>
      </c>
      <c r="CT31" s="897">
        <f t="shared" si="27"/>
        <v>5946626.8821599996</v>
      </c>
      <c r="CU31" s="897">
        <f t="shared" si="28"/>
        <v>2548554.7782800002</v>
      </c>
      <c r="CV31" s="897">
        <f t="shared" si="43"/>
        <v>11732193.953749999</v>
      </c>
      <c r="CW31" s="906">
        <f t="shared" si="44"/>
        <v>5542.5427311311232</v>
      </c>
      <c r="CX31" s="897">
        <f t="shared" si="29"/>
        <v>5710303.4836800005</v>
      </c>
      <c r="CY31" s="897">
        <f t="shared" si="30"/>
        <v>5857071.0448799999</v>
      </c>
      <c r="CZ31" s="897"/>
      <c r="DA31" s="897">
        <f t="shared" si="31"/>
        <v>6116421.2960900012</v>
      </c>
      <c r="DB31" s="897">
        <f t="shared" si="32"/>
        <v>7277904.8347199997</v>
      </c>
      <c r="DC31" s="1130"/>
      <c r="DD31" s="40">
        <f t="shared" si="45"/>
        <v>125.88383468556866</v>
      </c>
      <c r="DE31" s="1130"/>
      <c r="DF31" s="1130"/>
      <c r="DG31" s="1130"/>
      <c r="DH31" s="1043">
        <v>2123.0289027607564</v>
      </c>
      <c r="DI31" s="1043">
        <v>2096.9808966315286</v>
      </c>
      <c r="DJ31" s="1043">
        <f>DH31-DI31</f>
        <v>26.048006129227815</v>
      </c>
      <c r="DK31" s="964"/>
      <c r="DL31" s="908">
        <f t="shared" si="33"/>
        <v>0</v>
      </c>
      <c r="DM31" s="908">
        <f t="shared" si="34"/>
        <v>0</v>
      </c>
      <c r="DN31" s="908">
        <f t="shared" si="35"/>
        <v>0</v>
      </c>
      <c r="DO31" s="868"/>
      <c r="DP31" s="81"/>
      <c r="DQ31" s="81"/>
      <c r="DR31" s="81"/>
      <c r="DS31" s="81"/>
      <c r="DT31" s="81"/>
      <c r="DU31" s="81"/>
      <c r="DV31" s="81"/>
      <c r="DW31" s="81"/>
      <c r="DX31" s="81"/>
      <c r="DY31" s="81"/>
      <c r="DZ31" s="81"/>
      <c r="EA31" s="81"/>
      <c r="EB31" s="81"/>
      <c r="EC31" s="81"/>
      <c r="ED31" s="81"/>
      <c r="EE31" s="81"/>
      <c r="EF31" s="81"/>
      <c r="EG31" s="81"/>
      <c r="EH31" s="81"/>
      <c r="EI31" s="81"/>
      <c r="EJ31" s="81"/>
      <c r="EK31" s="81"/>
      <c r="EL31" s="81"/>
    </row>
    <row r="32" spans="1:142" s="50" customFormat="1" ht="81" customHeight="1">
      <c r="A32" s="6">
        <f t="shared" si="46"/>
        <v>19</v>
      </c>
      <c r="B32" s="886" t="s">
        <v>13</v>
      </c>
      <c r="C32" s="1337" t="s">
        <v>996</v>
      </c>
      <c r="D32" s="1337" t="s">
        <v>82</v>
      </c>
      <c r="E32" s="963" t="s">
        <v>231</v>
      </c>
      <c r="F32" s="963" t="s">
        <v>8</v>
      </c>
      <c r="G32" s="888" t="s">
        <v>1004</v>
      </c>
      <c r="H32" s="1315">
        <v>2889.53</v>
      </c>
      <c r="I32" s="1317">
        <v>2889.53</v>
      </c>
      <c r="J32" s="1318">
        <v>2449.06</v>
      </c>
      <c r="K32" s="1318">
        <v>2449.06</v>
      </c>
      <c r="L32" s="912"/>
      <c r="M32" s="913"/>
      <c r="N32" s="1319">
        <v>3438.24</v>
      </c>
      <c r="O32" s="1264">
        <v>3438.24</v>
      </c>
      <c r="P32" s="1318">
        <v>2801.48</v>
      </c>
      <c r="Q32" s="1318">
        <v>2801.48</v>
      </c>
      <c r="R32" s="915"/>
      <c r="S32" s="913"/>
      <c r="T32" s="1326">
        <v>915.4</v>
      </c>
      <c r="U32" s="1325">
        <v>1553.8910000000001</v>
      </c>
      <c r="V32" s="1325">
        <v>195.74280399999998</v>
      </c>
      <c r="W32" s="917"/>
      <c r="X32" s="917"/>
      <c r="Y32" s="917"/>
      <c r="Z32" s="898">
        <f t="shared" si="8"/>
        <v>2665.0338040000001</v>
      </c>
      <c r="AA32" s="1327">
        <v>561.34</v>
      </c>
      <c r="AB32" s="1325">
        <v>1165.42</v>
      </c>
      <c r="AC32" s="1325">
        <v>110.747996</v>
      </c>
      <c r="AD32" s="917"/>
      <c r="AE32" s="917"/>
      <c r="AF32" s="917"/>
      <c r="AG32" s="900">
        <f t="shared" si="51"/>
        <v>1837.5079960000003</v>
      </c>
      <c r="AH32" s="896">
        <f t="shared" si="52"/>
        <v>4502.5418000000009</v>
      </c>
      <c r="AI32" s="897">
        <f t="shared" si="73"/>
        <v>1476.74</v>
      </c>
      <c r="AJ32" s="897">
        <f t="shared" si="73"/>
        <v>2719.3110000000001</v>
      </c>
      <c r="AK32" s="897">
        <f t="shared" si="73"/>
        <v>306.49079999999998</v>
      </c>
      <c r="AL32" s="897">
        <f t="shared" si="73"/>
        <v>0</v>
      </c>
      <c r="AM32" s="897">
        <f t="shared" si="73"/>
        <v>0</v>
      </c>
      <c r="AN32" s="897"/>
      <c r="AO32" s="897">
        <f t="shared" si="70"/>
        <v>4502.5418</v>
      </c>
      <c r="AP32" s="897">
        <f t="shared" si="71"/>
        <v>4502.5418</v>
      </c>
      <c r="AQ32" s="965">
        <f t="shared" si="72"/>
        <v>4502.5418</v>
      </c>
      <c r="AR32" s="902">
        <f t="shared" si="36"/>
        <v>0</v>
      </c>
      <c r="AS32" s="903">
        <f t="shared" si="74"/>
        <v>4267084.5322000002</v>
      </c>
      <c r="AT32" s="897">
        <f t="shared" si="74"/>
        <v>6659755.7976600006</v>
      </c>
      <c r="AU32" s="897">
        <f t="shared" si="74"/>
        <v>750614.35864799994</v>
      </c>
      <c r="AV32" s="897">
        <f t="shared" si="74"/>
        <v>0</v>
      </c>
      <c r="AW32" s="897">
        <f t="shared" si="74"/>
        <v>0</v>
      </c>
      <c r="AX32" s="897">
        <f t="shared" si="47"/>
        <v>11677454.688508002</v>
      </c>
      <c r="AY32" s="897">
        <f t="shared" si="48"/>
        <v>11677454.688508002</v>
      </c>
      <c r="AZ32" s="897">
        <f t="shared" si="75"/>
        <v>5077386.5375999995</v>
      </c>
      <c r="BA32" s="897">
        <f t="shared" si="75"/>
        <v>7618095.3802800002</v>
      </c>
      <c r="BB32" s="897">
        <f t="shared" si="75"/>
        <v>858627.84638399992</v>
      </c>
      <c r="BC32" s="897">
        <f t="shared" si="75"/>
        <v>0</v>
      </c>
      <c r="BD32" s="897">
        <f t="shared" si="75"/>
        <v>0</v>
      </c>
      <c r="BE32" s="897">
        <f t="shared" si="49"/>
        <v>13554109.764263999</v>
      </c>
      <c r="BF32" s="901">
        <f t="shared" si="53"/>
        <v>13554109.764263999</v>
      </c>
      <c r="BG32" s="1293">
        <f>(H32-J32)*U32/1000+(H32-K32)*V32/1000</f>
        <v>770.66120164788038</v>
      </c>
      <c r="BH32" s="1294">
        <f>(N32-P32)*AB32/1000+(N32-Q32)*AC32/1000</f>
        <v>812.61273313295987</v>
      </c>
      <c r="BI32" s="1296">
        <f>BG32+BH32</f>
        <v>1583.2739347808401</v>
      </c>
      <c r="BJ32" s="955"/>
      <c r="BK32" s="1197"/>
      <c r="BL32" s="897">
        <f t="shared" si="54"/>
        <v>2645075.7620000001</v>
      </c>
      <c r="BM32" s="897">
        <f t="shared" si="54"/>
        <v>3805572.2924600001</v>
      </c>
      <c r="BN32" s="897">
        <f t="shared" si="54"/>
        <v>479385.87156423996</v>
      </c>
      <c r="BO32" s="897">
        <f t="shared" si="54"/>
        <v>0</v>
      </c>
      <c r="BP32" s="897">
        <f t="shared" si="54"/>
        <v>0</v>
      </c>
      <c r="BQ32" s="897">
        <f t="shared" si="55"/>
        <v>6930033.9260242404</v>
      </c>
      <c r="BR32" s="897">
        <f t="shared" si="56"/>
        <v>6930033.9260242404</v>
      </c>
      <c r="BS32" s="897">
        <f t="shared" si="57"/>
        <v>1930021.6416</v>
      </c>
      <c r="BT32" s="897">
        <f t="shared" si="57"/>
        <v>3264900.8216000004</v>
      </c>
      <c r="BU32" s="897">
        <f t="shared" si="57"/>
        <v>310258.29583408003</v>
      </c>
      <c r="BV32" s="897">
        <f t="shared" si="58"/>
        <v>0</v>
      </c>
      <c r="BW32" s="897">
        <f t="shared" si="17"/>
        <v>0</v>
      </c>
      <c r="BX32" s="897">
        <f t="shared" si="59"/>
        <v>5505180.7590340804</v>
      </c>
      <c r="BY32" s="897">
        <f t="shared" si="60"/>
        <v>5505180.7590340804</v>
      </c>
      <c r="BZ32" s="905">
        <f t="shared" si="61"/>
        <v>7070473.1140600005</v>
      </c>
      <c r="CA32" s="905">
        <f t="shared" si="61"/>
        <v>789644.16739832005</v>
      </c>
      <c r="CB32" s="905">
        <f t="shared" si="62"/>
        <v>7860117.2814583201</v>
      </c>
      <c r="CC32" s="907">
        <f t="shared" si="63"/>
        <v>2600.0972724561479</v>
      </c>
      <c r="CD32" s="907">
        <f t="shared" si="63"/>
        <v>2576.4041445887451</v>
      </c>
      <c r="CE32" s="907">
        <f t="shared" si="39"/>
        <v>2597.6973380934337</v>
      </c>
      <c r="CF32" s="907">
        <f t="shared" si="18"/>
        <v>2597.6973380934337</v>
      </c>
      <c r="CG32" s="923">
        <f t="shared" si="19"/>
        <v>9443391.2162391618</v>
      </c>
      <c r="CH32" s="923">
        <f t="shared" si="40"/>
        <v>3120.9549866217812</v>
      </c>
      <c r="CI32" s="964"/>
      <c r="CJ32" s="1405">
        <f t="shared" si="20"/>
        <v>7700.6951276721211</v>
      </c>
      <c r="CK32" s="1405">
        <f t="shared" si="21"/>
        <v>6317.7934921670403</v>
      </c>
      <c r="CL32" s="1405">
        <f t="shared" si="50"/>
        <v>14018.488619839161</v>
      </c>
      <c r="CM32" s="897">
        <f t="shared" si="41"/>
        <v>15480.819318432001</v>
      </c>
      <c r="CN32" s="897">
        <f t="shared" si="42"/>
        <v>1462.3306985928393</v>
      </c>
      <c r="CO32" s="897">
        <f t="shared" si="22"/>
        <v>14018488.619839162</v>
      </c>
      <c r="CP32" s="897">
        <f t="shared" si="23"/>
        <v>11677454.688508002</v>
      </c>
      <c r="CQ32" s="897">
        <f t="shared" si="24"/>
        <v>11677454.688508</v>
      </c>
      <c r="CR32" s="897">
        <f t="shared" si="25"/>
        <v>6930033.9260242404</v>
      </c>
      <c r="CS32" s="897">
        <f t="shared" si="26"/>
        <v>13554109.764263999</v>
      </c>
      <c r="CT32" s="897">
        <f t="shared" si="27"/>
        <v>13554109.764264001</v>
      </c>
      <c r="CU32" s="897">
        <f t="shared" si="28"/>
        <v>5505180.7590340804</v>
      </c>
      <c r="CV32" s="897">
        <f t="shared" si="43"/>
        <v>25231564.452771999</v>
      </c>
      <c r="CW32" s="906">
        <f t="shared" si="44"/>
        <v>5603.8490198518521</v>
      </c>
      <c r="CX32" s="897">
        <f t="shared" si="29"/>
        <v>7410370.1563080009</v>
      </c>
      <c r="CY32" s="897">
        <f t="shared" si="30"/>
        <v>8476723.2266639993</v>
      </c>
      <c r="CZ32" s="897"/>
      <c r="DA32" s="897">
        <f t="shared" si="31"/>
        <v>13010229.607354</v>
      </c>
      <c r="DB32" s="897">
        <f t="shared" si="32"/>
        <v>15480819.318432</v>
      </c>
      <c r="DC32" s="1130"/>
      <c r="DD32" s="40">
        <f t="shared" si="45"/>
        <v>140.39019052207786</v>
      </c>
      <c r="DE32" s="1130"/>
      <c r="DF32" s="1130"/>
      <c r="DG32" s="1130"/>
      <c r="DH32" s="1043">
        <v>4690.5378951697967</v>
      </c>
      <c r="DI32" s="1043">
        <v>3097.7923313449865</v>
      </c>
      <c r="DJ32" s="1043">
        <f>DH32-DI32</f>
        <v>1592.7455638248102</v>
      </c>
      <c r="DK32" s="964"/>
      <c r="DL32" s="908">
        <f t="shared" si="33"/>
        <v>0</v>
      </c>
      <c r="DM32" s="908">
        <f t="shared" si="34"/>
        <v>0</v>
      </c>
      <c r="DN32" s="908">
        <f t="shared" si="35"/>
        <v>0</v>
      </c>
      <c r="DO32" s="868"/>
      <c r="DP32" s="81"/>
      <c r="DQ32" s="81"/>
      <c r="DR32" s="81"/>
      <c r="DS32" s="81"/>
      <c r="DT32" s="81"/>
      <c r="DU32" s="81"/>
      <c r="DV32" s="81"/>
      <c r="DW32" s="81"/>
      <c r="DX32" s="81"/>
      <c r="DY32" s="81"/>
      <c r="DZ32" s="81"/>
      <c r="EA32" s="81"/>
      <c r="EB32" s="81"/>
      <c r="EC32" s="81"/>
      <c r="ED32" s="81"/>
      <c r="EE32" s="81"/>
      <c r="EF32" s="81"/>
      <c r="EG32" s="81"/>
      <c r="EH32" s="81"/>
      <c r="EI32" s="81"/>
      <c r="EJ32" s="81"/>
      <c r="EK32" s="81"/>
      <c r="EL32" s="81"/>
    </row>
    <row r="33" spans="1:155" s="869" customFormat="1" ht="79.5" customHeight="1">
      <c r="A33" s="6">
        <f t="shared" si="46"/>
        <v>20</v>
      </c>
      <c r="B33" s="886" t="s">
        <v>13</v>
      </c>
      <c r="C33" s="1395" t="s">
        <v>55</v>
      </c>
      <c r="D33" s="1262" t="s">
        <v>141</v>
      </c>
      <c r="E33" s="887">
        <v>4632024035</v>
      </c>
      <c r="F33" s="886" t="s">
        <v>8</v>
      </c>
      <c r="G33" s="1238" t="s">
        <v>983</v>
      </c>
      <c r="H33" s="1256">
        <v>3314.9639999999995</v>
      </c>
      <c r="I33" s="1257">
        <f>H33</f>
        <v>3314.9639999999995</v>
      </c>
      <c r="J33" s="1263">
        <v>1779.86</v>
      </c>
      <c r="K33" s="1263">
        <v>1779.86</v>
      </c>
      <c r="L33" s="1256">
        <v>3314.9639999999995</v>
      </c>
      <c r="M33" s="946"/>
      <c r="N33" s="1259">
        <f>3132.14*1.2</f>
        <v>3758.5679999999998</v>
      </c>
      <c r="O33" s="1260">
        <f>N33</f>
        <v>3758.5679999999998</v>
      </c>
      <c r="P33" s="1264">
        <v>2035.98</v>
      </c>
      <c r="Q33" s="1264">
        <v>2035.98</v>
      </c>
      <c r="R33" s="1260">
        <f>O33</f>
        <v>3758.5679999999998</v>
      </c>
      <c r="S33" s="946"/>
      <c r="T33" s="1307">
        <v>707.95700000000011</v>
      </c>
      <c r="U33" s="1292">
        <v>4678.34</v>
      </c>
      <c r="V33" s="1292">
        <v>892.58</v>
      </c>
      <c r="W33" s="948"/>
      <c r="X33" s="948"/>
      <c r="Y33" s="948"/>
      <c r="Z33" s="1397">
        <f>SUM(T33:W33)</f>
        <v>6278.8770000000004</v>
      </c>
      <c r="AA33" s="1308">
        <v>463.63</v>
      </c>
      <c r="AB33" s="1292">
        <v>3504.23</v>
      </c>
      <c r="AC33" s="1292">
        <v>892.58</v>
      </c>
      <c r="AD33" s="890"/>
      <c r="AE33" s="890"/>
      <c r="AF33" s="890"/>
      <c r="AG33" s="951">
        <f>SUM(AA33:AD33)</f>
        <v>4860.4400000000005</v>
      </c>
      <c r="AH33" s="947">
        <f t="shared" si="52"/>
        <v>11139.317000000001</v>
      </c>
      <c r="AI33" s="890">
        <f t="shared" si="73"/>
        <v>1171.587</v>
      </c>
      <c r="AJ33" s="890">
        <f t="shared" si="73"/>
        <v>8182.57</v>
      </c>
      <c r="AK33" s="890">
        <f t="shared" si="73"/>
        <v>1785.16</v>
      </c>
      <c r="AL33" s="890">
        <f t="shared" si="73"/>
        <v>0</v>
      </c>
      <c r="AM33" s="890">
        <f t="shared" si="73"/>
        <v>0</v>
      </c>
      <c r="AN33" s="890"/>
      <c r="AO33" s="890">
        <f t="shared" si="70"/>
        <v>11139.316999999999</v>
      </c>
      <c r="AP33" s="890">
        <f t="shared" si="71"/>
        <v>11139.316999999999</v>
      </c>
      <c r="AQ33" s="1035">
        <f t="shared" si="72"/>
        <v>11139.316999999999</v>
      </c>
      <c r="AR33" s="973">
        <f t="shared" si="36"/>
        <v>0</v>
      </c>
      <c r="AS33" s="889">
        <f t="shared" si="74"/>
        <v>3883768.7278679996</v>
      </c>
      <c r="AT33" s="890">
        <f t="shared" si="74"/>
        <v>14563829.040199999</v>
      </c>
      <c r="AU33" s="890">
        <f t="shared" si="74"/>
        <v>3177334.8775999998</v>
      </c>
      <c r="AV33" s="890">
        <f t="shared" si="74"/>
        <v>0</v>
      </c>
      <c r="AW33" s="890">
        <f t="shared" si="74"/>
        <v>0</v>
      </c>
      <c r="AX33" s="890">
        <f t="shared" si="47"/>
        <v>21624932.645667996</v>
      </c>
      <c r="AY33" s="890">
        <f t="shared" si="48"/>
        <v>21624932.645667996</v>
      </c>
      <c r="AZ33" s="890">
        <f>O33*AI33</f>
        <v>4403489.407416</v>
      </c>
      <c r="BA33" s="890">
        <f t="shared" si="75"/>
        <v>16659548.8686</v>
      </c>
      <c r="BB33" s="890">
        <f t="shared" si="75"/>
        <v>3634550.0568000004</v>
      </c>
      <c r="BC33" s="890">
        <f t="shared" si="75"/>
        <v>0</v>
      </c>
      <c r="BD33" s="890">
        <f t="shared" si="75"/>
        <v>0</v>
      </c>
      <c r="BE33" s="890">
        <f t="shared" si="49"/>
        <v>24697588.332816001</v>
      </c>
      <c r="BF33" s="952">
        <f t="shared" si="53"/>
        <v>24697588.332816001</v>
      </c>
      <c r="BG33" s="953">
        <f>(H33-J33)/1.2*U33/1000+(H33-K33)/1.2*V33/1000</f>
        <v>7126.6179797333325</v>
      </c>
      <c r="BH33" s="954">
        <f>(O33-P33)*AB33/1000/1.2+(O33-Q33)/1.2*AC33/1000</f>
        <v>6311.5767868999992</v>
      </c>
      <c r="BI33" s="955">
        <f>BG33+BH33</f>
        <v>13438.194766633333</v>
      </c>
      <c r="BJ33" s="955"/>
      <c r="BK33" s="1197"/>
      <c r="BL33" s="890">
        <f t="shared" si="54"/>
        <v>2346851.9685479999</v>
      </c>
      <c r="BM33" s="890">
        <f t="shared" si="54"/>
        <v>8326790.2324000001</v>
      </c>
      <c r="BN33" s="890">
        <f t="shared" si="54"/>
        <v>1588667.4387999999</v>
      </c>
      <c r="BO33" s="890">
        <f t="shared" si="54"/>
        <v>0</v>
      </c>
      <c r="BP33" s="890">
        <f t="shared" si="54"/>
        <v>0</v>
      </c>
      <c r="BQ33" s="890">
        <f t="shared" si="55"/>
        <v>12262309.639748</v>
      </c>
      <c r="BR33" s="890">
        <f t="shared" si="56"/>
        <v>12262309.639748</v>
      </c>
      <c r="BS33" s="890">
        <f>O33*AA33</f>
        <v>1742584.8818399999</v>
      </c>
      <c r="BT33" s="890">
        <f t="shared" si="57"/>
        <v>7134542.1954000005</v>
      </c>
      <c r="BU33" s="890">
        <f t="shared" si="57"/>
        <v>1817275.0284000002</v>
      </c>
      <c r="BV33" s="890">
        <f t="shared" si="58"/>
        <v>0</v>
      </c>
      <c r="BW33" s="890">
        <f t="shared" si="17"/>
        <v>0</v>
      </c>
      <c r="BX33" s="890">
        <f t="shared" si="59"/>
        <v>10694402.105640002</v>
      </c>
      <c r="BY33" s="890">
        <f t="shared" si="60"/>
        <v>10694402.105640002</v>
      </c>
      <c r="BZ33" s="945">
        <f t="shared" si="61"/>
        <v>15461332.4278</v>
      </c>
      <c r="CA33" s="945">
        <f t="shared" si="61"/>
        <v>3405942.4671999998</v>
      </c>
      <c r="CB33" s="945">
        <f t="shared" si="62"/>
        <v>18867274.895</v>
      </c>
      <c r="CC33" s="976">
        <f t="shared" si="63"/>
        <v>1889.5447796719125</v>
      </c>
      <c r="CD33" s="976">
        <f t="shared" si="63"/>
        <v>1907.9199999999998</v>
      </c>
      <c r="CE33" s="976">
        <f t="shared" si="39"/>
        <v>1892.8356702077606</v>
      </c>
      <c r="CF33" s="976">
        <f t="shared" si="18"/>
        <v>1892.8356702077606</v>
      </c>
      <c r="CG33" s="977">
        <f>I33*(U33+V33)+O33*(AB33+AC33)</f>
        <v>34993108.61496</v>
      </c>
      <c r="CH33" s="977">
        <f t="shared" si="40"/>
        <v>3510.6396957943284</v>
      </c>
      <c r="CI33" s="945"/>
      <c r="CJ33" s="1405">
        <f>H33*Z33/1000</f>
        <v>20814.251215427998</v>
      </c>
      <c r="CK33" s="1405">
        <f>N33*AG33/1000</f>
        <v>18268.29424992</v>
      </c>
      <c r="CL33" s="1405">
        <f t="shared" si="50"/>
        <v>39082.545465347997</v>
      </c>
      <c r="CM33" s="890">
        <f t="shared" si="41"/>
        <v>41867.880418056004</v>
      </c>
      <c r="CN33" s="890">
        <f t="shared" si="42"/>
        <v>2785.3349527080063</v>
      </c>
      <c r="CO33" s="966">
        <f>H33*Z33+N33*AG33</f>
        <v>39082545.465347998</v>
      </c>
      <c r="CP33" s="890">
        <f t="shared" si="23"/>
        <v>21624932.645667996</v>
      </c>
      <c r="CQ33" s="890">
        <f t="shared" si="24"/>
        <v>21624932.645667996</v>
      </c>
      <c r="CR33" s="890">
        <f t="shared" si="25"/>
        <v>12262309.639748</v>
      </c>
      <c r="CS33" s="890">
        <f>O33*AI33+P33*AJ33+Q33*AK33+R33*AL33</f>
        <v>24697588.332816001</v>
      </c>
      <c r="CT33" s="890">
        <f>O33*AI33+P33*(AJ33+AK33)+R33*AL33</f>
        <v>24697588.332816001</v>
      </c>
      <c r="CU33" s="890">
        <f>O33*AA33+P33*AB33+Q33*AC33+R33*AD33</f>
        <v>10694402.105640002</v>
      </c>
      <c r="CV33" s="890">
        <f t="shared" si="43"/>
        <v>46322520.978483997</v>
      </c>
      <c r="CW33" s="978">
        <f t="shared" si="44"/>
        <v>4158.4704859807825</v>
      </c>
      <c r="CX33" s="890">
        <f t="shared" si="29"/>
        <v>17741163.917799998</v>
      </c>
      <c r="CY33" s="890">
        <f t="shared" si="30"/>
        <v>20294098.9254</v>
      </c>
      <c r="CZ33" s="890"/>
      <c r="DA33" s="890">
        <f t="shared" si="31"/>
        <v>36926434.839587994</v>
      </c>
      <c r="DB33" s="890">
        <f>N33*AI33+N33*AJ33+N33*AK33+N33*AL33</f>
        <v>41867880.418055996</v>
      </c>
      <c r="DC33" s="840"/>
      <c r="DD33" s="841">
        <f>N33/J33*100</f>
        <v>211.17211466070364</v>
      </c>
      <c r="DE33" s="840"/>
      <c r="DF33" s="840"/>
      <c r="DG33" s="840"/>
      <c r="DH33" s="1134"/>
      <c r="DI33" s="1050"/>
      <c r="DJ33" s="1050"/>
      <c r="DK33" s="945"/>
      <c r="DL33" s="975">
        <f t="shared" si="33"/>
        <v>0</v>
      </c>
      <c r="DM33" s="975">
        <f t="shared" si="34"/>
        <v>0</v>
      </c>
      <c r="DN33" s="975">
        <f t="shared" si="35"/>
        <v>0</v>
      </c>
      <c r="DO33" s="871"/>
      <c r="DP33" s="871"/>
      <c r="DQ33" s="871"/>
      <c r="DR33" s="871"/>
      <c r="DS33" s="871"/>
      <c r="DT33" s="871"/>
      <c r="DU33" s="871"/>
      <c r="DV33" s="871"/>
      <c r="DW33" s="871"/>
      <c r="DX33" s="871"/>
      <c r="DY33" s="871"/>
      <c r="DZ33" s="871"/>
      <c r="EA33" s="871"/>
      <c r="EB33" s="871"/>
      <c r="EC33" s="871"/>
      <c r="ED33" s="871"/>
      <c r="EE33" s="871"/>
      <c r="EF33" s="871"/>
      <c r="EG33" s="871"/>
      <c r="EH33" s="871"/>
      <c r="EI33" s="871"/>
      <c r="EJ33" s="871"/>
      <c r="EK33" s="871"/>
      <c r="EL33" s="871"/>
    </row>
    <row r="34" spans="1:155" s="869" customFormat="1" ht="76.5" customHeight="1">
      <c r="A34" s="6">
        <f t="shared" si="46"/>
        <v>21</v>
      </c>
      <c r="B34" s="886" t="s">
        <v>14</v>
      </c>
      <c r="C34" s="1396" t="s">
        <v>87</v>
      </c>
      <c r="D34" s="1262" t="s">
        <v>142</v>
      </c>
      <c r="E34" s="887">
        <v>4632024035</v>
      </c>
      <c r="F34" s="886" t="s">
        <v>8</v>
      </c>
      <c r="G34" s="1238" t="s">
        <v>983</v>
      </c>
      <c r="H34" s="1256">
        <v>3314.9639999999995</v>
      </c>
      <c r="I34" s="1257">
        <f>H34</f>
        <v>3314.9639999999995</v>
      </c>
      <c r="J34" s="1263">
        <v>2484</v>
      </c>
      <c r="K34" s="891"/>
      <c r="L34" s="1256">
        <v>3314.9639999999995</v>
      </c>
      <c r="M34" s="946"/>
      <c r="N34" s="1259">
        <f>3132.14*1.2</f>
        <v>3758.5679999999998</v>
      </c>
      <c r="O34" s="1260">
        <f>N34</f>
        <v>3758.5679999999998</v>
      </c>
      <c r="P34" s="1264">
        <v>2719.98</v>
      </c>
      <c r="Q34" s="891"/>
      <c r="R34" s="1260">
        <f>O34</f>
        <v>3758.5679999999998</v>
      </c>
      <c r="S34" s="946"/>
      <c r="T34" s="1307">
        <v>1558.2</v>
      </c>
      <c r="U34" s="1366">
        <v>1196.144</v>
      </c>
      <c r="V34" s="1366">
        <v>0</v>
      </c>
      <c r="W34" s="890"/>
      <c r="X34" s="890"/>
      <c r="Y34" s="890"/>
      <c r="Z34" s="1397">
        <f t="shared" si="8"/>
        <v>2754.3440000000001</v>
      </c>
      <c r="AA34" s="1308">
        <v>904.8</v>
      </c>
      <c r="AB34" s="1292">
        <v>933.03899999999999</v>
      </c>
      <c r="AC34" s="1292">
        <v>0</v>
      </c>
      <c r="AD34" s="890"/>
      <c r="AE34" s="890"/>
      <c r="AF34" s="890"/>
      <c r="AG34" s="951">
        <f t="shared" si="51"/>
        <v>1837.8389999999999</v>
      </c>
      <c r="AH34" s="947">
        <f t="shared" si="52"/>
        <v>4592.183</v>
      </c>
      <c r="AI34" s="890">
        <f t="shared" si="73"/>
        <v>2463</v>
      </c>
      <c r="AJ34" s="890">
        <f t="shared" si="73"/>
        <v>2129.183</v>
      </c>
      <c r="AK34" s="890">
        <f t="shared" si="73"/>
        <v>0</v>
      </c>
      <c r="AL34" s="890">
        <f t="shared" si="73"/>
        <v>0</v>
      </c>
      <c r="AM34" s="890">
        <f t="shared" si="73"/>
        <v>0</v>
      </c>
      <c r="AN34" s="890"/>
      <c r="AO34" s="890">
        <f t="shared" si="70"/>
        <v>4592.183</v>
      </c>
      <c r="AP34" s="890">
        <f t="shared" si="71"/>
        <v>4592.183</v>
      </c>
      <c r="AQ34" s="952">
        <f t="shared" si="72"/>
        <v>4592.183</v>
      </c>
      <c r="AR34" s="973">
        <f t="shared" si="36"/>
        <v>0</v>
      </c>
      <c r="AS34" s="889">
        <f t="shared" si="74"/>
        <v>8164756.3319999985</v>
      </c>
      <c r="AT34" s="890">
        <f t="shared" si="74"/>
        <v>5288890.5719999997</v>
      </c>
      <c r="AU34" s="890">
        <f t="shared" si="74"/>
        <v>0</v>
      </c>
      <c r="AV34" s="890">
        <f t="shared" si="74"/>
        <v>0</v>
      </c>
      <c r="AW34" s="890">
        <f t="shared" si="74"/>
        <v>0</v>
      </c>
      <c r="AX34" s="890">
        <f t="shared" si="47"/>
        <v>13453646.903999999</v>
      </c>
      <c r="AY34" s="890">
        <f t="shared" si="48"/>
        <v>13453646.903999999</v>
      </c>
      <c r="AZ34" s="890">
        <f t="shared" si="75"/>
        <v>9257352.9839999992</v>
      </c>
      <c r="BA34" s="890">
        <f t="shared" si="75"/>
        <v>5791335.1763399998</v>
      </c>
      <c r="BB34" s="890">
        <f t="shared" si="75"/>
        <v>0</v>
      </c>
      <c r="BC34" s="890">
        <f t="shared" si="75"/>
        <v>0</v>
      </c>
      <c r="BD34" s="890">
        <f t="shared" si="75"/>
        <v>0</v>
      </c>
      <c r="BE34" s="890">
        <f t="shared" si="49"/>
        <v>15048688.16034</v>
      </c>
      <c r="BF34" s="952">
        <f t="shared" si="53"/>
        <v>15048688.16034</v>
      </c>
      <c r="BG34" s="953">
        <f>(H34-J34)/1.2*U34/1000+(H34-K34)/1.2*V34/1000</f>
        <v>828.29383567999946</v>
      </c>
      <c r="BH34" s="954">
        <f>(O34-P34)*AB34/1000/1.2+(O34-Q34)/1.2*AC34/1000</f>
        <v>807.53592410999988</v>
      </c>
      <c r="BI34" s="955">
        <f>BG34+BH34</f>
        <v>1635.8297597899993</v>
      </c>
      <c r="BJ34" s="955"/>
      <c r="BK34" s="1197"/>
      <c r="BL34" s="890">
        <f t="shared" si="54"/>
        <v>5165376.9047999997</v>
      </c>
      <c r="BM34" s="890">
        <f t="shared" si="54"/>
        <v>2971221.696</v>
      </c>
      <c r="BN34" s="890">
        <f t="shared" si="54"/>
        <v>0</v>
      </c>
      <c r="BO34" s="890">
        <f t="shared" si="54"/>
        <v>0</v>
      </c>
      <c r="BP34" s="890">
        <f t="shared" si="54"/>
        <v>0</v>
      </c>
      <c r="BQ34" s="890">
        <f t="shared" si="55"/>
        <v>8136598.6008000001</v>
      </c>
      <c r="BR34" s="890">
        <f t="shared" si="56"/>
        <v>8136598.6008000001</v>
      </c>
      <c r="BS34" s="890">
        <f t="shared" si="57"/>
        <v>3400752.3263999997</v>
      </c>
      <c r="BT34" s="890">
        <f t="shared" si="57"/>
        <v>2537847.41922</v>
      </c>
      <c r="BU34" s="890">
        <f t="shared" si="57"/>
        <v>0</v>
      </c>
      <c r="BV34" s="890">
        <f t="shared" si="58"/>
        <v>0</v>
      </c>
      <c r="BW34" s="890">
        <f t="shared" si="17"/>
        <v>0</v>
      </c>
      <c r="BX34" s="890">
        <f t="shared" si="59"/>
        <v>5938599.7456199992</v>
      </c>
      <c r="BY34" s="890">
        <f t="shared" si="60"/>
        <v>5938599.7456199992</v>
      </c>
      <c r="BZ34" s="945">
        <f t="shared" si="61"/>
        <v>5509069.11522</v>
      </c>
      <c r="CA34" s="945">
        <f t="shared" si="61"/>
        <v>0</v>
      </c>
      <c r="CB34" s="945">
        <f t="shared" si="62"/>
        <v>5509069.11522</v>
      </c>
      <c r="CC34" s="976">
        <f t="shared" si="63"/>
        <v>2587.4098728103691</v>
      </c>
      <c r="CD34" s="976" t="e">
        <f t="shared" si="63"/>
        <v>#DIV/0!</v>
      </c>
      <c r="CE34" s="976">
        <f t="shared" si="39"/>
        <v>2587.4098728103691</v>
      </c>
      <c r="CF34" s="976">
        <f t="shared" si="18"/>
        <v>2587.4098728103691</v>
      </c>
      <c r="CG34" s="977">
        <f t="shared" si="19"/>
        <v>7472064.8269679993</v>
      </c>
      <c r="CH34" s="977">
        <f t="shared" si="40"/>
        <v>3509.3577334442361</v>
      </c>
      <c r="CI34" s="945"/>
      <c r="CJ34" s="1405">
        <f>H34*Z34/1000</f>
        <v>9130.551203615998</v>
      </c>
      <c r="CK34" s="1405">
        <f>N34*AG34/1000</f>
        <v>6907.6428545519993</v>
      </c>
      <c r="CL34" s="1405">
        <f t="shared" si="50"/>
        <v>16038.194058167997</v>
      </c>
      <c r="CM34" s="890">
        <f t="shared" si="41"/>
        <v>17260.032073943999</v>
      </c>
      <c r="CN34" s="890">
        <f t="shared" si="42"/>
        <v>1221.8380157760021</v>
      </c>
      <c r="CO34" s="890">
        <f t="shared" si="22"/>
        <v>16038194.058167998</v>
      </c>
      <c r="CP34" s="890">
        <f t="shared" si="23"/>
        <v>13453646.903999999</v>
      </c>
      <c r="CQ34" s="890">
        <f t="shared" si="24"/>
        <v>13453646.903999999</v>
      </c>
      <c r="CR34" s="890">
        <f t="shared" si="25"/>
        <v>8136598.6008000001</v>
      </c>
      <c r="CS34" s="890">
        <f t="shared" si="26"/>
        <v>15048688.16034</v>
      </c>
      <c r="CT34" s="890">
        <f t="shared" si="27"/>
        <v>15048688.16034</v>
      </c>
      <c r="CU34" s="890">
        <f t="shared" si="28"/>
        <v>5938599.7456199992</v>
      </c>
      <c r="CV34" s="890">
        <f t="shared" si="43"/>
        <v>28502335.064339999</v>
      </c>
      <c r="CW34" s="978">
        <f t="shared" si="44"/>
        <v>6206.7071508996914</v>
      </c>
      <c r="CX34" s="890">
        <f t="shared" si="29"/>
        <v>5288890.5719999997</v>
      </c>
      <c r="CY34" s="890">
        <f t="shared" si="30"/>
        <v>5791335.1763399998</v>
      </c>
      <c r="CZ34" s="890"/>
      <c r="DA34" s="890">
        <f t="shared" si="31"/>
        <v>15222921.326411996</v>
      </c>
      <c r="DB34" s="890">
        <f t="shared" si="32"/>
        <v>17260032.073943999</v>
      </c>
      <c r="DC34" s="840"/>
      <c r="DD34" s="841">
        <f t="shared" si="45"/>
        <v>151.3111111111111</v>
      </c>
      <c r="DE34" s="840"/>
      <c r="DF34" s="840"/>
      <c r="DG34" s="840"/>
      <c r="DH34" s="1050"/>
      <c r="DI34" s="1050"/>
      <c r="DJ34" s="1050"/>
      <c r="DK34" s="945"/>
      <c r="DL34" s="975">
        <f t="shared" si="33"/>
        <v>0</v>
      </c>
      <c r="DM34" s="975">
        <f t="shared" si="34"/>
        <v>0</v>
      </c>
      <c r="DN34" s="975">
        <f t="shared" si="35"/>
        <v>0</v>
      </c>
      <c r="DO34" s="816"/>
      <c r="DP34" s="871"/>
      <c r="DQ34" s="871"/>
      <c r="DR34" s="871"/>
      <c r="DS34" s="871"/>
      <c r="DT34" s="871"/>
      <c r="DU34" s="871"/>
      <c r="DV34" s="871"/>
      <c r="DW34" s="871"/>
      <c r="DX34" s="871"/>
      <c r="DY34" s="871"/>
      <c r="DZ34" s="871"/>
      <c r="EA34" s="871"/>
      <c r="EB34" s="871"/>
      <c r="EC34" s="871"/>
      <c r="ED34" s="871"/>
      <c r="EE34" s="871"/>
      <c r="EF34" s="871"/>
      <c r="EG34" s="871"/>
      <c r="EH34" s="871"/>
      <c r="EI34" s="871"/>
      <c r="EJ34" s="871"/>
      <c r="EK34" s="871"/>
      <c r="EL34" s="871"/>
    </row>
    <row r="35" spans="1:155" s="50" customFormat="1" ht="84" customHeight="1">
      <c r="A35" s="6">
        <f t="shared" si="46"/>
        <v>22</v>
      </c>
      <c r="B35" s="886" t="s">
        <v>14</v>
      </c>
      <c r="C35" s="1338" t="s">
        <v>60</v>
      </c>
      <c r="D35" s="1338" t="s">
        <v>136</v>
      </c>
      <c r="E35" s="887">
        <v>4607000231</v>
      </c>
      <c r="F35" s="886" t="s">
        <v>8</v>
      </c>
      <c r="G35" s="888" t="s">
        <v>987</v>
      </c>
      <c r="H35" s="1352">
        <v>2965.5</v>
      </c>
      <c r="I35" s="1353">
        <v>2965.5</v>
      </c>
      <c r="J35" s="1354">
        <v>2965.5</v>
      </c>
      <c r="K35" s="1354"/>
      <c r="L35" s="1354">
        <v>2965.5</v>
      </c>
      <c r="M35" s="1355"/>
      <c r="N35" s="1356">
        <v>3337.3</v>
      </c>
      <c r="O35" s="1354">
        <v>3337.3</v>
      </c>
      <c r="P35" s="1354">
        <v>3337.3</v>
      </c>
      <c r="Q35" s="1354"/>
      <c r="R35" s="1354">
        <v>3337.3</v>
      </c>
      <c r="S35" s="1355"/>
      <c r="T35" s="929">
        <v>1050</v>
      </c>
      <c r="U35" s="944">
        <v>313</v>
      </c>
      <c r="V35" s="931"/>
      <c r="W35" s="928">
        <v>95</v>
      </c>
      <c r="X35" s="928">
        <v>0</v>
      </c>
      <c r="Y35" s="928">
        <v>4723.8599999999997</v>
      </c>
      <c r="Z35" s="949">
        <f>SUM(T35:W35)</f>
        <v>1458</v>
      </c>
      <c r="AA35" s="939">
        <v>792</v>
      </c>
      <c r="AB35" s="928">
        <v>307</v>
      </c>
      <c r="AC35" s="931">
        <v>0</v>
      </c>
      <c r="AD35" s="928">
        <v>61</v>
      </c>
      <c r="AE35" s="931">
        <v>0</v>
      </c>
      <c r="AF35" s="928">
        <v>3149.24</v>
      </c>
      <c r="AG35" s="951">
        <f>SUM(AA35:AD35)</f>
        <v>1160</v>
      </c>
      <c r="AH35" s="947">
        <f>Z35+AG35</f>
        <v>2618</v>
      </c>
      <c r="AI35" s="971">
        <f>T35+AA35</f>
        <v>1842</v>
      </c>
      <c r="AJ35" s="890">
        <f>U35+AB35</f>
        <v>620</v>
      </c>
      <c r="AK35" s="890">
        <f t="shared" si="73"/>
        <v>0</v>
      </c>
      <c r="AL35" s="971">
        <f>W35+AD35</f>
        <v>156</v>
      </c>
      <c r="AM35" s="894">
        <f>X35+AE35</f>
        <v>0</v>
      </c>
      <c r="AN35" s="894">
        <f>Y35+AF35</f>
        <v>7873.0999999999995</v>
      </c>
      <c r="AO35" s="894">
        <f>SUM(AI35:AN35)</f>
        <v>10491.099999999999</v>
      </c>
      <c r="AP35" s="894">
        <f>SUM(AI35:AM35)</f>
        <v>2618</v>
      </c>
      <c r="AQ35" s="972">
        <f>SUM(AI35:AL35)</f>
        <v>2618</v>
      </c>
      <c r="AR35" s="973">
        <f t="shared" si="36"/>
        <v>0</v>
      </c>
      <c r="AS35" s="889">
        <f t="shared" si="74"/>
        <v>5462451</v>
      </c>
      <c r="AT35" s="890">
        <f t="shared" si="74"/>
        <v>1838610</v>
      </c>
      <c r="AU35" s="890">
        <f t="shared" si="74"/>
        <v>0</v>
      </c>
      <c r="AV35" s="890">
        <f t="shared" si="74"/>
        <v>462618</v>
      </c>
      <c r="AW35" s="890">
        <f t="shared" si="74"/>
        <v>0</v>
      </c>
      <c r="AX35" s="890">
        <f t="shared" si="47"/>
        <v>7763679</v>
      </c>
      <c r="AY35" s="890">
        <f t="shared" si="48"/>
        <v>7763679</v>
      </c>
      <c r="AZ35" s="890">
        <f t="shared" si="75"/>
        <v>6147306.6000000006</v>
      </c>
      <c r="BA35" s="890">
        <f t="shared" si="75"/>
        <v>2069126</v>
      </c>
      <c r="BB35" s="890">
        <f t="shared" si="75"/>
        <v>0</v>
      </c>
      <c r="BC35" s="975">
        <f t="shared" si="75"/>
        <v>520618.80000000005</v>
      </c>
      <c r="BD35" s="975">
        <f t="shared" si="75"/>
        <v>0</v>
      </c>
      <c r="BE35" s="975">
        <f t="shared" si="49"/>
        <v>8737051.4000000004</v>
      </c>
      <c r="BF35" s="1035">
        <f t="shared" si="53"/>
        <v>8737051.4000000004</v>
      </c>
      <c r="BG35" s="974"/>
      <c r="BH35" s="890"/>
      <c r="BI35" s="890">
        <f t="shared" si="7"/>
        <v>0</v>
      </c>
      <c r="BJ35" s="1341">
        <v>6829.1237088312555</v>
      </c>
      <c r="BK35" s="1426">
        <v>7929.9281955259848</v>
      </c>
      <c r="BL35" s="890">
        <f>I35*T35</f>
        <v>3113775</v>
      </c>
      <c r="BM35" s="890">
        <f>J35*U35</f>
        <v>928201.5</v>
      </c>
      <c r="BN35" s="890">
        <f t="shared" si="54"/>
        <v>0</v>
      </c>
      <c r="BO35" s="890">
        <f>L35*W35</f>
        <v>281722.5</v>
      </c>
      <c r="BP35" s="890">
        <f>M35*X35</f>
        <v>0</v>
      </c>
      <c r="BQ35" s="890">
        <f>BL35+BM35+BN35+BO35+BP35</f>
        <v>4323699</v>
      </c>
      <c r="BR35" s="890">
        <f>BQ35-BP35</f>
        <v>4323699</v>
      </c>
      <c r="BS35" s="890">
        <f t="shared" si="57"/>
        <v>2643141.6</v>
      </c>
      <c r="BT35" s="890">
        <f t="shared" si="57"/>
        <v>1024551.1000000001</v>
      </c>
      <c r="BU35" s="890">
        <f t="shared" si="57"/>
        <v>0</v>
      </c>
      <c r="BV35" s="890">
        <f>R35*W35</f>
        <v>317043.5</v>
      </c>
      <c r="BW35" s="890">
        <f>S35*AE35</f>
        <v>0</v>
      </c>
      <c r="BX35" s="890">
        <f>BS35+BT35+BU35+BV35+BW35</f>
        <v>3984736.2</v>
      </c>
      <c r="BY35" s="890">
        <f>BX35-BW35</f>
        <v>3984736.2</v>
      </c>
      <c r="BZ35" s="945">
        <f>BM35+BT35</f>
        <v>1952752.6</v>
      </c>
      <c r="CA35" s="945">
        <f>BN35+BU35</f>
        <v>0</v>
      </c>
      <c r="CB35" s="945">
        <f>BZ35+CA35</f>
        <v>1952752.6</v>
      </c>
      <c r="CC35" s="976">
        <f>BZ35/AJ35</f>
        <v>3149.6009677419356</v>
      </c>
      <c r="CD35" s="976" t="e">
        <f>CA35/AK35</f>
        <v>#DIV/0!</v>
      </c>
      <c r="CE35" s="976">
        <f t="shared" si="39"/>
        <v>3149.6009677419356</v>
      </c>
      <c r="CF35" s="945">
        <f t="shared" si="18"/>
        <v>3149.6009677419356</v>
      </c>
      <c r="CG35" s="977">
        <f t="shared" si="19"/>
        <v>1952752.6</v>
      </c>
      <c r="CH35" s="977">
        <f t="shared" si="40"/>
        <v>3149.6009677419356</v>
      </c>
      <c r="CI35" s="945"/>
      <c r="CJ35" s="1405">
        <f>H35*Z35/1000-1.39685430249301/2</f>
        <v>4323.0005728487531</v>
      </c>
      <c r="CK35" s="1405">
        <f>N35*AG35/1000-1.39685430249301/2</f>
        <v>3870.5695728487535</v>
      </c>
      <c r="CL35" s="1405">
        <f t="shared" si="50"/>
        <v>8193.5701456975075</v>
      </c>
      <c r="CM35" s="897">
        <f t="shared" si="41"/>
        <v>8737.0514000000003</v>
      </c>
      <c r="CN35" s="897">
        <f t="shared" si="42"/>
        <v>543.48125430249274</v>
      </c>
      <c r="CO35" s="890">
        <f t="shared" si="22"/>
        <v>8194967</v>
      </c>
      <c r="CP35" s="890">
        <f t="shared" si="23"/>
        <v>7763679</v>
      </c>
      <c r="CQ35" s="890">
        <f t="shared" si="24"/>
        <v>7763679</v>
      </c>
      <c r="CR35" s="890">
        <f t="shared" si="25"/>
        <v>4323699</v>
      </c>
      <c r="CS35" s="890">
        <f t="shared" si="26"/>
        <v>8737051.4000000004</v>
      </c>
      <c r="CT35" s="890">
        <f t="shared" si="27"/>
        <v>8737051.4000000004</v>
      </c>
      <c r="CU35" s="890">
        <f t="shared" si="28"/>
        <v>3871268</v>
      </c>
      <c r="CV35" s="890">
        <f t="shared" si="43"/>
        <v>16500730.4</v>
      </c>
      <c r="CW35" s="978">
        <f t="shared" si="44"/>
        <v>6302.8</v>
      </c>
      <c r="CX35" s="890">
        <f t="shared" si="29"/>
        <v>1838610</v>
      </c>
      <c r="CY35" s="890">
        <f t="shared" si="30"/>
        <v>2069126</v>
      </c>
      <c r="CZ35" s="890"/>
      <c r="DA35" s="890">
        <f t="shared" si="31"/>
        <v>7763679</v>
      </c>
      <c r="DB35" s="890">
        <f t="shared" si="32"/>
        <v>8737051.4000000004</v>
      </c>
      <c r="DC35" s="1131"/>
      <c r="DD35" s="841">
        <f t="shared" si="45"/>
        <v>112.53751475299276</v>
      </c>
      <c r="DE35" s="1131"/>
      <c r="DF35" s="1131"/>
      <c r="DG35" s="1131"/>
      <c r="DH35" s="1050">
        <v>2699.88</v>
      </c>
      <c r="DI35" s="1050">
        <v>645.88</v>
      </c>
      <c r="DJ35" s="1050">
        <f>DH35-DI35</f>
        <v>2054</v>
      </c>
      <c r="DK35" s="979"/>
      <c r="DL35" s="975">
        <f t="shared" si="33"/>
        <v>0</v>
      </c>
      <c r="DM35" s="975">
        <f t="shared" si="34"/>
        <v>0</v>
      </c>
      <c r="DN35" s="975">
        <f t="shared" si="35"/>
        <v>0</v>
      </c>
      <c r="DO35" s="81"/>
      <c r="DP35" s="81"/>
      <c r="DQ35" s="81"/>
      <c r="DR35" s="81"/>
      <c r="DS35" s="81"/>
      <c r="DT35" s="81"/>
      <c r="DU35" s="81"/>
      <c r="DV35" s="81"/>
      <c r="DW35" s="81"/>
      <c r="DX35" s="81"/>
      <c r="DY35" s="81"/>
      <c r="DZ35" s="81"/>
      <c r="EA35" s="81"/>
      <c r="EB35" s="81"/>
      <c r="EC35" s="81"/>
      <c r="ED35" s="81"/>
      <c r="EE35" s="81"/>
      <c r="EF35" s="81"/>
      <c r="EG35" s="81"/>
      <c r="EH35" s="81"/>
      <c r="EI35" s="81"/>
      <c r="EJ35" s="81"/>
      <c r="EK35" s="81"/>
      <c r="EL35" s="81"/>
    </row>
    <row r="36" spans="1:155" s="869" customFormat="1" ht="82.5" customHeight="1">
      <c r="A36" s="6" t="e">
        <f>#REF!+1</f>
        <v>#REF!</v>
      </c>
      <c r="B36" s="886" t="s">
        <v>14</v>
      </c>
      <c r="C36" s="1395" t="s">
        <v>60</v>
      </c>
      <c r="D36" s="1262" t="s">
        <v>141</v>
      </c>
      <c r="E36" s="887">
        <v>4632024035</v>
      </c>
      <c r="F36" s="886" t="s">
        <v>8</v>
      </c>
      <c r="G36" s="1238" t="s">
        <v>983</v>
      </c>
      <c r="H36" s="1256">
        <v>3314.9639999999995</v>
      </c>
      <c r="I36" s="1257">
        <f t="shared" ref="I36:I41" si="76">H36</f>
        <v>3314.9639999999995</v>
      </c>
      <c r="J36" s="1263">
        <v>2950.21</v>
      </c>
      <c r="K36" s="891"/>
      <c r="L36" s="1256">
        <v>3314.9639999999995</v>
      </c>
      <c r="M36" s="946"/>
      <c r="N36" s="1259">
        <f t="shared" ref="N36:N41" si="77">3132.14*1.2</f>
        <v>3758.5679999999998</v>
      </c>
      <c r="O36" s="1260">
        <f t="shared" ref="O36:O41" si="78">N36</f>
        <v>3758.5679999999998</v>
      </c>
      <c r="P36" s="1264">
        <v>2979.71</v>
      </c>
      <c r="Q36" s="891"/>
      <c r="R36" s="1260">
        <f t="shared" ref="R36:R41" si="79">O36</f>
        <v>3758.5679999999998</v>
      </c>
      <c r="S36" s="946"/>
      <c r="T36" s="1307">
        <v>411.113</v>
      </c>
      <c r="U36" s="1292">
        <v>14.084</v>
      </c>
      <c r="V36" s="1292">
        <v>0</v>
      </c>
      <c r="W36" s="948"/>
      <c r="X36" s="948"/>
      <c r="Y36" s="948"/>
      <c r="Z36" s="1397">
        <f t="shared" si="8"/>
        <v>425.197</v>
      </c>
      <c r="AA36" s="1308">
        <v>238.72800000000001</v>
      </c>
      <c r="AB36" s="1292">
        <v>11.718399179855201</v>
      </c>
      <c r="AC36" s="1292">
        <v>0</v>
      </c>
      <c r="AD36" s="890"/>
      <c r="AE36" s="890"/>
      <c r="AF36" s="890"/>
      <c r="AG36" s="951">
        <f t="shared" si="51"/>
        <v>250.44639917985521</v>
      </c>
      <c r="AH36" s="947">
        <f t="shared" si="52"/>
        <v>675.64339917985524</v>
      </c>
      <c r="AI36" s="890">
        <f t="shared" si="73"/>
        <v>649.84100000000001</v>
      </c>
      <c r="AJ36" s="890">
        <f t="shared" si="73"/>
        <v>25.8023991798552</v>
      </c>
      <c r="AK36" s="890">
        <f t="shared" si="73"/>
        <v>0</v>
      </c>
      <c r="AL36" s="890">
        <f t="shared" si="73"/>
        <v>0</v>
      </c>
      <c r="AM36" s="890">
        <f t="shared" si="73"/>
        <v>0</v>
      </c>
      <c r="AN36" s="890"/>
      <c r="AO36" s="890">
        <f>SUM(AI36:AN36)</f>
        <v>675.64339917985524</v>
      </c>
      <c r="AP36" s="890">
        <f t="shared" si="71"/>
        <v>675.64339917985524</v>
      </c>
      <c r="AQ36" s="952">
        <f t="shared" si="72"/>
        <v>675.64339917985524</v>
      </c>
      <c r="AR36" s="973">
        <f t="shared" si="36"/>
        <v>0</v>
      </c>
      <c r="AS36" s="889">
        <f t="shared" si="74"/>
        <v>2154199.5207239995</v>
      </c>
      <c r="AT36" s="890">
        <f t="shared" si="74"/>
        <v>76122.496084400613</v>
      </c>
      <c r="AU36" s="890">
        <f t="shared" si="74"/>
        <v>0</v>
      </c>
      <c r="AV36" s="890">
        <f t="shared" si="74"/>
        <v>0</v>
      </c>
      <c r="AW36" s="890">
        <f t="shared" si="74"/>
        <v>0</v>
      </c>
      <c r="AX36" s="890">
        <f t="shared" si="47"/>
        <v>2230322.0168083999</v>
      </c>
      <c r="AY36" s="890">
        <f t="shared" si="48"/>
        <v>2230322.0168083999</v>
      </c>
      <c r="AZ36" s="890">
        <f t="shared" si="75"/>
        <v>2442471.5876879999</v>
      </c>
      <c r="BA36" s="890">
        <f t="shared" si="75"/>
        <v>76883.666860206344</v>
      </c>
      <c r="BB36" s="890">
        <f t="shared" si="75"/>
        <v>0</v>
      </c>
      <c r="BC36" s="890">
        <f t="shared" si="75"/>
        <v>0</v>
      </c>
      <c r="BD36" s="890">
        <f t="shared" si="75"/>
        <v>0</v>
      </c>
      <c r="BE36" s="890">
        <f t="shared" si="49"/>
        <v>2519355.2545482065</v>
      </c>
      <c r="BF36" s="952">
        <f t="shared" si="53"/>
        <v>2519355.2545482065</v>
      </c>
      <c r="BG36" s="953">
        <f t="shared" ref="BG36:BG41" si="80">(H36-J36)/1.2*U36/1000+(H36-K36)/1.2*V36/1000</f>
        <v>4.2809961133333276</v>
      </c>
      <c r="BH36" s="954">
        <f t="shared" ref="BH36:BH41" si="81">(O36-P36)*AB36/1000/1.2+(O36-Q36)/1.2*AC36/1000</f>
        <v>7.6058074570197167</v>
      </c>
      <c r="BI36" s="955">
        <f t="shared" si="7"/>
        <v>11.886803570353045</v>
      </c>
      <c r="BJ36" s="890"/>
      <c r="BK36" s="1199"/>
      <c r="BL36" s="890">
        <f t="shared" si="54"/>
        <v>1362824.7949319999</v>
      </c>
      <c r="BM36" s="890">
        <f t="shared" si="54"/>
        <v>41550.757639999996</v>
      </c>
      <c r="BN36" s="890">
        <f t="shared" si="54"/>
        <v>0</v>
      </c>
      <c r="BO36" s="890">
        <f t="shared" si="54"/>
        <v>0</v>
      </c>
      <c r="BP36" s="890">
        <f t="shared" si="54"/>
        <v>0</v>
      </c>
      <c r="BQ36" s="890">
        <f t="shared" si="55"/>
        <v>1404375.5525719998</v>
      </c>
      <c r="BR36" s="890">
        <f t="shared" si="56"/>
        <v>1404375.5525719998</v>
      </c>
      <c r="BS36" s="890">
        <f t="shared" si="57"/>
        <v>897275.42150399997</v>
      </c>
      <c r="BT36" s="890">
        <f t="shared" si="57"/>
        <v>34917.431220206337</v>
      </c>
      <c r="BU36" s="890">
        <f t="shared" si="57"/>
        <v>0</v>
      </c>
      <c r="BV36" s="890">
        <f t="shared" si="58"/>
        <v>0</v>
      </c>
      <c r="BW36" s="890">
        <f t="shared" si="17"/>
        <v>0</v>
      </c>
      <c r="BX36" s="890">
        <f t="shared" si="59"/>
        <v>932192.85272420628</v>
      </c>
      <c r="BY36" s="890">
        <f t="shared" si="60"/>
        <v>932192.85272420628</v>
      </c>
      <c r="BZ36" s="945">
        <f t="shared" si="61"/>
        <v>76468.188860206341</v>
      </c>
      <c r="CA36" s="945">
        <f t="shared" si="61"/>
        <v>0</v>
      </c>
      <c r="CB36" s="945">
        <f t="shared" si="62"/>
        <v>76468.188860206341</v>
      </c>
      <c r="CC36" s="976">
        <f t="shared" si="63"/>
        <v>2963.6076989269905</v>
      </c>
      <c r="CD36" s="976" t="e">
        <f t="shared" si="63"/>
        <v>#DIV/0!</v>
      </c>
      <c r="CE36" s="976">
        <f t="shared" si="39"/>
        <v>2963.6076989269905</v>
      </c>
      <c r="CF36" s="976">
        <f t="shared" si="18"/>
        <v>2963.6076989269905</v>
      </c>
      <c r="CG36" s="977">
        <f t="shared" si="19"/>
        <v>90732.353144629989</v>
      </c>
      <c r="CH36" s="977">
        <f t="shared" si="40"/>
        <v>3516.4308757562276</v>
      </c>
      <c r="CI36" s="945"/>
      <c r="CJ36" s="1405">
        <f t="shared" ref="CJ36:CJ42" si="82">H36*Z36/1000</f>
        <v>1409.5127479079999</v>
      </c>
      <c r="CK36" s="1405">
        <f t="shared" ref="CK36:CK66" si="83">N36*AG36/1000</f>
        <v>941.31982167262993</v>
      </c>
      <c r="CL36" s="1405">
        <f t="shared" si="50"/>
        <v>2350.8325695806298</v>
      </c>
      <c r="CM36" s="890">
        <f t="shared" si="41"/>
        <v>2539.45165956863</v>
      </c>
      <c r="CN36" s="890">
        <f t="shared" si="42"/>
        <v>188.61908998800027</v>
      </c>
      <c r="CO36" s="890">
        <f t="shared" si="22"/>
        <v>2350832.5695806299</v>
      </c>
      <c r="CP36" s="890">
        <f t="shared" si="23"/>
        <v>2230322.0168083999</v>
      </c>
      <c r="CQ36" s="890">
        <f t="shared" si="24"/>
        <v>2230322.0168083999</v>
      </c>
      <c r="CR36" s="890">
        <f t="shared" si="25"/>
        <v>1404375.5525719998</v>
      </c>
      <c r="CS36" s="890">
        <f t="shared" si="26"/>
        <v>2519355.2545482065</v>
      </c>
      <c r="CT36" s="890">
        <f t="shared" si="27"/>
        <v>2519355.2545482065</v>
      </c>
      <c r="CU36" s="890">
        <f t="shared" si="28"/>
        <v>932192.85272420628</v>
      </c>
      <c r="CV36" s="890">
        <f t="shared" si="43"/>
        <v>4749677.2713566069</v>
      </c>
      <c r="CW36" s="978">
        <f t="shared" si="44"/>
        <v>7029.8581724058995</v>
      </c>
      <c r="CX36" s="890">
        <f t="shared" si="29"/>
        <v>76122.496084400613</v>
      </c>
      <c r="CY36" s="890">
        <f t="shared" si="30"/>
        <v>76883.666860206344</v>
      </c>
      <c r="CZ36" s="890"/>
      <c r="DA36" s="890">
        <f t="shared" si="31"/>
        <v>2239733.5451188488</v>
      </c>
      <c r="DB36" s="890">
        <f t="shared" si="32"/>
        <v>2539451.6595686302</v>
      </c>
      <c r="DC36" s="840"/>
      <c r="DD36" s="841">
        <f t="shared" si="45"/>
        <v>127.40001559211038</v>
      </c>
      <c r="DE36" s="840"/>
      <c r="DF36" s="840"/>
      <c r="DG36" s="840"/>
      <c r="DH36" s="1050"/>
      <c r="DI36" s="1050"/>
      <c r="DJ36" s="1050"/>
      <c r="DK36" s="945"/>
      <c r="DL36" s="975">
        <f t="shared" si="33"/>
        <v>0</v>
      </c>
      <c r="DM36" s="975">
        <f t="shared" si="34"/>
        <v>0</v>
      </c>
      <c r="DN36" s="975">
        <f t="shared" si="35"/>
        <v>0</v>
      </c>
      <c r="DO36" s="816"/>
      <c r="DP36" s="871"/>
      <c r="DQ36" s="871"/>
      <c r="DR36" s="871"/>
      <c r="DS36" s="871"/>
      <c r="DT36" s="871"/>
      <c r="DU36" s="871"/>
      <c r="DV36" s="871"/>
      <c r="DW36" s="871"/>
      <c r="DX36" s="871"/>
      <c r="DY36" s="871"/>
      <c r="DZ36" s="871"/>
      <c r="EA36" s="871"/>
      <c r="EB36" s="871"/>
      <c r="EC36" s="871"/>
      <c r="ED36" s="871"/>
      <c r="EE36" s="871"/>
      <c r="EF36" s="871"/>
      <c r="EG36" s="871"/>
      <c r="EH36" s="871"/>
      <c r="EI36" s="871"/>
      <c r="EJ36" s="871"/>
      <c r="EK36" s="871"/>
      <c r="EL36" s="871"/>
    </row>
    <row r="37" spans="1:155" s="869" customFormat="1" ht="81" customHeight="1">
      <c r="A37" s="6" t="e">
        <f t="shared" si="46"/>
        <v>#REF!</v>
      </c>
      <c r="B37" s="886" t="s">
        <v>14</v>
      </c>
      <c r="C37" s="1395" t="s">
        <v>88</v>
      </c>
      <c r="D37" s="1262" t="s">
        <v>141</v>
      </c>
      <c r="E37" s="887">
        <v>4632024035</v>
      </c>
      <c r="F37" s="886" t="s">
        <v>8</v>
      </c>
      <c r="G37" s="1238" t="s">
        <v>983</v>
      </c>
      <c r="H37" s="1256">
        <v>3314.9639999999995</v>
      </c>
      <c r="I37" s="1257">
        <f t="shared" si="76"/>
        <v>3314.9639999999995</v>
      </c>
      <c r="J37" s="1263">
        <v>2950.21</v>
      </c>
      <c r="K37" s="891"/>
      <c r="L37" s="1256">
        <v>3314.9639999999995</v>
      </c>
      <c r="M37" s="946"/>
      <c r="N37" s="1259">
        <f t="shared" si="77"/>
        <v>3758.5679999999998</v>
      </c>
      <c r="O37" s="1260">
        <f t="shared" si="78"/>
        <v>3758.5679999999998</v>
      </c>
      <c r="P37" s="1264">
        <v>2979.71</v>
      </c>
      <c r="Q37" s="891"/>
      <c r="R37" s="1260">
        <f t="shared" si="79"/>
        <v>3758.5679999999998</v>
      </c>
      <c r="S37" s="946"/>
      <c r="T37" s="1307">
        <v>853.98</v>
      </c>
      <c r="U37" s="1292">
        <v>3321.9900000000002</v>
      </c>
      <c r="V37" s="1366">
        <v>0</v>
      </c>
      <c r="W37" s="890"/>
      <c r="X37" s="890"/>
      <c r="Y37" s="890"/>
      <c r="Z37" s="1397">
        <f t="shared" si="8"/>
        <v>4175.97</v>
      </c>
      <c r="AA37" s="1308">
        <v>413.60199999999998</v>
      </c>
      <c r="AB37" s="1366">
        <v>1985.1136008201447</v>
      </c>
      <c r="AC37" s="1366">
        <v>0</v>
      </c>
      <c r="AD37" s="890"/>
      <c r="AE37" s="890"/>
      <c r="AF37" s="890"/>
      <c r="AG37" s="951">
        <f t="shared" si="51"/>
        <v>2398.7156008201446</v>
      </c>
      <c r="AH37" s="947">
        <f t="shared" si="52"/>
        <v>6574.6856008201448</v>
      </c>
      <c r="AI37" s="890">
        <f t="shared" si="73"/>
        <v>1267.5819999999999</v>
      </c>
      <c r="AJ37" s="890">
        <f t="shared" si="73"/>
        <v>5307.1036008201445</v>
      </c>
      <c r="AK37" s="890">
        <f t="shared" si="73"/>
        <v>0</v>
      </c>
      <c r="AL37" s="890">
        <f t="shared" si="73"/>
        <v>0</v>
      </c>
      <c r="AM37" s="890">
        <f t="shared" si="73"/>
        <v>0</v>
      </c>
      <c r="AN37" s="890"/>
      <c r="AO37" s="890">
        <f t="shared" si="70"/>
        <v>6574.6856008201448</v>
      </c>
      <c r="AP37" s="890">
        <f t="shared" si="71"/>
        <v>6574.6856008201448</v>
      </c>
      <c r="AQ37" s="952">
        <f t="shared" si="72"/>
        <v>6574.6856008201448</v>
      </c>
      <c r="AR37" s="973">
        <f t="shared" si="36"/>
        <v>0</v>
      </c>
      <c r="AS37" s="889">
        <f t="shared" si="74"/>
        <v>4201988.6970479991</v>
      </c>
      <c r="AT37" s="890">
        <f t="shared" si="74"/>
        <v>15657070.114175599</v>
      </c>
      <c r="AU37" s="890">
        <f t="shared" si="74"/>
        <v>0</v>
      </c>
      <c r="AV37" s="890">
        <f t="shared" si="74"/>
        <v>0</v>
      </c>
      <c r="AW37" s="890">
        <f t="shared" si="74"/>
        <v>0</v>
      </c>
      <c r="AX37" s="890">
        <f t="shared" si="47"/>
        <v>19859058.811223596</v>
      </c>
      <c r="AY37" s="890">
        <f t="shared" si="48"/>
        <v>19859058.811223596</v>
      </c>
      <c r="AZ37" s="890">
        <f t="shared" si="75"/>
        <v>4764293.1425759988</v>
      </c>
      <c r="BA37" s="890">
        <f t="shared" si="75"/>
        <v>15813629.670399792</v>
      </c>
      <c r="BB37" s="890">
        <f t="shared" si="75"/>
        <v>0</v>
      </c>
      <c r="BC37" s="890">
        <f t="shared" si="75"/>
        <v>0</v>
      </c>
      <c r="BD37" s="890">
        <f t="shared" si="75"/>
        <v>0</v>
      </c>
      <c r="BE37" s="890">
        <f t="shared" si="49"/>
        <v>20577922.81297579</v>
      </c>
      <c r="BF37" s="952">
        <f t="shared" si="53"/>
        <v>20577922.81297579</v>
      </c>
      <c r="BG37" s="953">
        <f t="shared" si="80"/>
        <v>1009.7576170499988</v>
      </c>
      <c r="BH37" s="954">
        <f t="shared" si="81"/>
        <v>1288.4346740896465</v>
      </c>
      <c r="BI37" s="955">
        <f t="shared" si="7"/>
        <v>2298.192291139645</v>
      </c>
      <c r="BJ37" s="955"/>
      <c r="BK37" s="1197"/>
      <c r="BL37" s="890">
        <f t="shared" si="54"/>
        <v>2830912.9567199997</v>
      </c>
      <c r="BM37" s="890">
        <f t="shared" si="54"/>
        <v>9800568.1179000009</v>
      </c>
      <c r="BN37" s="890">
        <f t="shared" si="54"/>
        <v>0</v>
      </c>
      <c r="BO37" s="890">
        <f t="shared" si="54"/>
        <v>0</v>
      </c>
      <c r="BP37" s="890">
        <f t="shared" si="54"/>
        <v>0</v>
      </c>
      <c r="BQ37" s="890">
        <f t="shared" si="55"/>
        <v>12631481.074620001</v>
      </c>
      <c r="BR37" s="890">
        <f t="shared" si="56"/>
        <v>12631481.074620001</v>
      </c>
      <c r="BS37" s="890">
        <f t="shared" si="57"/>
        <v>1554551.2419359998</v>
      </c>
      <c r="BT37" s="890">
        <f t="shared" si="57"/>
        <v>5915062.8474997934</v>
      </c>
      <c r="BU37" s="890">
        <f t="shared" si="57"/>
        <v>0</v>
      </c>
      <c r="BV37" s="890">
        <f t="shared" si="58"/>
        <v>0</v>
      </c>
      <c r="BW37" s="890">
        <f t="shared" si="17"/>
        <v>0</v>
      </c>
      <c r="BX37" s="890">
        <f t="shared" si="59"/>
        <v>7469614.0894357935</v>
      </c>
      <c r="BY37" s="890">
        <f t="shared" si="60"/>
        <v>7469614.0894357935</v>
      </c>
      <c r="BZ37" s="945">
        <f t="shared" si="61"/>
        <v>15715630.965399794</v>
      </c>
      <c r="CA37" s="945">
        <f t="shared" si="61"/>
        <v>0</v>
      </c>
      <c r="CB37" s="945">
        <f t="shared" si="62"/>
        <v>15715630.965399794</v>
      </c>
      <c r="CC37" s="976">
        <f t="shared" si="63"/>
        <v>2961.2444277460772</v>
      </c>
      <c r="CD37" s="976" t="e">
        <f t="shared" si="63"/>
        <v>#DIV/0!</v>
      </c>
      <c r="CE37" s="976">
        <f t="shared" si="39"/>
        <v>2961.2444277460772</v>
      </c>
      <c r="CF37" s="976">
        <f t="shared" si="18"/>
        <v>2961.2444277460772</v>
      </c>
      <c r="CG37" s="977">
        <f t="shared" si="19"/>
        <v>18473461.714767367</v>
      </c>
      <c r="CH37" s="977">
        <f t="shared" si="40"/>
        <v>3480.8933656227346</v>
      </c>
      <c r="CI37" s="945"/>
      <c r="CJ37" s="1405">
        <f t="shared" si="82"/>
        <v>13843.190215079998</v>
      </c>
      <c r="CK37" s="1405">
        <f t="shared" si="83"/>
        <v>9015.7356983433674</v>
      </c>
      <c r="CL37" s="1405">
        <f t="shared" si="50"/>
        <v>22858.925913423365</v>
      </c>
      <c r="CM37" s="890">
        <f t="shared" si="41"/>
        <v>24711.402909303368</v>
      </c>
      <c r="CN37" s="890">
        <f t="shared" si="42"/>
        <v>1852.4769958800025</v>
      </c>
      <c r="CO37" s="890">
        <f t="shared" si="22"/>
        <v>22858925.913423367</v>
      </c>
      <c r="CP37" s="890">
        <f t="shared" si="23"/>
        <v>19859058.811223596</v>
      </c>
      <c r="CQ37" s="890">
        <f t="shared" si="24"/>
        <v>19859058.811223596</v>
      </c>
      <c r="CR37" s="890">
        <f t="shared" si="25"/>
        <v>12631481.074620001</v>
      </c>
      <c r="CS37" s="890">
        <f t="shared" si="26"/>
        <v>20577922.81297579</v>
      </c>
      <c r="CT37" s="890">
        <f t="shared" si="27"/>
        <v>20577922.81297579</v>
      </c>
      <c r="CU37" s="890">
        <f t="shared" si="28"/>
        <v>7469614.0894357935</v>
      </c>
      <c r="CV37" s="890">
        <f t="shared" si="43"/>
        <v>40436981.62419939</v>
      </c>
      <c r="CW37" s="978">
        <f t="shared" si="44"/>
        <v>6150.4053698256184</v>
      </c>
      <c r="CX37" s="890">
        <f t="shared" si="29"/>
        <v>15657070.114175599</v>
      </c>
      <c r="CY37" s="890">
        <f t="shared" si="30"/>
        <v>15813629.670399792</v>
      </c>
      <c r="CZ37" s="890"/>
      <c r="DA37" s="890">
        <f t="shared" si="31"/>
        <v>21794846.078037143</v>
      </c>
      <c r="DB37" s="890">
        <f t="shared" si="32"/>
        <v>24711402.909303367</v>
      </c>
      <c r="DC37" s="840"/>
      <c r="DD37" s="841">
        <f t="shared" si="45"/>
        <v>127.40001559211038</v>
      </c>
      <c r="DE37" s="840"/>
      <c r="DF37" s="840"/>
      <c r="DG37" s="840"/>
      <c r="DH37" s="1050"/>
      <c r="DI37" s="1050"/>
      <c r="DJ37" s="1050"/>
      <c r="DK37" s="945"/>
      <c r="DL37" s="975">
        <f t="shared" si="33"/>
        <v>0</v>
      </c>
      <c r="DM37" s="975">
        <f t="shared" si="34"/>
        <v>0</v>
      </c>
      <c r="DN37" s="975">
        <f t="shared" si="35"/>
        <v>0</v>
      </c>
      <c r="DO37" s="816"/>
      <c r="DP37" s="871"/>
      <c r="DQ37" s="871"/>
      <c r="DR37" s="871"/>
      <c r="DS37" s="871"/>
      <c r="DT37" s="871"/>
      <c r="DU37" s="871"/>
      <c r="DV37" s="871"/>
      <c r="DW37" s="871"/>
      <c r="DX37" s="871"/>
      <c r="DY37" s="871"/>
      <c r="DZ37" s="871"/>
      <c r="EA37" s="871"/>
      <c r="EB37" s="871"/>
      <c r="EC37" s="871"/>
      <c r="ED37" s="871"/>
      <c r="EE37" s="871"/>
      <c r="EF37" s="871"/>
      <c r="EG37" s="871"/>
      <c r="EH37" s="871"/>
      <c r="EI37" s="871"/>
      <c r="EJ37" s="871"/>
      <c r="EK37" s="871"/>
      <c r="EL37" s="871"/>
    </row>
    <row r="38" spans="1:155" s="869" customFormat="1" ht="80.25" customHeight="1">
      <c r="A38" s="6" t="e">
        <f t="shared" si="46"/>
        <v>#REF!</v>
      </c>
      <c r="B38" s="886" t="s">
        <v>14</v>
      </c>
      <c r="C38" s="1395" t="s">
        <v>89</v>
      </c>
      <c r="D38" s="1262" t="s">
        <v>141</v>
      </c>
      <c r="E38" s="887">
        <v>4632024035</v>
      </c>
      <c r="F38" s="886" t="s">
        <v>8</v>
      </c>
      <c r="G38" s="1238" t="s">
        <v>983</v>
      </c>
      <c r="H38" s="1256">
        <v>3314.9639999999995</v>
      </c>
      <c r="I38" s="1257">
        <f t="shared" si="76"/>
        <v>3314.9639999999995</v>
      </c>
      <c r="J38" s="891"/>
      <c r="K38" s="891"/>
      <c r="L38" s="1256">
        <v>3314.9639999999995</v>
      </c>
      <c r="M38" s="946"/>
      <c r="N38" s="1259">
        <f t="shared" si="77"/>
        <v>3758.5679999999998</v>
      </c>
      <c r="O38" s="1260">
        <f t="shared" si="78"/>
        <v>3758.5679999999998</v>
      </c>
      <c r="P38" s="891"/>
      <c r="Q38" s="891"/>
      <c r="R38" s="1260">
        <f t="shared" si="79"/>
        <v>3758.5679999999998</v>
      </c>
      <c r="S38" s="946"/>
      <c r="T38" s="1307">
        <v>213.34700000000001</v>
      </c>
      <c r="U38" s="1366">
        <v>0</v>
      </c>
      <c r="V38" s="1366">
        <v>0</v>
      </c>
      <c r="W38" s="890"/>
      <c r="X38" s="890"/>
      <c r="Y38" s="890"/>
      <c r="Z38" s="1397">
        <f t="shared" si="8"/>
        <v>213.34700000000001</v>
      </c>
      <c r="AA38" s="1308">
        <v>123.88800000000001</v>
      </c>
      <c r="AB38" s="1366">
        <v>0</v>
      </c>
      <c r="AC38" s="1366">
        <v>0</v>
      </c>
      <c r="AD38" s="890"/>
      <c r="AE38" s="890"/>
      <c r="AF38" s="890"/>
      <c r="AG38" s="951">
        <f t="shared" si="51"/>
        <v>123.88800000000001</v>
      </c>
      <c r="AH38" s="947">
        <f t="shared" si="52"/>
        <v>337.23500000000001</v>
      </c>
      <c r="AI38" s="890">
        <f t="shared" si="73"/>
        <v>337.23500000000001</v>
      </c>
      <c r="AJ38" s="890">
        <f t="shared" si="73"/>
        <v>0</v>
      </c>
      <c r="AK38" s="890">
        <f t="shared" si="73"/>
        <v>0</v>
      </c>
      <c r="AL38" s="890">
        <f t="shared" si="73"/>
        <v>0</v>
      </c>
      <c r="AM38" s="890">
        <f t="shared" si="73"/>
        <v>0</v>
      </c>
      <c r="AN38" s="890"/>
      <c r="AO38" s="890">
        <f t="shared" si="70"/>
        <v>337.23500000000001</v>
      </c>
      <c r="AP38" s="890">
        <f t="shared" si="71"/>
        <v>337.23500000000001</v>
      </c>
      <c r="AQ38" s="952">
        <f t="shared" si="72"/>
        <v>337.23500000000001</v>
      </c>
      <c r="AR38" s="973">
        <f t="shared" si="36"/>
        <v>0</v>
      </c>
      <c r="AS38" s="889">
        <f t="shared" si="74"/>
        <v>1117921.8845399998</v>
      </c>
      <c r="AT38" s="890">
        <f t="shared" si="74"/>
        <v>0</v>
      </c>
      <c r="AU38" s="890">
        <f t="shared" si="74"/>
        <v>0</v>
      </c>
      <c r="AV38" s="890">
        <f t="shared" si="74"/>
        <v>0</v>
      </c>
      <c r="AW38" s="890">
        <f t="shared" si="74"/>
        <v>0</v>
      </c>
      <c r="AX38" s="890">
        <f t="shared" si="47"/>
        <v>1117921.8845399998</v>
      </c>
      <c r="AY38" s="890">
        <f t="shared" si="48"/>
        <v>1117921.8845399998</v>
      </c>
      <c r="AZ38" s="890">
        <f t="shared" si="75"/>
        <v>1267520.6794799999</v>
      </c>
      <c r="BA38" s="890">
        <f t="shared" si="75"/>
        <v>0</v>
      </c>
      <c r="BB38" s="890">
        <f t="shared" si="75"/>
        <v>0</v>
      </c>
      <c r="BC38" s="890">
        <f t="shared" si="75"/>
        <v>0</v>
      </c>
      <c r="BD38" s="890">
        <f t="shared" si="75"/>
        <v>0</v>
      </c>
      <c r="BE38" s="890">
        <f t="shared" si="49"/>
        <v>1267520.6794799999</v>
      </c>
      <c r="BF38" s="952">
        <f t="shared" si="53"/>
        <v>1267520.6794799999</v>
      </c>
      <c r="BG38" s="953">
        <f t="shared" si="80"/>
        <v>0</v>
      </c>
      <c r="BH38" s="954">
        <f t="shared" si="81"/>
        <v>0</v>
      </c>
      <c r="BI38" s="955">
        <f t="shared" si="7"/>
        <v>0</v>
      </c>
      <c r="BJ38" s="890"/>
      <c r="BK38" s="1199"/>
      <c r="BL38" s="890">
        <f t="shared" si="54"/>
        <v>707237.62450799986</v>
      </c>
      <c r="BM38" s="890">
        <f t="shared" si="54"/>
        <v>0</v>
      </c>
      <c r="BN38" s="890">
        <f t="shared" si="54"/>
        <v>0</v>
      </c>
      <c r="BO38" s="890">
        <f t="shared" si="54"/>
        <v>0</v>
      </c>
      <c r="BP38" s="890">
        <f t="shared" si="54"/>
        <v>0</v>
      </c>
      <c r="BQ38" s="890">
        <f t="shared" si="55"/>
        <v>707237.62450799986</v>
      </c>
      <c r="BR38" s="890">
        <f t="shared" si="56"/>
        <v>707237.62450799986</v>
      </c>
      <c r="BS38" s="890">
        <f t="shared" si="57"/>
        <v>465641.47238399996</v>
      </c>
      <c r="BT38" s="890">
        <f t="shared" si="57"/>
        <v>0</v>
      </c>
      <c r="BU38" s="890">
        <f t="shared" si="57"/>
        <v>0</v>
      </c>
      <c r="BV38" s="890">
        <f t="shared" si="58"/>
        <v>0</v>
      </c>
      <c r="BW38" s="890">
        <f t="shared" si="17"/>
        <v>0</v>
      </c>
      <c r="BX38" s="890">
        <f t="shared" si="59"/>
        <v>465641.47238399996</v>
      </c>
      <c r="BY38" s="890">
        <f t="shared" si="60"/>
        <v>465641.47238399996</v>
      </c>
      <c r="BZ38" s="945">
        <f t="shared" si="61"/>
        <v>0</v>
      </c>
      <c r="CA38" s="945">
        <f t="shared" si="61"/>
        <v>0</v>
      </c>
      <c r="CB38" s="945">
        <f t="shared" si="62"/>
        <v>0</v>
      </c>
      <c r="CC38" s="976" t="e">
        <f t="shared" si="63"/>
        <v>#DIV/0!</v>
      </c>
      <c r="CD38" s="976" t="e">
        <f t="shared" si="63"/>
        <v>#DIV/0!</v>
      </c>
      <c r="CE38" s="976" t="e">
        <f t="shared" si="39"/>
        <v>#DIV/0!</v>
      </c>
      <c r="CF38" s="945" t="e">
        <f t="shared" si="18"/>
        <v>#DIV/0!</v>
      </c>
      <c r="CG38" s="977">
        <f t="shared" si="19"/>
        <v>0</v>
      </c>
      <c r="CH38" s="977" t="e">
        <f t="shared" si="40"/>
        <v>#DIV/0!</v>
      </c>
      <c r="CI38" s="945"/>
      <c r="CJ38" s="1405">
        <f t="shared" si="82"/>
        <v>707.23762450799984</v>
      </c>
      <c r="CK38" s="1405">
        <f t="shared" si="83"/>
        <v>465.64147238399994</v>
      </c>
      <c r="CL38" s="1405">
        <f t="shared" si="50"/>
        <v>1172.8790968919998</v>
      </c>
      <c r="CM38" s="890">
        <f t="shared" si="41"/>
        <v>1267.5206794799999</v>
      </c>
      <c r="CN38" s="890">
        <f t="shared" si="42"/>
        <v>94.641582588000119</v>
      </c>
      <c r="CO38" s="890">
        <f t="shared" si="22"/>
        <v>1172879.0968919997</v>
      </c>
      <c r="CP38" s="890">
        <f t="shared" si="23"/>
        <v>1117921.8845399998</v>
      </c>
      <c r="CQ38" s="890">
        <f t="shared" si="24"/>
        <v>1117921.8845399998</v>
      </c>
      <c r="CR38" s="890">
        <f t="shared" si="25"/>
        <v>707237.62450799986</v>
      </c>
      <c r="CS38" s="890">
        <f t="shared" si="26"/>
        <v>1267520.6794799999</v>
      </c>
      <c r="CT38" s="890">
        <f t="shared" si="27"/>
        <v>1267520.6794799999</v>
      </c>
      <c r="CU38" s="890">
        <f t="shared" si="28"/>
        <v>465641.47238399996</v>
      </c>
      <c r="CV38" s="890">
        <f t="shared" si="43"/>
        <v>2385442.5640199995</v>
      </c>
      <c r="CW38" s="978">
        <f t="shared" si="44"/>
        <v>7073.5319999999983</v>
      </c>
      <c r="CX38" s="890">
        <f t="shared" si="29"/>
        <v>0</v>
      </c>
      <c r="CY38" s="890">
        <f t="shared" si="30"/>
        <v>0</v>
      </c>
      <c r="CZ38" s="890"/>
      <c r="DA38" s="890">
        <f t="shared" si="31"/>
        <v>1117921.8845399998</v>
      </c>
      <c r="DB38" s="890">
        <f t="shared" si="32"/>
        <v>1267520.6794799999</v>
      </c>
      <c r="DC38" s="840"/>
      <c r="DD38" s="841" t="e">
        <f t="shared" si="45"/>
        <v>#DIV/0!</v>
      </c>
      <c r="DE38" s="840"/>
      <c r="DF38" s="840"/>
      <c r="DG38" s="840"/>
      <c r="DH38" s="1050"/>
      <c r="DI38" s="1050"/>
      <c r="DJ38" s="1050"/>
      <c r="DK38" s="945"/>
      <c r="DL38" s="975">
        <f t="shared" si="33"/>
        <v>0</v>
      </c>
      <c r="DM38" s="975">
        <f t="shared" si="34"/>
        <v>0</v>
      </c>
      <c r="DN38" s="975">
        <f t="shared" si="35"/>
        <v>0</v>
      </c>
      <c r="DO38" s="816"/>
      <c r="DP38" s="871"/>
      <c r="DQ38" s="871"/>
      <c r="DR38" s="871"/>
      <c r="DS38" s="871"/>
      <c r="DT38" s="871"/>
      <c r="DU38" s="871"/>
      <c r="DV38" s="871"/>
      <c r="DW38" s="871"/>
      <c r="DX38" s="871"/>
      <c r="DY38" s="871"/>
      <c r="DZ38" s="871"/>
      <c r="EA38" s="871"/>
      <c r="EB38" s="871"/>
      <c r="EC38" s="871"/>
      <c r="ED38" s="871"/>
      <c r="EE38" s="871"/>
      <c r="EF38" s="871"/>
      <c r="EG38" s="871"/>
      <c r="EH38" s="871"/>
      <c r="EI38" s="871"/>
      <c r="EJ38" s="871"/>
      <c r="EK38" s="871"/>
      <c r="EL38" s="871"/>
    </row>
    <row r="39" spans="1:155" s="869" customFormat="1" ht="86.25" customHeight="1">
      <c r="A39" s="6" t="e">
        <f t="shared" si="46"/>
        <v>#REF!</v>
      </c>
      <c r="B39" s="1395" t="s">
        <v>15</v>
      </c>
      <c r="C39" s="1396" t="s">
        <v>168</v>
      </c>
      <c r="D39" s="1262" t="s">
        <v>141</v>
      </c>
      <c r="E39" s="887">
        <v>4632024035</v>
      </c>
      <c r="F39" s="886" t="s">
        <v>8</v>
      </c>
      <c r="G39" s="1238" t="s">
        <v>983</v>
      </c>
      <c r="H39" s="1256">
        <v>3314.9639999999995</v>
      </c>
      <c r="I39" s="1257">
        <f t="shared" si="76"/>
        <v>3314.9639999999995</v>
      </c>
      <c r="J39" s="1263">
        <v>2484</v>
      </c>
      <c r="K39" s="891"/>
      <c r="L39" s="1256">
        <v>3314.9639999999995</v>
      </c>
      <c r="M39" s="946"/>
      <c r="N39" s="1259">
        <f t="shared" si="77"/>
        <v>3758.5679999999998</v>
      </c>
      <c r="O39" s="1260">
        <f t="shared" si="78"/>
        <v>3758.5679999999998</v>
      </c>
      <c r="P39" s="1264">
        <v>2719.98</v>
      </c>
      <c r="Q39" s="891"/>
      <c r="R39" s="1260">
        <f t="shared" si="79"/>
        <v>3758.5679999999998</v>
      </c>
      <c r="S39" s="946"/>
      <c r="T39" s="1307">
        <v>1582.24</v>
      </c>
      <c r="U39" s="1292">
        <v>1090.9069999999999</v>
      </c>
      <c r="V39" s="1292">
        <v>0</v>
      </c>
      <c r="W39" s="948"/>
      <c r="X39" s="948"/>
      <c r="Y39" s="948"/>
      <c r="Z39" s="1397">
        <f t="shared" si="8"/>
        <v>2673.1469999999999</v>
      </c>
      <c r="AA39" s="1308">
        <v>918.6</v>
      </c>
      <c r="AB39" s="1292">
        <v>886.2</v>
      </c>
      <c r="AC39" s="1366">
        <v>0</v>
      </c>
      <c r="AD39" s="890"/>
      <c r="AE39" s="890"/>
      <c r="AF39" s="890"/>
      <c r="AG39" s="951">
        <f t="shared" si="51"/>
        <v>1804.8000000000002</v>
      </c>
      <c r="AH39" s="947">
        <f t="shared" si="52"/>
        <v>4477.9470000000001</v>
      </c>
      <c r="AI39" s="890">
        <f t="shared" si="73"/>
        <v>2500.84</v>
      </c>
      <c r="AJ39" s="890">
        <f t="shared" si="73"/>
        <v>1977.107</v>
      </c>
      <c r="AK39" s="890">
        <f t="shared" si="73"/>
        <v>0</v>
      </c>
      <c r="AL39" s="890">
        <f t="shared" si="73"/>
        <v>0</v>
      </c>
      <c r="AM39" s="890">
        <f t="shared" si="73"/>
        <v>0</v>
      </c>
      <c r="AN39" s="890"/>
      <c r="AO39" s="890">
        <f t="shared" si="70"/>
        <v>4477.9470000000001</v>
      </c>
      <c r="AP39" s="890">
        <f t="shared" si="71"/>
        <v>4477.9470000000001</v>
      </c>
      <c r="AQ39" s="952">
        <f t="shared" si="72"/>
        <v>4477.9470000000001</v>
      </c>
      <c r="AR39" s="973">
        <f t="shared" si="36"/>
        <v>0</v>
      </c>
      <c r="AS39" s="889">
        <f t="shared" si="74"/>
        <v>8290194.5697599994</v>
      </c>
      <c r="AT39" s="890">
        <f t="shared" si="74"/>
        <v>4911133.7879999997</v>
      </c>
      <c r="AU39" s="890">
        <f t="shared" si="74"/>
        <v>0</v>
      </c>
      <c r="AV39" s="890">
        <f t="shared" si="74"/>
        <v>0</v>
      </c>
      <c r="AW39" s="890">
        <f t="shared" si="74"/>
        <v>0</v>
      </c>
      <c r="AX39" s="890">
        <f t="shared" si="47"/>
        <v>13201328.357759999</v>
      </c>
      <c r="AY39" s="890">
        <f t="shared" si="48"/>
        <v>13201328.357759999</v>
      </c>
      <c r="AZ39" s="890">
        <f t="shared" si="75"/>
        <v>9399577.1971199997</v>
      </c>
      <c r="BA39" s="890">
        <f t="shared" si="75"/>
        <v>5377691.4978599995</v>
      </c>
      <c r="BB39" s="890">
        <f t="shared" si="75"/>
        <v>0</v>
      </c>
      <c r="BC39" s="890">
        <f t="shared" si="75"/>
        <v>0</v>
      </c>
      <c r="BD39" s="890">
        <f t="shared" si="75"/>
        <v>0</v>
      </c>
      <c r="BE39" s="890">
        <f t="shared" si="49"/>
        <v>14777268.694979999</v>
      </c>
      <c r="BF39" s="952">
        <f t="shared" si="53"/>
        <v>14777268.694979999</v>
      </c>
      <c r="BG39" s="953">
        <f t="shared" si="80"/>
        <v>755.42037028999948</v>
      </c>
      <c r="BH39" s="954">
        <f t="shared" si="81"/>
        <v>766.99723799999992</v>
      </c>
      <c r="BI39" s="955">
        <f t="shared" si="7"/>
        <v>1522.4176082899994</v>
      </c>
      <c r="BJ39" s="955"/>
      <c r="BK39" s="1197"/>
      <c r="BL39" s="890">
        <f t="shared" si="54"/>
        <v>5245068.6393599994</v>
      </c>
      <c r="BM39" s="890">
        <f t="shared" si="54"/>
        <v>2709812.9879999999</v>
      </c>
      <c r="BN39" s="890">
        <f t="shared" si="54"/>
        <v>0</v>
      </c>
      <c r="BO39" s="890">
        <f t="shared" si="54"/>
        <v>0</v>
      </c>
      <c r="BP39" s="890">
        <f t="shared" si="54"/>
        <v>0</v>
      </c>
      <c r="BQ39" s="890">
        <f t="shared" si="55"/>
        <v>7954881.6273599993</v>
      </c>
      <c r="BR39" s="890">
        <f t="shared" si="56"/>
        <v>7954881.6273599993</v>
      </c>
      <c r="BS39" s="890">
        <f t="shared" si="57"/>
        <v>3452620.5647999998</v>
      </c>
      <c r="BT39" s="890">
        <f t="shared" si="57"/>
        <v>2410446.2760000001</v>
      </c>
      <c r="BU39" s="890">
        <f t="shared" si="57"/>
        <v>0</v>
      </c>
      <c r="BV39" s="890">
        <f t="shared" si="58"/>
        <v>0</v>
      </c>
      <c r="BW39" s="890">
        <f t="shared" si="17"/>
        <v>0</v>
      </c>
      <c r="BX39" s="890">
        <f t="shared" si="59"/>
        <v>5863066.8408000004</v>
      </c>
      <c r="BY39" s="890">
        <f t="shared" si="60"/>
        <v>5863066.8408000004</v>
      </c>
      <c r="BZ39" s="945">
        <f t="shared" si="61"/>
        <v>5120259.2640000004</v>
      </c>
      <c r="CA39" s="945">
        <f t="shared" si="61"/>
        <v>0</v>
      </c>
      <c r="CB39" s="945">
        <f t="shared" si="62"/>
        <v>5120259.2640000004</v>
      </c>
      <c r="CC39" s="976">
        <f t="shared" si="63"/>
        <v>2589.7734740709534</v>
      </c>
      <c r="CD39" s="976" t="e">
        <f t="shared" si="63"/>
        <v>#DIV/0!</v>
      </c>
      <c r="CE39" s="976">
        <f t="shared" si="39"/>
        <v>2589.7734740709534</v>
      </c>
      <c r="CF39" s="976">
        <f t="shared" si="18"/>
        <v>2589.7734740709534</v>
      </c>
      <c r="CG39" s="977">
        <f t="shared" si="19"/>
        <v>6947160.3939479999</v>
      </c>
      <c r="CH39" s="977">
        <f t="shared" si="40"/>
        <v>3513.8009191955721</v>
      </c>
      <c r="CI39" s="945"/>
      <c r="CJ39" s="1405">
        <f t="shared" si="82"/>
        <v>8861.3860717079988</v>
      </c>
      <c r="CK39" s="1405">
        <f t="shared" si="83"/>
        <v>6783.4635263999999</v>
      </c>
      <c r="CL39" s="1405">
        <f t="shared" si="50"/>
        <v>15644.849598107998</v>
      </c>
      <c r="CM39" s="890">
        <f t="shared" si="41"/>
        <v>16830.668299895999</v>
      </c>
      <c r="CN39" s="890">
        <f t="shared" si="42"/>
        <v>1185.8187017880009</v>
      </c>
      <c r="CO39" s="890">
        <f t="shared" si="22"/>
        <v>15644849.598107999</v>
      </c>
      <c r="CP39" s="890">
        <f t="shared" si="23"/>
        <v>13201328.357759999</v>
      </c>
      <c r="CQ39" s="890">
        <f t="shared" si="24"/>
        <v>13201328.357759999</v>
      </c>
      <c r="CR39" s="890">
        <f t="shared" si="25"/>
        <v>7954881.6273599993</v>
      </c>
      <c r="CS39" s="890">
        <f t="shared" si="26"/>
        <v>14777268.694979999</v>
      </c>
      <c r="CT39" s="890">
        <f t="shared" si="27"/>
        <v>14777268.694979999</v>
      </c>
      <c r="CU39" s="890">
        <f t="shared" si="28"/>
        <v>5863066.8408000004</v>
      </c>
      <c r="CV39" s="890">
        <f t="shared" si="43"/>
        <v>27978597.05274</v>
      </c>
      <c r="CW39" s="978">
        <f t="shared" si="44"/>
        <v>6248.0857975183717</v>
      </c>
      <c r="CX39" s="890">
        <f t="shared" si="29"/>
        <v>4911133.7879999997</v>
      </c>
      <c r="CY39" s="890">
        <f t="shared" si="30"/>
        <v>5377691.4978599995</v>
      </c>
      <c r="CZ39" s="890"/>
      <c r="DA39" s="890">
        <f t="shared" si="31"/>
        <v>14844233.098907998</v>
      </c>
      <c r="DB39" s="890">
        <f t="shared" si="32"/>
        <v>16830668.299895998</v>
      </c>
      <c r="DC39" s="840"/>
      <c r="DD39" s="841">
        <f t="shared" si="45"/>
        <v>151.3111111111111</v>
      </c>
      <c r="DE39" s="840"/>
      <c r="DF39" s="840"/>
      <c r="DG39" s="840"/>
      <c r="DH39" s="1050"/>
      <c r="DI39" s="1050"/>
      <c r="DJ39" s="1050"/>
      <c r="DK39" s="945"/>
      <c r="DL39" s="975">
        <f t="shared" si="33"/>
        <v>0</v>
      </c>
      <c r="DM39" s="975">
        <f t="shared" si="34"/>
        <v>0</v>
      </c>
      <c r="DN39" s="975">
        <f t="shared" si="35"/>
        <v>0</v>
      </c>
      <c r="DO39" s="816"/>
      <c r="DP39" s="871"/>
      <c r="DQ39" s="871"/>
      <c r="DR39" s="871"/>
      <c r="DS39" s="871"/>
      <c r="DT39" s="871"/>
      <c r="DU39" s="871"/>
      <c r="DV39" s="871"/>
      <c r="DW39" s="871"/>
      <c r="DX39" s="871"/>
      <c r="DY39" s="871"/>
      <c r="DZ39" s="871"/>
      <c r="EA39" s="871"/>
      <c r="EB39" s="871"/>
      <c r="EC39" s="871"/>
      <c r="ED39" s="871"/>
      <c r="EE39" s="871"/>
      <c r="EF39" s="871"/>
      <c r="EG39" s="871"/>
      <c r="EH39" s="871"/>
      <c r="EI39" s="871"/>
      <c r="EJ39" s="871"/>
      <c r="EK39" s="871"/>
      <c r="EL39" s="871"/>
    </row>
    <row r="40" spans="1:155" s="869" customFormat="1" ht="75.75" customHeight="1">
      <c r="A40" s="6" t="e">
        <f t="shared" si="46"/>
        <v>#REF!</v>
      </c>
      <c r="B40" s="1395" t="s">
        <v>15</v>
      </c>
      <c r="C40" s="1395" t="s">
        <v>90</v>
      </c>
      <c r="D40" s="1262" t="s">
        <v>143</v>
      </c>
      <c r="E40" s="887">
        <v>4632024035</v>
      </c>
      <c r="F40" s="886" t="s">
        <v>8</v>
      </c>
      <c r="G40" s="1238" t="s">
        <v>983</v>
      </c>
      <c r="H40" s="1256">
        <v>3314.9639999999995</v>
      </c>
      <c r="I40" s="1257">
        <f t="shared" si="76"/>
        <v>3314.9639999999995</v>
      </c>
      <c r="J40" s="1263">
        <v>2950.21</v>
      </c>
      <c r="K40" s="891"/>
      <c r="L40" s="1256">
        <v>3314.9639999999995</v>
      </c>
      <c r="M40" s="946"/>
      <c r="N40" s="1259">
        <f t="shared" si="77"/>
        <v>3758.5679999999998</v>
      </c>
      <c r="O40" s="1260">
        <f t="shared" si="78"/>
        <v>3758.5679999999998</v>
      </c>
      <c r="P40" s="1264">
        <v>2979.71</v>
      </c>
      <c r="Q40" s="891"/>
      <c r="R40" s="1260">
        <f t="shared" si="79"/>
        <v>3758.5679999999998</v>
      </c>
      <c r="S40" s="946"/>
      <c r="T40" s="1307">
        <v>467</v>
      </c>
      <c r="U40" s="1292">
        <v>264.32899999999995</v>
      </c>
      <c r="V40" s="1292">
        <v>0</v>
      </c>
      <c r="W40" s="948"/>
      <c r="X40" s="948"/>
      <c r="Y40" s="948"/>
      <c r="Z40" s="1397">
        <f t="shared" si="8"/>
        <v>731.32899999999995</v>
      </c>
      <c r="AA40" s="1308">
        <v>340</v>
      </c>
      <c r="AB40" s="1292">
        <v>237.4</v>
      </c>
      <c r="AC40" s="1366">
        <v>0</v>
      </c>
      <c r="AD40" s="890"/>
      <c r="AE40" s="890"/>
      <c r="AF40" s="890"/>
      <c r="AG40" s="951">
        <f t="shared" si="51"/>
        <v>577.4</v>
      </c>
      <c r="AH40" s="947">
        <f t="shared" si="52"/>
        <v>1308.7289999999998</v>
      </c>
      <c r="AI40" s="890">
        <f t="shared" si="73"/>
        <v>807</v>
      </c>
      <c r="AJ40" s="890">
        <f t="shared" si="73"/>
        <v>501.72899999999993</v>
      </c>
      <c r="AK40" s="890">
        <f t="shared" si="73"/>
        <v>0</v>
      </c>
      <c r="AL40" s="890">
        <f t="shared" si="73"/>
        <v>0</v>
      </c>
      <c r="AM40" s="890">
        <f t="shared" si="73"/>
        <v>0</v>
      </c>
      <c r="AN40" s="890"/>
      <c r="AO40" s="890">
        <f t="shared" si="70"/>
        <v>1308.7289999999998</v>
      </c>
      <c r="AP40" s="890">
        <f t="shared" si="71"/>
        <v>1308.7289999999998</v>
      </c>
      <c r="AQ40" s="952">
        <f t="shared" si="72"/>
        <v>1308.7289999999998</v>
      </c>
      <c r="AR40" s="973">
        <f t="shared" si="36"/>
        <v>0</v>
      </c>
      <c r="AS40" s="889">
        <f t="shared" si="74"/>
        <v>2675175.9479999994</v>
      </c>
      <c r="AT40" s="890">
        <f t="shared" si="74"/>
        <v>1480205.9130899997</v>
      </c>
      <c r="AU40" s="890">
        <f t="shared" si="74"/>
        <v>0</v>
      </c>
      <c r="AV40" s="890">
        <f t="shared" si="74"/>
        <v>0</v>
      </c>
      <c r="AW40" s="890">
        <f t="shared" si="74"/>
        <v>0</v>
      </c>
      <c r="AX40" s="890">
        <f t="shared" si="47"/>
        <v>4155381.8610899989</v>
      </c>
      <c r="AY40" s="890">
        <f t="shared" si="48"/>
        <v>4155381.8610899989</v>
      </c>
      <c r="AZ40" s="890">
        <f t="shared" si="75"/>
        <v>3033164.3759999997</v>
      </c>
      <c r="BA40" s="890">
        <f t="shared" si="75"/>
        <v>1495006.9185899999</v>
      </c>
      <c r="BB40" s="890">
        <f t="shared" si="75"/>
        <v>0</v>
      </c>
      <c r="BC40" s="890">
        <f t="shared" si="75"/>
        <v>0</v>
      </c>
      <c r="BD40" s="890">
        <f t="shared" si="75"/>
        <v>0</v>
      </c>
      <c r="BE40" s="890">
        <f t="shared" si="49"/>
        <v>4528171.2945900001</v>
      </c>
      <c r="BF40" s="952">
        <f t="shared" si="53"/>
        <v>4528171.2945900001</v>
      </c>
      <c r="BG40" s="953">
        <f t="shared" si="80"/>
        <v>80.345883388333206</v>
      </c>
      <c r="BH40" s="954">
        <f t="shared" si="81"/>
        <v>154.08407433333329</v>
      </c>
      <c r="BI40" s="955">
        <f t="shared" si="7"/>
        <v>234.42995772166648</v>
      </c>
      <c r="BJ40" s="955"/>
      <c r="BK40" s="1197"/>
      <c r="BL40" s="890">
        <f t="shared" si="54"/>
        <v>1548088.1879999998</v>
      </c>
      <c r="BM40" s="890">
        <f t="shared" si="54"/>
        <v>779826.05908999988</v>
      </c>
      <c r="BN40" s="890">
        <f t="shared" si="54"/>
        <v>0</v>
      </c>
      <c r="BO40" s="890">
        <f t="shared" si="54"/>
        <v>0</v>
      </c>
      <c r="BP40" s="890">
        <f t="shared" si="54"/>
        <v>0</v>
      </c>
      <c r="BQ40" s="890">
        <f t="shared" si="55"/>
        <v>2327914.2470899997</v>
      </c>
      <c r="BR40" s="890">
        <f t="shared" si="56"/>
        <v>2327914.2470899997</v>
      </c>
      <c r="BS40" s="890">
        <f t="shared" si="57"/>
        <v>1277913.1199999999</v>
      </c>
      <c r="BT40" s="890">
        <f t="shared" si="57"/>
        <v>707383.15399999998</v>
      </c>
      <c r="BU40" s="890">
        <f t="shared" si="57"/>
        <v>0</v>
      </c>
      <c r="BV40" s="890">
        <f t="shared" si="58"/>
        <v>0</v>
      </c>
      <c r="BW40" s="890">
        <f t="shared" si="17"/>
        <v>0</v>
      </c>
      <c r="BX40" s="890">
        <f t="shared" si="59"/>
        <v>1985296.2739999997</v>
      </c>
      <c r="BY40" s="890">
        <f t="shared" si="60"/>
        <v>1985296.2739999997</v>
      </c>
      <c r="BZ40" s="945">
        <f t="shared" si="61"/>
        <v>1487209.2130899997</v>
      </c>
      <c r="CA40" s="945">
        <f t="shared" si="61"/>
        <v>0</v>
      </c>
      <c r="CB40" s="945">
        <f t="shared" si="62"/>
        <v>1487209.2130899997</v>
      </c>
      <c r="CC40" s="976">
        <f t="shared" si="63"/>
        <v>2964.1683320876409</v>
      </c>
      <c r="CD40" s="976" t="e">
        <f t="shared" si="63"/>
        <v>#DIV/0!</v>
      </c>
      <c r="CE40" s="976">
        <f t="shared" si="39"/>
        <v>2964.1683320876409</v>
      </c>
      <c r="CF40" s="976">
        <f t="shared" si="18"/>
        <v>2964.1683320876409</v>
      </c>
      <c r="CG40" s="977">
        <f t="shared" si="19"/>
        <v>1768525.1623559997</v>
      </c>
      <c r="CH40" s="977">
        <f t="shared" si="40"/>
        <v>3524.8613541493514</v>
      </c>
      <c r="CI40" s="945"/>
      <c r="CJ40" s="1405">
        <f t="shared" si="82"/>
        <v>2424.3293071559992</v>
      </c>
      <c r="CK40" s="1405">
        <f t="shared" si="83"/>
        <v>2170.1971632</v>
      </c>
      <c r="CL40" s="1405">
        <f t="shared" si="50"/>
        <v>4594.5264703559988</v>
      </c>
      <c r="CM40" s="890">
        <f t="shared" si="41"/>
        <v>4918.9469400719991</v>
      </c>
      <c r="CN40" s="890">
        <f t="shared" si="42"/>
        <v>324.4204697160003</v>
      </c>
      <c r="CO40" s="890">
        <f t="shared" si="22"/>
        <v>4594526.4703559987</v>
      </c>
      <c r="CP40" s="890">
        <f t="shared" si="23"/>
        <v>4155381.8610899989</v>
      </c>
      <c r="CQ40" s="890">
        <f t="shared" si="24"/>
        <v>4155381.8610899989</v>
      </c>
      <c r="CR40" s="890">
        <f t="shared" si="25"/>
        <v>2327914.2470899997</v>
      </c>
      <c r="CS40" s="890">
        <f t="shared" si="26"/>
        <v>4528171.2945900001</v>
      </c>
      <c r="CT40" s="890">
        <f t="shared" si="27"/>
        <v>4528171.2945900001</v>
      </c>
      <c r="CU40" s="890">
        <f t="shared" si="28"/>
        <v>1985296.2739999997</v>
      </c>
      <c r="CV40" s="890">
        <f t="shared" si="43"/>
        <v>8683553.1556799989</v>
      </c>
      <c r="CW40" s="978">
        <f t="shared" si="44"/>
        <v>6635.1041015213996</v>
      </c>
      <c r="CX40" s="890">
        <f t="shared" si="29"/>
        <v>1480205.9130899997</v>
      </c>
      <c r="CY40" s="890">
        <f t="shared" si="30"/>
        <v>1495006.9185899999</v>
      </c>
      <c r="CZ40" s="890"/>
      <c r="DA40" s="890">
        <f t="shared" si="31"/>
        <v>4338389.5207559988</v>
      </c>
      <c r="DB40" s="890">
        <f t="shared" si="32"/>
        <v>4918946.9400719991</v>
      </c>
      <c r="DC40" s="840"/>
      <c r="DD40" s="841">
        <f t="shared" si="45"/>
        <v>127.40001559211038</v>
      </c>
      <c r="DE40" s="840"/>
      <c r="DF40" s="840"/>
      <c r="DG40" s="840"/>
      <c r="DH40" s="1050"/>
      <c r="DI40" s="1050"/>
      <c r="DJ40" s="1050"/>
      <c r="DK40" s="945"/>
      <c r="DL40" s="975">
        <f t="shared" si="33"/>
        <v>0</v>
      </c>
      <c r="DM40" s="975">
        <f t="shared" si="34"/>
        <v>0</v>
      </c>
      <c r="DN40" s="975">
        <f t="shared" si="35"/>
        <v>0</v>
      </c>
      <c r="DO40" s="816"/>
      <c r="DP40" s="871"/>
      <c r="DQ40" s="871"/>
      <c r="DR40" s="871"/>
      <c r="DS40" s="871"/>
      <c r="DT40" s="871"/>
      <c r="DU40" s="871"/>
      <c r="DV40" s="871"/>
      <c r="DW40" s="871"/>
      <c r="DX40" s="871"/>
      <c r="DY40" s="871"/>
      <c r="DZ40" s="871"/>
      <c r="EA40" s="871"/>
      <c r="EB40" s="871"/>
      <c r="EC40" s="871"/>
      <c r="ED40" s="871"/>
      <c r="EE40" s="871"/>
      <c r="EF40" s="871"/>
      <c r="EG40" s="871"/>
      <c r="EH40" s="871"/>
      <c r="EI40" s="871"/>
      <c r="EJ40" s="871"/>
      <c r="EK40" s="871"/>
      <c r="EL40" s="871"/>
    </row>
    <row r="41" spans="1:155" s="869" customFormat="1" ht="83.25" customHeight="1">
      <c r="A41" s="6" t="e">
        <f t="shared" si="46"/>
        <v>#REF!</v>
      </c>
      <c r="B41" s="1395" t="s">
        <v>15</v>
      </c>
      <c r="C41" s="1395" t="s">
        <v>91</v>
      </c>
      <c r="D41" s="1262" t="s">
        <v>144</v>
      </c>
      <c r="E41" s="887">
        <v>4632024035</v>
      </c>
      <c r="F41" s="886" t="s">
        <v>8</v>
      </c>
      <c r="G41" s="1238" t="s">
        <v>983</v>
      </c>
      <c r="H41" s="1256">
        <v>3314.9639999999995</v>
      </c>
      <c r="I41" s="1257">
        <f t="shared" si="76"/>
        <v>3314.9639999999995</v>
      </c>
      <c r="J41" s="891"/>
      <c r="K41" s="891"/>
      <c r="L41" s="1256">
        <v>3314.9639999999995</v>
      </c>
      <c r="M41" s="946"/>
      <c r="N41" s="1259">
        <f t="shared" si="77"/>
        <v>3758.5679999999998</v>
      </c>
      <c r="O41" s="1260">
        <f t="shared" si="78"/>
        <v>3758.5679999999998</v>
      </c>
      <c r="P41" s="891"/>
      <c r="Q41" s="891"/>
      <c r="R41" s="1260">
        <f t="shared" si="79"/>
        <v>3758.5679999999998</v>
      </c>
      <c r="S41" s="946"/>
      <c r="T41" s="1307">
        <v>530.92399999999998</v>
      </c>
      <c r="U41" s="1366">
        <v>0</v>
      </c>
      <c r="V41" s="1366">
        <v>0</v>
      </c>
      <c r="W41" s="890"/>
      <c r="X41" s="890"/>
      <c r="Y41" s="890"/>
      <c r="Z41" s="1397">
        <f t="shared" si="8"/>
        <v>530.92399999999998</v>
      </c>
      <c r="AA41" s="1308">
        <v>371.26200000000006</v>
      </c>
      <c r="AB41" s="1366">
        <v>0</v>
      </c>
      <c r="AC41" s="1366">
        <v>0</v>
      </c>
      <c r="AD41" s="890"/>
      <c r="AE41" s="890"/>
      <c r="AF41" s="890"/>
      <c r="AG41" s="951">
        <f t="shared" si="51"/>
        <v>371.26200000000006</v>
      </c>
      <c r="AH41" s="947">
        <f t="shared" si="52"/>
        <v>902.18600000000004</v>
      </c>
      <c r="AI41" s="890">
        <f t="shared" si="73"/>
        <v>902.18600000000004</v>
      </c>
      <c r="AJ41" s="890">
        <f t="shared" si="73"/>
        <v>0</v>
      </c>
      <c r="AK41" s="890">
        <f t="shared" si="73"/>
        <v>0</v>
      </c>
      <c r="AL41" s="890">
        <f t="shared" si="73"/>
        <v>0</v>
      </c>
      <c r="AM41" s="890">
        <f t="shared" si="73"/>
        <v>0</v>
      </c>
      <c r="AN41" s="890"/>
      <c r="AO41" s="890">
        <f t="shared" si="70"/>
        <v>902.18600000000004</v>
      </c>
      <c r="AP41" s="890">
        <f t="shared" si="71"/>
        <v>902.18600000000004</v>
      </c>
      <c r="AQ41" s="952">
        <f t="shared" si="72"/>
        <v>902.18600000000004</v>
      </c>
      <c r="AR41" s="973">
        <f t="shared" si="36"/>
        <v>0</v>
      </c>
      <c r="AS41" s="889">
        <f t="shared" si="74"/>
        <v>2990714.1113039996</v>
      </c>
      <c r="AT41" s="890">
        <f t="shared" si="74"/>
        <v>0</v>
      </c>
      <c r="AU41" s="890">
        <f t="shared" si="74"/>
        <v>0</v>
      </c>
      <c r="AV41" s="890">
        <f t="shared" si="74"/>
        <v>0</v>
      </c>
      <c r="AW41" s="890">
        <f t="shared" si="74"/>
        <v>0</v>
      </c>
      <c r="AX41" s="890">
        <f t="shared" si="47"/>
        <v>2990714.1113039996</v>
      </c>
      <c r="AY41" s="890">
        <f t="shared" si="48"/>
        <v>2990714.1113039996</v>
      </c>
      <c r="AZ41" s="890">
        <f t="shared" si="75"/>
        <v>3390927.4296479998</v>
      </c>
      <c r="BA41" s="890">
        <f t="shared" si="75"/>
        <v>0</v>
      </c>
      <c r="BB41" s="890">
        <f t="shared" si="75"/>
        <v>0</v>
      </c>
      <c r="BC41" s="890">
        <f t="shared" si="75"/>
        <v>0</v>
      </c>
      <c r="BD41" s="890">
        <f t="shared" si="75"/>
        <v>0</v>
      </c>
      <c r="BE41" s="890">
        <f t="shared" si="49"/>
        <v>3390927.4296479998</v>
      </c>
      <c r="BF41" s="952">
        <f t="shared" si="53"/>
        <v>3390927.4296479998</v>
      </c>
      <c r="BG41" s="953">
        <f t="shared" si="80"/>
        <v>0</v>
      </c>
      <c r="BH41" s="954">
        <f t="shared" si="81"/>
        <v>0</v>
      </c>
      <c r="BI41" s="955">
        <f t="shared" si="7"/>
        <v>0</v>
      </c>
      <c r="BJ41" s="890"/>
      <c r="BK41" s="1199"/>
      <c r="BL41" s="890">
        <f t="shared" si="54"/>
        <v>1759993.9467359995</v>
      </c>
      <c r="BM41" s="890">
        <f t="shared" si="54"/>
        <v>0</v>
      </c>
      <c r="BN41" s="890">
        <f t="shared" si="54"/>
        <v>0</v>
      </c>
      <c r="BO41" s="890">
        <f t="shared" si="54"/>
        <v>0</v>
      </c>
      <c r="BP41" s="890">
        <f t="shared" si="54"/>
        <v>0</v>
      </c>
      <c r="BQ41" s="890">
        <f t="shared" si="55"/>
        <v>1759993.9467359995</v>
      </c>
      <c r="BR41" s="890">
        <f t="shared" si="56"/>
        <v>1759993.9467359995</v>
      </c>
      <c r="BS41" s="890">
        <f t="shared" si="57"/>
        <v>1395413.4728160002</v>
      </c>
      <c r="BT41" s="890">
        <f t="shared" si="57"/>
        <v>0</v>
      </c>
      <c r="BU41" s="890">
        <f t="shared" si="57"/>
        <v>0</v>
      </c>
      <c r="BV41" s="890">
        <f t="shared" si="58"/>
        <v>0</v>
      </c>
      <c r="BW41" s="890">
        <f t="shared" si="17"/>
        <v>0</v>
      </c>
      <c r="BX41" s="890">
        <f t="shared" si="59"/>
        <v>1395413.4728160002</v>
      </c>
      <c r="BY41" s="890">
        <f t="shared" si="60"/>
        <v>1395413.4728160002</v>
      </c>
      <c r="BZ41" s="945">
        <f t="shared" si="61"/>
        <v>0</v>
      </c>
      <c r="CA41" s="945">
        <f t="shared" si="61"/>
        <v>0</v>
      </c>
      <c r="CB41" s="945">
        <f t="shared" si="62"/>
        <v>0</v>
      </c>
      <c r="CC41" s="976" t="e">
        <f t="shared" si="63"/>
        <v>#DIV/0!</v>
      </c>
      <c r="CD41" s="976" t="e">
        <f t="shared" si="63"/>
        <v>#DIV/0!</v>
      </c>
      <c r="CE41" s="976" t="e">
        <f t="shared" si="39"/>
        <v>#DIV/0!</v>
      </c>
      <c r="CF41" s="945" t="e">
        <f t="shared" si="18"/>
        <v>#DIV/0!</v>
      </c>
      <c r="CG41" s="977">
        <f t="shared" si="19"/>
        <v>0</v>
      </c>
      <c r="CH41" s="977" t="e">
        <f t="shared" si="40"/>
        <v>#DIV/0!</v>
      </c>
      <c r="CI41" s="945"/>
      <c r="CJ41" s="1405">
        <f t="shared" si="82"/>
        <v>1759.9939467359995</v>
      </c>
      <c r="CK41" s="1405">
        <f t="shared" si="83"/>
        <v>1395.4134728160002</v>
      </c>
      <c r="CL41" s="1405">
        <f t="shared" si="50"/>
        <v>3155.4074195519997</v>
      </c>
      <c r="CM41" s="890">
        <f t="shared" si="41"/>
        <v>3390.9274296479998</v>
      </c>
      <c r="CN41" s="890">
        <f t="shared" si="42"/>
        <v>235.52001009600008</v>
      </c>
      <c r="CO41" s="890">
        <f t="shared" si="22"/>
        <v>3155407.4195519998</v>
      </c>
      <c r="CP41" s="890">
        <f t="shared" si="23"/>
        <v>2990714.1113039996</v>
      </c>
      <c r="CQ41" s="890">
        <f t="shared" si="24"/>
        <v>2990714.1113039996</v>
      </c>
      <c r="CR41" s="890">
        <f t="shared" si="25"/>
        <v>1759993.9467359995</v>
      </c>
      <c r="CS41" s="890">
        <f t="shared" si="26"/>
        <v>3390927.4296479998</v>
      </c>
      <c r="CT41" s="890">
        <f t="shared" si="27"/>
        <v>3390927.4296479998</v>
      </c>
      <c r="CU41" s="890">
        <f t="shared" si="28"/>
        <v>1395413.4728160002</v>
      </c>
      <c r="CV41" s="890">
        <f t="shared" si="43"/>
        <v>6381641.5409519989</v>
      </c>
      <c r="CW41" s="978">
        <f t="shared" si="44"/>
        <v>7073.5319999999983</v>
      </c>
      <c r="CX41" s="890">
        <f t="shared" si="29"/>
        <v>0</v>
      </c>
      <c r="CY41" s="890">
        <f t="shared" si="30"/>
        <v>0</v>
      </c>
      <c r="CZ41" s="890"/>
      <c r="DA41" s="890">
        <f t="shared" si="31"/>
        <v>2990714.1113039996</v>
      </c>
      <c r="DB41" s="890">
        <f t="shared" si="32"/>
        <v>3390927.4296479998</v>
      </c>
      <c r="DC41" s="840"/>
      <c r="DD41" s="841" t="e">
        <f t="shared" si="45"/>
        <v>#DIV/0!</v>
      </c>
      <c r="DE41" s="840"/>
      <c r="DF41" s="840"/>
      <c r="DG41" s="840"/>
      <c r="DH41" s="1050"/>
      <c r="DI41" s="1050"/>
      <c r="DJ41" s="1050"/>
      <c r="DK41" s="945"/>
      <c r="DL41" s="975">
        <f t="shared" si="33"/>
        <v>0</v>
      </c>
      <c r="DM41" s="975">
        <f t="shared" si="34"/>
        <v>0</v>
      </c>
      <c r="DN41" s="975">
        <f t="shared" si="35"/>
        <v>0</v>
      </c>
      <c r="DO41" s="816"/>
      <c r="DP41" s="871"/>
      <c r="DQ41" s="871"/>
      <c r="DR41" s="871"/>
      <c r="DS41" s="871"/>
      <c r="DT41" s="871"/>
      <c r="DU41" s="871"/>
      <c r="DV41" s="871"/>
      <c r="DW41" s="871"/>
      <c r="DX41" s="871"/>
      <c r="DY41" s="871"/>
      <c r="DZ41" s="871"/>
      <c r="EA41" s="871"/>
      <c r="EB41" s="871"/>
      <c r="EC41" s="871"/>
      <c r="ED41" s="871"/>
      <c r="EE41" s="871"/>
      <c r="EF41" s="871"/>
      <c r="EG41" s="871"/>
      <c r="EH41" s="871"/>
      <c r="EI41" s="871"/>
      <c r="EJ41" s="871"/>
      <c r="EK41" s="871"/>
      <c r="EL41" s="871"/>
    </row>
    <row r="42" spans="1:155" s="50" customFormat="1" ht="129" customHeight="1">
      <c r="A42" s="6" t="e">
        <f t="shared" si="46"/>
        <v>#REF!</v>
      </c>
      <c r="B42" s="886" t="str">
        <f>B41</f>
        <v>Касторенский район</v>
      </c>
      <c r="C42" s="886" t="s">
        <v>181</v>
      </c>
      <c r="D42" s="983" t="s">
        <v>261</v>
      </c>
      <c r="E42" s="887">
        <v>7708503727</v>
      </c>
      <c r="F42" s="886" t="s">
        <v>8</v>
      </c>
      <c r="G42" s="888" t="s">
        <v>948</v>
      </c>
      <c r="H42" s="1251">
        <v>3009.7679999999996</v>
      </c>
      <c r="I42" s="1252">
        <v>3009.7679999999996</v>
      </c>
      <c r="J42" s="891">
        <v>0</v>
      </c>
      <c r="K42" s="891">
        <v>0</v>
      </c>
      <c r="L42" s="891">
        <v>3009.7679999999996</v>
      </c>
      <c r="M42" s="946">
        <v>0</v>
      </c>
      <c r="N42" s="959">
        <v>3009.7679999999996</v>
      </c>
      <c r="O42" s="891">
        <v>3009.7679999999996</v>
      </c>
      <c r="P42" s="891"/>
      <c r="Q42" s="891"/>
      <c r="R42" s="891">
        <v>3009.7679999999996</v>
      </c>
      <c r="S42" s="946"/>
      <c r="T42" s="889">
        <v>1.883</v>
      </c>
      <c r="U42" s="890">
        <v>0</v>
      </c>
      <c r="V42" s="890">
        <v>0</v>
      </c>
      <c r="W42" s="890">
        <v>287.63200000000001</v>
      </c>
      <c r="X42" s="890">
        <v>0</v>
      </c>
      <c r="Y42" s="890">
        <v>0</v>
      </c>
      <c r="Z42" s="949">
        <f>SUM(T42:Y42)</f>
        <v>289.51499999999999</v>
      </c>
      <c r="AA42" s="974">
        <v>2.2759999999999998</v>
      </c>
      <c r="AB42" s="890">
        <v>0</v>
      </c>
      <c r="AC42" s="890">
        <v>0</v>
      </c>
      <c r="AD42" s="890">
        <v>224.44800000000004</v>
      </c>
      <c r="AE42" s="890">
        <v>0</v>
      </c>
      <c r="AF42" s="890">
        <v>0</v>
      </c>
      <c r="AG42" s="951">
        <f t="shared" si="51"/>
        <v>226.72400000000005</v>
      </c>
      <c r="AH42" s="947">
        <f t="shared" si="52"/>
        <v>516.23900000000003</v>
      </c>
      <c r="AI42" s="890">
        <f t="shared" si="73"/>
        <v>4.1589999999999998</v>
      </c>
      <c r="AJ42" s="890">
        <f t="shared" si="73"/>
        <v>0</v>
      </c>
      <c r="AK42" s="890">
        <f t="shared" si="73"/>
        <v>0</v>
      </c>
      <c r="AL42" s="890">
        <f t="shared" si="73"/>
        <v>512.08000000000004</v>
      </c>
      <c r="AM42" s="890">
        <f t="shared" si="73"/>
        <v>0</v>
      </c>
      <c r="AN42" s="890"/>
      <c r="AO42" s="890">
        <f t="shared" si="70"/>
        <v>516.23900000000003</v>
      </c>
      <c r="AP42" s="890">
        <f>SUM(AI42:AM42)</f>
        <v>516.23900000000003</v>
      </c>
      <c r="AQ42" s="952">
        <f t="shared" si="72"/>
        <v>516.23900000000003</v>
      </c>
      <c r="AR42" s="902">
        <f t="shared" si="36"/>
        <v>0</v>
      </c>
      <c r="AS42" s="903">
        <f>I42*AI42</f>
        <v>12517.625111999998</v>
      </c>
      <c r="AT42" s="897">
        <f t="shared" si="74"/>
        <v>0</v>
      </c>
      <c r="AU42" s="897">
        <f t="shared" si="74"/>
        <v>0</v>
      </c>
      <c r="AV42" s="897">
        <f>L42*AL42</f>
        <v>1541241.9974399998</v>
      </c>
      <c r="AW42" s="897">
        <f t="shared" si="74"/>
        <v>0</v>
      </c>
      <c r="AX42" s="897">
        <f t="shared" si="47"/>
        <v>1553759.6225519998</v>
      </c>
      <c r="AY42" s="897">
        <f>SUM(AS42:AV42)</f>
        <v>1553759.6225519998</v>
      </c>
      <c r="AZ42" s="897">
        <f t="shared" si="75"/>
        <v>12517.625111999998</v>
      </c>
      <c r="BA42" s="897">
        <f t="shared" si="75"/>
        <v>0</v>
      </c>
      <c r="BB42" s="897">
        <f t="shared" si="75"/>
        <v>0</v>
      </c>
      <c r="BC42" s="897">
        <f>R42*AL42</f>
        <v>1541241.9974399998</v>
      </c>
      <c r="BD42" s="897">
        <f t="shared" si="75"/>
        <v>0</v>
      </c>
      <c r="BE42" s="897">
        <f t="shared" si="49"/>
        <v>1553759.6225519998</v>
      </c>
      <c r="BF42" s="901">
        <f t="shared" si="53"/>
        <v>1553759.6225519998</v>
      </c>
      <c r="BG42" s="904">
        <v>0</v>
      </c>
      <c r="BH42" s="897">
        <v>0</v>
      </c>
      <c r="BI42" s="897">
        <v>0</v>
      </c>
      <c r="BJ42" s="919">
        <v>1294.8021892208574</v>
      </c>
      <c r="BK42" s="1194">
        <v>2019.873</v>
      </c>
      <c r="BL42" s="897">
        <f>I42*T42</f>
        <v>5667.3931439999997</v>
      </c>
      <c r="BM42" s="897">
        <f t="shared" si="54"/>
        <v>0</v>
      </c>
      <c r="BN42" s="897">
        <f t="shared" si="54"/>
        <v>0</v>
      </c>
      <c r="BO42" s="897">
        <f>L42*W42</f>
        <v>865705.58937599987</v>
      </c>
      <c r="BP42" s="897">
        <f t="shared" si="54"/>
        <v>0</v>
      </c>
      <c r="BQ42" s="897">
        <f>BL42+BM42+BN42+BO42+BP42</f>
        <v>871372.98251999984</v>
      </c>
      <c r="BR42" s="897">
        <f t="shared" si="56"/>
        <v>871372.98251999984</v>
      </c>
      <c r="BS42" s="897">
        <f>O42*AA42</f>
        <v>6850.2319679999982</v>
      </c>
      <c r="BT42" s="897">
        <f t="shared" si="57"/>
        <v>0</v>
      </c>
      <c r="BU42" s="897">
        <f t="shared" si="57"/>
        <v>0</v>
      </c>
      <c r="BV42" s="897">
        <f>R42*AD42</f>
        <v>675536.40806399996</v>
      </c>
      <c r="BW42" s="897">
        <f t="shared" si="17"/>
        <v>0</v>
      </c>
      <c r="BX42" s="897">
        <f>BS42+BT42+BU42+BV42+BW42</f>
        <v>682386.64003199991</v>
      </c>
      <c r="BY42" s="897">
        <f>BX42-BW42</f>
        <v>682386.64003199991</v>
      </c>
      <c r="BZ42" s="905">
        <f t="shared" si="61"/>
        <v>0</v>
      </c>
      <c r="CA42" s="905">
        <f t="shared" si="61"/>
        <v>0</v>
      </c>
      <c r="CB42" s="905">
        <f t="shared" si="62"/>
        <v>0</v>
      </c>
      <c r="CC42" s="907" t="e">
        <f t="shared" si="63"/>
        <v>#DIV/0!</v>
      </c>
      <c r="CD42" s="907" t="e">
        <f t="shared" si="63"/>
        <v>#DIV/0!</v>
      </c>
      <c r="CE42" s="907" t="e">
        <f t="shared" si="39"/>
        <v>#DIV/0!</v>
      </c>
      <c r="CF42" s="905" t="e">
        <f t="shared" si="18"/>
        <v>#DIV/0!</v>
      </c>
      <c r="CG42" s="923">
        <f t="shared" si="19"/>
        <v>0</v>
      </c>
      <c r="CH42" s="923" t="e">
        <f t="shared" si="40"/>
        <v>#DIV/0!</v>
      </c>
      <c r="CI42" s="979"/>
      <c r="CJ42" s="1405">
        <f t="shared" si="82"/>
        <v>871.37298251999982</v>
      </c>
      <c r="CK42" s="1405">
        <f t="shared" si="83"/>
        <v>682.38664003200006</v>
      </c>
      <c r="CL42" s="1405">
        <f>CJ42+CK42</f>
        <v>1553.7596225519999</v>
      </c>
      <c r="CM42" s="897">
        <f t="shared" si="41"/>
        <v>1553.7596225519999</v>
      </c>
      <c r="CN42" s="897">
        <f t="shared" si="42"/>
        <v>0</v>
      </c>
      <c r="CO42" s="897">
        <f t="shared" si="22"/>
        <v>1553759.622552</v>
      </c>
      <c r="CP42" s="897">
        <f t="shared" si="23"/>
        <v>1553759.6225519998</v>
      </c>
      <c r="CQ42" s="897">
        <f t="shared" si="24"/>
        <v>1553759.6225519998</v>
      </c>
      <c r="CR42" s="897">
        <f t="shared" si="25"/>
        <v>871372.98251999984</v>
      </c>
      <c r="CS42" s="897">
        <f t="shared" si="26"/>
        <v>1553759.6225519998</v>
      </c>
      <c r="CT42" s="897">
        <f t="shared" si="27"/>
        <v>1553759.6225519998</v>
      </c>
      <c r="CU42" s="897">
        <f t="shared" si="28"/>
        <v>682386.64003199991</v>
      </c>
      <c r="CV42" s="897">
        <f t="shared" si="43"/>
        <v>3107519.2451039995</v>
      </c>
      <c r="CW42" s="906">
        <f t="shared" si="44"/>
        <v>6019.5359999999982</v>
      </c>
      <c r="CX42" s="897">
        <f t="shared" si="29"/>
        <v>0</v>
      </c>
      <c r="CY42" s="897">
        <f t="shared" si="30"/>
        <v>0</v>
      </c>
      <c r="CZ42" s="897"/>
      <c r="DA42" s="897">
        <f t="shared" si="31"/>
        <v>1553759.6225519998</v>
      </c>
      <c r="DB42" s="897">
        <f t="shared" si="32"/>
        <v>1553759.6225519998</v>
      </c>
      <c r="DC42" s="1131"/>
      <c r="DD42" s="40" t="e">
        <f t="shared" si="45"/>
        <v>#DIV/0!</v>
      </c>
      <c r="DE42" s="1131"/>
      <c r="DF42" s="1131"/>
      <c r="DG42" s="1131"/>
      <c r="DH42" s="1043">
        <v>415.84</v>
      </c>
      <c r="DI42" s="1043">
        <v>0</v>
      </c>
      <c r="DJ42" s="1043">
        <f>DH42-DI42</f>
        <v>415.84</v>
      </c>
      <c r="DK42" s="979"/>
      <c r="DL42" s="908">
        <f t="shared" si="33"/>
        <v>0</v>
      </c>
      <c r="DM42" s="908">
        <f t="shared" si="34"/>
        <v>0</v>
      </c>
      <c r="DN42" s="908">
        <f t="shared" si="35"/>
        <v>0</v>
      </c>
      <c r="DO42" s="81"/>
      <c r="DP42" s="81"/>
      <c r="DQ42" s="81"/>
      <c r="DR42" s="81"/>
      <c r="DS42" s="81"/>
      <c r="DT42" s="81"/>
      <c r="DU42" s="81"/>
      <c r="DV42" s="81"/>
      <c r="DW42" s="81"/>
      <c r="DX42" s="81"/>
      <c r="DY42" s="81"/>
      <c r="DZ42" s="81"/>
      <c r="EA42" s="81"/>
      <c r="EB42" s="81"/>
      <c r="EC42" s="81"/>
      <c r="ED42" s="81"/>
      <c r="EE42" s="81"/>
      <c r="EF42" s="81"/>
      <c r="EG42" s="81"/>
      <c r="EH42" s="81"/>
      <c r="EI42" s="81"/>
      <c r="EJ42" s="81"/>
      <c r="EK42" s="81"/>
      <c r="EL42" s="81"/>
    </row>
    <row r="43" spans="1:155" s="869" customFormat="1" ht="87.75" customHeight="1">
      <c r="A43" s="6" t="e">
        <f t="shared" si="46"/>
        <v>#REF!</v>
      </c>
      <c r="B43" s="1396" t="s">
        <v>16</v>
      </c>
      <c r="C43" s="1396" t="s">
        <v>92</v>
      </c>
      <c r="D43" s="1262" t="s">
        <v>142</v>
      </c>
      <c r="E43" s="887">
        <v>4632024035</v>
      </c>
      <c r="F43" s="886" t="s">
        <v>8</v>
      </c>
      <c r="G43" s="1238" t="s">
        <v>983</v>
      </c>
      <c r="H43" s="1256">
        <v>3314.9639999999995</v>
      </c>
      <c r="I43" s="1257">
        <f>H43</f>
        <v>3314.9639999999995</v>
      </c>
      <c r="J43" s="1263">
        <v>2484</v>
      </c>
      <c r="K43" s="891"/>
      <c r="L43" s="1256">
        <v>3314.9639999999995</v>
      </c>
      <c r="M43" s="946"/>
      <c r="N43" s="1259">
        <f>3132.14*1.2</f>
        <v>3758.5679999999998</v>
      </c>
      <c r="O43" s="1260">
        <f>N43</f>
        <v>3758.5679999999998</v>
      </c>
      <c r="P43" s="1264">
        <v>2719.98</v>
      </c>
      <c r="Q43" s="891"/>
      <c r="R43" s="1260">
        <f>O43</f>
        <v>3758.5679999999998</v>
      </c>
      <c r="S43" s="946"/>
      <c r="T43" s="1307">
        <v>245.37800000000004</v>
      </c>
      <c r="U43" s="1366"/>
      <c r="V43" s="1366"/>
      <c r="W43" s="948"/>
      <c r="X43" s="948"/>
      <c r="Y43" s="948"/>
      <c r="Z43" s="1397">
        <f t="shared" si="8"/>
        <v>245.37800000000004</v>
      </c>
      <c r="AA43" s="1308">
        <v>257.52</v>
      </c>
      <c r="AB43" s="1292"/>
      <c r="AC43" s="1366"/>
      <c r="AD43" s="890"/>
      <c r="AE43" s="890"/>
      <c r="AF43" s="890"/>
      <c r="AG43" s="951">
        <f t="shared" si="51"/>
        <v>257.52</v>
      </c>
      <c r="AH43" s="947">
        <f t="shared" si="52"/>
        <v>502.89800000000002</v>
      </c>
      <c r="AI43" s="890">
        <f t="shared" si="73"/>
        <v>502.89800000000002</v>
      </c>
      <c r="AJ43" s="890">
        <f t="shared" si="73"/>
        <v>0</v>
      </c>
      <c r="AK43" s="890">
        <f t="shared" si="73"/>
        <v>0</v>
      </c>
      <c r="AL43" s="890">
        <f t="shared" si="73"/>
        <v>0</v>
      </c>
      <c r="AM43" s="890">
        <f t="shared" si="73"/>
        <v>0</v>
      </c>
      <c r="AN43" s="890"/>
      <c r="AO43" s="890">
        <f t="shared" si="70"/>
        <v>502.89800000000002</v>
      </c>
      <c r="AP43" s="890">
        <f t="shared" si="71"/>
        <v>502.89800000000002</v>
      </c>
      <c r="AQ43" s="952">
        <f t="shared" si="72"/>
        <v>502.89800000000002</v>
      </c>
      <c r="AR43" s="973">
        <f t="shared" si="36"/>
        <v>0</v>
      </c>
      <c r="AS43" s="889">
        <f t="shared" si="74"/>
        <v>1667088.7656719999</v>
      </c>
      <c r="AT43" s="890">
        <f t="shared" si="74"/>
        <v>0</v>
      </c>
      <c r="AU43" s="890">
        <f t="shared" si="74"/>
        <v>0</v>
      </c>
      <c r="AV43" s="890">
        <f t="shared" si="74"/>
        <v>0</v>
      </c>
      <c r="AW43" s="890">
        <f t="shared" si="74"/>
        <v>0</v>
      </c>
      <c r="AX43" s="890">
        <f t="shared" si="47"/>
        <v>1667088.7656719999</v>
      </c>
      <c r="AY43" s="890">
        <f t="shared" si="48"/>
        <v>1667088.7656719999</v>
      </c>
      <c r="AZ43" s="890">
        <f t="shared" si="75"/>
        <v>1890176.3300639999</v>
      </c>
      <c r="BA43" s="890">
        <f t="shared" si="75"/>
        <v>0</v>
      </c>
      <c r="BB43" s="890">
        <f t="shared" si="75"/>
        <v>0</v>
      </c>
      <c r="BC43" s="890">
        <f t="shared" si="75"/>
        <v>0</v>
      </c>
      <c r="BD43" s="890">
        <f t="shared" si="75"/>
        <v>0</v>
      </c>
      <c r="BE43" s="890">
        <f t="shared" si="49"/>
        <v>1890176.3300639999</v>
      </c>
      <c r="BF43" s="952">
        <f t="shared" si="53"/>
        <v>1890176.3300639999</v>
      </c>
      <c r="BG43" s="953">
        <f>(H43-J43)/1.2*U43/1000+(H43-K43)/1.2*V43/1000</f>
        <v>0</v>
      </c>
      <c r="BH43" s="954">
        <f>(O43-P43)*AB43/1000/1.2+(O43-Q43)/1.2*AC43/1000</f>
        <v>0</v>
      </c>
      <c r="BI43" s="955">
        <f>BG43+BH43</f>
        <v>0</v>
      </c>
      <c r="BJ43" s="955"/>
      <c r="BK43" s="1197"/>
      <c r="BL43" s="890">
        <f t="shared" si="54"/>
        <v>813419.23639199999</v>
      </c>
      <c r="BM43" s="890">
        <f t="shared" si="54"/>
        <v>0</v>
      </c>
      <c r="BN43" s="890">
        <f t="shared" si="54"/>
        <v>0</v>
      </c>
      <c r="BO43" s="890">
        <f t="shared" si="54"/>
        <v>0</v>
      </c>
      <c r="BP43" s="890">
        <f t="shared" si="54"/>
        <v>0</v>
      </c>
      <c r="BQ43" s="890">
        <f t="shared" si="55"/>
        <v>813419.23639199999</v>
      </c>
      <c r="BR43" s="890">
        <f t="shared" si="56"/>
        <v>813419.23639199999</v>
      </c>
      <c r="BS43" s="890">
        <f t="shared" si="57"/>
        <v>967906.43135999981</v>
      </c>
      <c r="BT43" s="890">
        <f t="shared" si="57"/>
        <v>0</v>
      </c>
      <c r="BU43" s="890">
        <f t="shared" si="57"/>
        <v>0</v>
      </c>
      <c r="BV43" s="890">
        <f t="shared" si="58"/>
        <v>0</v>
      </c>
      <c r="BW43" s="890">
        <f t="shared" si="17"/>
        <v>0</v>
      </c>
      <c r="BX43" s="890">
        <f t="shared" si="59"/>
        <v>967906.43135999981</v>
      </c>
      <c r="BY43" s="890">
        <f t="shared" si="60"/>
        <v>967906.43135999981</v>
      </c>
      <c r="BZ43" s="945">
        <f t="shared" si="61"/>
        <v>0</v>
      </c>
      <c r="CA43" s="945">
        <f t="shared" si="61"/>
        <v>0</v>
      </c>
      <c r="CB43" s="945">
        <f t="shared" si="62"/>
        <v>0</v>
      </c>
      <c r="CC43" s="976" t="e">
        <f t="shared" si="63"/>
        <v>#DIV/0!</v>
      </c>
      <c r="CD43" s="976" t="e">
        <f t="shared" si="63"/>
        <v>#DIV/0!</v>
      </c>
      <c r="CE43" s="976" t="e">
        <f t="shared" si="39"/>
        <v>#DIV/0!</v>
      </c>
      <c r="CF43" s="976" t="e">
        <f t="shared" si="18"/>
        <v>#DIV/0!</v>
      </c>
      <c r="CG43" s="977">
        <f t="shared" si="19"/>
        <v>0</v>
      </c>
      <c r="CH43" s="977" t="e">
        <f t="shared" si="40"/>
        <v>#DIV/0!</v>
      </c>
      <c r="CI43" s="945"/>
      <c r="CJ43" s="1405">
        <f>H43*Z43/1000</f>
        <v>813.41923639200002</v>
      </c>
      <c r="CK43" s="1405">
        <f t="shared" si="83"/>
        <v>967.90643135999983</v>
      </c>
      <c r="CL43" s="1405">
        <f>CJ43+CK43</f>
        <v>1781.3256677519998</v>
      </c>
      <c r="CM43" s="890">
        <f t="shared" si="41"/>
        <v>1890.1763300639998</v>
      </c>
      <c r="CN43" s="890">
        <f t="shared" si="42"/>
        <v>108.85066231199994</v>
      </c>
      <c r="CO43" s="890">
        <f t="shared" si="22"/>
        <v>1781325.6677519998</v>
      </c>
      <c r="CP43" s="890">
        <f t="shared" si="23"/>
        <v>1667088.7656719999</v>
      </c>
      <c r="CQ43" s="890">
        <f t="shared" si="24"/>
        <v>1667088.7656719999</v>
      </c>
      <c r="CR43" s="890">
        <f t="shared" si="25"/>
        <v>813419.23639199999</v>
      </c>
      <c r="CS43" s="890">
        <f t="shared" si="26"/>
        <v>1890176.3300639999</v>
      </c>
      <c r="CT43" s="890">
        <f t="shared" si="27"/>
        <v>1890176.3300639999</v>
      </c>
      <c r="CU43" s="890">
        <f t="shared" si="28"/>
        <v>967906.43135999981</v>
      </c>
      <c r="CV43" s="890">
        <f t="shared" si="43"/>
        <v>3557265.0957359998</v>
      </c>
      <c r="CW43" s="978">
        <f t="shared" si="44"/>
        <v>7073.5319999999992</v>
      </c>
      <c r="CX43" s="890">
        <f t="shared" si="29"/>
        <v>0</v>
      </c>
      <c r="CY43" s="890">
        <f t="shared" si="30"/>
        <v>0</v>
      </c>
      <c r="CZ43" s="890"/>
      <c r="DA43" s="890">
        <f t="shared" si="31"/>
        <v>1667088.7656719999</v>
      </c>
      <c r="DB43" s="890">
        <f t="shared" si="32"/>
        <v>1890176.3300639999</v>
      </c>
      <c r="DC43" s="840"/>
      <c r="DD43" s="841">
        <f t="shared" si="45"/>
        <v>151.3111111111111</v>
      </c>
      <c r="DE43" s="840"/>
      <c r="DF43" s="840"/>
      <c r="DG43" s="840"/>
      <c r="DH43" s="1050"/>
      <c r="DI43" s="1050"/>
      <c r="DJ43" s="1050"/>
      <c r="DK43" s="945"/>
      <c r="DL43" s="975">
        <f t="shared" si="33"/>
        <v>0</v>
      </c>
      <c r="DM43" s="975">
        <f t="shared" si="34"/>
        <v>0</v>
      </c>
      <c r="DN43" s="975">
        <f t="shared" si="35"/>
        <v>0</v>
      </c>
      <c r="DO43" s="816"/>
      <c r="DP43" s="871"/>
      <c r="DQ43" s="871"/>
      <c r="DR43" s="871"/>
      <c r="DS43" s="871"/>
      <c r="DT43" s="871"/>
      <c r="DU43" s="871"/>
      <c r="DV43" s="871"/>
      <c r="DW43" s="871"/>
      <c r="DX43" s="871"/>
      <c r="DY43" s="871"/>
      <c r="DZ43" s="871"/>
      <c r="EA43" s="871"/>
      <c r="EB43" s="871"/>
      <c r="EC43" s="871"/>
      <c r="ED43" s="871"/>
      <c r="EE43" s="871"/>
      <c r="EF43" s="871"/>
      <c r="EG43" s="871"/>
      <c r="EH43" s="871"/>
      <c r="EI43" s="871"/>
      <c r="EJ43" s="871"/>
      <c r="EK43" s="871"/>
      <c r="EL43" s="871"/>
    </row>
    <row r="44" spans="1:155" s="50" customFormat="1" ht="70.5" customHeight="1">
      <c r="A44" s="6" t="e">
        <f>#REF!+1</f>
        <v>#REF!</v>
      </c>
      <c r="B44" s="1219" t="s">
        <v>18</v>
      </c>
      <c r="C44" s="1219" t="s">
        <v>997</v>
      </c>
      <c r="D44" s="1219" t="s">
        <v>275</v>
      </c>
      <c r="E44" s="1219">
        <v>4611016308</v>
      </c>
      <c r="F44" s="1219" t="s">
        <v>8</v>
      </c>
      <c r="G44" s="1222" t="s">
        <v>964</v>
      </c>
      <c r="H44" s="925">
        <v>2954.172</v>
      </c>
      <c r="I44" s="891">
        <v>2954.172</v>
      </c>
      <c r="J44" s="891">
        <v>1858.8959999999997</v>
      </c>
      <c r="K44" s="891">
        <v>1858.8959999999997</v>
      </c>
      <c r="L44" s="891">
        <v>2954.172</v>
      </c>
      <c r="M44" s="946">
        <v>0</v>
      </c>
      <c r="N44" s="959">
        <f>2666.04*1.2</f>
        <v>3199.248</v>
      </c>
      <c r="O44" s="891">
        <f>N44</f>
        <v>3199.248</v>
      </c>
      <c r="P44" s="891">
        <f>1772.15*1.2</f>
        <v>2126.58</v>
      </c>
      <c r="Q44" s="891">
        <f>P44</f>
        <v>2126.58</v>
      </c>
      <c r="R44" s="891">
        <f>O44</f>
        <v>3199.248</v>
      </c>
      <c r="S44" s="946">
        <v>0</v>
      </c>
      <c r="T44" s="889">
        <v>10032.875666666667</v>
      </c>
      <c r="U44" s="890">
        <v>8442.5949999999993</v>
      </c>
      <c r="V44" s="948">
        <v>2291.0963333333334</v>
      </c>
      <c r="W44" s="890">
        <v>332.96766666666667</v>
      </c>
      <c r="X44" s="890">
        <v>0</v>
      </c>
      <c r="Y44" s="890">
        <v>0</v>
      </c>
      <c r="Z44" s="949">
        <f>SUM(T44:W44)</f>
        <v>21099.53466666667</v>
      </c>
      <c r="AA44" s="974">
        <v>6833.2309999999998</v>
      </c>
      <c r="AB44" s="890">
        <v>5682.1549999999997</v>
      </c>
      <c r="AC44" s="1052">
        <v>1959.9143333333334</v>
      </c>
      <c r="AD44" s="890">
        <v>196.57966666666667</v>
      </c>
      <c r="AE44" s="890">
        <v>0</v>
      </c>
      <c r="AF44" s="890">
        <v>0</v>
      </c>
      <c r="AG44" s="951">
        <f>SUM(AA44:AD44)</f>
        <v>14671.88</v>
      </c>
      <c r="AH44" s="1004">
        <f>Z44+AG44</f>
        <v>35771.414666666671</v>
      </c>
      <c r="AI44" s="894">
        <f>T44+AA44</f>
        <v>16866.106666666667</v>
      </c>
      <c r="AJ44" s="894">
        <f>U44+AB44</f>
        <v>14124.75</v>
      </c>
      <c r="AK44" s="894">
        <f>V44+AC44</f>
        <v>4251.010666666667</v>
      </c>
      <c r="AL44" s="894">
        <f t="shared" si="73"/>
        <v>529.54733333333331</v>
      </c>
      <c r="AM44" s="894">
        <f t="shared" si="73"/>
        <v>0</v>
      </c>
      <c r="AN44" s="894">
        <v>0</v>
      </c>
      <c r="AO44" s="894">
        <f>SUM(AI44:AN44)</f>
        <v>35771.414666666671</v>
      </c>
      <c r="AP44" s="894">
        <f>SUM(AI44:AM44)</f>
        <v>35771.414666666671</v>
      </c>
      <c r="AQ44" s="972">
        <f>SUM(AI44:AL44)</f>
        <v>35771.414666666671</v>
      </c>
      <c r="AR44" s="973">
        <f>AQ44-AH44</f>
        <v>0</v>
      </c>
      <c r="AS44" s="889">
        <f>I44*AI44</f>
        <v>49825380.063680001</v>
      </c>
      <c r="AT44" s="890">
        <f t="shared" si="74"/>
        <v>26256441.275999997</v>
      </c>
      <c r="AU44" s="890">
        <f t="shared" si="74"/>
        <v>7902186.7242239993</v>
      </c>
      <c r="AV44" s="890">
        <f t="shared" si="74"/>
        <v>1564373.904808</v>
      </c>
      <c r="AW44" s="890">
        <f t="shared" si="74"/>
        <v>0</v>
      </c>
      <c r="AX44" s="975">
        <f t="shared" si="47"/>
        <v>85548381.968712002</v>
      </c>
      <c r="AY44" s="975">
        <f t="shared" si="48"/>
        <v>85548381.968712002</v>
      </c>
      <c r="AZ44" s="975">
        <f t="shared" si="75"/>
        <v>53958858.021119997</v>
      </c>
      <c r="BA44" s="975">
        <f t="shared" si="75"/>
        <v>30037410.855</v>
      </c>
      <c r="BB44" s="975">
        <f t="shared" si="75"/>
        <v>9040114.2635200005</v>
      </c>
      <c r="BC44" s="975">
        <f t="shared" si="75"/>
        <v>1694153.2470720001</v>
      </c>
      <c r="BD44" s="975">
        <f t="shared" si="75"/>
        <v>0</v>
      </c>
      <c r="BE44" s="975">
        <f t="shared" si="49"/>
        <v>94730536.386712</v>
      </c>
      <c r="BF44" s="1035">
        <f t="shared" si="53"/>
        <v>94730536.386712</v>
      </c>
      <c r="BG44" s="953">
        <v>9796.9294924374499</v>
      </c>
      <c r="BH44" s="954">
        <v>6831.2209405287422</v>
      </c>
      <c r="BI44" s="955">
        <f>BG44+BH44</f>
        <v>16628.150432966191</v>
      </c>
      <c r="BJ44" s="890">
        <v>91058.825078751834</v>
      </c>
      <c r="BK44" s="1199">
        <v>114518.11862476318</v>
      </c>
      <c r="BL44" s="890">
        <f>I44*T44</f>
        <v>29638840.373948</v>
      </c>
      <c r="BM44" s="890">
        <f>J44*U44</f>
        <v>15693906.075119996</v>
      </c>
      <c r="BN44" s="890">
        <f>K44*V44</f>
        <v>4258909.8096479997</v>
      </c>
      <c r="BO44" s="890">
        <f>L44*W44</f>
        <v>983643.75777200004</v>
      </c>
      <c r="BP44" s="890">
        <f t="shared" ref="BL44:BP73" si="84">M44*X44</f>
        <v>0</v>
      </c>
      <c r="BQ44" s="890">
        <f>BL44+BM44+BN44+BO44+BP44</f>
        <v>50575300.016487993</v>
      </c>
      <c r="BR44" s="890">
        <f>BQ44-BP44</f>
        <v>50575300.016487993</v>
      </c>
      <c r="BS44" s="890">
        <f t="shared" ref="BS44:BU73" si="85">O44*AA44</f>
        <v>21861200.610287998</v>
      </c>
      <c r="BT44" s="890">
        <f t="shared" si="85"/>
        <v>12083557.1799</v>
      </c>
      <c r="BU44" s="890">
        <f t="shared" si="85"/>
        <v>4167914.62298</v>
      </c>
      <c r="BV44" s="890">
        <f t="shared" si="58"/>
        <v>1065246.1416480001</v>
      </c>
      <c r="BW44" s="890">
        <f t="shared" si="17"/>
        <v>0</v>
      </c>
      <c r="BX44" s="890">
        <f t="shared" si="59"/>
        <v>39177918.554816</v>
      </c>
      <c r="BY44" s="890">
        <f>BX44-BW44</f>
        <v>39177918.554816</v>
      </c>
      <c r="BZ44" s="945">
        <f>BM44+BT44</f>
        <v>27777463.255019996</v>
      </c>
      <c r="CA44" s="945">
        <f>BN44+BU44</f>
        <v>8426824.4326280002</v>
      </c>
      <c r="CB44" s="945">
        <f>BZ44+CA44</f>
        <v>36204287.687647998</v>
      </c>
      <c r="CC44" s="976">
        <f t="shared" si="63"/>
        <v>1966.5808778930598</v>
      </c>
      <c r="CD44" s="976">
        <f t="shared" si="63"/>
        <v>1982.3108181555569</v>
      </c>
      <c r="CE44" s="976">
        <f t="shared" si="39"/>
        <v>1970.2198099108891</v>
      </c>
      <c r="CF44" s="976">
        <f t="shared" si="18"/>
        <v>1970.2198099108896</v>
      </c>
      <c r="CG44" s="977">
        <f t="shared" si="19"/>
        <v>56158045.42410399</v>
      </c>
      <c r="CH44" s="977">
        <f t="shared" si="40"/>
        <v>3056.0936465598279</v>
      </c>
      <c r="CI44" s="945"/>
      <c r="CJ44" s="1405">
        <f t="shared" ref="CJ44:CJ66" si="86">H44*Z44/1000</f>
        <v>62331.654525296013</v>
      </c>
      <c r="CK44" s="1405">
        <f t="shared" si="83"/>
        <v>46938.982746239999</v>
      </c>
      <c r="CL44" s="1405">
        <f t="shared" ref="CL44:CL50" si="87">CJ44+CK44</f>
        <v>109270.63727153602</v>
      </c>
      <c r="CM44" s="890">
        <f t="shared" si="41"/>
        <v>114441.62682950401</v>
      </c>
      <c r="CN44" s="890">
        <f t="shared" si="42"/>
        <v>5170.9895579679869</v>
      </c>
      <c r="CO44" s="890">
        <f t="shared" si="22"/>
        <v>109270637.27153601</v>
      </c>
      <c r="CP44" s="890">
        <f t="shared" si="23"/>
        <v>85548381.968712002</v>
      </c>
      <c r="CQ44" s="890">
        <f t="shared" si="24"/>
        <v>85548381.968712002</v>
      </c>
      <c r="CR44" s="890">
        <f t="shared" si="25"/>
        <v>50575300.016487993</v>
      </c>
      <c r="CS44" s="890">
        <f t="shared" si="26"/>
        <v>94730536.386712</v>
      </c>
      <c r="CT44" s="890">
        <f t="shared" si="27"/>
        <v>94730536.386712</v>
      </c>
      <c r="CU44" s="890">
        <f t="shared" si="28"/>
        <v>38741579.518592</v>
      </c>
      <c r="CV44" s="890">
        <f t="shared" si="43"/>
        <v>180278918.35542399</v>
      </c>
      <c r="CW44" s="978">
        <f t="shared" si="44"/>
        <v>5039.7480791671223</v>
      </c>
      <c r="CX44" s="890">
        <f t="shared" si="29"/>
        <v>34158628.000223994</v>
      </c>
      <c r="CY44" s="890">
        <f t="shared" si="30"/>
        <v>39077525.118519999</v>
      </c>
      <c r="CZ44" s="890"/>
      <c r="DA44" s="890">
        <f t="shared" si="31"/>
        <v>105674911.608656</v>
      </c>
      <c r="DB44" s="890">
        <f t="shared" si="32"/>
        <v>114441626.829504</v>
      </c>
      <c r="DC44" s="840"/>
      <c r="DD44" s="841">
        <f t="shared" si="45"/>
        <v>172.1047331319235</v>
      </c>
      <c r="DE44" s="840"/>
      <c r="DF44" s="840"/>
      <c r="DG44" s="840"/>
      <c r="DH44" s="1220">
        <f>AQ44</f>
        <v>35771.414666666671</v>
      </c>
      <c r="DI44" s="1220">
        <f>AJ44+AK44</f>
        <v>18375.760666666669</v>
      </c>
      <c r="DJ44" s="1220">
        <f>DH44-DI44</f>
        <v>17395.654000000002</v>
      </c>
      <c r="DK44" s="945"/>
      <c r="DL44" s="975">
        <f t="shared" si="33"/>
        <v>0</v>
      </c>
      <c r="DM44" s="975">
        <f t="shared" si="34"/>
        <v>0</v>
      </c>
      <c r="DN44" s="975">
        <f t="shared" si="35"/>
        <v>0</v>
      </c>
      <c r="DO44" s="816"/>
      <c r="DP44" s="871"/>
      <c r="DQ44" s="871"/>
      <c r="DR44" s="871"/>
      <c r="DS44" s="871"/>
      <c r="DT44" s="871"/>
      <c r="DU44" s="871"/>
      <c r="DV44" s="871"/>
      <c r="DW44" s="871"/>
      <c r="DX44" s="871"/>
      <c r="DY44" s="871"/>
      <c r="DZ44" s="871"/>
      <c r="EA44" s="871"/>
      <c r="EB44" s="871"/>
      <c r="EC44" s="871"/>
      <c r="ED44" s="871"/>
      <c r="EE44" s="871"/>
      <c r="EF44" s="871"/>
      <c r="EG44" s="871"/>
      <c r="EH44" s="871"/>
      <c r="EI44" s="871"/>
      <c r="EJ44" s="871"/>
      <c r="EK44" s="871"/>
      <c r="EL44" s="871"/>
      <c r="EM44" s="869"/>
      <c r="EN44" s="869"/>
      <c r="EO44" s="869"/>
      <c r="EP44" s="869"/>
      <c r="EQ44" s="869"/>
      <c r="ER44" s="869"/>
      <c r="ES44" s="869"/>
      <c r="ET44" s="869"/>
      <c r="EU44" s="869"/>
      <c r="EV44" s="869"/>
      <c r="EW44" s="869"/>
      <c r="EX44" s="869"/>
      <c r="EY44" s="869"/>
    </row>
    <row r="45" spans="1:155" s="50" customFormat="1" ht="77.25" customHeight="1">
      <c r="A45" s="6" t="e">
        <f t="shared" si="46"/>
        <v>#REF!</v>
      </c>
      <c r="B45" s="886" t="s">
        <v>18</v>
      </c>
      <c r="C45" s="886" t="s">
        <v>997</v>
      </c>
      <c r="D45" s="1219" t="s">
        <v>979</v>
      </c>
      <c r="E45" s="1237">
        <v>6829012680</v>
      </c>
      <c r="F45" s="1219" t="s">
        <v>8</v>
      </c>
      <c r="G45" s="1222" t="s">
        <v>982</v>
      </c>
      <c r="H45" s="925">
        <v>2326.752</v>
      </c>
      <c r="I45" s="891">
        <v>2326.752</v>
      </c>
      <c r="J45" s="891">
        <v>2231.2199999999998</v>
      </c>
      <c r="K45" s="891">
        <v>2231.2199999999998</v>
      </c>
      <c r="L45" s="891">
        <v>2326.752</v>
      </c>
      <c r="M45" s="946">
        <v>0</v>
      </c>
      <c r="N45" s="927">
        <f>2165.81*1.2</f>
        <v>2598.9719999999998</v>
      </c>
      <c r="O45" s="928">
        <f>N45</f>
        <v>2598.9719999999998</v>
      </c>
      <c r="P45" s="928">
        <v>2403.02</v>
      </c>
      <c r="Q45" s="928">
        <f>P45</f>
        <v>2403.02</v>
      </c>
      <c r="R45" s="928">
        <f>O45</f>
        <v>2598.9719999999998</v>
      </c>
      <c r="S45" s="926">
        <v>0</v>
      </c>
      <c r="T45" s="988">
        <v>645.19999999999993</v>
      </c>
      <c r="U45" s="987">
        <v>96.2</v>
      </c>
      <c r="V45" s="897">
        <v>0</v>
      </c>
      <c r="W45" s="897"/>
      <c r="X45" s="897"/>
      <c r="Y45" s="897"/>
      <c r="Z45" s="898">
        <f t="shared" si="8"/>
        <v>741.4</v>
      </c>
      <c r="AA45" s="989">
        <v>321</v>
      </c>
      <c r="AB45" s="987">
        <v>140.4</v>
      </c>
      <c r="AC45" s="897">
        <v>0</v>
      </c>
      <c r="AD45" s="897"/>
      <c r="AE45" s="897">
        <v>0</v>
      </c>
      <c r="AF45" s="897"/>
      <c r="AG45" s="900">
        <f t="shared" si="51"/>
        <v>461.4</v>
      </c>
      <c r="AH45" s="896">
        <f t="shared" si="52"/>
        <v>1202.8</v>
      </c>
      <c r="AI45" s="897">
        <f t="shared" si="73"/>
        <v>966.19999999999993</v>
      </c>
      <c r="AJ45" s="897">
        <f t="shared" si="73"/>
        <v>236.60000000000002</v>
      </c>
      <c r="AK45" s="897">
        <f t="shared" si="73"/>
        <v>0</v>
      </c>
      <c r="AL45" s="897">
        <f t="shared" si="73"/>
        <v>0</v>
      </c>
      <c r="AM45" s="897">
        <f t="shared" si="73"/>
        <v>0</v>
      </c>
      <c r="AN45" s="897"/>
      <c r="AO45" s="897">
        <f t="shared" si="70"/>
        <v>1202.8</v>
      </c>
      <c r="AP45" s="897">
        <f t="shared" si="71"/>
        <v>1202.8</v>
      </c>
      <c r="AQ45" s="901">
        <f t="shared" si="72"/>
        <v>1202.8</v>
      </c>
      <c r="AR45" s="902">
        <f t="shared" si="36"/>
        <v>0</v>
      </c>
      <c r="AS45" s="903">
        <f t="shared" si="74"/>
        <v>2248107.7823999999</v>
      </c>
      <c r="AT45" s="897">
        <f t="shared" si="74"/>
        <v>527906.652</v>
      </c>
      <c r="AU45" s="897">
        <f t="shared" si="74"/>
        <v>0</v>
      </c>
      <c r="AV45" s="897">
        <f t="shared" si="74"/>
        <v>0</v>
      </c>
      <c r="AW45" s="897">
        <f t="shared" si="74"/>
        <v>0</v>
      </c>
      <c r="AX45" s="897">
        <f t="shared" si="47"/>
        <v>2776014.4343999997</v>
      </c>
      <c r="AY45" s="897">
        <f t="shared" si="48"/>
        <v>2776014.4343999997</v>
      </c>
      <c r="AZ45" s="897">
        <f t="shared" si="75"/>
        <v>2511126.7463999996</v>
      </c>
      <c r="BA45" s="897">
        <f t="shared" si="75"/>
        <v>568554.53200000001</v>
      </c>
      <c r="BB45" s="897">
        <f t="shared" si="75"/>
        <v>0</v>
      </c>
      <c r="BC45" s="897">
        <f t="shared" si="75"/>
        <v>0</v>
      </c>
      <c r="BD45" s="897">
        <f t="shared" si="75"/>
        <v>0</v>
      </c>
      <c r="BE45" s="897">
        <f t="shared" si="49"/>
        <v>3079681.2783999997</v>
      </c>
      <c r="BF45" s="901">
        <f t="shared" si="53"/>
        <v>3079681.2783999997</v>
      </c>
      <c r="BG45" s="904"/>
      <c r="BH45" s="922"/>
      <c r="BI45" s="922">
        <v>12.817210000000021</v>
      </c>
      <c r="BJ45" s="897"/>
      <c r="BK45" s="1194"/>
      <c r="BL45" s="897">
        <f t="shared" si="84"/>
        <v>1501220.3903999999</v>
      </c>
      <c r="BM45" s="897">
        <f t="shared" si="84"/>
        <v>214643.364</v>
      </c>
      <c r="BN45" s="897">
        <f t="shared" si="84"/>
        <v>0</v>
      </c>
      <c r="BO45" s="897">
        <f t="shared" si="84"/>
        <v>0</v>
      </c>
      <c r="BP45" s="897">
        <f t="shared" si="84"/>
        <v>0</v>
      </c>
      <c r="BQ45" s="897">
        <f t="shared" si="55"/>
        <v>1715863.7544</v>
      </c>
      <c r="BR45" s="897">
        <f t="shared" si="56"/>
        <v>1715863.7544</v>
      </c>
      <c r="BS45" s="897">
        <f t="shared" si="85"/>
        <v>834270.01199999987</v>
      </c>
      <c r="BT45" s="897">
        <f t="shared" si="85"/>
        <v>337384.00800000003</v>
      </c>
      <c r="BU45" s="897">
        <f t="shared" si="85"/>
        <v>0</v>
      </c>
      <c r="BV45" s="897">
        <f t="shared" si="58"/>
        <v>0</v>
      </c>
      <c r="BW45" s="897">
        <f t="shared" si="17"/>
        <v>0</v>
      </c>
      <c r="BX45" s="897">
        <f t="shared" si="59"/>
        <v>1171654.02</v>
      </c>
      <c r="BY45" s="897">
        <f t="shared" si="60"/>
        <v>1171654.02</v>
      </c>
      <c r="BZ45" s="905">
        <f t="shared" si="61"/>
        <v>552027.37199999997</v>
      </c>
      <c r="CA45" s="905">
        <f t="shared" si="61"/>
        <v>0</v>
      </c>
      <c r="CB45" s="905">
        <f t="shared" si="62"/>
        <v>552027.37199999997</v>
      </c>
      <c r="CC45" s="907">
        <f t="shared" si="63"/>
        <v>2333.1672527472524</v>
      </c>
      <c r="CD45" s="907" t="e">
        <f t="shared" si="63"/>
        <v>#DIV/0!</v>
      </c>
      <c r="CE45" s="907">
        <f t="shared" si="39"/>
        <v>2333.1672527472524</v>
      </c>
      <c r="CF45" s="907">
        <f t="shared" si="18"/>
        <v>2333.1672527472524</v>
      </c>
      <c r="CG45" s="923">
        <f t="shared" si="19"/>
        <v>588729.21120000002</v>
      </c>
      <c r="CH45" s="923">
        <f t="shared" si="40"/>
        <v>2488.2891428571429</v>
      </c>
      <c r="CI45" s="905"/>
      <c r="CJ45" s="1405">
        <f t="shared" si="86"/>
        <v>1725.0539327999998</v>
      </c>
      <c r="CK45" s="1405">
        <f t="shared" si="83"/>
        <v>1199.1656807999998</v>
      </c>
      <c r="CL45" s="1405">
        <f t="shared" si="87"/>
        <v>2924.2196135999993</v>
      </c>
      <c r="CM45" s="897">
        <f t="shared" si="41"/>
        <v>3126.0435215999996</v>
      </c>
      <c r="CN45" s="897">
        <f t="shared" si="42"/>
        <v>201.8239080000003</v>
      </c>
      <c r="CO45" s="897">
        <f t="shared" si="22"/>
        <v>2924219.6135999998</v>
      </c>
      <c r="CP45" s="897">
        <f t="shared" si="23"/>
        <v>2776014.4343999997</v>
      </c>
      <c r="CQ45" s="897">
        <f t="shared" si="24"/>
        <v>2776014.4343999997</v>
      </c>
      <c r="CR45" s="897">
        <f t="shared" si="25"/>
        <v>1715863.7544</v>
      </c>
      <c r="CS45" s="897">
        <f t="shared" si="26"/>
        <v>3079681.2783999997</v>
      </c>
      <c r="CT45" s="897">
        <f t="shared" si="27"/>
        <v>3079681.2783999997</v>
      </c>
      <c r="CU45" s="897">
        <f t="shared" si="28"/>
        <v>1171654.02</v>
      </c>
      <c r="CV45" s="897">
        <f t="shared" si="43"/>
        <v>5855695.7127999999</v>
      </c>
      <c r="CW45" s="906">
        <f t="shared" si="44"/>
        <v>4868.3868579980044</v>
      </c>
      <c r="CX45" s="897">
        <f t="shared" si="29"/>
        <v>527906.652</v>
      </c>
      <c r="CY45" s="897">
        <f t="shared" si="30"/>
        <v>568554.53200000001</v>
      </c>
      <c r="CZ45" s="897"/>
      <c r="DA45" s="897">
        <f t="shared" si="31"/>
        <v>2798617.3056000001</v>
      </c>
      <c r="DB45" s="897">
        <f t="shared" si="32"/>
        <v>3126043.5215999996</v>
      </c>
      <c r="DC45" s="27"/>
      <c r="DD45" s="40">
        <f t="shared" si="45"/>
        <v>116.48210396106167</v>
      </c>
      <c r="DE45" s="27"/>
      <c r="DF45" s="27"/>
      <c r="DG45" s="27"/>
      <c r="DH45" s="1235">
        <f>AH45</f>
        <v>1202.8</v>
      </c>
      <c r="DI45" s="1137">
        <f>AJ45+AK45</f>
        <v>236.60000000000002</v>
      </c>
      <c r="DJ45" s="1236">
        <f>DH45-DI45</f>
        <v>966.19999999999993</v>
      </c>
      <c r="DK45" s="905"/>
      <c r="DL45" s="908">
        <f t="shared" si="33"/>
        <v>0</v>
      </c>
      <c r="DM45" s="908">
        <f t="shared" si="34"/>
        <v>0</v>
      </c>
      <c r="DN45" s="908">
        <f t="shared" si="35"/>
        <v>0</v>
      </c>
      <c r="DO45" s="6"/>
      <c r="DP45" s="81"/>
      <c r="DQ45" s="81"/>
      <c r="DR45" s="81"/>
      <c r="DS45" s="81"/>
      <c r="DT45" s="81"/>
      <c r="DU45" s="81"/>
      <c r="DV45" s="81"/>
      <c r="DW45" s="81"/>
      <c r="DX45" s="81"/>
      <c r="DY45" s="81"/>
      <c r="DZ45" s="81"/>
      <c r="EA45" s="81"/>
      <c r="EB45" s="81"/>
      <c r="EC45" s="81"/>
      <c r="ED45" s="81"/>
      <c r="EE45" s="81"/>
      <c r="EF45" s="81"/>
      <c r="EG45" s="81"/>
      <c r="EH45" s="81"/>
      <c r="EI45" s="81"/>
      <c r="EJ45" s="81"/>
      <c r="EK45" s="81"/>
      <c r="EL45" s="81"/>
    </row>
    <row r="46" spans="1:155" s="50" customFormat="1" ht="70.5" customHeight="1">
      <c r="A46" s="6" t="e">
        <f t="shared" si="46"/>
        <v>#REF!</v>
      </c>
      <c r="B46" s="1338" t="s">
        <v>18</v>
      </c>
      <c r="C46" s="1338" t="s">
        <v>997</v>
      </c>
      <c r="D46" s="1338" t="s">
        <v>152</v>
      </c>
      <c r="E46" s="886">
        <v>7729314745</v>
      </c>
      <c r="F46" s="886" t="s">
        <v>8</v>
      </c>
      <c r="G46" s="1348" t="s">
        <v>986</v>
      </c>
      <c r="H46" s="1339">
        <v>3272.424</v>
      </c>
      <c r="I46" s="1264">
        <v>3272.424</v>
      </c>
      <c r="J46" s="1264">
        <v>1180.98</v>
      </c>
      <c r="K46" s="1264"/>
      <c r="L46" s="1264"/>
      <c r="M46" s="1350"/>
      <c r="N46" s="1319">
        <f>2731.07*1.2</f>
        <v>3277.2840000000001</v>
      </c>
      <c r="O46" s="1264">
        <f>2731.07*1.2</f>
        <v>3277.2840000000001</v>
      </c>
      <c r="P46" s="1264">
        <v>1350.92</v>
      </c>
      <c r="Q46" s="1349"/>
      <c r="R46" s="1264">
        <f>2731.07*1.2</f>
        <v>3277.2840000000001</v>
      </c>
      <c r="S46" s="1350"/>
      <c r="T46" s="1321">
        <v>738.82804341138979</v>
      </c>
      <c r="U46" s="1320">
        <v>1114.82565</v>
      </c>
      <c r="V46" s="1320"/>
      <c r="W46" s="1320"/>
      <c r="X46" s="1320"/>
      <c r="Y46" s="1320"/>
      <c r="Z46" s="1351">
        <f t="shared" si="8"/>
        <v>1853.6536934113897</v>
      </c>
      <c r="AA46" s="1323">
        <v>493.50536227425982</v>
      </c>
      <c r="AB46" s="1320">
        <v>905.00338499999975</v>
      </c>
      <c r="AC46" s="919"/>
      <c r="AD46" s="897"/>
      <c r="AE46" s="897"/>
      <c r="AF46" s="897"/>
      <c r="AG46" s="900">
        <f t="shared" si="51"/>
        <v>1398.5087472742596</v>
      </c>
      <c r="AH46" s="896">
        <f t="shared" si="52"/>
        <v>3252.162440685649</v>
      </c>
      <c r="AI46" s="897">
        <f t="shared" si="73"/>
        <v>1232.3334056856497</v>
      </c>
      <c r="AJ46" s="897">
        <f t="shared" si="73"/>
        <v>2019.8290349999997</v>
      </c>
      <c r="AK46" s="897">
        <f t="shared" si="73"/>
        <v>0</v>
      </c>
      <c r="AL46" s="897">
        <f t="shared" si="73"/>
        <v>0</v>
      </c>
      <c r="AM46" s="897">
        <f t="shared" si="73"/>
        <v>0</v>
      </c>
      <c r="AN46" s="897"/>
      <c r="AO46" s="897">
        <f t="shared" si="70"/>
        <v>3252.1624406856495</v>
      </c>
      <c r="AP46" s="897">
        <f t="shared" si="71"/>
        <v>3252.1624406856495</v>
      </c>
      <c r="AQ46" s="965">
        <f t="shared" si="72"/>
        <v>3252.1624406856495</v>
      </c>
      <c r="AR46" s="902">
        <f t="shared" si="36"/>
        <v>0</v>
      </c>
      <c r="AS46" s="903">
        <f t="shared" si="74"/>
        <v>4032717.4127674564</v>
      </c>
      <c r="AT46" s="897">
        <f t="shared" si="74"/>
        <v>2385377.6937542995</v>
      </c>
      <c r="AU46" s="897">
        <f t="shared" si="74"/>
        <v>0</v>
      </c>
      <c r="AV46" s="897">
        <f t="shared" si="74"/>
        <v>0</v>
      </c>
      <c r="AW46" s="897">
        <f t="shared" si="74"/>
        <v>0</v>
      </c>
      <c r="AX46" s="897">
        <f t="shared" si="47"/>
        <v>6418095.1065217555</v>
      </c>
      <c r="AY46" s="897">
        <f t="shared" si="48"/>
        <v>6418095.1065217555</v>
      </c>
      <c r="AZ46" s="897">
        <f t="shared" si="75"/>
        <v>4038706.553119089</v>
      </c>
      <c r="BA46" s="897">
        <f t="shared" si="75"/>
        <v>2728627.4399621999</v>
      </c>
      <c r="BB46" s="897">
        <f t="shared" si="75"/>
        <v>0</v>
      </c>
      <c r="BC46" s="897">
        <f t="shared" si="75"/>
        <v>0</v>
      </c>
      <c r="BD46" s="897">
        <f t="shared" si="75"/>
        <v>0</v>
      </c>
      <c r="BE46" s="897">
        <f t="shared" si="49"/>
        <v>6767333.9930812884</v>
      </c>
      <c r="BF46" s="901">
        <f t="shared" si="53"/>
        <v>6767333.9930812884</v>
      </c>
      <c r="BG46" s="1304">
        <f>(H46-J46)/1.2*U46/1000+(H46-K46)/1.2*V46/1000</f>
        <v>1942.9961806155002</v>
      </c>
      <c r="BH46" s="1305">
        <f>(O46-P46)*AB46/1000/1.2+(O46-Q46)/1.2*AC46/1000</f>
        <v>1452.8049506184495</v>
      </c>
      <c r="BI46" s="1306">
        <f>BG46+BH46</f>
        <v>3395.8011312339495</v>
      </c>
      <c r="BJ46" s="897"/>
      <c r="BK46" s="1194"/>
      <c r="BL46" s="897">
        <f t="shared" si="84"/>
        <v>2417758.6211324739</v>
      </c>
      <c r="BM46" s="897">
        <f t="shared" si="84"/>
        <v>1316586.796137</v>
      </c>
      <c r="BN46" s="897">
        <f t="shared" si="84"/>
        <v>0</v>
      </c>
      <c r="BO46" s="897">
        <f t="shared" si="84"/>
        <v>0</v>
      </c>
      <c r="BP46" s="897">
        <f t="shared" si="84"/>
        <v>0</v>
      </c>
      <c r="BQ46" s="897">
        <f t="shared" si="55"/>
        <v>3734345.4172694739</v>
      </c>
      <c r="BR46" s="897">
        <f t="shared" si="56"/>
        <v>3734345.4172694739</v>
      </c>
      <c r="BS46" s="897">
        <f t="shared" si="85"/>
        <v>1617357.2276956353</v>
      </c>
      <c r="BT46" s="897">
        <f t="shared" si="85"/>
        <v>1222587.1728641996</v>
      </c>
      <c r="BU46" s="897">
        <f t="shared" si="85"/>
        <v>0</v>
      </c>
      <c r="BV46" s="897">
        <f t="shared" si="58"/>
        <v>0</v>
      </c>
      <c r="BW46" s="897">
        <f t="shared" si="17"/>
        <v>0</v>
      </c>
      <c r="BX46" s="897">
        <f t="shared" si="59"/>
        <v>2839944.4005598351</v>
      </c>
      <c r="BY46" s="897">
        <f t="shared" si="60"/>
        <v>2839944.4005598351</v>
      </c>
      <c r="BZ46" s="905">
        <f t="shared" si="61"/>
        <v>2539173.9690011996</v>
      </c>
      <c r="CA46" s="905">
        <f t="shared" si="61"/>
        <v>0</v>
      </c>
      <c r="CB46" s="905">
        <f t="shared" si="62"/>
        <v>2539173.9690011996</v>
      </c>
      <c r="CC46" s="907">
        <f t="shared" si="63"/>
        <v>1257.1232143918558</v>
      </c>
      <c r="CD46" s="907" t="e">
        <f t="shared" si="63"/>
        <v>#DIV/0!</v>
      </c>
      <c r="CE46" s="907">
        <f t="shared" si="39"/>
        <v>1257.1232143918558</v>
      </c>
      <c r="CF46" s="907">
        <f t="shared" si="18"/>
        <v>1257.1232143918558</v>
      </c>
      <c r="CG46" s="923">
        <f t="shared" si="19"/>
        <v>6614135.3264819393</v>
      </c>
      <c r="CH46" s="923">
        <f t="shared" si="40"/>
        <v>3274.6015686827377</v>
      </c>
      <c r="CI46" s="905"/>
      <c r="CJ46" s="1405">
        <f t="shared" si="86"/>
        <v>6065.9408340080736</v>
      </c>
      <c r="CK46" s="1405">
        <f t="shared" si="83"/>
        <v>4583.3103413019744</v>
      </c>
      <c r="CL46" s="1405">
        <f t="shared" si="87"/>
        <v>10649.251175310048</v>
      </c>
      <c r="CM46" s="897">
        <f t="shared" si="41"/>
        <v>10658.259932260027</v>
      </c>
      <c r="CN46" s="897">
        <f t="shared" si="42"/>
        <v>9.0087569499792153</v>
      </c>
      <c r="CO46" s="897">
        <f t="shared" si="22"/>
        <v>10649251.175310049</v>
      </c>
      <c r="CP46" s="897">
        <f t="shared" si="23"/>
        <v>6418095.1065217555</v>
      </c>
      <c r="CQ46" s="897">
        <f t="shared" si="24"/>
        <v>6418095.1065217555</v>
      </c>
      <c r="CR46" s="897">
        <f t="shared" si="25"/>
        <v>3734345.4172694739</v>
      </c>
      <c r="CS46" s="897">
        <f t="shared" si="26"/>
        <v>6767333.9930812884</v>
      </c>
      <c r="CT46" s="897">
        <f t="shared" si="27"/>
        <v>6767333.9930812884</v>
      </c>
      <c r="CU46" s="897">
        <f t="shared" si="28"/>
        <v>2839944.4005598351</v>
      </c>
      <c r="CV46" s="897">
        <f t="shared" si="43"/>
        <v>13185429.099603044</v>
      </c>
      <c r="CW46" s="906">
        <f t="shared" si="44"/>
        <v>4054.3574744757148</v>
      </c>
      <c r="CX46" s="897">
        <f t="shared" si="29"/>
        <v>2385377.6937542995</v>
      </c>
      <c r="CY46" s="897">
        <f t="shared" si="30"/>
        <v>2728627.4399621999</v>
      </c>
      <c r="CZ46" s="897"/>
      <c r="DA46" s="897">
        <f t="shared" si="31"/>
        <v>10642454.422798296</v>
      </c>
      <c r="DB46" s="897">
        <f t="shared" si="32"/>
        <v>10658259.932260029</v>
      </c>
      <c r="DC46" s="27"/>
      <c r="DD46" s="40">
        <f t="shared" si="45"/>
        <v>277.50546156581822</v>
      </c>
      <c r="DE46" s="27"/>
      <c r="DF46" s="27"/>
      <c r="DG46" s="27"/>
      <c r="DH46" s="1135">
        <v>3337.7641328</v>
      </c>
      <c r="DI46" s="1043">
        <v>2042.9011518</v>
      </c>
      <c r="DJ46" s="1043">
        <f>DH46-DI46</f>
        <v>1294.862981</v>
      </c>
      <c r="DK46" s="905"/>
      <c r="DL46" s="908">
        <f t="shared" si="33"/>
        <v>0</v>
      </c>
      <c r="DM46" s="908">
        <f t="shared" si="34"/>
        <v>0</v>
      </c>
      <c r="DN46" s="908">
        <f t="shared" si="35"/>
        <v>0</v>
      </c>
      <c r="DO46" s="6"/>
      <c r="DP46" s="81"/>
      <c r="DQ46" s="81"/>
      <c r="DR46" s="81"/>
      <c r="DS46" s="81"/>
      <c r="DT46" s="81"/>
      <c r="DU46" s="81"/>
      <c r="DV46" s="81"/>
      <c r="DW46" s="81"/>
      <c r="DX46" s="81"/>
      <c r="DY46" s="81"/>
      <c r="DZ46" s="81"/>
      <c r="EA46" s="81"/>
      <c r="EB46" s="81"/>
      <c r="EC46" s="81"/>
      <c r="ED46" s="81"/>
      <c r="EE46" s="81"/>
      <c r="EF46" s="81"/>
      <c r="EG46" s="81"/>
      <c r="EH46" s="81"/>
      <c r="EI46" s="81"/>
      <c r="EJ46" s="81"/>
      <c r="EK46" s="81"/>
      <c r="EL46" s="81"/>
    </row>
    <row r="47" spans="1:155" s="50" customFormat="1" ht="69.75" customHeight="1">
      <c r="A47" s="6" t="e">
        <f t="shared" si="46"/>
        <v>#REF!</v>
      </c>
      <c r="B47" s="1338" t="s">
        <v>18</v>
      </c>
      <c r="C47" s="1338" t="s">
        <v>997</v>
      </c>
      <c r="D47" s="1338" t="s">
        <v>153</v>
      </c>
      <c r="E47" s="886">
        <v>7729314745</v>
      </c>
      <c r="F47" s="886" t="s">
        <v>8</v>
      </c>
      <c r="G47" s="1348" t="s">
        <v>986</v>
      </c>
      <c r="H47" s="1339">
        <v>2535.7679999999996</v>
      </c>
      <c r="I47" s="1264">
        <v>2535.7679999999996</v>
      </c>
      <c r="J47" s="1264">
        <v>1702.81</v>
      </c>
      <c r="K47" s="1264">
        <v>1457.23</v>
      </c>
      <c r="L47" s="1264"/>
      <c r="M47" s="1350"/>
      <c r="N47" s="1319">
        <f>2348.11 *1.2</f>
        <v>2817.732</v>
      </c>
      <c r="O47" s="1264">
        <f>2348.11 *1.2</f>
        <v>2817.732</v>
      </c>
      <c r="P47" s="1264">
        <f>1947.84</f>
        <v>1947.84</v>
      </c>
      <c r="Q47" s="1264">
        <v>1666.93</v>
      </c>
      <c r="R47" s="1264">
        <f>2348.11 *1.2</f>
        <v>2817.732</v>
      </c>
      <c r="S47" s="1350"/>
      <c r="T47" s="1321">
        <f>2575.33436831511+923.724917582997</f>
        <v>3499.0592858981072</v>
      </c>
      <c r="U47" s="919">
        <v>3431.3680429999986</v>
      </c>
      <c r="V47" s="1320">
        <v>919.71281599999986</v>
      </c>
      <c r="W47" s="919"/>
      <c r="X47" s="919"/>
      <c r="Y47" s="919"/>
      <c r="Z47" s="920">
        <f t="shared" si="8"/>
        <v>7850.140144898106</v>
      </c>
      <c r="AA47" s="1323">
        <f>1748.14208915007+939.681528440389</f>
        <v>2687.823617590459</v>
      </c>
      <c r="AB47" s="919">
        <v>2419.4968762200042</v>
      </c>
      <c r="AC47" s="919">
        <v>855.21097368999892</v>
      </c>
      <c r="AD47" s="897"/>
      <c r="AE47" s="897"/>
      <c r="AF47" s="897"/>
      <c r="AG47" s="900">
        <f t="shared" si="51"/>
        <v>5962.531467500462</v>
      </c>
      <c r="AH47" s="896">
        <f t="shared" si="52"/>
        <v>13812.671612398568</v>
      </c>
      <c r="AI47" s="897">
        <f t="shared" si="73"/>
        <v>6186.8829034885657</v>
      </c>
      <c r="AJ47" s="897">
        <f t="shared" si="73"/>
        <v>5850.8649192200028</v>
      </c>
      <c r="AK47" s="897">
        <f t="shared" si="73"/>
        <v>1774.9237896899988</v>
      </c>
      <c r="AL47" s="897">
        <f t="shared" si="73"/>
        <v>0</v>
      </c>
      <c r="AM47" s="897">
        <f t="shared" si="73"/>
        <v>0</v>
      </c>
      <c r="AN47" s="897"/>
      <c r="AO47" s="897">
        <f t="shared" si="70"/>
        <v>13812.671612398568</v>
      </c>
      <c r="AP47" s="897">
        <f t="shared" si="71"/>
        <v>13812.671612398568</v>
      </c>
      <c r="AQ47" s="965">
        <f t="shared" si="72"/>
        <v>13812.671612398568</v>
      </c>
      <c r="AR47" s="902">
        <f t="shared" si="36"/>
        <v>0</v>
      </c>
      <c r="AS47" s="903">
        <f t="shared" si="74"/>
        <v>15688499.686413391</v>
      </c>
      <c r="AT47" s="897">
        <f t="shared" si="74"/>
        <v>9962911.2930970117</v>
      </c>
      <c r="AU47" s="897">
        <f t="shared" si="74"/>
        <v>2586472.1940499567</v>
      </c>
      <c r="AV47" s="897">
        <f t="shared" si="74"/>
        <v>0</v>
      </c>
      <c r="AW47" s="897">
        <f t="shared" si="74"/>
        <v>0</v>
      </c>
      <c r="AX47" s="897">
        <f t="shared" si="47"/>
        <v>28237883.173560362</v>
      </c>
      <c r="AY47" s="897">
        <f t="shared" si="48"/>
        <v>28237883.173560362</v>
      </c>
      <c r="AZ47" s="897">
        <f t="shared" si="75"/>
        <v>17432977.937412642</v>
      </c>
      <c r="BA47" s="897">
        <f t="shared" si="75"/>
        <v>11396548.724253491</v>
      </c>
      <c r="BB47" s="897">
        <f t="shared" si="75"/>
        <v>2958673.7127479496</v>
      </c>
      <c r="BC47" s="897">
        <f t="shared" si="75"/>
        <v>0</v>
      </c>
      <c r="BD47" s="897">
        <f t="shared" si="75"/>
        <v>0</v>
      </c>
      <c r="BE47" s="897">
        <f t="shared" si="49"/>
        <v>31788200.374414083</v>
      </c>
      <c r="BF47" s="901">
        <f t="shared" si="53"/>
        <v>31788200.374414083</v>
      </c>
      <c r="BG47" s="1304">
        <f>(H47-J47)/1.2*U47/1000+(H47-K47)/1.2*V47/1000-0.00116655426609213</f>
        <v>3208.4410696992336</v>
      </c>
      <c r="BH47" s="1305">
        <f>(O47-P47)*AB47/1000/1.2+(O47-Q47)/1.2*AC47/1000</f>
        <v>2574.0662296609753</v>
      </c>
      <c r="BI47" s="1306">
        <f>BG47+BH47</f>
        <v>5782.5072993602089</v>
      </c>
      <c r="BJ47" s="897"/>
      <c r="BK47" s="1194"/>
      <c r="BL47" s="897">
        <f t="shared" si="84"/>
        <v>8872802.5672832709</v>
      </c>
      <c r="BM47" s="897">
        <f t="shared" si="84"/>
        <v>5842967.8173008272</v>
      </c>
      <c r="BN47" s="897">
        <f t="shared" si="84"/>
        <v>1340233.1068596798</v>
      </c>
      <c r="BO47" s="897">
        <f t="shared" si="84"/>
        <v>0</v>
      </c>
      <c r="BP47" s="897">
        <f t="shared" si="84"/>
        <v>0</v>
      </c>
      <c r="BQ47" s="897">
        <f t="shared" si="55"/>
        <v>16056003.491443779</v>
      </c>
      <c r="BR47" s="897">
        <f t="shared" si="56"/>
        <v>16056003.491443779</v>
      </c>
      <c r="BS47" s="897">
        <f t="shared" si="85"/>
        <v>7573566.6176403994</v>
      </c>
      <c r="BT47" s="897">
        <f t="shared" si="85"/>
        <v>4712792.7953763725</v>
      </c>
      <c r="BU47" s="897">
        <f t="shared" si="85"/>
        <v>1425576.8283730699</v>
      </c>
      <c r="BV47" s="897">
        <f t="shared" si="58"/>
        <v>0</v>
      </c>
      <c r="BW47" s="897">
        <f t="shared" si="17"/>
        <v>0</v>
      </c>
      <c r="BX47" s="897">
        <f t="shared" si="59"/>
        <v>13711936.241389841</v>
      </c>
      <c r="BY47" s="897">
        <f t="shared" si="60"/>
        <v>13711936.241389841</v>
      </c>
      <c r="BZ47" s="905">
        <f t="shared" si="61"/>
        <v>10555760.6126772</v>
      </c>
      <c r="CA47" s="905">
        <f t="shared" si="61"/>
        <v>2765809.9352327497</v>
      </c>
      <c r="CB47" s="905">
        <f t="shared" si="62"/>
        <v>13321570.547909949</v>
      </c>
      <c r="CC47" s="907">
        <f t="shared" si="63"/>
        <v>1804.1367829227584</v>
      </c>
      <c r="CD47" s="907">
        <f t="shared" si="63"/>
        <v>1558.2696853231175</v>
      </c>
      <c r="CE47" s="907">
        <f t="shared" si="39"/>
        <v>1746.9105238052261</v>
      </c>
      <c r="CF47" s="907">
        <f t="shared" si="18"/>
        <v>1746.9105238052259</v>
      </c>
      <c r="CG47" s="923">
        <f t="shared" si="19"/>
        <v>20260580.707007319</v>
      </c>
      <c r="CH47" s="923">
        <f t="shared" si="40"/>
        <v>2656.8505213545686</v>
      </c>
      <c r="CI47" s="905"/>
      <c r="CJ47" s="1405">
        <f>H47*Z47/1000+0.0115511975527625</f>
        <v>19906.145726145529</v>
      </c>
      <c r="CK47" s="1405">
        <f t="shared" si="83"/>
        <v>16800.815716983012</v>
      </c>
      <c r="CL47" s="1405">
        <f t="shared" si="87"/>
        <v>36706.961443128544</v>
      </c>
      <c r="CM47" s="897">
        <f t="shared" si="41"/>
        <v>38920.406807747044</v>
      </c>
      <c r="CN47" s="897">
        <f t="shared" si="42"/>
        <v>2213.4453646184993</v>
      </c>
      <c r="CO47" s="897">
        <f t="shared" si="22"/>
        <v>36706949.89193099</v>
      </c>
      <c r="CP47" s="897">
        <f t="shared" si="23"/>
        <v>28237883.173560362</v>
      </c>
      <c r="CQ47" s="897">
        <f t="shared" si="24"/>
        <v>28673768.95783243</v>
      </c>
      <c r="CR47" s="897">
        <f t="shared" si="25"/>
        <v>16056003.491443779</v>
      </c>
      <c r="CS47" s="897">
        <f t="shared" si="26"/>
        <v>31788200.374414083</v>
      </c>
      <c r="CT47" s="897">
        <f t="shared" si="27"/>
        <v>32286794.216175899</v>
      </c>
      <c r="CU47" s="897">
        <f t="shared" si="28"/>
        <v>13711936.241389841</v>
      </c>
      <c r="CV47" s="897">
        <f t="shared" si="43"/>
        <v>60026083.547974445</v>
      </c>
      <c r="CW47" s="906">
        <f t="shared" si="44"/>
        <v>4345.7258112249383</v>
      </c>
      <c r="CX47" s="897">
        <f t="shared" si="29"/>
        <v>12549383.487146968</v>
      </c>
      <c r="CY47" s="897">
        <f t="shared" si="30"/>
        <v>14355222.437001441</v>
      </c>
      <c r="CZ47" s="897"/>
      <c r="DA47" s="897">
        <f t="shared" si="31"/>
        <v>35025730.66922868</v>
      </c>
      <c r="DB47" s="897">
        <f t="shared" si="32"/>
        <v>38920406.807747036</v>
      </c>
      <c r="DC47" s="27"/>
      <c r="DD47" s="40">
        <f t="shared" si="45"/>
        <v>165.47542004099108</v>
      </c>
      <c r="DE47" s="27"/>
      <c r="DF47" s="27"/>
      <c r="DG47" s="27"/>
      <c r="DH47" s="1043">
        <v>13680.072040621932</v>
      </c>
      <c r="DI47" s="1043">
        <v>7199.2479353999997</v>
      </c>
      <c r="DJ47" s="1043">
        <f>DH47-DI47</f>
        <v>6480.8241052219319</v>
      </c>
      <c r="DK47" s="905"/>
      <c r="DL47" s="908">
        <f t="shared" si="33"/>
        <v>0</v>
      </c>
      <c r="DM47" s="908">
        <f t="shared" si="34"/>
        <v>0</v>
      </c>
      <c r="DN47" s="908">
        <f t="shared" si="35"/>
        <v>0</v>
      </c>
      <c r="DO47" s="6"/>
      <c r="DP47" s="81"/>
      <c r="DQ47" s="81"/>
      <c r="DR47" s="81"/>
      <c r="DS47" s="81"/>
      <c r="DT47" s="81"/>
      <c r="DU47" s="81"/>
      <c r="DV47" s="81"/>
      <c r="DW47" s="81"/>
      <c r="DX47" s="81"/>
      <c r="DY47" s="81"/>
      <c r="DZ47" s="81"/>
      <c r="EA47" s="81"/>
      <c r="EB47" s="81"/>
      <c r="EC47" s="81"/>
      <c r="ED47" s="81"/>
      <c r="EE47" s="81"/>
      <c r="EF47" s="81"/>
      <c r="EG47" s="81"/>
      <c r="EH47" s="81"/>
      <c r="EI47" s="81"/>
      <c r="EJ47" s="81"/>
      <c r="EK47" s="81"/>
      <c r="EL47" s="81"/>
    </row>
    <row r="48" spans="1:155" s="50" customFormat="1" ht="69.75" customHeight="1">
      <c r="A48" s="6" t="e">
        <f t="shared" si="46"/>
        <v>#REF!</v>
      </c>
      <c r="B48" s="1338" t="s">
        <v>18</v>
      </c>
      <c r="C48" s="1338" t="s">
        <v>98</v>
      </c>
      <c r="D48" s="1338" t="s">
        <v>988</v>
      </c>
      <c r="E48" s="886">
        <v>461109152080</v>
      </c>
      <c r="F48" s="886" t="s">
        <v>8</v>
      </c>
      <c r="G48" s="1348" t="s">
        <v>989</v>
      </c>
      <c r="H48" s="1357">
        <v>2186.11</v>
      </c>
      <c r="I48" s="1317">
        <v>2186.11</v>
      </c>
      <c r="J48" s="1264">
        <v>2186.11</v>
      </c>
      <c r="K48" s="1264">
        <v>2186.11</v>
      </c>
      <c r="L48" s="1264"/>
      <c r="M48" s="1350"/>
      <c r="N48" s="1319">
        <v>2437.5100000000002</v>
      </c>
      <c r="O48" s="1319">
        <v>2437.5100000000002</v>
      </c>
      <c r="P48" s="1319">
        <v>2437.5100000000002</v>
      </c>
      <c r="Q48" s="1319">
        <v>2437.5100000000002</v>
      </c>
      <c r="R48" s="1264"/>
      <c r="S48" s="1350"/>
      <c r="T48" s="1358">
        <v>593.94000000000005</v>
      </c>
      <c r="U48" s="894">
        <v>335.64672165642082</v>
      </c>
      <c r="V48" s="1359">
        <v>11.383278343579221</v>
      </c>
      <c r="W48" s="894"/>
      <c r="X48" s="894"/>
      <c r="Y48" s="894"/>
      <c r="Z48" s="920">
        <f t="shared" si="8"/>
        <v>940.97000000000014</v>
      </c>
      <c r="AA48" s="1360">
        <v>481.44990000000007</v>
      </c>
      <c r="AB48" s="894">
        <v>327.28626215148432</v>
      </c>
      <c r="AC48" s="894">
        <v>11.099737848515687</v>
      </c>
      <c r="AD48" s="897"/>
      <c r="AE48" s="897"/>
      <c r="AF48" s="897"/>
      <c r="AG48" s="900">
        <f t="shared" si="51"/>
        <v>819.83590000000015</v>
      </c>
      <c r="AH48" s="896">
        <f>Z48+AG48</f>
        <v>1760.8059000000003</v>
      </c>
      <c r="AI48" s="897">
        <f t="shared" si="73"/>
        <v>1075.3899000000001</v>
      </c>
      <c r="AJ48" s="897">
        <f t="shared" si="73"/>
        <v>662.9329838079052</v>
      </c>
      <c r="AK48" s="897">
        <f t="shared" si="73"/>
        <v>22.483016192094908</v>
      </c>
      <c r="AL48" s="897">
        <f t="shared" si="73"/>
        <v>0</v>
      </c>
      <c r="AM48" s="897">
        <f t="shared" si="73"/>
        <v>0</v>
      </c>
      <c r="AN48" s="897"/>
      <c r="AO48" s="897">
        <f>SUM(AI48:AN48)</f>
        <v>1760.8059000000003</v>
      </c>
      <c r="AP48" s="897">
        <f>SUM(AI48:AM48)</f>
        <v>1760.8059000000003</v>
      </c>
      <c r="AQ48" s="965">
        <f>SUM(AI48:AL48)</f>
        <v>1760.8059000000003</v>
      </c>
      <c r="AR48" s="902">
        <f t="shared" si="36"/>
        <v>0</v>
      </c>
      <c r="AS48" s="903">
        <f t="shared" si="74"/>
        <v>2350920.6142890006</v>
      </c>
      <c r="AT48" s="897">
        <f t="shared" si="74"/>
        <v>1449244.4252322998</v>
      </c>
      <c r="AU48" s="897">
        <f t="shared" si="74"/>
        <v>49150.346527700603</v>
      </c>
      <c r="AV48" s="897">
        <f t="shared" si="74"/>
        <v>0</v>
      </c>
      <c r="AW48" s="897">
        <f t="shared" si="74"/>
        <v>0</v>
      </c>
      <c r="AX48" s="897">
        <f>SUM(AS48:AW48)</f>
        <v>3849315.386049001</v>
      </c>
      <c r="AY48" s="897">
        <f>SUM(AS48:AV48)</f>
        <v>3849315.386049001</v>
      </c>
      <c r="AZ48" s="897">
        <f t="shared" si="75"/>
        <v>2621273.6351490007</v>
      </c>
      <c r="BA48" s="897">
        <f t="shared" si="75"/>
        <v>1615905.7773616072</v>
      </c>
      <c r="BB48" s="897">
        <f t="shared" si="75"/>
        <v>54802.576798393267</v>
      </c>
      <c r="BC48" s="897">
        <f t="shared" si="75"/>
        <v>0</v>
      </c>
      <c r="BD48" s="897">
        <f t="shared" si="75"/>
        <v>0</v>
      </c>
      <c r="BE48" s="897">
        <f>SUM(AZ48:BD48)</f>
        <v>4291981.9893090008</v>
      </c>
      <c r="BF48" s="901">
        <f>SUM(AZ48:BC48)</f>
        <v>4291981.9893090008</v>
      </c>
      <c r="BG48" s="1304">
        <f>(H48-J48)/1.2*U48/1000+(H48-K48)/1.2*V48/1000</f>
        <v>0</v>
      </c>
      <c r="BH48" s="1305">
        <f>(O48-P48)*AB48/1000/1.2+(O48-Q48)/1.2*AC48/1000</f>
        <v>0</v>
      </c>
      <c r="BI48" s="1306">
        <f>BG48+BH48</f>
        <v>0</v>
      </c>
      <c r="BJ48" s="1427">
        <v>4050.9279503280272</v>
      </c>
      <c r="BK48" s="1428">
        <v>6110.1420967458871</v>
      </c>
      <c r="BL48" s="897">
        <f>I48*T48</f>
        <v>1298418.1734000002</v>
      </c>
      <c r="BM48" s="897">
        <f>J48*U48</f>
        <v>733760.6546803182</v>
      </c>
      <c r="BN48" s="897">
        <f>K48*V48</f>
        <v>24885.098619681972</v>
      </c>
      <c r="BO48" s="897">
        <f>L48*W48</f>
        <v>0</v>
      </c>
      <c r="BP48" s="897">
        <f>M48*X48</f>
        <v>0</v>
      </c>
      <c r="BQ48" s="897">
        <f>BL48+BM48+BN48+BO48+BP48</f>
        <v>2057063.9267000004</v>
      </c>
      <c r="BR48" s="897">
        <f>BQ48-BP48</f>
        <v>2057063.9267000004</v>
      </c>
      <c r="BS48" s="897">
        <f>O48*AA48</f>
        <v>1173538.9457490002</v>
      </c>
      <c r="BT48" s="897">
        <f>P48*AB48</f>
        <v>797763.53685686458</v>
      </c>
      <c r="BU48" s="897">
        <f>Q48*AC48</f>
        <v>27055.722003135474</v>
      </c>
      <c r="BV48" s="897">
        <f>R48*W48</f>
        <v>0</v>
      </c>
      <c r="BW48" s="897">
        <f>S48*AE48</f>
        <v>0</v>
      </c>
      <c r="BX48" s="897">
        <f>BS48+BT48+BU48+BV48+BW48</f>
        <v>1998358.2046090001</v>
      </c>
      <c r="BY48" s="897">
        <f>BX48-BW48</f>
        <v>1998358.2046090001</v>
      </c>
      <c r="BZ48" s="905"/>
      <c r="CA48" s="905"/>
      <c r="CB48" s="905"/>
      <c r="CC48" s="907"/>
      <c r="CD48" s="907"/>
      <c r="CE48" s="907"/>
      <c r="CF48" s="907"/>
      <c r="CG48" s="923"/>
      <c r="CH48" s="923"/>
      <c r="CI48" s="905"/>
      <c r="CJ48" s="1405">
        <f t="shared" si="86"/>
        <v>2057.0639267000006</v>
      </c>
      <c r="CK48" s="1405">
        <f t="shared" si="83"/>
        <v>1998.3582046090005</v>
      </c>
      <c r="CL48" s="1405">
        <f t="shared" si="87"/>
        <v>4055.4221313090011</v>
      </c>
      <c r="CM48" s="897"/>
      <c r="CN48" s="897"/>
      <c r="CO48" s="897"/>
      <c r="CP48" s="897"/>
      <c r="CQ48" s="897"/>
      <c r="CR48" s="897"/>
      <c r="CS48" s="897"/>
      <c r="CT48" s="897"/>
      <c r="CU48" s="897"/>
      <c r="CV48" s="897"/>
      <c r="CW48" s="906"/>
      <c r="CX48" s="897"/>
      <c r="CY48" s="897"/>
      <c r="CZ48" s="897"/>
      <c r="DA48" s="897"/>
      <c r="DB48" s="897"/>
      <c r="DC48" s="27"/>
      <c r="DD48" s="40"/>
      <c r="DE48" s="27"/>
      <c r="DF48" s="27"/>
      <c r="DG48" s="27"/>
      <c r="DH48" s="1043"/>
      <c r="DI48" s="1043"/>
      <c r="DJ48" s="1043"/>
      <c r="DK48" s="905"/>
      <c r="DL48" s="908"/>
      <c r="DM48" s="908"/>
      <c r="DN48" s="908"/>
      <c r="DO48" s="6"/>
      <c r="DP48" s="81"/>
      <c r="DQ48" s="81"/>
      <c r="DR48" s="81"/>
      <c r="DS48" s="81"/>
      <c r="DT48" s="81"/>
      <c r="DU48" s="81"/>
      <c r="DV48" s="81"/>
      <c r="DW48" s="81"/>
      <c r="DX48" s="81"/>
      <c r="DY48" s="81"/>
      <c r="DZ48" s="81"/>
      <c r="EA48" s="81"/>
      <c r="EB48" s="81"/>
      <c r="EC48" s="81"/>
      <c r="ED48" s="81"/>
      <c r="EE48" s="81"/>
      <c r="EF48" s="81"/>
      <c r="EG48" s="81"/>
      <c r="EH48" s="81"/>
      <c r="EI48" s="81"/>
      <c r="EJ48" s="81"/>
      <c r="EK48" s="81"/>
      <c r="EL48" s="81"/>
    </row>
    <row r="49" spans="1:142" s="1456" customFormat="1" ht="69.75" customHeight="1">
      <c r="A49" s="1430"/>
      <c r="B49" s="1431" t="s">
        <v>18</v>
      </c>
      <c r="C49" s="1431" t="s">
        <v>97</v>
      </c>
      <c r="D49" s="1431" t="s">
        <v>1007</v>
      </c>
      <c r="E49" s="1431">
        <v>4611003813</v>
      </c>
      <c r="F49" s="886" t="s">
        <v>8</v>
      </c>
      <c r="G49" s="1348" t="s">
        <v>1006</v>
      </c>
      <c r="H49" s="1432">
        <v>2511.6</v>
      </c>
      <c r="I49" s="1432"/>
      <c r="J49" s="1432">
        <v>2511.6</v>
      </c>
      <c r="K49" s="1432">
        <v>2511.6</v>
      </c>
      <c r="L49" s="1433"/>
      <c r="M49" s="1434"/>
      <c r="N49" s="1435">
        <v>2866.58</v>
      </c>
      <c r="O49" s="1435"/>
      <c r="P49" s="1435">
        <v>2866.58</v>
      </c>
      <c r="Q49" s="1435">
        <v>2866.58</v>
      </c>
      <c r="R49" s="1433"/>
      <c r="S49" s="1434"/>
      <c r="T49" s="1436"/>
      <c r="U49" s="1457">
        <v>97.337000000000003</v>
      </c>
      <c r="V49" s="1459">
        <v>39.936999999999998</v>
      </c>
      <c r="W49" s="1437"/>
      <c r="X49" s="1437"/>
      <c r="Y49" s="1437"/>
      <c r="Z49" s="1458">
        <f t="shared" si="8"/>
        <v>137.274</v>
      </c>
      <c r="AA49" s="1438"/>
      <c r="AB49" s="1457">
        <v>73.001999999999995</v>
      </c>
      <c r="AC49" s="1457">
        <v>38.543999999999997</v>
      </c>
      <c r="AD49" s="1439"/>
      <c r="AE49" s="1439"/>
      <c r="AF49" s="1439"/>
      <c r="AG49" s="1440">
        <f t="shared" si="51"/>
        <v>111.54599999999999</v>
      </c>
      <c r="AH49" s="1441">
        <f>Z49+AG49</f>
        <v>248.82</v>
      </c>
      <c r="AI49" s="1439">
        <f t="shared" si="73"/>
        <v>0</v>
      </c>
      <c r="AJ49" s="1439">
        <f t="shared" si="73"/>
        <v>170.339</v>
      </c>
      <c r="AK49" s="1439">
        <f t="shared" si="73"/>
        <v>78.480999999999995</v>
      </c>
      <c r="AL49" s="1439">
        <f t="shared" si="73"/>
        <v>0</v>
      </c>
      <c r="AM49" s="1439">
        <f t="shared" si="73"/>
        <v>0</v>
      </c>
      <c r="AN49" s="1439"/>
      <c r="AO49" s="1460">
        <f>SUM(AI49:AN49)</f>
        <v>248.82</v>
      </c>
      <c r="AP49" s="1460">
        <f>SUM(AI49:AM49)</f>
        <v>248.82</v>
      </c>
      <c r="AQ49" s="1461">
        <f>SUM(AI49:AL49)</f>
        <v>248.82</v>
      </c>
      <c r="AR49" s="902">
        <f t="shared" si="36"/>
        <v>0</v>
      </c>
      <c r="AS49" s="1442">
        <f t="shared" si="74"/>
        <v>0</v>
      </c>
      <c r="AT49" s="1439">
        <f t="shared" si="74"/>
        <v>427823.43239999999</v>
      </c>
      <c r="AU49" s="1439">
        <f t="shared" si="74"/>
        <v>197112.87959999999</v>
      </c>
      <c r="AV49" s="1439">
        <f t="shared" si="74"/>
        <v>0</v>
      </c>
      <c r="AW49" s="1439">
        <f t="shared" si="74"/>
        <v>0</v>
      </c>
      <c r="AX49" s="1439">
        <f>SUM(AS49:AW49)</f>
        <v>624936.31199999992</v>
      </c>
      <c r="AY49" s="1439">
        <f>SUM(AS49:AV49)</f>
        <v>624936.31199999992</v>
      </c>
      <c r="AZ49" s="1439">
        <f t="shared" si="75"/>
        <v>0</v>
      </c>
      <c r="BA49" s="1439">
        <f t="shared" si="75"/>
        <v>488290.37062</v>
      </c>
      <c r="BB49" s="1439">
        <f t="shared" si="75"/>
        <v>224972.06497999997</v>
      </c>
      <c r="BC49" s="1439">
        <f t="shared" si="75"/>
        <v>0</v>
      </c>
      <c r="BD49" s="1439">
        <f t="shared" si="75"/>
        <v>0</v>
      </c>
      <c r="BE49" s="1439">
        <f>SUM(AZ49:BD49)</f>
        <v>713262.43559999997</v>
      </c>
      <c r="BF49" s="1443">
        <f>SUM(AZ49:BC49)</f>
        <v>713262.43559999997</v>
      </c>
      <c r="BG49" s="1444"/>
      <c r="BH49" s="1445"/>
      <c r="BI49" s="1446"/>
      <c r="BJ49" s="1447"/>
      <c r="BK49" s="1447"/>
      <c r="BL49" s="1439"/>
      <c r="BM49" s="1439"/>
      <c r="BN49" s="1439"/>
      <c r="BO49" s="1439"/>
      <c r="BP49" s="1439"/>
      <c r="BQ49" s="1439"/>
      <c r="BR49" s="1439"/>
      <c r="BS49" s="1439"/>
      <c r="BT49" s="1439"/>
      <c r="BU49" s="1439"/>
      <c r="BV49" s="1439"/>
      <c r="BW49" s="1439"/>
      <c r="BX49" s="1439"/>
      <c r="BY49" s="1439"/>
      <c r="BZ49" s="1448"/>
      <c r="CA49" s="1448"/>
      <c r="CB49" s="1448"/>
      <c r="CC49" s="1449"/>
      <c r="CD49" s="1449"/>
      <c r="CE49" s="1449"/>
      <c r="CF49" s="1449"/>
      <c r="CG49" s="1450"/>
      <c r="CH49" s="1450"/>
      <c r="CI49" s="1448"/>
      <c r="CJ49" s="1451">
        <f t="shared" si="86"/>
        <v>344.77737839999998</v>
      </c>
      <c r="CK49" s="1451"/>
      <c r="CL49" s="1451"/>
      <c r="CM49" s="1439"/>
      <c r="CN49" s="1439"/>
      <c r="CO49" s="1439"/>
      <c r="CP49" s="1439"/>
      <c r="CQ49" s="1439"/>
      <c r="CR49" s="1439"/>
      <c r="CS49" s="1439"/>
      <c r="CT49" s="1439"/>
      <c r="CU49" s="1439"/>
      <c r="CV49" s="1439"/>
      <c r="CW49" s="1452"/>
      <c r="CX49" s="1439"/>
      <c r="CY49" s="1439"/>
      <c r="CZ49" s="1439"/>
      <c r="DA49" s="1439"/>
      <c r="DB49" s="1439"/>
      <c r="DC49" s="1453"/>
      <c r="DD49" s="1454"/>
      <c r="DE49" s="1453"/>
      <c r="DF49" s="1453"/>
      <c r="DG49" s="1453"/>
      <c r="DH49" s="1439"/>
      <c r="DI49" s="1439"/>
      <c r="DJ49" s="1439"/>
      <c r="DK49" s="1448"/>
      <c r="DL49" s="1455"/>
      <c r="DM49" s="1455"/>
      <c r="DN49" s="1455"/>
      <c r="DO49" s="1430"/>
    </row>
    <row r="50" spans="1:142" s="50" customFormat="1" ht="73.5" customHeight="1">
      <c r="A50" s="6" t="e">
        <f>A48+1</f>
        <v>#REF!</v>
      </c>
      <c r="B50" s="886" t="s">
        <v>18</v>
      </c>
      <c r="C50" s="1219" t="s">
        <v>998</v>
      </c>
      <c r="D50" s="1219" t="s">
        <v>980</v>
      </c>
      <c r="E50" s="1237">
        <v>6829012680</v>
      </c>
      <c r="F50" s="1219" t="s">
        <v>8</v>
      </c>
      <c r="G50" s="1222" t="s">
        <v>982</v>
      </c>
      <c r="H50" s="1241">
        <v>2326.752</v>
      </c>
      <c r="I50" s="1242">
        <v>2326.752</v>
      </c>
      <c r="J50" s="891">
        <v>2231.2199999999998</v>
      </c>
      <c r="K50" s="891">
        <v>2231.2199999999998</v>
      </c>
      <c r="L50" s="891">
        <v>2326.752</v>
      </c>
      <c r="M50" s="946">
        <v>0</v>
      </c>
      <c r="N50" s="927">
        <f>2165.81*1.2</f>
        <v>2598.9719999999998</v>
      </c>
      <c r="O50" s="928">
        <f>N50</f>
        <v>2598.9719999999998</v>
      </c>
      <c r="P50" s="928">
        <v>2403.02</v>
      </c>
      <c r="Q50" s="928">
        <f>P50</f>
        <v>2403.02</v>
      </c>
      <c r="R50" s="891">
        <f>O50</f>
        <v>2598.9719999999998</v>
      </c>
      <c r="S50" s="926">
        <v>0</v>
      </c>
      <c r="T50" s="988">
        <v>4158.1000000000004</v>
      </c>
      <c r="U50" s="987">
        <v>1394.5</v>
      </c>
      <c r="V50" s="987">
        <f>1677.5-U50</f>
        <v>283</v>
      </c>
      <c r="W50" s="987">
        <v>81.900000000000006</v>
      </c>
      <c r="X50" s="897">
        <v>0</v>
      </c>
      <c r="Y50" s="897"/>
      <c r="Z50" s="898">
        <f t="shared" si="8"/>
        <v>5917.5</v>
      </c>
      <c r="AA50" s="989">
        <v>2596.3000000000002</v>
      </c>
      <c r="AB50" s="897">
        <v>951.3</v>
      </c>
      <c r="AC50" s="987">
        <f>1232.5-AB50</f>
        <v>281.20000000000005</v>
      </c>
      <c r="AD50" s="987">
        <v>40.5</v>
      </c>
      <c r="AE50" s="897">
        <v>0</v>
      </c>
      <c r="AF50" s="897"/>
      <c r="AG50" s="900">
        <f>SUM(AA50:AE50)</f>
        <v>3869.3</v>
      </c>
      <c r="AH50" s="896">
        <f t="shared" si="52"/>
        <v>9786.7999999999993</v>
      </c>
      <c r="AI50" s="897">
        <f t="shared" si="73"/>
        <v>6754.4000000000005</v>
      </c>
      <c r="AJ50" s="897">
        <f t="shared" si="73"/>
        <v>2345.8000000000002</v>
      </c>
      <c r="AK50" s="897">
        <f t="shared" si="73"/>
        <v>564.20000000000005</v>
      </c>
      <c r="AL50" s="897">
        <f t="shared" si="73"/>
        <v>122.4</v>
      </c>
      <c r="AM50" s="897">
        <f t="shared" si="73"/>
        <v>0</v>
      </c>
      <c r="AN50" s="897"/>
      <c r="AO50" s="897">
        <f t="shared" si="70"/>
        <v>9786.8000000000011</v>
      </c>
      <c r="AP50" s="897">
        <f t="shared" si="71"/>
        <v>9786.8000000000011</v>
      </c>
      <c r="AQ50" s="901">
        <f t="shared" si="72"/>
        <v>9786.8000000000011</v>
      </c>
      <c r="AR50" s="902">
        <f t="shared" si="36"/>
        <v>0</v>
      </c>
      <c r="AS50" s="903">
        <f t="shared" si="74"/>
        <v>15715813.708800001</v>
      </c>
      <c r="AT50" s="897">
        <f t="shared" si="74"/>
        <v>5233995.8760000002</v>
      </c>
      <c r="AU50" s="897">
        <f t="shared" si="74"/>
        <v>1258854.324</v>
      </c>
      <c r="AV50" s="897">
        <f t="shared" si="74"/>
        <v>284794.4448</v>
      </c>
      <c r="AW50" s="897">
        <f t="shared" si="74"/>
        <v>0</v>
      </c>
      <c r="AX50" s="897">
        <f t="shared" si="47"/>
        <v>22493458.353600003</v>
      </c>
      <c r="AY50" s="897">
        <f t="shared" si="48"/>
        <v>22493458.353600003</v>
      </c>
      <c r="AZ50" s="897">
        <f t="shared" si="75"/>
        <v>17554496.476799998</v>
      </c>
      <c r="BA50" s="897">
        <f t="shared" si="75"/>
        <v>5637004.3160000006</v>
      </c>
      <c r="BB50" s="897">
        <f t="shared" si="75"/>
        <v>1355783.8840000001</v>
      </c>
      <c r="BC50" s="897">
        <f t="shared" si="75"/>
        <v>318114.1728</v>
      </c>
      <c r="BD50" s="897">
        <f t="shared" si="75"/>
        <v>0</v>
      </c>
      <c r="BE50" s="897">
        <f t="shared" si="49"/>
        <v>24865398.849599998</v>
      </c>
      <c r="BF50" s="901">
        <f t="shared" si="53"/>
        <v>24865398.849599998</v>
      </c>
      <c r="BG50" s="921"/>
      <c r="BH50" s="990"/>
      <c r="BI50" s="990">
        <v>232.45323900000042</v>
      </c>
      <c r="BJ50" s="897"/>
      <c r="BK50" s="1194"/>
      <c r="BL50" s="897">
        <f t="shared" si="84"/>
        <v>9674867.4912</v>
      </c>
      <c r="BM50" s="897">
        <f t="shared" si="84"/>
        <v>3111436.2899999996</v>
      </c>
      <c r="BN50" s="897">
        <f t="shared" si="84"/>
        <v>631435.25999999989</v>
      </c>
      <c r="BO50" s="897">
        <f t="shared" si="84"/>
        <v>190560.98880000002</v>
      </c>
      <c r="BP50" s="897">
        <f t="shared" si="84"/>
        <v>0</v>
      </c>
      <c r="BQ50" s="897">
        <f t="shared" si="55"/>
        <v>13608300.029999999</v>
      </c>
      <c r="BR50" s="897">
        <f t="shared" si="56"/>
        <v>13608300.029999999</v>
      </c>
      <c r="BS50" s="897">
        <f t="shared" si="85"/>
        <v>6747711.0035999995</v>
      </c>
      <c r="BT50" s="897">
        <f t="shared" si="85"/>
        <v>2285992.926</v>
      </c>
      <c r="BU50" s="897">
        <f t="shared" si="85"/>
        <v>675729.22400000016</v>
      </c>
      <c r="BV50" s="897">
        <f t="shared" si="58"/>
        <v>212855.80679999999</v>
      </c>
      <c r="BW50" s="897">
        <f t="shared" si="17"/>
        <v>0</v>
      </c>
      <c r="BX50" s="897">
        <f t="shared" si="59"/>
        <v>9922288.9604000002</v>
      </c>
      <c r="BY50" s="897">
        <f t="shared" si="60"/>
        <v>9922288.9604000002</v>
      </c>
      <c r="BZ50" s="905">
        <f t="shared" si="61"/>
        <v>5397429.216</v>
      </c>
      <c r="CA50" s="905">
        <f t="shared" si="61"/>
        <v>1307164.4840000002</v>
      </c>
      <c r="CB50" s="905">
        <f t="shared" si="62"/>
        <v>6704593.7000000002</v>
      </c>
      <c r="CC50" s="907">
        <f t="shared" si="63"/>
        <v>2300.8906198311875</v>
      </c>
      <c r="CD50" s="907">
        <f t="shared" si="63"/>
        <v>2316.8459482453031</v>
      </c>
      <c r="CE50" s="907">
        <f t="shared" si="39"/>
        <v>2303.9840893470791</v>
      </c>
      <c r="CF50" s="907">
        <f t="shared" si="18"/>
        <v>2303.9840893470791</v>
      </c>
      <c r="CG50" s="923">
        <f t="shared" si="19"/>
        <v>7106359.4699999997</v>
      </c>
      <c r="CH50" s="923">
        <f t="shared" si="40"/>
        <v>2442.0479278350513</v>
      </c>
      <c r="CI50" s="905"/>
      <c r="CJ50" s="1405">
        <f t="shared" si="86"/>
        <v>13768.554959999999</v>
      </c>
      <c r="CK50" s="1405">
        <f t="shared" si="83"/>
        <v>10056.2023596</v>
      </c>
      <c r="CL50" s="1405">
        <f t="shared" si="87"/>
        <v>23824.757319600001</v>
      </c>
      <c r="CM50" s="897">
        <f t="shared" si="41"/>
        <v>25435.619169599995</v>
      </c>
      <c r="CN50" s="897">
        <f t="shared" si="42"/>
        <v>1610.8618499999939</v>
      </c>
      <c r="CO50" s="897">
        <f t="shared" si="22"/>
        <v>23824757.319600001</v>
      </c>
      <c r="CP50" s="897">
        <f t="shared" si="23"/>
        <v>22493458.353600003</v>
      </c>
      <c r="CQ50" s="897">
        <f t="shared" si="24"/>
        <v>22493458.353599999</v>
      </c>
      <c r="CR50" s="897">
        <f t="shared" si="25"/>
        <v>13608300.029999999</v>
      </c>
      <c r="CS50" s="897">
        <f t="shared" si="26"/>
        <v>24865398.849599998</v>
      </c>
      <c r="CT50" s="897">
        <f t="shared" si="27"/>
        <v>24865398.849599998</v>
      </c>
      <c r="CU50" s="897">
        <f t="shared" si="28"/>
        <v>9814691.5196000002</v>
      </c>
      <c r="CV50" s="897">
        <f t="shared" si="43"/>
        <v>47358857.203199998</v>
      </c>
      <c r="CW50" s="906">
        <f t="shared" si="44"/>
        <v>4839.0543592594104</v>
      </c>
      <c r="CX50" s="897">
        <f t="shared" si="29"/>
        <v>6492850.2000000002</v>
      </c>
      <c r="CY50" s="897">
        <f t="shared" si="30"/>
        <v>6992788.2000000011</v>
      </c>
      <c r="CZ50" s="897"/>
      <c r="DA50" s="897">
        <f t="shared" si="31"/>
        <v>22771456.4736</v>
      </c>
      <c r="DB50" s="897">
        <f t="shared" si="32"/>
        <v>25435619.169599999</v>
      </c>
      <c r="DC50" s="27"/>
      <c r="DD50" s="40">
        <f t="shared" si="45"/>
        <v>116.48210396106167</v>
      </c>
      <c r="DE50" s="27"/>
      <c r="DF50" s="27"/>
      <c r="DG50" s="27"/>
      <c r="DH50" s="1235">
        <f>AH50</f>
        <v>9786.7999999999993</v>
      </c>
      <c r="DI50" s="1137">
        <f>AJ50+AK50</f>
        <v>2910</v>
      </c>
      <c r="DJ50" s="1236">
        <f>DH50-DI50</f>
        <v>6876.7999999999993</v>
      </c>
      <c r="DK50" s="905"/>
      <c r="DL50" s="908">
        <f t="shared" si="33"/>
        <v>0</v>
      </c>
      <c r="DM50" s="908">
        <f t="shared" si="34"/>
        <v>0</v>
      </c>
      <c r="DN50" s="908">
        <f t="shared" si="35"/>
        <v>0</v>
      </c>
      <c r="DO50" s="6"/>
      <c r="DP50" s="81"/>
      <c r="DQ50" s="81"/>
      <c r="DR50" s="81"/>
      <c r="DS50" s="81"/>
      <c r="DT50" s="81"/>
      <c r="DU50" s="81"/>
      <c r="DV50" s="81"/>
      <c r="DW50" s="81"/>
      <c r="DX50" s="81"/>
      <c r="DY50" s="81"/>
      <c r="DZ50" s="81"/>
      <c r="EA50" s="81"/>
      <c r="EB50" s="81"/>
      <c r="EC50" s="81"/>
      <c r="ED50" s="81"/>
      <c r="EE50" s="81"/>
      <c r="EF50" s="81"/>
      <c r="EG50" s="81"/>
      <c r="EH50" s="81"/>
      <c r="EI50" s="81"/>
      <c r="EJ50" s="81"/>
      <c r="EK50" s="81"/>
      <c r="EL50" s="81"/>
    </row>
    <row r="51" spans="1:142" s="869" customFormat="1" ht="64.5" customHeight="1">
      <c r="A51" s="6" t="e">
        <f t="shared" si="46"/>
        <v>#REF!</v>
      </c>
      <c r="B51" s="1395" t="s">
        <v>18</v>
      </c>
      <c r="C51" s="1395" t="s">
        <v>998</v>
      </c>
      <c r="D51" s="1262" t="s">
        <v>141</v>
      </c>
      <c r="E51" s="887">
        <v>4632024035</v>
      </c>
      <c r="F51" s="886" t="s">
        <v>8</v>
      </c>
      <c r="G51" s="1238" t="s">
        <v>983</v>
      </c>
      <c r="H51" s="1256">
        <v>3314.9639999999995</v>
      </c>
      <c r="I51" s="1257">
        <f>H51</f>
        <v>3314.9639999999995</v>
      </c>
      <c r="J51" s="1263">
        <v>2950.21</v>
      </c>
      <c r="K51" s="891"/>
      <c r="L51" s="1256">
        <v>3314.9639999999995</v>
      </c>
      <c r="M51" s="946"/>
      <c r="N51" s="1259">
        <f>3132.14*1.2</f>
        <v>3758.5679999999998</v>
      </c>
      <c r="O51" s="1260">
        <f>N51</f>
        <v>3758.5679999999998</v>
      </c>
      <c r="P51" s="1264">
        <v>2979.71</v>
      </c>
      <c r="Q51" s="891"/>
      <c r="R51" s="891">
        <f>O51</f>
        <v>3758.5679999999998</v>
      </c>
      <c r="S51" s="946"/>
      <c r="T51" s="1307">
        <v>1241.306</v>
      </c>
      <c r="U51" s="1292">
        <v>6.0299999999999994</v>
      </c>
      <c r="V51" s="1292">
        <v>0</v>
      </c>
      <c r="W51" s="948"/>
      <c r="X51" s="948"/>
      <c r="Y51" s="948"/>
      <c r="Z51" s="1397">
        <f t="shared" si="8"/>
        <v>1247.336</v>
      </c>
      <c r="AA51" s="1308">
        <v>701.24199999999996</v>
      </c>
      <c r="AB51" s="1292">
        <v>4.4000000000000004</v>
      </c>
      <c r="AC51" s="1366">
        <v>0</v>
      </c>
      <c r="AD51" s="890"/>
      <c r="AE51" s="890"/>
      <c r="AF51" s="890"/>
      <c r="AG51" s="951">
        <f t="shared" si="51"/>
        <v>705.64199999999994</v>
      </c>
      <c r="AH51" s="947">
        <f t="shared" si="52"/>
        <v>1952.9780000000001</v>
      </c>
      <c r="AI51" s="890">
        <f t="shared" si="73"/>
        <v>1942.548</v>
      </c>
      <c r="AJ51" s="890">
        <f t="shared" si="73"/>
        <v>10.43</v>
      </c>
      <c r="AK51" s="890">
        <f t="shared" si="73"/>
        <v>0</v>
      </c>
      <c r="AL51" s="890">
        <f t="shared" si="73"/>
        <v>0</v>
      </c>
      <c r="AM51" s="890">
        <f t="shared" si="73"/>
        <v>0</v>
      </c>
      <c r="AN51" s="890"/>
      <c r="AO51" s="890">
        <f t="shared" si="70"/>
        <v>1952.9780000000001</v>
      </c>
      <c r="AP51" s="890">
        <f t="shared" si="71"/>
        <v>1952.9780000000001</v>
      </c>
      <c r="AQ51" s="952">
        <f t="shared" si="72"/>
        <v>1952.9780000000001</v>
      </c>
      <c r="AR51" s="973">
        <f t="shared" si="36"/>
        <v>0</v>
      </c>
      <c r="AS51" s="889">
        <f t="shared" si="74"/>
        <v>6439476.6882719994</v>
      </c>
      <c r="AT51" s="890">
        <f t="shared" si="74"/>
        <v>30770.690299999998</v>
      </c>
      <c r="AU51" s="890">
        <f t="shared" si="74"/>
        <v>0</v>
      </c>
      <c r="AV51" s="890">
        <f t="shared" si="74"/>
        <v>0</v>
      </c>
      <c r="AW51" s="890">
        <f t="shared" si="74"/>
        <v>0</v>
      </c>
      <c r="AX51" s="890">
        <f t="shared" si="47"/>
        <v>6470247.3785719993</v>
      </c>
      <c r="AY51" s="890">
        <f t="shared" si="48"/>
        <v>6470247.3785719993</v>
      </c>
      <c r="AZ51" s="890">
        <f t="shared" si="75"/>
        <v>7301198.7512639994</v>
      </c>
      <c r="BA51" s="890">
        <f t="shared" si="75"/>
        <v>31078.3753</v>
      </c>
      <c r="BB51" s="890">
        <f t="shared" si="75"/>
        <v>0</v>
      </c>
      <c r="BC51" s="890">
        <f t="shared" si="75"/>
        <v>0</v>
      </c>
      <c r="BD51" s="890">
        <f t="shared" si="75"/>
        <v>0</v>
      </c>
      <c r="BE51" s="890">
        <f t="shared" si="49"/>
        <v>7332277.1265639998</v>
      </c>
      <c r="BF51" s="952">
        <f t="shared" si="53"/>
        <v>7332277.1265639998</v>
      </c>
      <c r="BG51" s="953">
        <f>(H51-J51)/1.2*U51/1000+(H51-K51)/1.2*V51/1000</f>
        <v>1.8328888499999973</v>
      </c>
      <c r="BH51" s="954">
        <f>(O51-P51)*AB51/1000/1.2+(O51-Q51)/1.2*AC51/1000</f>
        <v>2.8558126666666657</v>
      </c>
      <c r="BI51" s="955">
        <f>BG51+BH51</f>
        <v>4.6887015166666632</v>
      </c>
      <c r="BJ51" s="955"/>
      <c r="BK51" s="1197"/>
      <c r="BL51" s="890">
        <f t="shared" si="84"/>
        <v>4114884.7029839996</v>
      </c>
      <c r="BM51" s="890">
        <f t="shared" si="84"/>
        <v>17789.766299999999</v>
      </c>
      <c r="BN51" s="890">
        <f t="shared" si="84"/>
        <v>0</v>
      </c>
      <c r="BO51" s="890">
        <f t="shared" si="84"/>
        <v>0</v>
      </c>
      <c r="BP51" s="890">
        <f t="shared" si="84"/>
        <v>0</v>
      </c>
      <c r="BQ51" s="890">
        <f t="shared" si="55"/>
        <v>4132674.4692839994</v>
      </c>
      <c r="BR51" s="890">
        <f t="shared" si="56"/>
        <v>4132674.4692839994</v>
      </c>
      <c r="BS51" s="890">
        <f t="shared" si="85"/>
        <v>2635665.7414559997</v>
      </c>
      <c r="BT51" s="890">
        <f t="shared" si="85"/>
        <v>13110.724000000002</v>
      </c>
      <c r="BU51" s="890">
        <f t="shared" si="85"/>
        <v>0</v>
      </c>
      <c r="BV51" s="890">
        <f t="shared" si="58"/>
        <v>0</v>
      </c>
      <c r="BW51" s="890">
        <f t="shared" si="17"/>
        <v>0</v>
      </c>
      <c r="BX51" s="890">
        <f t="shared" si="59"/>
        <v>2648776.4654559996</v>
      </c>
      <c r="BY51" s="890">
        <f t="shared" si="60"/>
        <v>2648776.4654559996</v>
      </c>
      <c r="BZ51" s="945">
        <f t="shared" si="61"/>
        <v>30900.490300000001</v>
      </c>
      <c r="CA51" s="945">
        <f t="shared" si="61"/>
        <v>0</v>
      </c>
      <c r="CB51" s="945">
        <f t="shared" si="62"/>
        <v>30900.490300000001</v>
      </c>
      <c r="CC51" s="976">
        <f t="shared" si="63"/>
        <v>2962.654870565676</v>
      </c>
      <c r="CD51" s="976" t="e">
        <f t="shared" si="63"/>
        <v>#DIV/0!</v>
      </c>
      <c r="CE51" s="976">
        <f t="shared" si="39"/>
        <v>2962.654870565676</v>
      </c>
      <c r="CF51" s="976">
        <f t="shared" si="18"/>
        <v>2962.654870565676</v>
      </c>
      <c r="CG51" s="977">
        <f t="shared" si="19"/>
        <v>36526.932119999998</v>
      </c>
      <c r="CH51" s="977">
        <f t="shared" si="40"/>
        <v>3502.1027919463086</v>
      </c>
      <c r="CI51" s="945"/>
      <c r="CJ51" s="1405">
        <f t="shared" si="86"/>
        <v>4134.8739359039992</v>
      </c>
      <c r="CK51" s="1405">
        <f t="shared" si="83"/>
        <v>2652.2034406559997</v>
      </c>
      <c r="CL51" s="1405">
        <f>CJ51+CK51</f>
        <v>6787.0773765599988</v>
      </c>
      <c r="CM51" s="890">
        <f t="shared" si="41"/>
        <v>7340.4006155039997</v>
      </c>
      <c r="CN51" s="890">
        <f t="shared" si="42"/>
        <v>553.32323894400088</v>
      </c>
      <c r="CO51" s="890">
        <f t="shared" si="22"/>
        <v>6787077.3765599988</v>
      </c>
      <c r="CP51" s="890">
        <f t="shared" si="23"/>
        <v>6470247.3785719993</v>
      </c>
      <c r="CQ51" s="890">
        <f t="shared" si="24"/>
        <v>6470247.3785719993</v>
      </c>
      <c r="CR51" s="890">
        <f t="shared" si="25"/>
        <v>4132674.4692839994</v>
      </c>
      <c r="CS51" s="890">
        <f t="shared" si="26"/>
        <v>7332277.1265639998</v>
      </c>
      <c r="CT51" s="890">
        <f t="shared" si="27"/>
        <v>7332277.1265639998</v>
      </c>
      <c r="CU51" s="890">
        <f t="shared" si="28"/>
        <v>2648776.4654559996</v>
      </c>
      <c r="CV51" s="890">
        <f t="shared" si="43"/>
        <v>13802524.505135998</v>
      </c>
      <c r="CW51" s="978">
        <f t="shared" si="44"/>
        <v>7067.4244692648854</v>
      </c>
      <c r="CX51" s="890">
        <f t="shared" si="29"/>
        <v>30770.690299999998</v>
      </c>
      <c r="CY51" s="890">
        <f t="shared" si="30"/>
        <v>31078.3753</v>
      </c>
      <c r="CZ51" s="890"/>
      <c r="DA51" s="890">
        <f t="shared" si="31"/>
        <v>6474051.7627919996</v>
      </c>
      <c r="DB51" s="890">
        <f t="shared" si="32"/>
        <v>7340400.6155039994</v>
      </c>
      <c r="DC51" s="840"/>
      <c r="DD51" s="841">
        <f t="shared" si="45"/>
        <v>127.40001559211038</v>
      </c>
      <c r="DE51" s="840"/>
      <c r="DF51" s="840"/>
      <c r="DG51" s="840"/>
      <c r="DH51" s="1050"/>
      <c r="DI51" s="1050"/>
      <c r="DJ51" s="1050"/>
      <c r="DK51" s="945"/>
      <c r="DL51" s="975">
        <f t="shared" si="33"/>
        <v>0</v>
      </c>
      <c r="DM51" s="975">
        <f t="shared" si="34"/>
        <v>0</v>
      </c>
      <c r="DN51" s="975">
        <f t="shared" si="35"/>
        <v>0</v>
      </c>
      <c r="DO51" s="816"/>
      <c r="DP51" s="871"/>
      <c r="DQ51" s="871"/>
      <c r="DR51" s="871"/>
      <c r="DS51" s="871"/>
      <c r="DT51" s="871"/>
      <c r="DU51" s="871"/>
      <c r="DV51" s="871"/>
      <c r="DW51" s="871"/>
      <c r="DX51" s="871"/>
      <c r="DY51" s="871"/>
      <c r="DZ51" s="871"/>
      <c r="EA51" s="871"/>
      <c r="EB51" s="871"/>
      <c r="EC51" s="871"/>
      <c r="ED51" s="871"/>
      <c r="EE51" s="871"/>
      <c r="EF51" s="871"/>
      <c r="EG51" s="871"/>
      <c r="EH51" s="871"/>
      <c r="EI51" s="871"/>
      <c r="EJ51" s="871"/>
      <c r="EK51" s="871"/>
      <c r="EL51" s="871"/>
    </row>
    <row r="52" spans="1:142" s="50" customFormat="1" ht="57" customHeight="1">
      <c r="A52" s="6" t="e">
        <f t="shared" si="46"/>
        <v>#REF!</v>
      </c>
      <c r="B52" s="886" t="s">
        <v>18</v>
      </c>
      <c r="C52" s="886" t="s">
        <v>998</v>
      </c>
      <c r="D52" s="1206" t="s">
        <v>96</v>
      </c>
      <c r="E52" s="886">
        <v>4611013586</v>
      </c>
      <c r="F52" s="886" t="s">
        <v>8</v>
      </c>
      <c r="G52" s="888" t="s">
        <v>950</v>
      </c>
      <c r="H52" s="1251">
        <v>4183.0030781451369</v>
      </c>
      <c r="I52" s="1252">
        <v>0</v>
      </c>
      <c r="J52" s="891">
        <v>3218.8790000000004</v>
      </c>
      <c r="K52" s="891">
        <v>3218.8790000000004</v>
      </c>
      <c r="L52" s="891">
        <v>0</v>
      </c>
      <c r="M52" s="946">
        <v>0</v>
      </c>
      <c r="N52" s="959">
        <v>5288.62</v>
      </c>
      <c r="O52" s="891">
        <v>0</v>
      </c>
      <c r="P52" s="891">
        <v>3524.67</v>
      </c>
      <c r="Q52" s="891">
        <v>3524.67</v>
      </c>
      <c r="R52" s="891">
        <v>0</v>
      </c>
      <c r="S52" s="946">
        <v>0</v>
      </c>
      <c r="T52" s="889">
        <v>0</v>
      </c>
      <c r="U52" s="894">
        <v>169.31</v>
      </c>
      <c r="V52" s="894">
        <v>27.2</v>
      </c>
      <c r="W52" s="890">
        <v>0</v>
      </c>
      <c r="X52" s="890">
        <v>0</v>
      </c>
      <c r="Y52" s="890">
        <v>0</v>
      </c>
      <c r="Z52" s="949">
        <f>SUM(T52:W52)</f>
        <v>196.51</v>
      </c>
      <c r="AA52" s="974">
        <v>0</v>
      </c>
      <c r="AB52" s="894">
        <v>126.98</v>
      </c>
      <c r="AC52" s="894">
        <v>19.96</v>
      </c>
      <c r="AD52" s="890">
        <v>0</v>
      </c>
      <c r="AE52" s="890">
        <v>0</v>
      </c>
      <c r="AF52" s="890">
        <v>0</v>
      </c>
      <c r="AG52" s="951">
        <f>SUM(AA52:AD52)</f>
        <v>146.94</v>
      </c>
      <c r="AH52" s="947">
        <f>Z52+AG52</f>
        <v>343.45</v>
      </c>
      <c r="AI52" s="890">
        <f t="shared" si="73"/>
        <v>0</v>
      </c>
      <c r="AJ52" s="894">
        <f>U52+AB52</f>
        <v>296.29000000000002</v>
      </c>
      <c r="AK52" s="894">
        <f>V52+AC52</f>
        <v>47.16</v>
      </c>
      <c r="AL52" s="890">
        <f t="shared" si="73"/>
        <v>0</v>
      </c>
      <c r="AM52" s="890">
        <f t="shared" si="73"/>
        <v>0</v>
      </c>
      <c r="AN52" s="890"/>
      <c r="AO52" s="890">
        <f>SUM(AI52:AN52)</f>
        <v>343.45000000000005</v>
      </c>
      <c r="AP52" s="890">
        <f>SUM(AI52:AM52)</f>
        <v>343.45000000000005</v>
      </c>
      <c r="AQ52" s="952">
        <f>SUM(AI52:AL52)</f>
        <v>343.45000000000005</v>
      </c>
      <c r="AR52" s="973">
        <f t="shared" si="36"/>
        <v>0</v>
      </c>
      <c r="AS52" s="889">
        <f t="shared" si="74"/>
        <v>0</v>
      </c>
      <c r="AT52" s="890">
        <f t="shared" si="74"/>
        <v>953721.65891000011</v>
      </c>
      <c r="AU52" s="890">
        <f t="shared" si="74"/>
        <v>151802.33364</v>
      </c>
      <c r="AV52" s="890">
        <f t="shared" si="74"/>
        <v>0</v>
      </c>
      <c r="AW52" s="890">
        <f t="shared" si="74"/>
        <v>0</v>
      </c>
      <c r="AX52" s="890">
        <f t="shared" si="47"/>
        <v>1105523.9925500001</v>
      </c>
      <c r="AY52" s="890">
        <f t="shared" si="48"/>
        <v>1105523.9925500001</v>
      </c>
      <c r="AZ52" s="890">
        <f t="shared" si="75"/>
        <v>0</v>
      </c>
      <c r="BA52" s="890">
        <f t="shared" si="75"/>
        <v>1044324.4743000001</v>
      </c>
      <c r="BB52" s="890">
        <f t="shared" si="75"/>
        <v>166223.43719999999</v>
      </c>
      <c r="BC52" s="890">
        <f t="shared" si="75"/>
        <v>0</v>
      </c>
      <c r="BD52" s="890">
        <f t="shared" si="75"/>
        <v>0</v>
      </c>
      <c r="BE52" s="890">
        <f t="shared" si="49"/>
        <v>1210547.9115000002</v>
      </c>
      <c r="BF52" s="952">
        <f t="shared" si="53"/>
        <v>1210547.9115000002</v>
      </c>
      <c r="BG52" s="974">
        <v>189.459</v>
      </c>
      <c r="BH52" s="890">
        <v>259.19499999999999</v>
      </c>
      <c r="BI52" s="948">
        <v>448.654</v>
      </c>
      <c r="BJ52" s="894">
        <v>1247.1099999999999</v>
      </c>
      <c r="BK52" s="1200">
        <v>2032.7</v>
      </c>
      <c r="BL52" s="897">
        <f t="shared" si="84"/>
        <v>0</v>
      </c>
      <c r="BM52" s="897">
        <f>J52*U52</f>
        <v>544988.40349000006</v>
      </c>
      <c r="BN52" s="897">
        <f>K52*V52</f>
        <v>87553.508800000011</v>
      </c>
      <c r="BO52" s="897">
        <f t="shared" si="84"/>
        <v>0</v>
      </c>
      <c r="BP52" s="897">
        <f t="shared" si="84"/>
        <v>0</v>
      </c>
      <c r="BQ52" s="897">
        <f>BL52+BM52+BN52+BO52+BP52</f>
        <v>632541.91229000012</v>
      </c>
      <c r="BR52" s="897">
        <f>BQ52-BP52</f>
        <v>632541.91229000012</v>
      </c>
      <c r="BS52" s="897">
        <f t="shared" si="85"/>
        <v>0</v>
      </c>
      <c r="BT52" s="897">
        <f>P52*AB52</f>
        <v>447562.59660000005</v>
      </c>
      <c r="BU52" s="897">
        <f>Q52*AC52</f>
        <v>70352.41320000001</v>
      </c>
      <c r="BV52" s="897">
        <f t="shared" si="58"/>
        <v>0</v>
      </c>
      <c r="BW52" s="897">
        <f t="shared" si="17"/>
        <v>0</v>
      </c>
      <c r="BX52" s="897">
        <f>BS52+BT52+BU52+BV52+BW52</f>
        <v>517915.00980000006</v>
      </c>
      <c r="BY52" s="897">
        <f>BX52-BW52</f>
        <v>517915.00980000006</v>
      </c>
      <c r="BZ52" s="905">
        <f t="shared" si="61"/>
        <v>992551.0000900001</v>
      </c>
      <c r="CA52" s="905">
        <f t="shared" si="61"/>
        <v>157905.92200000002</v>
      </c>
      <c r="CB52" s="905">
        <f t="shared" si="62"/>
        <v>1150456.92209</v>
      </c>
      <c r="CC52" s="907">
        <f t="shared" si="63"/>
        <v>3349.930811333491</v>
      </c>
      <c r="CD52" s="907">
        <f t="shared" si="63"/>
        <v>3348.3019932145894</v>
      </c>
      <c r="CE52" s="907">
        <f t="shared" si="39"/>
        <v>3349.7071541417959</v>
      </c>
      <c r="CF52" s="907">
        <f t="shared" si="18"/>
        <v>3349.7071541417968</v>
      </c>
      <c r="CG52" s="923">
        <f t="shared" si="19"/>
        <v>0</v>
      </c>
      <c r="CH52" s="923">
        <f t="shared" si="40"/>
        <v>0</v>
      </c>
      <c r="CI52" s="979"/>
      <c r="CJ52" s="1405">
        <f t="shared" si="86"/>
        <v>822.00193488630077</v>
      </c>
      <c r="CK52" s="1405">
        <f t="shared" si="83"/>
        <v>777.10982279999996</v>
      </c>
      <c r="CL52" s="1405">
        <f>CJ52+CK52</f>
        <v>1599.1117576863007</v>
      </c>
      <c r="CM52" s="897">
        <f t="shared" si="41"/>
        <v>1816.3765389999999</v>
      </c>
      <c r="CN52" s="897">
        <f t="shared" si="42"/>
        <v>217.26478131369913</v>
      </c>
      <c r="CO52" s="897">
        <f t="shared" si="22"/>
        <v>1599111.7576863007</v>
      </c>
      <c r="CP52" s="897">
        <f t="shared" si="23"/>
        <v>1105523.9925500001</v>
      </c>
      <c r="CQ52" s="897">
        <f t="shared" si="24"/>
        <v>1105523.9925500003</v>
      </c>
      <c r="CR52" s="897">
        <f t="shared" si="25"/>
        <v>632541.91229000012</v>
      </c>
      <c r="CS52" s="897">
        <f t="shared" si="26"/>
        <v>1210547.9115000002</v>
      </c>
      <c r="CT52" s="897">
        <f t="shared" si="27"/>
        <v>1210547.9115000002</v>
      </c>
      <c r="CU52" s="897">
        <f t="shared" si="28"/>
        <v>517915.00980000006</v>
      </c>
      <c r="CV52" s="897">
        <f t="shared" si="43"/>
        <v>2316071.90405</v>
      </c>
      <c r="CW52" s="906">
        <f t="shared" si="44"/>
        <v>6743.549</v>
      </c>
      <c r="CX52" s="897">
        <f t="shared" si="29"/>
        <v>1105523.9925500001</v>
      </c>
      <c r="CY52" s="897">
        <f t="shared" si="30"/>
        <v>1210547.9115000002</v>
      </c>
      <c r="CZ52" s="897"/>
      <c r="DA52" s="897">
        <f t="shared" si="31"/>
        <v>1436652.4071889473</v>
      </c>
      <c r="DB52" s="897">
        <f t="shared" si="32"/>
        <v>1816376.5390000001</v>
      </c>
      <c r="DC52" s="1131"/>
      <c r="DD52" s="40">
        <f t="shared" si="45"/>
        <v>164.30005601328907</v>
      </c>
      <c r="DE52" s="1131"/>
      <c r="DF52" s="1131"/>
      <c r="DG52" s="1131"/>
      <c r="DH52" s="1043">
        <v>343.45</v>
      </c>
      <c r="DI52" s="1043">
        <v>343.45</v>
      </c>
      <c r="DJ52" s="1043">
        <f>DH52-DI52</f>
        <v>0</v>
      </c>
      <c r="DK52" s="979"/>
      <c r="DL52" s="908">
        <f t="shared" si="33"/>
        <v>0</v>
      </c>
      <c r="DM52" s="908">
        <f t="shared" si="34"/>
        <v>0</v>
      </c>
      <c r="DN52" s="908">
        <f t="shared" si="35"/>
        <v>0</v>
      </c>
      <c r="DO52" s="81"/>
      <c r="DP52" s="81"/>
      <c r="DQ52" s="81"/>
      <c r="DR52" s="81"/>
      <c r="DS52" s="81"/>
      <c r="DT52" s="81"/>
      <c r="DU52" s="81"/>
      <c r="DV52" s="81"/>
      <c r="DW52" s="81"/>
      <c r="DX52" s="81"/>
      <c r="DY52" s="81"/>
      <c r="DZ52" s="81"/>
      <c r="EA52" s="81"/>
      <c r="EB52" s="81"/>
      <c r="EC52" s="81"/>
      <c r="ED52" s="81"/>
      <c r="EE52" s="81"/>
      <c r="EF52" s="81"/>
      <c r="EG52" s="81"/>
      <c r="EH52" s="81"/>
      <c r="EI52" s="81"/>
      <c r="EJ52" s="81"/>
      <c r="EK52" s="81"/>
      <c r="EL52" s="81"/>
    </row>
    <row r="53" spans="1:142" s="50" customFormat="1" ht="61.5" customHeight="1">
      <c r="A53" s="6" t="e">
        <f t="shared" si="46"/>
        <v>#REF!</v>
      </c>
      <c r="B53" s="886" t="s">
        <v>18</v>
      </c>
      <c r="C53" s="886" t="s">
        <v>138</v>
      </c>
      <c r="D53" s="1206" t="s">
        <v>95</v>
      </c>
      <c r="E53" s="886">
        <v>4611013586</v>
      </c>
      <c r="F53" s="886" t="s">
        <v>8</v>
      </c>
      <c r="G53" s="888" t="s">
        <v>950</v>
      </c>
      <c r="H53" s="1251">
        <v>4183.0030781451369</v>
      </c>
      <c r="I53" s="1252">
        <v>0</v>
      </c>
      <c r="J53" s="891">
        <v>3218.8790000000004</v>
      </c>
      <c r="K53" s="891">
        <v>3218.8790000000004</v>
      </c>
      <c r="L53" s="891">
        <v>0</v>
      </c>
      <c r="M53" s="946">
        <v>0</v>
      </c>
      <c r="N53" s="927">
        <v>5288.62</v>
      </c>
      <c r="O53" s="891">
        <v>0</v>
      </c>
      <c r="P53" s="891">
        <v>3524.67</v>
      </c>
      <c r="Q53" s="891">
        <v>3524.67</v>
      </c>
      <c r="R53" s="891">
        <v>0</v>
      </c>
      <c r="S53" s="946">
        <v>0</v>
      </c>
      <c r="T53" s="889">
        <v>0</v>
      </c>
      <c r="U53" s="890">
        <v>67.02</v>
      </c>
      <c r="V53" s="890">
        <v>0</v>
      </c>
      <c r="W53" s="890">
        <v>0</v>
      </c>
      <c r="X53" s="890">
        <v>0</v>
      </c>
      <c r="Y53" s="890">
        <v>0</v>
      </c>
      <c r="Z53" s="949">
        <f t="shared" si="8"/>
        <v>67.02</v>
      </c>
      <c r="AA53" s="974">
        <v>0</v>
      </c>
      <c r="AB53" s="890">
        <v>50.27</v>
      </c>
      <c r="AC53" s="890">
        <v>0</v>
      </c>
      <c r="AD53" s="890">
        <v>0</v>
      </c>
      <c r="AE53" s="890">
        <v>0</v>
      </c>
      <c r="AF53" s="890">
        <v>0</v>
      </c>
      <c r="AG53" s="951">
        <f t="shared" si="51"/>
        <v>50.27</v>
      </c>
      <c r="AH53" s="947">
        <f>Z53+AG53</f>
        <v>117.28999999999999</v>
      </c>
      <c r="AI53" s="890">
        <f t="shared" si="73"/>
        <v>0</v>
      </c>
      <c r="AJ53" s="948">
        <f>U53+AB53</f>
        <v>117.28999999999999</v>
      </c>
      <c r="AK53" s="890">
        <f t="shared" si="73"/>
        <v>0</v>
      </c>
      <c r="AL53" s="890">
        <f t="shared" si="73"/>
        <v>0</v>
      </c>
      <c r="AM53" s="890">
        <f t="shared" si="73"/>
        <v>0</v>
      </c>
      <c r="AN53" s="890"/>
      <c r="AO53" s="948">
        <f>SUM(AI53:AN53)</f>
        <v>117.28999999999999</v>
      </c>
      <c r="AP53" s="948">
        <f>SUM(AI53:AM53)</f>
        <v>117.28999999999999</v>
      </c>
      <c r="AQ53" s="949">
        <f>SUM(AI53:AL53)</f>
        <v>117.28999999999999</v>
      </c>
      <c r="AR53" s="973">
        <f t="shared" si="36"/>
        <v>0</v>
      </c>
      <c r="AS53" s="889">
        <f t="shared" si="74"/>
        <v>0</v>
      </c>
      <c r="AT53" s="890">
        <f t="shared" si="74"/>
        <v>377542.31791000004</v>
      </c>
      <c r="AU53" s="890">
        <f t="shared" si="74"/>
        <v>0</v>
      </c>
      <c r="AV53" s="890">
        <f t="shared" si="74"/>
        <v>0</v>
      </c>
      <c r="AW53" s="890">
        <f t="shared" si="74"/>
        <v>0</v>
      </c>
      <c r="AX53" s="890">
        <f t="shared" si="47"/>
        <v>377542.31791000004</v>
      </c>
      <c r="AY53" s="890">
        <f t="shared" si="48"/>
        <v>377542.31791000004</v>
      </c>
      <c r="AZ53" s="890">
        <f t="shared" si="75"/>
        <v>0</v>
      </c>
      <c r="BA53" s="890">
        <f t="shared" si="75"/>
        <v>413408.54430000001</v>
      </c>
      <c r="BB53" s="890">
        <f t="shared" si="75"/>
        <v>0</v>
      </c>
      <c r="BC53" s="890">
        <f t="shared" si="75"/>
        <v>0</v>
      </c>
      <c r="BD53" s="890">
        <f t="shared" si="75"/>
        <v>0</v>
      </c>
      <c r="BE53" s="890">
        <f t="shared" si="49"/>
        <v>413408.54430000001</v>
      </c>
      <c r="BF53" s="952">
        <f t="shared" si="53"/>
        <v>413408.54430000001</v>
      </c>
      <c r="BG53" s="974">
        <v>64.614999999999995</v>
      </c>
      <c r="BH53" s="890">
        <v>88.674000000000007</v>
      </c>
      <c r="BI53" s="948">
        <v>153.28899999999999</v>
      </c>
      <c r="BJ53" s="894">
        <v>855.25</v>
      </c>
      <c r="BK53" s="1200">
        <v>1440.48</v>
      </c>
      <c r="BL53" s="897">
        <f t="shared" si="84"/>
        <v>0</v>
      </c>
      <c r="BM53" s="897">
        <f>J53*U53</f>
        <v>215729.27058000001</v>
      </c>
      <c r="BN53" s="897">
        <f t="shared" si="84"/>
        <v>0</v>
      </c>
      <c r="BO53" s="897">
        <f t="shared" si="84"/>
        <v>0</v>
      </c>
      <c r="BP53" s="897">
        <f t="shared" si="84"/>
        <v>0</v>
      </c>
      <c r="BQ53" s="897">
        <f>BL53+BM53+BN53+BO53+BP53</f>
        <v>215729.27058000001</v>
      </c>
      <c r="BR53" s="897">
        <f>BQ53-BP53</f>
        <v>215729.27058000001</v>
      </c>
      <c r="BS53" s="897">
        <f t="shared" si="85"/>
        <v>0</v>
      </c>
      <c r="BT53" s="897">
        <f>P53*AB53</f>
        <v>177185.16090000002</v>
      </c>
      <c r="BU53" s="897">
        <f t="shared" si="85"/>
        <v>0</v>
      </c>
      <c r="BV53" s="897">
        <f t="shared" si="58"/>
        <v>0</v>
      </c>
      <c r="BW53" s="897">
        <f t="shared" si="17"/>
        <v>0</v>
      </c>
      <c r="BX53" s="897">
        <f>BS53+BT53+BU53+BV53+BW53</f>
        <v>177185.16090000002</v>
      </c>
      <c r="BY53" s="897">
        <f>BX53-BW53</f>
        <v>177185.16090000002</v>
      </c>
      <c r="BZ53" s="905">
        <f t="shared" si="61"/>
        <v>392914.43148000003</v>
      </c>
      <c r="CA53" s="905">
        <f t="shared" si="61"/>
        <v>0</v>
      </c>
      <c r="CB53" s="905">
        <f t="shared" si="62"/>
        <v>392914.43148000003</v>
      </c>
      <c r="CC53" s="907">
        <f t="shared" si="63"/>
        <v>3349.9397346747382</v>
      </c>
      <c r="CD53" s="907" t="e">
        <f t="shared" si="63"/>
        <v>#DIV/0!</v>
      </c>
      <c r="CE53" s="907">
        <f t="shared" si="39"/>
        <v>3349.9397346747382</v>
      </c>
      <c r="CF53" s="907">
        <f t="shared" si="18"/>
        <v>3349.9397346747382</v>
      </c>
      <c r="CG53" s="923">
        <f t="shared" si="19"/>
        <v>0</v>
      </c>
      <c r="CH53" s="923">
        <f t="shared" si="40"/>
        <v>0</v>
      </c>
      <c r="CI53" s="979"/>
      <c r="CJ53" s="1405">
        <f t="shared" si="86"/>
        <v>280.34486629728707</v>
      </c>
      <c r="CK53" s="1405">
        <f t="shared" si="83"/>
        <v>265.85892739999997</v>
      </c>
      <c r="CL53" s="1405">
        <f>CJ53+CK53</f>
        <v>546.20379369728698</v>
      </c>
      <c r="CM53" s="897">
        <f t="shared" si="41"/>
        <v>620.30223979999994</v>
      </c>
      <c r="CN53" s="897">
        <f t="shared" si="42"/>
        <v>74.098446102712956</v>
      </c>
      <c r="CO53" s="897">
        <f t="shared" si="22"/>
        <v>546203.7936972871</v>
      </c>
      <c r="CP53" s="897">
        <f t="shared" si="23"/>
        <v>377542.31791000004</v>
      </c>
      <c r="CQ53" s="897">
        <f t="shared" si="24"/>
        <v>377542.31791000004</v>
      </c>
      <c r="CR53" s="897">
        <f t="shared" si="25"/>
        <v>215729.27058000001</v>
      </c>
      <c r="CS53" s="897">
        <f t="shared" si="26"/>
        <v>413408.54430000001</v>
      </c>
      <c r="CT53" s="897">
        <f t="shared" si="27"/>
        <v>413408.54430000001</v>
      </c>
      <c r="CU53" s="897">
        <f t="shared" si="28"/>
        <v>177185.16090000002</v>
      </c>
      <c r="CV53" s="897">
        <f t="shared" si="43"/>
        <v>790950.86221000005</v>
      </c>
      <c r="CW53" s="906">
        <f t="shared" si="44"/>
        <v>6743.5490000000009</v>
      </c>
      <c r="CX53" s="897">
        <f t="shared" si="29"/>
        <v>377542.31791000004</v>
      </c>
      <c r="CY53" s="897">
        <f t="shared" si="30"/>
        <v>413408.54430000001</v>
      </c>
      <c r="CZ53" s="897"/>
      <c r="DA53" s="897">
        <f t="shared" si="31"/>
        <v>490624.43103564309</v>
      </c>
      <c r="DB53" s="897">
        <f t="shared" si="32"/>
        <v>620302.23979999998</v>
      </c>
      <c r="DC53" s="1131"/>
      <c r="DD53" s="40">
        <f t="shared" si="45"/>
        <v>164.30005601328907</v>
      </c>
      <c r="DE53" s="1131"/>
      <c r="DF53" s="1131"/>
      <c r="DG53" s="1131"/>
      <c r="DH53" s="1043">
        <v>117.28999999999999</v>
      </c>
      <c r="DI53" s="1043">
        <v>117.28999999999999</v>
      </c>
      <c r="DJ53" s="1043">
        <f>DH53-DI53</f>
        <v>0</v>
      </c>
      <c r="DK53" s="979"/>
      <c r="DL53" s="908">
        <f t="shared" si="33"/>
        <v>0</v>
      </c>
      <c r="DM53" s="908">
        <f t="shared" si="34"/>
        <v>0</v>
      </c>
      <c r="DN53" s="908">
        <f t="shared" si="35"/>
        <v>0</v>
      </c>
      <c r="DO53" s="81"/>
      <c r="DP53" s="81"/>
      <c r="DQ53" s="81"/>
      <c r="DR53" s="81"/>
      <c r="DS53" s="81"/>
      <c r="DT53" s="81"/>
      <c r="DU53" s="81"/>
      <c r="DV53" s="81"/>
      <c r="DW53" s="81"/>
      <c r="DX53" s="81"/>
      <c r="DY53" s="81"/>
      <c r="DZ53" s="81"/>
      <c r="EA53" s="81"/>
      <c r="EB53" s="81"/>
      <c r="EC53" s="81"/>
      <c r="ED53" s="81"/>
      <c r="EE53" s="81"/>
      <c r="EF53" s="81"/>
      <c r="EG53" s="81"/>
      <c r="EH53" s="81"/>
      <c r="EI53" s="81"/>
      <c r="EJ53" s="81"/>
      <c r="EK53" s="81"/>
      <c r="EL53" s="81"/>
    </row>
    <row r="54" spans="1:142" s="869" customFormat="1" ht="69.75" customHeight="1">
      <c r="A54" s="6" t="e">
        <f t="shared" si="46"/>
        <v>#REF!</v>
      </c>
      <c r="B54" s="1395" t="s">
        <v>18</v>
      </c>
      <c r="C54" s="1395" t="s">
        <v>97</v>
      </c>
      <c r="D54" s="1262" t="s">
        <v>141</v>
      </c>
      <c r="E54" s="887">
        <v>4632024035</v>
      </c>
      <c r="F54" s="886" t="s">
        <v>8</v>
      </c>
      <c r="G54" s="1238" t="s">
        <v>983</v>
      </c>
      <c r="H54" s="1256">
        <v>3314.9639999999995</v>
      </c>
      <c r="I54" s="1257">
        <f>H54</f>
        <v>3314.9639999999995</v>
      </c>
      <c r="J54" s="891"/>
      <c r="K54" s="891"/>
      <c r="L54" s="1256">
        <v>3314.9639999999995</v>
      </c>
      <c r="M54" s="946"/>
      <c r="N54" s="1259">
        <f>3132.14*1.2</f>
        <v>3758.5679999999998</v>
      </c>
      <c r="O54" s="1260">
        <f>N54</f>
        <v>3758.5679999999998</v>
      </c>
      <c r="P54" s="891"/>
      <c r="Q54" s="891"/>
      <c r="R54" s="891">
        <f>O54</f>
        <v>3758.5679999999998</v>
      </c>
      <c r="S54" s="946"/>
      <c r="T54" s="1307">
        <v>3953.3850000000002</v>
      </c>
      <c r="U54" s="1366"/>
      <c r="V54" s="1366"/>
      <c r="W54" s="890"/>
      <c r="X54" s="890"/>
      <c r="Y54" s="890"/>
      <c r="Z54" s="1397">
        <f t="shared" si="8"/>
        <v>3953.3850000000002</v>
      </c>
      <c r="AA54" s="1308">
        <v>958.45</v>
      </c>
      <c r="AB54" s="1366"/>
      <c r="AC54" s="1366"/>
      <c r="AD54" s="890"/>
      <c r="AE54" s="890"/>
      <c r="AF54" s="890"/>
      <c r="AG54" s="951">
        <f t="shared" si="51"/>
        <v>958.45</v>
      </c>
      <c r="AH54" s="947">
        <f t="shared" si="52"/>
        <v>4911.835</v>
      </c>
      <c r="AI54" s="890">
        <f t="shared" si="73"/>
        <v>4911.835</v>
      </c>
      <c r="AJ54" s="890">
        <f t="shared" si="73"/>
        <v>0</v>
      </c>
      <c r="AK54" s="890">
        <f t="shared" si="73"/>
        <v>0</v>
      </c>
      <c r="AL54" s="890">
        <f t="shared" si="73"/>
        <v>0</v>
      </c>
      <c r="AM54" s="890">
        <f t="shared" si="73"/>
        <v>0</v>
      </c>
      <c r="AN54" s="890"/>
      <c r="AO54" s="890">
        <f t="shared" si="70"/>
        <v>4911.835</v>
      </c>
      <c r="AP54" s="890">
        <f t="shared" si="71"/>
        <v>4911.835</v>
      </c>
      <c r="AQ54" s="952">
        <f t="shared" si="72"/>
        <v>4911.835</v>
      </c>
      <c r="AR54" s="973">
        <f t="shared" si="36"/>
        <v>0</v>
      </c>
      <c r="AS54" s="889">
        <f t="shared" si="74"/>
        <v>16282556.198939998</v>
      </c>
      <c r="AT54" s="890">
        <f t="shared" si="74"/>
        <v>0</v>
      </c>
      <c r="AU54" s="890">
        <f t="shared" si="74"/>
        <v>0</v>
      </c>
      <c r="AV54" s="890">
        <f t="shared" si="74"/>
        <v>0</v>
      </c>
      <c r="AW54" s="890">
        <f t="shared" si="74"/>
        <v>0</v>
      </c>
      <c r="AX54" s="890">
        <f t="shared" si="47"/>
        <v>16282556.198939998</v>
      </c>
      <c r="AY54" s="890">
        <f t="shared" si="48"/>
        <v>16282556.198939998</v>
      </c>
      <c r="AZ54" s="890">
        <f t="shared" si="75"/>
        <v>18461465.852279998</v>
      </c>
      <c r="BA54" s="890">
        <f t="shared" si="75"/>
        <v>0</v>
      </c>
      <c r="BB54" s="890">
        <f t="shared" si="75"/>
        <v>0</v>
      </c>
      <c r="BC54" s="890">
        <f t="shared" si="75"/>
        <v>0</v>
      </c>
      <c r="BD54" s="890">
        <f t="shared" si="75"/>
        <v>0</v>
      </c>
      <c r="BE54" s="890">
        <f t="shared" si="49"/>
        <v>18461465.852279998</v>
      </c>
      <c r="BF54" s="952">
        <f t="shared" si="53"/>
        <v>18461465.852279998</v>
      </c>
      <c r="BG54" s="953">
        <f>(H54-J54)/1.2*U54/1000+(H54-K54)/1.2*V54/1000</f>
        <v>0</v>
      </c>
      <c r="BH54" s="954">
        <f>(O54-P54)*AB54/1000/1.2+(O54-Q54)/1.2*AC54/1000</f>
        <v>0</v>
      </c>
      <c r="BI54" s="955">
        <f>BG54+BH54</f>
        <v>0</v>
      </c>
      <c r="BJ54" s="890"/>
      <c r="BK54" s="1199"/>
      <c r="BL54" s="890">
        <f t="shared" si="84"/>
        <v>13105328.953139998</v>
      </c>
      <c r="BM54" s="890">
        <f t="shared" si="84"/>
        <v>0</v>
      </c>
      <c r="BN54" s="890">
        <f t="shared" si="84"/>
        <v>0</v>
      </c>
      <c r="BO54" s="890">
        <f t="shared" si="84"/>
        <v>0</v>
      </c>
      <c r="BP54" s="890">
        <f t="shared" si="84"/>
        <v>0</v>
      </c>
      <c r="BQ54" s="890">
        <f t="shared" si="55"/>
        <v>13105328.953139998</v>
      </c>
      <c r="BR54" s="890">
        <f t="shared" si="56"/>
        <v>13105328.953139998</v>
      </c>
      <c r="BS54" s="890">
        <f t="shared" si="85"/>
        <v>3602399.4995999997</v>
      </c>
      <c r="BT54" s="890">
        <f t="shared" si="85"/>
        <v>0</v>
      </c>
      <c r="BU54" s="890">
        <f t="shared" si="85"/>
        <v>0</v>
      </c>
      <c r="BV54" s="890">
        <f t="shared" si="58"/>
        <v>0</v>
      </c>
      <c r="BW54" s="890">
        <f t="shared" si="17"/>
        <v>0</v>
      </c>
      <c r="BX54" s="890">
        <f t="shared" si="59"/>
        <v>3602399.4995999997</v>
      </c>
      <c r="BY54" s="890">
        <f t="shared" si="60"/>
        <v>3602399.4995999997</v>
      </c>
      <c r="BZ54" s="945">
        <f t="shared" si="61"/>
        <v>0</v>
      </c>
      <c r="CA54" s="945">
        <f t="shared" si="61"/>
        <v>0</v>
      </c>
      <c r="CB54" s="945">
        <f t="shared" si="62"/>
        <v>0</v>
      </c>
      <c r="CC54" s="976" t="e">
        <f t="shared" si="63"/>
        <v>#DIV/0!</v>
      </c>
      <c r="CD54" s="976" t="e">
        <f t="shared" si="63"/>
        <v>#DIV/0!</v>
      </c>
      <c r="CE54" s="976" t="e">
        <f t="shared" si="39"/>
        <v>#DIV/0!</v>
      </c>
      <c r="CF54" s="945" t="e">
        <f t="shared" si="18"/>
        <v>#DIV/0!</v>
      </c>
      <c r="CG54" s="977">
        <f t="shared" si="19"/>
        <v>0</v>
      </c>
      <c r="CH54" s="977" t="e">
        <f t="shared" si="40"/>
        <v>#DIV/0!</v>
      </c>
      <c r="CI54" s="945"/>
      <c r="CJ54" s="1405">
        <f t="shared" si="86"/>
        <v>13105.328953139999</v>
      </c>
      <c r="CK54" s="1405">
        <f t="shared" si="83"/>
        <v>3602.3994995999997</v>
      </c>
      <c r="CL54" s="1405">
        <f t="shared" si="50"/>
        <v>16707.728452739997</v>
      </c>
      <c r="CM54" s="890">
        <f t="shared" si="41"/>
        <v>18461.465852279998</v>
      </c>
      <c r="CN54" s="890">
        <f t="shared" si="42"/>
        <v>1753.7373995400012</v>
      </c>
      <c r="CO54" s="890">
        <f t="shared" si="22"/>
        <v>16707728.452739999</v>
      </c>
      <c r="CP54" s="890">
        <f t="shared" si="23"/>
        <v>16282556.198939998</v>
      </c>
      <c r="CQ54" s="890">
        <f t="shared" si="24"/>
        <v>16282556.198939998</v>
      </c>
      <c r="CR54" s="890">
        <f t="shared" si="25"/>
        <v>13105328.953139998</v>
      </c>
      <c r="CS54" s="890">
        <f t="shared" si="26"/>
        <v>18461465.852279998</v>
      </c>
      <c r="CT54" s="890">
        <f t="shared" si="27"/>
        <v>18461465.852279998</v>
      </c>
      <c r="CU54" s="890">
        <f t="shared" si="28"/>
        <v>3602399.4995999997</v>
      </c>
      <c r="CV54" s="890">
        <f t="shared" si="43"/>
        <v>34744022.05122</v>
      </c>
      <c r="CW54" s="978">
        <f t="shared" si="44"/>
        <v>7073.5320000000002</v>
      </c>
      <c r="CX54" s="890">
        <f t="shared" si="29"/>
        <v>0</v>
      </c>
      <c r="CY54" s="890">
        <f t="shared" si="30"/>
        <v>0</v>
      </c>
      <c r="CZ54" s="890"/>
      <c r="DA54" s="890">
        <f t="shared" si="31"/>
        <v>16282556.198939998</v>
      </c>
      <c r="DB54" s="890">
        <f t="shared" si="32"/>
        <v>18461465.852279998</v>
      </c>
      <c r="DC54" s="840"/>
      <c r="DD54" s="841" t="e">
        <f t="shared" si="45"/>
        <v>#DIV/0!</v>
      </c>
      <c r="DE54" s="840"/>
      <c r="DF54" s="840"/>
      <c r="DG54" s="840"/>
      <c r="DH54" s="1050"/>
      <c r="DI54" s="1050"/>
      <c r="DJ54" s="1050"/>
      <c r="DK54" s="945"/>
      <c r="DL54" s="975">
        <f t="shared" si="33"/>
        <v>0</v>
      </c>
      <c r="DM54" s="975">
        <f t="shared" si="34"/>
        <v>0</v>
      </c>
      <c r="DN54" s="975">
        <f t="shared" si="35"/>
        <v>0</v>
      </c>
      <c r="DO54" s="816"/>
      <c r="DP54" s="871"/>
      <c r="DQ54" s="871"/>
      <c r="DR54" s="871"/>
      <c r="DS54" s="871"/>
      <c r="DT54" s="871"/>
      <c r="DU54" s="871"/>
      <c r="DV54" s="871"/>
      <c r="DW54" s="871"/>
      <c r="DX54" s="871"/>
      <c r="DY54" s="871"/>
      <c r="DZ54" s="871"/>
      <c r="EA54" s="871"/>
      <c r="EB54" s="871"/>
      <c r="EC54" s="871"/>
      <c r="ED54" s="871"/>
      <c r="EE54" s="871"/>
      <c r="EF54" s="871"/>
      <c r="EG54" s="871"/>
      <c r="EH54" s="871"/>
      <c r="EI54" s="871"/>
      <c r="EJ54" s="871"/>
      <c r="EK54" s="871"/>
      <c r="EL54" s="871"/>
    </row>
    <row r="55" spans="1:142" s="869" customFormat="1" ht="75.75" customHeight="1">
      <c r="A55" s="6" t="e">
        <f t="shared" si="46"/>
        <v>#REF!</v>
      </c>
      <c r="B55" s="1395" t="s">
        <v>18</v>
      </c>
      <c r="C55" s="1395" t="s">
        <v>98</v>
      </c>
      <c r="D55" s="1262" t="s">
        <v>141</v>
      </c>
      <c r="E55" s="887">
        <v>4632024035</v>
      </c>
      <c r="F55" s="886" t="s">
        <v>8</v>
      </c>
      <c r="G55" s="1238" t="s">
        <v>983</v>
      </c>
      <c r="H55" s="1256">
        <v>3314.9639999999995</v>
      </c>
      <c r="I55" s="1257">
        <f>H55</f>
        <v>3314.9639999999995</v>
      </c>
      <c r="J55" s="891"/>
      <c r="K55" s="891"/>
      <c r="L55" s="1256">
        <v>3314.9639999999995</v>
      </c>
      <c r="M55" s="946"/>
      <c r="N55" s="1259">
        <f>3132.14*1.2</f>
        <v>3758.5679999999998</v>
      </c>
      <c r="O55" s="1260">
        <f>N55</f>
        <v>3758.5679999999998</v>
      </c>
      <c r="P55" s="891"/>
      <c r="Q55" s="891"/>
      <c r="R55" s="891">
        <f>O55</f>
        <v>3758.5679999999998</v>
      </c>
      <c r="S55" s="946"/>
      <c r="T55" s="1307">
        <v>345.18</v>
      </c>
      <c r="U55" s="1366"/>
      <c r="V55" s="1366"/>
      <c r="W55" s="890"/>
      <c r="X55" s="890"/>
      <c r="Y55" s="890"/>
      <c r="Z55" s="1397">
        <f t="shared" si="8"/>
        <v>345.18</v>
      </c>
      <c r="AA55" s="1308">
        <v>300.53999999999996</v>
      </c>
      <c r="AB55" s="1366"/>
      <c r="AC55" s="1366"/>
      <c r="AD55" s="890"/>
      <c r="AE55" s="890"/>
      <c r="AF55" s="890"/>
      <c r="AG55" s="951">
        <f t="shared" si="51"/>
        <v>300.53999999999996</v>
      </c>
      <c r="AH55" s="947">
        <f t="shared" si="52"/>
        <v>645.72</v>
      </c>
      <c r="AI55" s="890">
        <f t="shared" si="73"/>
        <v>645.72</v>
      </c>
      <c r="AJ55" s="890">
        <f t="shared" si="73"/>
        <v>0</v>
      </c>
      <c r="AK55" s="890">
        <f t="shared" si="73"/>
        <v>0</v>
      </c>
      <c r="AL55" s="890">
        <f t="shared" si="73"/>
        <v>0</v>
      </c>
      <c r="AM55" s="890">
        <f t="shared" si="73"/>
        <v>0</v>
      </c>
      <c r="AN55" s="890"/>
      <c r="AO55" s="890">
        <f t="shared" si="70"/>
        <v>645.72</v>
      </c>
      <c r="AP55" s="890">
        <f t="shared" si="71"/>
        <v>645.72</v>
      </c>
      <c r="AQ55" s="952">
        <f t="shared" si="72"/>
        <v>645.72</v>
      </c>
      <c r="AR55" s="973">
        <f t="shared" si="36"/>
        <v>0</v>
      </c>
      <c r="AS55" s="889">
        <f t="shared" si="74"/>
        <v>2140538.5540799997</v>
      </c>
      <c r="AT55" s="890">
        <f t="shared" si="74"/>
        <v>0</v>
      </c>
      <c r="AU55" s="890">
        <f t="shared" si="74"/>
        <v>0</v>
      </c>
      <c r="AV55" s="890">
        <f t="shared" si="74"/>
        <v>0</v>
      </c>
      <c r="AW55" s="890">
        <f t="shared" si="74"/>
        <v>0</v>
      </c>
      <c r="AX55" s="890">
        <f t="shared" si="47"/>
        <v>2140538.5540799997</v>
      </c>
      <c r="AY55" s="890">
        <f t="shared" si="48"/>
        <v>2140538.5540799997</v>
      </c>
      <c r="AZ55" s="890">
        <f t="shared" si="75"/>
        <v>2426982.5289599998</v>
      </c>
      <c r="BA55" s="890">
        <f t="shared" si="75"/>
        <v>0</v>
      </c>
      <c r="BB55" s="890">
        <f t="shared" si="75"/>
        <v>0</v>
      </c>
      <c r="BC55" s="890">
        <f t="shared" si="75"/>
        <v>0</v>
      </c>
      <c r="BD55" s="890">
        <f t="shared" si="75"/>
        <v>0</v>
      </c>
      <c r="BE55" s="890">
        <f t="shared" si="49"/>
        <v>2426982.5289599998</v>
      </c>
      <c r="BF55" s="952">
        <f t="shared" si="53"/>
        <v>2426982.5289599998</v>
      </c>
      <c r="BG55" s="953">
        <f>(H55-J55)/1.2*U55/1000+(H55-K55)/1.2*V55/1000</f>
        <v>0</v>
      </c>
      <c r="BH55" s="954">
        <f>(O55-P55)*AB55/1000/1.2+(O55-Q55)/1.2*AC55/1000</f>
        <v>0</v>
      </c>
      <c r="BI55" s="955">
        <f>BG55+BH55</f>
        <v>0</v>
      </c>
      <c r="BJ55" s="890"/>
      <c r="BK55" s="1199"/>
      <c r="BL55" s="890">
        <f t="shared" si="84"/>
        <v>1144259.2735199998</v>
      </c>
      <c r="BM55" s="890">
        <f t="shared" si="84"/>
        <v>0</v>
      </c>
      <c r="BN55" s="890">
        <f t="shared" si="84"/>
        <v>0</v>
      </c>
      <c r="BO55" s="890">
        <f t="shared" si="84"/>
        <v>0</v>
      </c>
      <c r="BP55" s="890">
        <f t="shared" si="84"/>
        <v>0</v>
      </c>
      <c r="BQ55" s="890">
        <f t="shared" si="55"/>
        <v>1144259.2735199998</v>
      </c>
      <c r="BR55" s="890">
        <f t="shared" si="56"/>
        <v>1144259.2735199998</v>
      </c>
      <c r="BS55" s="890">
        <f t="shared" si="85"/>
        <v>1129600.0267199997</v>
      </c>
      <c r="BT55" s="890">
        <f t="shared" si="85"/>
        <v>0</v>
      </c>
      <c r="BU55" s="890">
        <f t="shared" si="85"/>
        <v>0</v>
      </c>
      <c r="BV55" s="890">
        <f t="shared" si="58"/>
        <v>0</v>
      </c>
      <c r="BW55" s="890">
        <f t="shared" si="17"/>
        <v>0</v>
      </c>
      <c r="BX55" s="890">
        <f t="shared" si="59"/>
        <v>1129600.0267199997</v>
      </c>
      <c r="BY55" s="890">
        <f t="shared" si="60"/>
        <v>1129600.0267199997</v>
      </c>
      <c r="BZ55" s="945">
        <f t="shared" si="61"/>
        <v>0</v>
      </c>
      <c r="CA55" s="945">
        <f t="shared" si="61"/>
        <v>0</v>
      </c>
      <c r="CB55" s="945">
        <f t="shared" si="62"/>
        <v>0</v>
      </c>
      <c r="CC55" s="976" t="e">
        <f t="shared" si="63"/>
        <v>#DIV/0!</v>
      </c>
      <c r="CD55" s="976" t="e">
        <f t="shared" si="63"/>
        <v>#DIV/0!</v>
      </c>
      <c r="CE55" s="976" t="e">
        <f t="shared" si="39"/>
        <v>#DIV/0!</v>
      </c>
      <c r="CF55" s="945" t="e">
        <f t="shared" si="18"/>
        <v>#DIV/0!</v>
      </c>
      <c r="CG55" s="977">
        <f t="shared" si="19"/>
        <v>0</v>
      </c>
      <c r="CH55" s="977" t="e">
        <f t="shared" si="40"/>
        <v>#DIV/0!</v>
      </c>
      <c r="CI55" s="945"/>
      <c r="CJ55" s="1405">
        <f t="shared" si="86"/>
        <v>1144.2592735199999</v>
      </c>
      <c r="CK55" s="1405">
        <f t="shared" si="83"/>
        <v>1129.6000267199997</v>
      </c>
      <c r="CL55" s="1405">
        <f t="shared" si="50"/>
        <v>2273.8593002399994</v>
      </c>
      <c r="CM55" s="890">
        <f t="shared" si="41"/>
        <v>2426.9825289599999</v>
      </c>
      <c r="CN55" s="890">
        <f t="shared" si="42"/>
        <v>153.1232287200005</v>
      </c>
      <c r="CO55" s="890">
        <f t="shared" si="22"/>
        <v>2273859.3002399998</v>
      </c>
      <c r="CP55" s="890">
        <f t="shared" si="23"/>
        <v>2140538.5540799997</v>
      </c>
      <c r="CQ55" s="890">
        <f t="shared" si="24"/>
        <v>2140538.5540799997</v>
      </c>
      <c r="CR55" s="890">
        <f t="shared" si="25"/>
        <v>1144259.2735199998</v>
      </c>
      <c r="CS55" s="890">
        <f t="shared" si="26"/>
        <v>2426982.5289599998</v>
      </c>
      <c r="CT55" s="890">
        <f t="shared" si="27"/>
        <v>2426982.5289599998</v>
      </c>
      <c r="CU55" s="890">
        <f t="shared" si="28"/>
        <v>1129600.0267199997</v>
      </c>
      <c r="CV55" s="890">
        <f t="shared" si="43"/>
        <v>4567521.083039999</v>
      </c>
      <c r="CW55" s="978">
        <f t="shared" si="44"/>
        <v>7073.5319999999983</v>
      </c>
      <c r="CX55" s="890">
        <f t="shared" si="29"/>
        <v>0</v>
      </c>
      <c r="CY55" s="890">
        <f t="shared" si="30"/>
        <v>0</v>
      </c>
      <c r="CZ55" s="890"/>
      <c r="DA55" s="890">
        <f t="shared" si="31"/>
        <v>2140538.5540799997</v>
      </c>
      <c r="DB55" s="890">
        <f t="shared" si="32"/>
        <v>2426982.5289599998</v>
      </c>
      <c r="DC55" s="840"/>
      <c r="DD55" s="841" t="e">
        <f t="shared" si="45"/>
        <v>#DIV/0!</v>
      </c>
      <c r="DE55" s="840"/>
      <c r="DF55" s="840"/>
      <c r="DG55" s="840"/>
      <c r="DH55" s="1050"/>
      <c r="DI55" s="1050"/>
      <c r="DJ55" s="1050"/>
      <c r="DK55" s="945"/>
      <c r="DL55" s="975">
        <f t="shared" si="33"/>
        <v>0</v>
      </c>
      <c r="DM55" s="975">
        <f t="shared" si="34"/>
        <v>0</v>
      </c>
      <c r="DN55" s="975">
        <f t="shared" si="35"/>
        <v>0</v>
      </c>
      <c r="DO55" s="816"/>
      <c r="DP55" s="871"/>
      <c r="DQ55" s="871"/>
      <c r="DR55" s="871"/>
      <c r="DS55" s="871"/>
      <c r="DT55" s="871"/>
      <c r="DU55" s="871"/>
      <c r="DV55" s="871"/>
      <c r="DW55" s="871"/>
      <c r="DX55" s="871"/>
      <c r="DY55" s="871"/>
      <c r="DZ55" s="871"/>
      <c r="EA55" s="871"/>
      <c r="EB55" s="871"/>
      <c r="EC55" s="871"/>
      <c r="ED55" s="871"/>
      <c r="EE55" s="871"/>
      <c r="EF55" s="871"/>
      <c r="EG55" s="871"/>
      <c r="EH55" s="871"/>
      <c r="EI55" s="871"/>
      <c r="EJ55" s="871"/>
      <c r="EK55" s="871"/>
      <c r="EL55" s="871"/>
    </row>
    <row r="56" spans="1:142" s="50" customFormat="1" ht="69" customHeight="1">
      <c r="A56" s="6" t="e">
        <f t="shared" si="46"/>
        <v>#REF!</v>
      </c>
      <c r="B56" s="886" t="s">
        <v>18</v>
      </c>
      <c r="C56" s="886" t="s">
        <v>999</v>
      </c>
      <c r="D56" s="1206" t="s">
        <v>96</v>
      </c>
      <c r="E56" s="886">
        <v>4611013586</v>
      </c>
      <c r="F56" s="886" t="s">
        <v>8</v>
      </c>
      <c r="G56" s="888" t="s">
        <v>950</v>
      </c>
      <c r="H56" s="1249">
        <v>4183.0030781451369</v>
      </c>
      <c r="I56" s="1250">
        <v>0</v>
      </c>
      <c r="J56" s="891">
        <v>2677.8195000000001</v>
      </c>
      <c r="K56" s="891">
        <v>2677.8195000000001</v>
      </c>
      <c r="L56" s="891">
        <v>0</v>
      </c>
      <c r="M56" s="946">
        <v>0</v>
      </c>
      <c r="N56" s="927">
        <v>5288.62</v>
      </c>
      <c r="O56" s="891">
        <v>0</v>
      </c>
      <c r="P56" s="891">
        <v>3052.71</v>
      </c>
      <c r="Q56" s="891">
        <v>3052.71</v>
      </c>
      <c r="R56" s="891">
        <v>0</v>
      </c>
      <c r="S56" s="946">
        <v>0</v>
      </c>
      <c r="T56" s="889">
        <v>0</v>
      </c>
      <c r="U56" s="894">
        <v>268.60000000000002</v>
      </c>
      <c r="V56" s="894">
        <v>97.13</v>
      </c>
      <c r="W56" s="890">
        <v>0</v>
      </c>
      <c r="X56" s="890">
        <v>0</v>
      </c>
      <c r="Y56" s="945">
        <v>0</v>
      </c>
      <c r="Z56" s="949">
        <f>SUM(T56:W56)</f>
        <v>365.73</v>
      </c>
      <c r="AA56" s="974">
        <v>0</v>
      </c>
      <c r="AB56" s="894">
        <v>192.89</v>
      </c>
      <c r="AC56" s="894">
        <v>74.430000000000007</v>
      </c>
      <c r="AD56" s="890">
        <v>0</v>
      </c>
      <c r="AE56" s="890">
        <v>0</v>
      </c>
      <c r="AF56" s="890">
        <v>0</v>
      </c>
      <c r="AG56" s="951">
        <f>SUM(AA56:AD56)</f>
        <v>267.32</v>
      </c>
      <c r="AH56" s="947">
        <f>Z56+AG56</f>
        <v>633.04999999999995</v>
      </c>
      <c r="AI56" s="890">
        <f t="shared" si="73"/>
        <v>0</v>
      </c>
      <c r="AJ56" s="890">
        <f t="shared" si="73"/>
        <v>461.49</v>
      </c>
      <c r="AK56" s="894">
        <f t="shared" si="73"/>
        <v>171.56</v>
      </c>
      <c r="AL56" s="890">
        <f t="shared" si="73"/>
        <v>0</v>
      </c>
      <c r="AM56" s="890">
        <f t="shared" si="73"/>
        <v>0</v>
      </c>
      <c r="AN56" s="890"/>
      <c r="AO56" s="890">
        <f>SUM(AI56:AN56)</f>
        <v>633.04999999999995</v>
      </c>
      <c r="AP56" s="890">
        <f>SUM(AI56:AM56)</f>
        <v>633.04999999999995</v>
      </c>
      <c r="AQ56" s="952">
        <f>SUM(AI56:AL56)</f>
        <v>633.04999999999995</v>
      </c>
      <c r="AR56" s="973">
        <f t="shared" si="36"/>
        <v>0</v>
      </c>
      <c r="AS56" s="889">
        <f t="shared" ref="AS56:AW85" si="88">I56*AI56</f>
        <v>0</v>
      </c>
      <c r="AT56" s="890">
        <f t="shared" si="88"/>
        <v>1235786.921055</v>
      </c>
      <c r="AU56" s="890">
        <f t="shared" si="88"/>
        <v>459406.71342000004</v>
      </c>
      <c r="AV56" s="890">
        <f t="shared" si="88"/>
        <v>0</v>
      </c>
      <c r="AW56" s="890">
        <f t="shared" si="88"/>
        <v>0</v>
      </c>
      <c r="AX56" s="890">
        <f t="shared" si="47"/>
        <v>1695193.6344750002</v>
      </c>
      <c r="AY56" s="890">
        <f t="shared" si="48"/>
        <v>1695193.6344750002</v>
      </c>
      <c r="AZ56" s="890">
        <f t="shared" ref="AZ56:BD85" si="89">O56*AI56</f>
        <v>0</v>
      </c>
      <c r="BA56" s="890">
        <f t="shared" si="89"/>
        <v>1408795.1379</v>
      </c>
      <c r="BB56" s="890">
        <f t="shared" si="89"/>
        <v>523722.9276</v>
      </c>
      <c r="BC56" s="890">
        <f t="shared" si="89"/>
        <v>0</v>
      </c>
      <c r="BD56" s="890">
        <f t="shared" si="89"/>
        <v>0</v>
      </c>
      <c r="BE56" s="890">
        <f t="shared" si="49"/>
        <v>1932518.0655</v>
      </c>
      <c r="BF56" s="952">
        <f t="shared" si="53"/>
        <v>1932518.0655</v>
      </c>
      <c r="BG56" s="974">
        <v>550.49199999999996</v>
      </c>
      <c r="BH56" s="890">
        <v>597.70799999999997</v>
      </c>
      <c r="BI56" s="948">
        <v>1148.2</v>
      </c>
      <c r="BJ56" s="894">
        <v>2986.58</v>
      </c>
      <c r="BK56" s="1200">
        <v>4746.8999999999996</v>
      </c>
      <c r="BL56" s="897">
        <f t="shared" si="84"/>
        <v>0</v>
      </c>
      <c r="BM56" s="897">
        <f>J56*U56</f>
        <v>719262.31770000013</v>
      </c>
      <c r="BN56" s="897">
        <f>K56*V56</f>
        <v>260096.60803499998</v>
      </c>
      <c r="BO56" s="897">
        <f t="shared" si="84"/>
        <v>0</v>
      </c>
      <c r="BP56" s="897">
        <f t="shared" si="84"/>
        <v>0</v>
      </c>
      <c r="BQ56" s="897">
        <f>BL56+BM56+BN56+BO56+BP56</f>
        <v>979358.92573500006</v>
      </c>
      <c r="BR56" s="897">
        <f>BQ56-BP56</f>
        <v>979358.92573500006</v>
      </c>
      <c r="BS56" s="897">
        <f t="shared" si="85"/>
        <v>0</v>
      </c>
      <c r="BT56" s="897">
        <f>P56*AB56</f>
        <v>588837.23190000001</v>
      </c>
      <c r="BU56" s="897">
        <f>Q56*AC56</f>
        <v>227213.20530000003</v>
      </c>
      <c r="BV56" s="897">
        <f t="shared" si="58"/>
        <v>0</v>
      </c>
      <c r="BW56" s="897">
        <f t="shared" si="17"/>
        <v>0</v>
      </c>
      <c r="BX56" s="897">
        <f>BS56+BT56+BU56+BV56+BW56</f>
        <v>816050.43720000004</v>
      </c>
      <c r="BY56" s="897">
        <f>BX56-BW56</f>
        <v>816050.43720000004</v>
      </c>
      <c r="BZ56" s="905">
        <f t="shared" si="61"/>
        <v>1308099.5496</v>
      </c>
      <c r="CA56" s="905">
        <f t="shared" si="61"/>
        <v>487309.81333500001</v>
      </c>
      <c r="CB56" s="905">
        <f t="shared" si="62"/>
        <v>1795409.3629350001</v>
      </c>
      <c r="CC56" s="907">
        <f t="shared" si="63"/>
        <v>2834.5133146980434</v>
      </c>
      <c r="CD56" s="907">
        <f t="shared" si="63"/>
        <v>2840.4628895721612</v>
      </c>
      <c r="CE56" s="907">
        <f t="shared" si="39"/>
        <v>2836.1256819129612</v>
      </c>
      <c r="CF56" s="907">
        <f t="shared" si="18"/>
        <v>2836.1256819129612</v>
      </c>
      <c r="CG56" s="923">
        <f t="shared" si="19"/>
        <v>0</v>
      </c>
      <c r="CH56" s="923">
        <f t="shared" si="40"/>
        <v>0</v>
      </c>
      <c r="CI56" s="979"/>
      <c r="CJ56" s="1405">
        <f t="shared" si="86"/>
        <v>1529.849715770021</v>
      </c>
      <c r="CK56" s="1405">
        <f t="shared" si="83"/>
        <v>1413.7538983999998</v>
      </c>
      <c r="CL56" s="1405">
        <f>CJ56+CK56</f>
        <v>2943.6036141700206</v>
      </c>
      <c r="CM56" s="897">
        <f t="shared" si="41"/>
        <v>3347.9608909999997</v>
      </c>
      <c r="CN56" s="897">
        <f t="shared" si="42"/>
        <v>404.35727682997913</v>
      </c>
      <c r="CO56" s="897">
        <f t="shared" si="22"/>
        <v>2943603.6141700209</v>
      </c>
      <c r="CP56" s="897">
        <f t="shared" si="23"/>
        <v>1695193.6344750002</v>
      </c>
      <c r="CQ56" s="897">
        <f t="shared" si="24"/>
        <v>1695193.634475</v>
      </c>
      <c r="CR56" s="897">
        <f t="shared" si="25"/>
        <v>979358.92573500006</v>
      </c>
      <c r="CS56" s="897">
        <f t="shared" si="26"/>
        <v>1932518.0655</v>
      </c>
      <c r="CT56" s="897">
        <f t="shared" si="27"/>
        <v>1932518.0654999998</v>
      </c>
      <c r="CU56" s="897">
        <f t="shared" si="28"/>
        <v>816050.43720000004</v>
      </c>
      <c r="CV56" s="897">
        <f t="shared" si="43"/>
        <v>3627711.6999750002</v>
      </c>
      <c r="CW56" s="906">
        <f t="shared" si="44"/>
        <v>5730.5295000000006</v>
      </c>
      <c r="CX56" s="897">
        <f t="shared" si="29"/>
        <v>1695193.6344750002</v>
      </c>
      <c r="CY56" s="897">
        <f t="shared" si="30"/>
        <v>1932518.0655</v>
      </c>
      <c r="CZ56" s="897"/>
      <c r="DA56" s="897">
        <f t="shared" si="31"/>
        <v>2648050.0986197791</v>
      </c>
      <c r="DB56" s="897">
        <f t="shared" si="32"/>
        <v>3347960.8909999998</v>
      </c>
      <c r="DC56" s="1131"/>
      <c r="DD56" s="40">
        <f t="shared" si="45"/>
        <v>197.49725476269032</v>
      </c>
      <c r="DE56" s="1131"/>
      <c r="DF56" s="1131"/>
      <c r="DG56" s="1131"/>
      <c r="DH56" s="1043">
        <v>633.04999999999995</v>
      </c>
      <c r="DI56" s="1043">
        <v>633.04999999999995</v>
      </c>
      <c r="DJ56" s="1043">
        <v>0</v>
      </c>
      <c r="DK56" s="979"/>
      <c r="DL56" s="908">
        <f t="shared" si="33"/>
        <v>0</v>
      </c>
      <c r="DM56" s="908">
        <f t="shared" si="34"/>
        <v>0</v>
      </c>
      <c r="DN56" s="908">
        <f t="shared" si="35"/>
        <v>0</v>
      </c>
      <c r="DO56" s="81"/>
      <c r="DP56" s="81"/>
      <c r="DQ56" s="81"/>
      <c r="DR56" s="81"/>
      <c r="DS56" s="81"/>
      <c r="DT56" s="81"/>
      <c r="DU56" s="81"/>
      <c r="DV56" s="81"/>
      <c r="DW56" s="81"/>
      <c r="DX56" s="81"/>
      <c r="DY56" s="81"/>
      <c r="DZ56" s="81"/>
      <c r="EA56" s="81"/>
      <c r="EB56" s="81"/>
      <c r="EC56" s="81"/>
      <c r="ED56" s="81"/>
      <c r="EE56" s="81"/>
      <c r="EF56" s="81"/>
      <c r="EG56" s="81"/>
      <c r="EH56" s="81"/>
      <c r="EI56" s="81"/>
      <c r="EJ56" s="81"/>
      <c r="EK56" s="81"/>
      <c r="EL56" s="81"/>
    </row>
    <row r="57" spans="1:142" s="869" customFormat="1" ht="76.5" customHeight="1">
      <c r="A57" s="6" t="e">
        <f t="shared" si="46"/>
        <v>#REF!</v>
      </c>
      <c r="B57" s="1399" t="s">
        <v>19</v>
      </c>
      <c r="C57" s="1399" t="s">
        <v>62</v>
      </c>
      <c r="D57" s="1262" t="s">
        <v>141</v>
      </c>
      <c r="E57" s="887">
        <v>4632024035</v>
      </c>
      <c r="F57" s="886" t="s">
        <v>8</v>
      </c>
      <c r="G57" s="1238" t="s">
        <v>983</v>
      </c>
      <c r="H57" s="1268">
        <f>1882.72*1.2</f>
        <v>2259.2640000000001</v>
      </c>
      <c r="I57" s="1269">
        <f>H57</f>
        <v>2259.2640000000001</v>
      </c>
      <c r="J57" s="1270">
        <v>771.73</v>
      </c>
      <c r="K57" s="1270"/>
      <c r="L57" s="1270">
        <f>H57</f>
        <v>2259.2640000000001</v>
      </c>
      <c r="M57" s="1271"/>
      <c r="N57" s="1265">
        <f>2259.08*1.2</f>
        <v>2710.8959999999997</v>
      </c>
      <c r="O57" s="1266">
        <f>N57</f>
        <v>2710.8959999999997</v>
      </c>
      <c r="P57" s="1266">
        <v>882.78</v>
      </c>
      <c r="Q57" s="1266"/>
      <c r="R57" s="891">
        <f>O57</f>
        <v>2710.8959999999997</v>
      </c>
      <c r="S57" s="1267"/>
      <c r="T57" s="1370">
        <f>12206.83-11131.1632</f>
        <v>1075.6667999999991</v>
      </c>
      <c r="U57" s="1366">
        <v>2152.96</v>
      </c>
      <c r="V57" s="1366"/>
      <c r="W57" s="890"/>
      <c r="X57" s="890"/>
      <c r="Y57" s="890"/>
      <c r="Z57" s="1398">
        <f t="shared" si="8"/>
        <v>3228.6267999999991</v>
      </c>
      <c r="AA57" s="1371">
        <f>8719.17-8093.5476</f>
        <v>625.6224000000002</v>
      </c>
      <c r="AB57" s="1366">
        <v>1614.72</v>
      </c>
      <c r="AC57" s="1366"/>
      <c r="AD57" s="890"/>
      <c r="AE57" s="890"/>
      <c r="AF57" s="890"/>
      <c r="AG57" s="951">
        <f t="shared" si="51"/>
        <v>2240.3424000000005</v>
      </c>
      <c r="AH57" s="947">
        <f t="shared" si="52"/>
        <v>5468.9691999999995</v>
      </c>
      <c r="AI57" s="890">
        <f t="shared" si="73"/>
        <v>1701.2891999999993</v>
      </c>
      <c r="AJ57" s="890">
        <f t="shared" si="73"/>
        <v>3767.6800000000003</v>
      </c>
      <c r="AK57" s="890">
        <f t="shared" si="73"/>
        <v>0</v>
      </c>
      <c r="AL57" s="890">
        <f t="shared" si="73"/>
        <v>0</v>
      </c>
      <c r="AM57" s="890">
        <f t="shared" si="73"/>
        <v>0</v>
      </c>
      <c r="AN57" s="890"/>
      <c r="AO57" s="890">
        <f t="shared" si="70"/>
        <v>5468.9691999999995</v>
      </c>
      <c r="AP57" s="890">
        <f t="shared" si="71"/>
        <v>5468.9691999999995</v>
      </c>
      <c r="AQ57" s="952">
        <f t="shared" si="72"/>
        <v>5468.9691999999995</v>
      </c>
      <c r="AR57" s="973">
        <f t="shared" si="36"/>
        <v>0</v>
      </c>
      <c r="AS57" s="889">
        <f t="shared" si="88"/>
        <v>3843661.4431487983</v>
      </c>
      <c r="AT57" s="890">
        <f t="shared" si="88"/>
        <v>2907631.6864000005</v>
      </c>
      <c r="AU57" s="890">
        <f t="shared" si="88"/>
        <v>0</v>
      </c>
      <c r="AV57" s="890">
        <f t="shared" si="88"/>
        <v>0</v>
      </c>
      <c r="AW57" s="890">
        <f t="shared" si="88"/>
        <v>0</v>
      </c>
      <c r="AX57" s="890">
        <f t="shared" si="47"/>
        <v>6751293.1295487992</v>
      </c>
      <c r="AY57" s="890">
        <f t="shared" si="48"/>
        <v>6751293.1295487992</v>
      </c>
      <c r="AZ57" s="890">
        <f t="shared" si="89"/>
        <v>4612018.0871231975</v>
      </c>
      <c r="BA57" s="890">
        <f t="shared" si="89"/>
        <v>3326032.5504000001</v>
      </c>
      <c r="BB57" s="890">
        <f t="shared" si="89"/>
        <v>0</v>
      </c>
      <c r="BC57" s="890">
        <f t="shared" si="89"/>
        <v>0</v>
      </c>
      <c r="BD57" s="890">
        <f t="shared" si="89"/>
        <v>0</v>
      </c>
      <c r="BE57" s="890">
        <f t="shared" si="49"/>
        <v>7938050.6375231976</v>
      </c>
      <c r="BF57" s="952">
        <f t="shared" si="53"/>
        <v>7938050.6375231976</v>
      </c>
      <c r="BG57" s="953">
        <f t="shared" ref="BG57:BG65" si="90">(H57-J57)/1.2*U57/1000+(H57-K57)/1.2*V57/1000</f>
        <v>2668.8343338666668</v>
      </c>
      <c r="BH57" s="954">
        <f t="shared" ref="BH57:BH65" si="91">(O57-P57)*AB57/1000/1.2+(O57-Q57)/1.2*AC57/1000</f>
        <v>2459.9128895999997</v>
      </c>
      <c r="BI57" s="955">
        <f t="shared" ref="BI57:BI77" si="92">BG57+BH57</f>
        <v>5128.7472234666666</v>
      </c>
      <c r="BJ57" s="975"/>
      <c r="BK57" s="1198"/>
      <c r="BL57" s="890">
        <f t="shared" si="84"/>
        <v>2430215.2772351978</v>
      </c>
      <c r="BM57" s="890">
        <f t="shared" si="84"/>
        <v>1661503.8208000001</v>
      </c>
      <c r="BN57" s="890">
        <f t="shared" si="84"/>
        <v>0</v>
      </c>
      <c r="BO57" s="890">
        <f t="shared" si="84"/>
        <v>0</v>
      </c>
      <c r="BP57" s="890">
        <f t="shared" si="84"/>
        <v>0</v>
      </c>
      <c r="BQ57" s="890">
        <f t="shared" si="55"/>
        <v>4091719.0980351977</v>
      </c>
      <c r="BR57" s="890">
        <f t="shared" si="56"/>
        <v>4091719.0980351977</v>
      </c>
      <c r="BS57" s="890">
        <f t="shared" si="85"/>
        <v>1695997.2616704004</v>
      </c>
      <c r="BT57" s="890">
        <f t="shared" si="85"/>
        <v>1425442.5216000001</v>
      </c>
      <c r="BU57" s="890">
        <f t="shared" si="85"/>
        <v>0</v>
      </c>
      <c r="BV57" s="890">
        <f t="shared" si="58"/>
        <v>0</v>
      </c>
      <c r="BW57" s="890">
        <f t="shared" si="17"/>
        <v>0</v>
      </c>
      <c r="BX57" s="890">
        <f t="shared" si="59"/>
        <v>3121439.7832704005</v>
      </c>
      <c r="BY57" s="890">
        <f t="shared" si="60"/>
        <v>3121439.7832704005</v>
      </c>
      <c r="BZ57" s="945">
        <f t="shared" si="61"/>
        <v>3086946.3424000004</v>
      </c>
      <c r="CA57" s="945">
        <f t="shared" si="61"/>
        <v>0</v>
      </c>
      <c r="CB57" s="945">
        <f t="shared" si="62"/>
        <v>3086946.3424000004</v>
      </c>
      <c r="CC57" s="976">
        <f t="shared" si="63"/>
        <v>819.32285714285717</v>
      </c>
      <c r="CD57" s="976" t="e">
        <f t="shared" si="63"/>
        <v>#DIV/0!</v>
      </c>
      <c r="CE57" s="976">
        <f t="shared" si="39"/>
        <v>819.32285714285717</v>
      </c>
      <c r="CF57" s="976">
        <f t="shared" si="18"/>
        <v>819.32285714285717</v>
      </c>
      <c r="CG57" s="977">
        <f t="shared" si="19"/>
        <v>9241443.0105600003</v>
      </c>
      <c r="CH57" s="977">
        <f t="shared" si="40"/>
        <v>2452.8205714285714</v>
      </c>
      <c r="CI57" s="945"/>
      <c r="CJ57" s="1405">
        <f t="shared" si="86"/>
        <v>7294.3202986751985</v>
      </c>
      <c r="CK57" s="1405">
        <f t="shared" si="83"/>
        <v>6073.3352507904001</v>
      </c>
      <c r="CL57" s="1405">
        <f t="shared" si="50"/>
        <v>13367.655549465599</v>
      </c>
      <c r="CM57" s="890">
        <f t="shared" si="41"/>
        <v>14825.806728403197</v>
      </c>
      <c r="CN57" s="1274">
        <f t="shared" si="42"/>
        <v>1458.1511789375982</v>
      </c>
      <c r="CO57" s="890">
        <f t="shared" si="22"/>
        <v>13367655.549465599</v>
      </c>
      <c r="CP57" s="890">
        <f t="shared" si="23"/>
        <v>6751293.1295487992</v>
      </c>
      <c r="CQ57" s="890">
        <f t="shared" si="24"/>
        <v>6751293.1295487992</v>
      </c>
      <c r="CR57" s="890">
        <f t="shared" si="25"/>
        <v>4091719.0980351977</v>
      </c>
      <c r="CS57" s="890">
        <f t="shared" si="26"/>
        <v>7938050.6375231976</v>
      </c>
      <c r="CT57" s="890">
        <f t="shared" si="27"/>
        <v>7938050.6375231976</v>
      </c>
      <c r="CU57" s="890">
        <f t="shared" si="28"/>
        <v>3121439.7832704005</v>
      </c>
      <c r="CV57" s="890">
        <f t="shared" si="43"/>
        <v>14689343.767071996</v>
      </c>
      <c r="CW57" s="978">
        <f t="shared" si="44"/>
        <v>2685.9437729274464</v>
      </c>
      <c r="CX57" s="890">
        <f t="shared" si="29"/>
        <v>2907631.6864000005</v>
      </c>
      <c r="CY57" s="890">
        <f t="shared" si="30"/>
        <v>3326032.5504000001</v>
      </c>
      <c r="CZ57" s="890"/>
      <c r="DA57" s="890">
        <f t="shared" si="31"/>
        <v>12355845.230668798</v>
      </c>
      <c r="DB57" s="890">
        <f t="shared" si="32"/>
        <v>14825806.728403196</v>
      </c>
      <c r="DC57" s="1132"/>
      <c r="DD57" s="841">
        <f t="shared" si="45"/>
        <v>351.27518691770433</v>
      </c>
      <c r="DE57" s="1132"/>
      <c r="DF57" s="1132"/>
      <c r="DG57" s="1132"/>
      <c r="DH57" s="1050"/>
      <c r="DI57" s="1050"/>
      <c r="DJ57" s="1050"/>
      <c r="DK57" s="1009"/>
      <c r="DL57" s="975">
        <f t="shared" si="33"/>
        <v>0</v>
      </c>
      <c r="DM57" s="975">
        <f t="shared" si="34"/>
        <v>0</v>
      </c>
      <c r="DN57" s="975">
        <f t="shared" si="35"/>
        <v>0</v>
      </c>
      <c r="DO57" s="871"/>
      <c r="DP57" s="871"/>
      <c r="DQ57" s="871"/>
      <c r="DR57" s="871"/>
      <c r="DS57" s="871"/>
      <c r="DT57" s="871"/>
      <c r="DU57" s="871"/>
      <c r="DV57" s="871"/>
      <c r="DW57" s="871"/>
      <c r="DX57" s="871"/>
      <c r="DY57" s="871"/>
      <c r="DZ57" s="871"/>
      <c r="EA57" s="871"/>
      <c r="EB57" s="871"/>
      <c r="EC57" s="871"/>
      <c r="ED57" s="871"/>
      <c r="EE57" s="871"/>
      <c r="EF57" s="871"/>
      <c r="EG57" s="871"/>
      <c r="EH57" s="871"/>
      <c r="EI57" s="871"/>
      <c r="EJ57" s="871"/>
      <c r="EK57" s="871"/>
      <c r="EL57" s="871"/>
    </row>
    <row r="58" spans="1:142" s="869" customFormat="1" ht="73.5" customHeight="1">
      <c r="A58" s="6" t="e">
        <f t="shared" si="46"/>
        <v>#REF!</v>
      </c>
      <c r="B58" s="1399" t="s">
        <v>19</v>
      </c>
      <c r="C58" s="1399" t="s">
        <v>280</v>
      </c>
      <c r="D58" s="1262" t="s">
        <v>141</v>
      </c>
      <c r="E58" s="887">
        <v>4632024035</v>
      </c>
      <c r="F58" s="886" t="s">
        <v>8</v>
      </c>
      <c r="G58" s="1238" t="s">
        <v>983</v>
      </c>
      <c r="H58" s="1268">
        <f>1882.72*1.2</f>
        <v>2259.2640000000001</v>
      </c>
      <c r="I58" s="1269">
        <f>H58</f>
        <v>2259.2640000000001</v>
      </c>
      <c r="J58" s="1270">
        <v>780.3</v>
      </c>
      <c r="K58" s="1270"/>
      <c r="L58" s="1270">
        <f>H58</f>
        <v>2259.2640000000001</v>
      </c>
      <c r="M58" s="1271"/>
      <c r="N58" s="1265">
        <f>2259.08*1.2</f>
        <v>2710.8959999999997</v>
      </c>
      <c r="O58" s="1273">
        <f>N58</f>
        <v>2710.8959999999997</v>
      </c>
      <c r="P58" s="1273">
        <v>882.78</v>
      </c>
      <c r="Q58" s="1272"/>
      <c r="R58" s="891">
        <f>O58</f>
        <v>2710.8959999999997</v>
      </c>
      <c r="S58" s="952"/>
      <c r="T58" s="1370">
        <f>1099.02-795.6268</f>
        <v>303.39319999999998</v>
      </c>
      <c r="U58" s="1366">
        <v>2970.0699999999997</v>
      </c>
      <c r="V58" s="1366"/>
      <c r="W58" s="1275"/>
      <c r="X58" s="1275"/>
      <c r="Y58" s="1275"/>
      <c r="Z58" s="1398">
        <f t="shared" si="8"/>
        <v>3273.4631999999997</v>
      </c>
      <c r="AA58" s="1371">
        <f>785.01-608.5524</f>
        <v>176.45759999999996</v>
      </c>
      <c r="AB58" s="1366">
        <v>2227.5500000000002</v>
      </c>
      <c r="AC58" s="1366"/>
      <c r="AD58" s="1275"/>
      <c r="AE58" s="1275"/>
      <c r="AF58" s="1275"/>
      <c r="AG58" s="1311">
        <f t="shared" si="51"/>
        <v>2404.0075999999999</v>
      </c>
      <c r="AH58" s="947">
        <f>Z58+AG58</f>
        <v>5677.4707999999991</v>
      </c>
      <c r="AI58" s="890">
        <f>T58+AA58</f>
        <v>479.85079999999994</v>
      </c>
      <c r="AJ58" s="890">
        <f>U58+AB58</f>
        <v>5197.62</v>
      </c>
      <c r="AK58" s="890">
        <f>V58+AC58</f>
        <v>0</v>
      </c>
      <c r="AL58" s="890">
        <f>W58+AD58</f>
        <v>0</v>
      </c>
      <c r="AM58" s="890">
        <f>X58+AE58</f>
        <v>0</v>
      </c>
      <c r="AN58" s="890"/>
      <c r="AO58" s="890">
        <f>SUM(AI58:AN58)</f>
        <v>5677.4708000000001</v>
      </c>
      <c r="AP58" s="890">
        <f>SUM(AI58:AM58)</f>
        <v>5677.4708000000001</v>
      </c>
      <c r="AQ58" s="952">
        <f>SUM(AI58:AL58)</f>
        <v>5677.4708000000001</v>
      </c>
      <c r="AR58" s="973">
        <f t="shared" si="36"/>
        <v>0</v>
      </c>
      <c r="AS58" s="889">
        <f>I58*AI58</f>
        <v>1084109.6378112</v>
      </c>
      <c r="AT58" s="890">
        <f>J58*AJ58</f>
        <v>4055702.8859999995</v>
      </c>
      <c r="AU58" s="890">
        <f>K58*AK58</f>
        <v>0</v>
      </c>
      <c r="AV58" s="890">
        <f>L58*AL58</f>
        <v>0</v>
      </c>
      <c r="AW58" s="890">
        <f>M58*AM58</f>
        <v>0</v>
      </c>
      <c r="AX58" s="890">
        <f>SUM(AS58:AW58)</f>
        <v>5139812.5238111997</v>
      </c>
      <c r="AY58" s="890">
        <f>SUM(AS58:AV58)</f>
        <v>5139812.5238111997</v>
      </c>
      <c r="AZ58" s="890">
        <f>O58*AI58</f>
        <v>1300825.6143167997</v>
      </c>
      <c r="BA58" s="890">
        <f>P58*AJ58</f>
        <v>4588354.9835999999</v>
      </c>
      <c r="BB58" s="890">
        <f>Q58*AK58</f>
        <v>0</v>
      </c>
      <c r="BC58" s="890">
        <f>R58*AL58</f>
        <v>0</v>
      </c>
      <c r="BD58" s="890">
        <f>S58*AM58</f>
        <v>0</v>
      </c>
      <c r="BE58" s="890">
        <f>SUM(AZ58:BD58)</f>
        <v>5889180.5979167996</v>
      </c>
      <c r="BF58" s="952">
        <f>SUM(AZ58:BC58)</f>
        <v>5889180.5979167996</v>
      </c>
      <c r="BG58" s="953">
        <f t="shared" si="90"/>
        <v>3660.5221729000004</v>
      </c>
      <c r="BH58" s="954">
        <f t="shared" si="91"/>
        <v>3393.5164965000004</v>
      </c>
      <c r="BI58" s="955">
        <f t="shared" si="92"/>
        <v>7054.0386694000008</v>
      </c>
      <c r="BJ58" s="890"/>
      <c r="BK58" s="1199"/>
      <c r="BL58" s="890"/>
      <c r="BM58" s="890"/>
      <c r="BN58" s="890"/>
      <c r="BO58" s="890"/>
      <c r="BP58" s="890"/>
      <c r="BQ58" s="890"/>
      <c r="BR58" s="890"/>
      <c r="BS58" s="890"/>
      <c r="BT58" s="890"/>
      <c r="BU58" s="890"/>
      <c r="BV58" s="890"/>
      <c r="BW58" s="890"/>
      <c r="BX58" s="890"/>
      <c r="BY58" s="890"/>
      <c r="BZ58" s="945"/>
      <c r="CA58" s="945"/>
      <c r="CB58" s="945"/>
      <c r="CC58" s="976"/>
      <c r="CD58" s="976"/>
      <c r="CE58" s="976"/>
      <c r="CF58" s="976"/>
      <c r="CG58" s="977"/>
      <c r="CH58" s="977"/>
      <c r="CI58" s="945"/>
      <c r="CJ58" s="1405">
        <f t="shared" si="86"/>
        <v>7395.6175630848002</v>
      </c>
      <c r="CK58" s="1405">
        <f t="shared" si="83"/>
        <v>6517.0145868095988</v>
      </c>
      <c r="CL58" s="1405">
        <f t="shared" si="50"/>
        <v>13912.632149894398</v>
      </c>
      <c r="CM58" s="890"/>
      <c r="CN58" s="890"/>
      <c r="CO58" s="890"/>
      <c r="CP58" s="890"/>
      <c r="CQ58" s="890"/>
      <c r="CR58" s="890"/>
      <c r="CS58" s="890"/>
      <c r="CT58" s="890"/>
      <c r="CU58" s="890"/>
      <c r="CV58" s="890"/>
      <c r="CW58" s="978"/>
      <c r="CX58" s="890"/>
      <c r="CY58" s="890"/>
      <c r="CZ58" s="890"/>
      <c r="DA58" s="890"/>
      <c r="DB58" s="890"/>
      <c r="DC58" s="840"/>
      <c r="DD58" s="841"/>
      <c r="DE58" s="840"/>
      <c r="DF58" s="840"/>
      <c r="DG58" s="840"/>
      <c r="DH58" s="1050"/>
      <c r="DI58" s="1050"/>
      <c r="DJ58" s="1050"/>
      <c r="DK58" s="945"/>
      <c r="DL58" s="975"/>
      <c r="DM58" s="975"/>
      <c r="DN58" s="975"/>
      <c r="DO58" s="816"/>
      <c r="DP58" s="871"/>
      <c r="DQ58" s="871"/>
      <c r="DR58" s="871"/>
      <c r="DS58" s="871"/>
      <c r="DT58" s="871"/>
      <c r="DU58" s="871"/>
      <c r="DV58" s="871"/>
      <c r="DW58" s="871"/>
      <c r="DX58" s="871"/>
      <c r="DY58" s="871"/>
      <c r="DZ58" s="871"/>
      <c r="EA58" s="871"/>
      <c r="EB58" s="871"/>
      <c r="EC58" s="871"/>
      <c r="ED58" s="871"/>
      <c r="EE58" s="871"/>
      <c r="EF58" s="871"/>
      <c r="EG58" s="871"/>
      <c r="EH58" s="871"/>
      <c r="EI58" s="871"/>
      <c r="EJ58" s="871"/>
      <c r="EK58" s="871"/>
      <c r="EL58" s="871"/>
    </row>
    <row r="59" spans="1:142" s="869" customFormat="1" ht="65.25" customHeight="1">
      <c r="A59" s="6" t="e">
        <f t="shared" si="46"/>
        <v>#REF!</v>
      </c>
      <c r="B59" s="1399" t="s">
        <v>19</v>
      </c>
      <c r="C59" s="1395" t="s">
        <v>99</v>
      </c>
      <c r="D59" s="1262" t="s">
        <v>141</v>
      </c>
      <c r="E59" s="887">
        <v>4632024035</v>
      </c>
      <c r="F59" s="963" t="s">
        <v>8</v>
      </c>
      <c r="G59" s="1238" t="s">
        <v>983</v>
      </c>
      <c r="H59" s="1256">
        <v>3314.9639999999995</v>
      </c>
      <c r="I59" s="1257">
        <f t="shared" ref="I59:I65" si="93">H59</f>
        <v>3314.9639999999995</v>
      </c>
      <c r="J59" s="1263">
        <v>2950.21</v>
      </c>
      <c r="K59" s="891"/>
      <c r="L59" s="1256">
        <v>3314.9639999999995</v>
      </c>
      <c r="M59" s="991"/>
      <c r="N59" s="1259">
        <f t="shared" ref="N59:N65" si="94">3132.14*1.2</f>
        <v>3758.5679999999998</v>
      </c>
      <c r="O59" s="1260">
        <f t="shared" ref="O59:O65" si="95">N59</f>
        <v>3758.5679999999998</v>
      </c>
      <c r="P59" s="1264">
        <v>2979.71</v>
      </c>
      <c r="Q59" s="891"/>
      <c r="R59" s="891">
        <f>O59</f>
        <v>3758.5679999999998</v>
      </c>
      <c r="S59" s="991"/>
      <c r="T59" s="1367">
        <v>2513.2975000000001</v>
      </c>
      <c r="U59" s="1368">
        <v>5513.6409999999996</v>
      </c>
      <c r="V59" s="1368"/>
      <c r="W59" s="992"/>
      <c r="X59" s="992"/>
      <c r="Y59" s="992"/>
      <c r="Z59" s="1397">
        <f t="shared" si="8"/>
        <v>8026.9385000000002</v>
      </c>
      <c r="AA59" s="1369">
        <v>1599.6389999999999</v>
      </c>
      <c r="AB59" s="1368">
        <v>6349.6470000000008</v>
      </c>
      <c r="AC59" s="1368"/>
      <c r="AD59" s="992"/>
      <c r="AE59" s="992"/>
      <c r="AF59" s="992"/>
      <c r="AG59" s="951">
        <f t="shared" si="51"/>
        <v>7949.286000000001</v>
      </c>
      <c r="AH59" s="947">
        <f t="shared" si="52"/>
        <v>15976.2245</v>
      </c>
      <c r="AI59" s="890">
        <f t="shared" si="73"/>
        <v>4112.9364999999998</v>
      </c>
      <c r="AJ59" s="890">
        <f t="shared" si="73"/>
        <v>11863.288</v>
      </c>
      <c r="AK59" s="890">
        <f t="shared" si="73"/>
        <v>0</v>
      </c>
      <c r="AL59" s="890">
        <f t="shared" si="73"/>
        <v>0</v>
      </c>
      <c r="AM59" s="890">
        <f t="shared" si="73"/>
        <v>0</v>
      </c>
      <c r="AN59" s="890"/>
      <c r="AO59" s="890">
        <f t="shared" si="70"/>
        <v>15976.2245</v>
      </c>
      <c r="AP59" s="890">
        <f t="shared" si="71"/>
        <v>15976.2245</v>
      </c>
      <c r="AQ59" s="952">
        <f t="shared" si="72"/>
        <v>15976.2245</v>
      </c>
      <c r="AR59" s="973">
        <f t="shared" si="36"/>
        <v>0</v>
      </c>
      <c r="AS59" s="889">
        <f t="shared" si="88"/>
        <v>13634236.431785997</v>
      </c>
      <c r="AT59" s="890">
        <f t="shared" si="88"/>
        <v>34999190.890480004</v>
      </c>
      <c r="AU59" s="890">
        <f t="shared" si="88"/>
        <v>0</v>
      </c>
      <c r="AV59" s="890">
        <f t="shared" si="88"/>
        <v>0</v>
      </c>
      <c r="AW59" s="890">
        <f t="shared" si="88"/>
        <v>0</v>
      </c>
      <c r="AX59" s="890">
        <f t="shared" si="47"/>
        <v>48633427.322265998</v>
      </c>
      <c r="AY59" s="890">
        <f t="shared" si="48"/>
        <v>48633427.322265998</v>
      </c>
      <c r="AZ59" s="890">
        <f t="shared" si="89"/>
        <v>15458751.514931999</v>
      </c>
      <c r="BA59" s="890">
        <f t="shared" si="89"/>
        <v>35349157.886480004</v>
      </c>
      <c r="BB59" s="890">
        <f t="shared" si="89"/>
        <v>0</v>
      </c>
      <c r="BC59" s="890">
        <f t="shared" si="89"/>
        <v>0</v>
      </c>
      <c r="BD59" s="890">
        <f t="shared" si="89"/>
        <v>0</v>
      </c>
      <c r="BE59" s="890">
        <f t="shared" si="49"/>
        <v>50807909.401412003</v>
      </c>
      <c r="BF59" s="952">
        <f t="shared" si="53"/>
        <v>50807909.401412003</v>
      </c>
      <c r="BG59" s="953">
        <f t="shared" si="90"/>
        <v>1675.9355077616642</v>
      </c>
      <c r="BH59" s="954">
        <f t="shared" si="91"/>
        <v>4121.2278026049989</v>
      </c>
      <c r="BI59" s="955">
        <f t="shared" si="92"/>
        <v>5797.1633103666627</v>
      </c>
      <c r="BJ59" s="955"/>
      <c r="BK59" s="1197"/>
      <c r="BL59" s="890">
        <f t="shared" si="84"/>
        <v>8331490.733789999</v>
      </c>
      <c r="BM59" s="890">
        <f t="shared" si="84"/>
        <v>16266398.814609999</v>
      </c>
      <c r="BN59" s="890">
        <f t="shared" si="84"/>
        <v>0</v>
      </c>
      <c r="BO59" s="890">
        <f t="shared" si="84"/>
        <v>0</v>
      </c>
      <c r="BP59" s="890">
        <f t="shared" si="84"/>
        <v>0</v>
      </c>
      <c r="BQ59" s="890">
        <f t="shared" si="55"/>
        <v>24597889.5484</v>
      </c>
      <c r="BR59" s="890">
        <f t="shared" si="56"/>
        <v>24597889.5484</v>
      </c>
      <c r="BS59" s="890">
        <f t="shared" si="85"/>
        <v>6012351.9569519991</v>
      </c>
      <c r="BT59" s="890">
        <f t="shared" si="85"/>
        <v>18920106.662370004</v>
      </c>
      <c r="BU59" s="890">
        <f t="shared" si="85"/>
        <v>0</v>
      </c>
      <c r="BV59" s="890">
        <f t="shared" si="58"/>
        <v>0</v>
      </c>
      <c r="BW59" s="890">
        <f t="shared" si="17"/>
        <v>0</v>
      </c>
      <c r="BX59" s="890">
        <f t="shared" si="59"/>
        <v>24932458.619322002</v>
      </c>
      <c r="BY59" s="890">
        <f t="shared" si="60"/>
        <v>24932458.619322002</v>
      </c>
      <c r="BZ59" s="945">
        <f t="shared" si="61"/>
        <v>35186505.476980001</v>
      </c>
      <c r="CA59" s="945">
        <f t="shared" si="61"/>
        <v>0</v>
      </c>
      <c r="CB59" s="945">
        <f t="shared" si="62"/>
        <v>35186505.476980001</v>
      </c>
      <c r="CC59" s="976">
        <f t="shared" si="63"/>
        <v>2965.9994326176688</v>
      </c>
      <c r="CD59" s="976" t="e">
        <f t="shared" si="63"/>
        <v>#DIV/0!</v>
      </c>
      <c r="CE59" s="976">
        <f t="shared" si="39"/>
        <v>2965.9994326176688</v>
      </c>
      <c r="CF59" s="976">
        <f t="shared" si="18"/>
        <v>2965.9994326176688</v>
      </c>
      <c r="CG59" s="977">
        <f t="shared" si="19"/>
        <v>42143101.449419998</v>
      </c>
      <c r="CH59" s="977">
        <f t="shared" si="40"/>
        <v>3552.3963887094369</v>
      </c>
      <c r="CI59" s="1289"/>
      <c r="CJ59" s="1405">
        <f t="shared" si="86"/>
        <v>26609.012157713998</v>
      </c>
      <c r="CK59" s="1405">
        <f t="shared" si="83"/>
        <v>29877.931982448001</v>
      </c>
      <c r="CL59" s="1405">
        <f t="shared" si="50"/>
        <v>56486.944140161999</v>
      </c>
      <c r="CM59" s="890">
        <f t="shared" si="41"/>
        <v>60047.726166515997</v>
      </c>
      <c r="CN59" s="890">
        <f t="shared" si="42"/>
        <v>3560.7820263539979</v>
      </c>
      <c r="CO59" s="890">
        <f t="shared" si="22"/>
        <v>56486944.140161999</v>
      </c>
      <c r="CP59" s="890">
        <f t="shared" si="23"/>
        <v>48633427.322265998</v>
      </c>
      <c r="CQ59" s="890">
        <f t="shared" si="24"/>
        <v>48633427.322265998</v>
      </c>
      <c r="CR59" s="890">
        <f t="shared" si="25"/>
        <v>24597889.5484</v>
      </c>
      <c r="CS59" s="890">
        <f t="shared" si="26"/>
        <v>50807909.401412003</v>
      </c>
      <c r="CT59" s="890">
        <f t="shared" si="27"/>
        <v>50807909.401412003</v>
      </c>
      <c r="CU59" s="890">
        <f t="shared" si="28"/>
        <v>24932458.619322002</v>
      </c>
      <c r="CV59" s="890">
        <f t="shared" si="43"/>
        <v>99441336.723677993</v>
      </c>
      <c r="CW59" s="978">
        <f t="shared" si="44"/>
        <v>6224.3327091252377</v>
      </c>
      <c r="CX59" s="890">
        <f t="shared" si="29"/>
        <v>34999190.890480004</v>
      </c>
      <c r="CY59" s="890">
        <f t="shared" si="30"/>
        <v>35349157.886480004</v>
      </c>
      <c r="CZ59" s="890"/>
      <c r="DA59" s="890">
        <f t="shared" si="31"/>
        <v>52960609.073417991</v>
      </c>
      <c r="DB59" s="890">
        <f t="shared" si="32"/>
        <v>60047726.166515999</v>
      </c>
      <c r="DC59" s="1290"/>
      <c r="DD59" s="841">
        <f t="shared" si="45"/>
        <v>127.40001559211038</v>
      </c>
      <c r="DE59" s="1290"/>
      <c r="DF59" s="1290"/>
      <c r="DG59" s="1290"/>
      <c r="DH59" s="1050"/>
      <c r="DI59" s="1050"/>
      <c r="DJ59" s="1050"/>
      <c r="DK59" s="1289"/>
      <c r="DL59" s="975">
        <f t="shared" si="33"/>
        <v>0</v>
      </c>
      <c r="DM59" s="975">
        <f t="shared" si="34"/>
        <v>0</v>
      </c>
      <c r="DN59" s="975">
        <f t="shared" si="35"/>
        <v>0</v>
      </c>
      <c r="DO59" s="1291"/>
      <c r="DP59" s="871"/>
      <c r="DQ59" s="871"/>
      <c r="DR59" s="871"/>
      <c r="DS59" s="871"/>
      <c r="DT59" s="871"/>
      <c r="DU59" s="871"/>
      <c r="DV59" s="871"/>
      <c r="DW59" s="871"/>
      <c r="DX59" s="871"/>
      <c r="DY59" s="871"/>
      <c r="DZ59" s="871"/>
      <c r="EA59" s="871"/>
      <c r="EB59" s="871"/>
      <c r="EC59" s="871"/>
      <c r="ED59" s="871"/>
      <c r="EE59" s="871"/>
      <c r="EF59" s="871"/>
      <c r="EG59" s="871"/>
      <c r="EH59" s="871"/>
      <c r="EI59" s="871"/>
      <c r="EJ59" s="871"/>
      <c r="EK59" s="871"/>
      <c r="EL59" s="871"/>
    </row>
    <row r="60" spans="1:142" s="869" customFormat="1" ht="72" customHeight="1">
      <c r="A60" s="6" t="e">
        <f t="shared" si="46"/>
        <v>#REF!</v>
      </c>
      <c r="B60" s="886" t="s">
        <v>21</v>
      </c>
      <c r="C60" s="1395" t="s">
        <v>67</v>
      </c>
      <c r="D60" s="1262" t="s">
        <v>141</v>
      </c>
      <c r="E60" s="887">
        <v>4632024035</v>
      </c>
      <c r="F60" s="886" t="s">
        <v>8</v>
      </c>
      <c r="G60" s="1238" t="s">
        <v>983</v>
      </c>
      <c r="H60" s="1256">
        <v>3314.9639999999995</v>
      </c>
      <c r="I60" s="1257">
        <f t="shared" si="93"/>
        <v>3314.9639999999995</v>
      </c>
      <c r="J60" s="1263">
        <v>2484</v>
      </c>
      <c r="K60" s="891"/>
      <c r="L60" s="1256">
        <v>3314.9639999999995</v>
      </c>
      <c r="M60" s="991"/>
      <c r="N60" s="1259">
        <f t="shared" si="94"/>
        <v>3758.5679999999998</v>
      </c>
      <c r="O60" s="1260">
        <f t="shared" si="95"/>
        <v>3758.5679999999998</v>
      </c>
      <c r="P60" s="1264">
        <v>2719.98</v>
      </c>
      <c r="Q60" s="891"/>
      <c r="R60" s="891">
        <f t="shared" ref="R60:R65" si="96">O60</f>
        <v>3758.5679999999998</v>
      </c>
      <c r="S60" s="991"/>
      <c r="T60" s="1372">
        <f>7450.725+11926.79*0.33</f>
        <v>11386.565700000001</v>
      </c>
      <c r="U60" s="1373">
        <v>8014.1269999999986</v>
      </c>
      <c r="V60" s="1374">
        <v>0</v>
      </c>
      <c r="W60" s="975"/>
      <c r="X60" s="975"/>
      <c r="Y60" s="975"/>
      <c r="Z60" s="1397">
        <f t="shared" si="8"/>
        <v>19400.6927</v>
      </c>
      <c r="AA60" s="1369">
        <f>4760.502+8702.1*0.33</f>
        <v>7632.1950000000006</v>
      </c>
      <c r="AB60" s="1374">
        <v>7076.48</v>
      </c>
      <c r="AC60" s="1374">
        <v>0</v>
      </c>
      <c r="AD60" s="975"/>
      <c r="AE60" s="975"/>
      <c r="AF60" s="975"/>
      <c r="AG60" s="951">
        <f t="shared" si="51"/>
        <v>14708.674999999999</v>
      </c>
      <c r="AH60" s="947">
        <f t="shared" si="52"/>
        <v>34109.367700000003</v>
      </c>
      <c r="AI60" s="890">
        <f t="shared" si="73"/>
        <v>19018.760700000003</v>
      </c>
      <c r="AJ60" s="890">
        <f t="shared" si="73"/>
        <v>15090.606999999998</v>
      </c>
      <c r="AK60" s="890">
        <f t="shared" si="73"/>
        <v>0</v>
      </c>
      <c r="AL60" s="890">
        <f t="shared" si="73"/>
        <v>0</v>
      </c>
      <c r="AM60" s="890">
        <f t="shared" si="73"/>
        <v>0</v>
      </c>
      <c r="AN60" s="890"/>
      <c r="AO60" s="890">
        <f t="shared" si="70"/>
        <v>34109.367700000003</v>
      </c>
      <c r="AP60" s="890">
        <f t="shared" si="71"/>
        <v>34109.367700000003</v>
      </c>
      <c r="AQ60" s="952">
        <f t="shared" si="72"/>
        <v>34109.367700000003</v>
      </c>
      <c r="AR60" s="973">
        <f t="shared" si="36"/>
        <v>0</v>
      </c>
      <c r="AS60" s="889">
        <f t="shared" si="88"/>
        <v>63046507.0451148</v>
      </c>
      <c r="AT60" s="890">
        <f t="shared" si="88"/>
        <v>37485067.787999995</v>
      </c>
      <c r="AU60" s="890">
        <f t="shared" si="88"/>
        <v>0</v>
      </c>
      <c r="AV60" s="890">
        <f t="shared" si="88"/>
        <v>0</v>
      </c>
      <c r="AW60" s="890">
        <f t="shared" si="88"/>
        <v>0</v>
      </c>
      <c r="AX60" s="890">
        <f t="shared" si="47"/>
        <v>100531574.8331148</v>
      </c>
      <c r="AY60" s="890">
        <f t="shared" si="48"/>
        <v>100531574.8331148</v>
      </c>
      <c r="AZ60" s="890">
        <f t="shared" si="89"/>
        <v>71483305.366677612</v>
      </c>
      <c r="BA60" s="890">
        <f t="shared" si="89"/>
        <v>41046149.227859996</v>
      </c>
      <c r="BB60" s="890">
        <f t="shared" si="89"/>
        <v>0</v>
      </c>
      <c r="BC60" s="890">
        <f t="shared" si="89"/>
        <v>0</v>
      </c>
      <c r="BD60" s="890">
        <f t="shared" si="89"/>
        <v>0</v>
      </c>
      <c r="BE60" s="890">
        <f t="shared" si="49"/>
        <v>112529454.59453762</v>
      </c>
      <c r="BF60" s="952">
        <f t="shared" si="53"/>
        <v>112529454.59453762</v>
      </c>
      <c r="BG60" s="953">
        <f t="shared" si="90"/>
        <v>5549.5425236899955</v>
      </c>
      <c r="BH60" s="954">
        <f t="shared" si="91"/>
        <v>6124.6226751999984</v>
      </c>
      <c r="BI60" s="955">
        <f t="shared" si="92"/>
        <v>11674.165198889994</v>
      </c>
      <c r="BJ60" s="955"/>
      <c r="BK60" s="1197"/>
      <c r="BL60" s="890">
        <f t="shared" si="84"/>
        <v>37746055.379134797</v>
      </c>
      <c r="BM60" s="890">
        <f t="shared" si="84"/>
        <v>19907091.467999995</v>
      </c>
      <c r="BN60" s="890">
        <f t="shared" si="84"/>
        <v>0</v>
      </c>
      <c r="BO60" s="890">
        <f t="shared" si="84"/>
        <v>0</v>
      </c>
      <c r="BP60" s="890">
        <f t="shared" si="84"/>
        <v>0</v>
      </c>
      <c r="BQ60" s="890">
        <f t="shared" si="55"/>
        <v>57653146.847134791</v>
      </c>
      <c r="BR60" s="890">
        <f t="shared" si="56"/>
        <v>57653146.847134791</v>
      </c>
      <c r="BS60" s="890">
        <f t="shared" si="85"/>
        <v>28686123.896760002</v>
      </c>
      <c r="BT60" s="890">
        <f t="shared" si="85"/>
        <v>19247884.0704</v>
      </c>
      <c r="BU60" s="890">
        <f t="shared" si="85"/>
        <v>0</v>
      </c>
      <c r="BV60" s="890">
        <f t="shared" si="58"/>
        <v>0</v>
      </c>
      <c r="BW60" s="890">
        <f t="shared" si="17"/>
        <v>0</v>
      </c>
      <c r="BX60" s="890">
        <f t="shared" si="59"/>
        <v>47934007.967160001</v>
      </c>
      <c r="BY60" s="890">
        <f t="shared" si="60"/>
        <v>47934007.967160001</v>
      </c>
      <c r="BZ60" s="945">
        <f t="shared" si="61"/>
        <v>39154975.538399994</v>
      </c>
      <c r="CA60" s="945">
        <f t="shared" si="61"/>
        <v>0</v>
      </c>
      <c r="CB60" s="945">
        <f t="shared" si="62"/>
        <v>39154975.538399994</v>
      </c>
      <c r="CC60" s="976">
        <f t="shared" si="63"/>
        <v>2594.6587528520222</v>
      </c>
      <c r="CD60" s="976" t="e">
        <f t="shared" si="63"/>
        <v>#DIV/0!</v>
      </c>
      <c r="CE60" s="976">
        <f t="shared" si="39"/>
        <v>2594.6587528520222</v>
      </c>
      <c r="CF60" s="976">
        <f t="shared" si="18"/>
        <v>2594.6587528520222</v>
      </c>
      <c r="CG60" s="977">
        <f t="shared" si="19"/>
        <v>53163973.777067989</v>
      </c>
      <c r="CH60" s="977">
        <f t="shared" si="40"/>
        <v>3522.9844483437942</v>
      </c>
      <c r="CI60" s="945"/>
      <c r="CJ60" s="1405">
        <f t="shared" si="86"/>
        <v>64312.597875562788</v>
      </c>
      <c r="CK60" s="1405">
        <f t="shared" si="83"/>
        <v>55283.55517739999</v>
      </c>
      <c r="CL60" s="1405">
        <f t="shared" si="50"/>
        <v>119596.15305296278</v>
      </c>
      <c r="CM60" s="890">
        <f t="shared" si="41"/>
        <v>128202.3779374536</v>
      </c>
      <c r="CN60" s="890">
        <f t="shared" si="42"/>
        <v>8606.2248844908172</v>
      </c>
      <c r="CO60" s="890">
        <f t="shared" si="22"/>
        <v>119596153.05296278</v>
      </c>
      <c r="CP60" s="890">
        <f t="shared" si="23"/>
        <v>100531574.8331148</v>
      </c>
      <c r="CQ60" s="890">
        <f t="shared" si="24"/>
        <v>100531574.8331148</v>
      </c>
      <c r="CR60" s="890">
        <f t="shared" si="25"/>
        <v>57653146.847134791</v>
      </c>
      <c r="CS60" s="890">
        <f t="shared" si="26"/>
        <v>112529454.59453762</v>
      </c>
      <c r="CT60" s="890">
        <f t="shared" si="27"/>
        <v>112529454.59453762</v>
      </c>
      <c r="CU60" s="890">
        <f t="shared" si="28"/>
        <v>47934007.967160001</v>
      </c>
      <c r="CV60" s="890">
        <f t="shared" si="43"/>
        <v>213061029.42765242</v>
      </c>
      <c r="CW60" s="978">
        <f t="shared" si="44"/>
        <v>6246.4080630744847</v>
      </c>
      <c r="CX60" s="890">
        <f t="shared" si="29"/>
        <v>37485067.787999995</v>
      </c>
      <c r="CY60" s="890">
        <f t="shared" si="30"/>
        <v>41046149.227859996</v>
      </c>
      <c r="CZ60" s="890"/>
      <c r="DA60" s="890">
        <f t="shared" si="31"/>
        <v>113071325.98826279</v>
      </c>
      <c r="DB60" s="890">
        <f t="shared" si="32"/>
        <v>128202377.9374536</v>
      </c>
      <c r="DC60" s="840"/>
      <c r="DD60" s="841">
        <f t="shared" si="45"/>
        <v>151.3111111111111</v>
      </c>
      <c r="DE60" s="840"/>
      <c r="DF60" s="840"/>
      <c r="DG60" s="840"/>
      <c r="DH60" s="1050"/>
      <c r="DI60" s="1050"/>
      <c r="DJ60" s="1050"/>
      <c r="DK60" s="945"/>
      <c r="DL60" s="975">
        <f t="shared" si="33"/>
        <v>0</v>
      </c>
      <c r="DM60" s="975">
        <f t="shared" si="34"/>
        <v>0</v>
      </c>
      <c r="DN60" s="975">
        <f t="shared" si="35"/>
        <v>0</v>
      </c>
      <c r="DO60" s="816"/>
      <c r="DP60" s="871"/>
      <c r="DQ60" s="871"/>
      <c r="DR60" s="871"/>
      <c r="DS60" s="871"/>
      <c r="DT60" s="871"/>
      <c r="DU60" s="871"/>
      <c r="DV60" s="871"/>
      <c r="DW60" s="871"/>
      <c r="DX60" s="871"/>
      <c r="DY60" s="871"/>
      <c r="DZ60" s="871"/>
      <c r="EA60" s="871"/>
      <c r="EB60" s="871"/>
      <c r="EC60" s="871"/>
      <c r="ED60" s="871"/>
      <c r="EE60" s="871"/>
      <c r="EF60" s="871"/>
      <c r="EG60" s="871"/>
      <c r="EH60" s="871"/>
      <c r="EI60" s="871"/>
      <c r="EJ60" s="871"/>
      <c r="EK60" s="871"/>
      <c r="EL60" s="871"/>
    </row>
    <row r="61" spans="1:142" s="869" customFormat="1" ht="78.75" customHeight="1">
      <c r="A61" s="6" t="e">
        <f t="shared" si="46"/>
        <v>#REF!</v>
      </c>
      <c r="B61" s="886" t="s">
        <v>21</v>
      </c>
      <c r="C61" s="1395" t="s">
        <v>100</v>
      </c>
      <c r="D61" s="1262" t="s">
        <v>141</v>
      </c>
      <c r="E61" s="887">
        <v>4632024035</v>
      </c>
      <c r="F61" s="886" t="s">
        <v>8</v>
      </c>
      <c r="G61" s="1238" t="s">
        <v>983</v>
      </c>
      <c r="H61" s="1256">
        <v>3314.9639999999995</v>
      </c>
      <c r="I61" s="1257">
        <f t="shared" si="93"/>
        <v>3314.9639999999995</v>
      </c>
      <c r="J61" s="1263">
        <v>2950.21</v>
      </c>
      <c r="K61" s="891"/>
      <c r="L61" s="1256">
        <v>3314.9639999999995</v>
      </c>
      <c r="M61" s="994"/>
      <c r="N61" s="1259">
        <f t="shared" si="94"/>
        <v>3758.5679999999998</v>
      </c>
      <c r="O61" s="1260">
        <f t="shared" si="95"/>
        <v>3758.5679999999998</v>
      </c>
      <c r="P61" s="1264">
        <v>2979.71</v>
      </c>
      <c r="Q61" s="891"/>
      <c r="R61" s="891">
        <f t="shared" si="96"/>
        <v>3758.5679999999998</v>
      </c>
      <c r="S61" s="994"/>
      <c r="T61" s="1375">
        <v>503.40500000000003</v>
      </c>
      <c r="U61" s="1376">
        <v>1309.6500000000001</v>
      </c>
      <c r="V61" s="1376">
        <v>0</v>
      </c>
      <c r="W61" s="995"/>
      <c r="X61" s="995"/>
      <c r="Y61" s="995"/>
      <c r="Z61" s="1400">
        <f t="shared" si="8"/>
        <v>1813.0550000000001</v>
      </c>
      <c r="AA61" s="1377">
        <v>292.32</v>
      </c>
      <c r="AB61" s="1376">
        <v>1018.4</v>
      </c>
      <c r="AC61" s="1376">
        <v>0</v>
      </c>
      <c r="AD61" s="995"/>
      <c r="AE61" s="995"/>
      <c r="AF61" s="995"/>
      <c r="AG61" s="996">
        <f t="shared" si="51"/>
        <v>1310.72</v>
      </c>
      <c r="AH61" s="997">
        <f t="shared" si="52"/>
        <v>3123.7750000000001</v>
      </c>
      <c r="AI61" s="931">
        <f t="shared" si="73"/>
        <v>795.72500000000002</v>
      </c>
      <c r="AJ61" s="931">
        <f t="shared" si="73"/>
        <v>2328.0500000000002</v>
      </c>
      <c r="AK61" s="931">
        <f t="shared" si="73"/>
        <v>0</v>
      </c>
      <c r="AL61" s="931">
        <f t="shared" si="73"/>
        <v>0</v>
      </c>
      <c r="AM61" s="931">
        <f t="shared" si="73"/>
        <v>0</v>
      </c>
      <c r="AN61" s="931"/>
      <c r="AO61" s="931">
        <f t="shared" si="70"/>
        <v>3123.7750000000001</v>
      </c>
      <c r="AP61" s="931">
        <f t="shared" si="71"/>
        <v>3123.7750000000001</v>
      </c>
      <c r="AQ61" s="938">
        <f t="shared" si="72"/>
        <v>3123.7750000000001</v>
      </c>
      <c r="AR61" s="973">
        <f t="shared" si="36"/>
        <v>0</v>
      </c>
      <c r="AS61" s="889">
        <f t="shared" si="88"/>
        <v>2637799.7288999995</v>
      </c>
      <c r="AT61" s="890">
        <f t="shared" si="88"/>
        <v>6868236.3905000007</v>
      </c>
      <c r="AU61" s="890">
        <f t="shared" si="88"/>
        <v>0</v>
      </c>
      <c r="AV61" s="890">
        <f t="shared" si="88"/>
        <v>0</v>
      </c>
      <c r="AW61" s="890">
        <f t="shared" si="88"/>
        <v>0</v>
      </c>
      <c r="AX61" s="890">
        <f t="shared" si="47"/>
        <v>9506036.1194000002</v>
      </c>
      <c r="AY61" s="890">
        <f t="shared" si="48"/>
        <v>9506036.1194000002</v>
      </c>
      <c r="AZ61" s="890">
        <f t="shared" si="89"/>
        <v>2990786.5217999998</v>
      </c>
      <c r="BA61" s="890">
        <f t="shared" si="89"/>
        <v>6936913.8655000003</v>
      </c>
      <c r="BB61" s="890">
        <f t="shared" si="89"/>
        <v>0</v>
      </c>
      <c r="BC61" s="890">
        <f t="shared" si="89"/>
        <v>0</v>
      </c>
      <c r="BD61" s="890">
        <f t="shared" si="89"/>
        <v>0</v>
      </c>
      <c r="BE61" s="890">
        <f t="shared" si="49"/>
        <v>9927700.3872999996</v>
      </c>
      <c r="BF61" s="952">
        <f t="shared" si="53"/>
        <v>9927700.3872999996</v>
      </c>
      <c r="BG61" s="953">
        <f t="shared" si="90"/>
        <v>398.08339674999951</v>
      </c>
      <c r="BH61" s="954">
        <f t="shared" si="91"/>
        <v>660.99082266666642</v>
      </c>
      <c r="BI61" s="955">
        <f t="shared" si="92"/>
        <v>1059.074219416666</v>
      </c>
      <c r="BJ61" s="955"/>
      <c r="BK61" s="1197"/>
      <c r="BL61" s="890">
        <f t="shared" si="84"/>
        <v>1668769.4524199998</v>
      </c>
      <c r="BM61" s="890">
        <f t="shared" si="84"/>
        <v>3863742.5265000002</v>
      </c>
      <c r="BN61" s="890">
        <f t="shared" si="84"/>
        <v>0</v>
      </c>
      <c r="BO61" s="890">
        <f t="shared" si="84"/>
        <v>0</v>
      </c>
      <c r="BP61" s="890">
        <f t="shared" si="84"/>
        <v>0</v>
      </c>
      <c r="BQ61" s="890">
        <f t="shared" si="55"/>
        <v>5532511.9789199997</v>
      </c>
      <c r="BR61" s="890">
        <f t="shared" si="56"/>
        <v>5532511.9789199997</v>
      </c>
      <c r="BS61" s="890">
        <f t="shared" si="85"/>
        <v>1098704.5977599998</v>
      </c>
      <c r="BT61" s="890">
        <f t="shared" si="85"/>
        <v>3034536.6639999999</v>
      </c>
      <c r="BU61" s="890">
        <f t="shared" si="85"/>
        <v>0</v>
      </c>
      <c r="BV61" s="890">
        <f t="shared" si="58"/>
        <v>0</v>
      </c>
      <c r="BW61" s="890">
        <f t="shared" si="17"/>
        <v>0</v>
      </c>
      <c r="BX61" s="890">
        <f t="shared" si="59"/>
        <v>4133241.2617599997</v>
      </c>
      <c r="BY61" s="890">
        <f t="shared" si="60"/>
        <v>4133241.2617599997</v>
      </c>
      <c r="BZ61" s="945">
        <f t="shared" si="61"/>
        <v>6898279.1905000005</v>
      </c>
      <c r="CA61" s="945">
        <f t="shared" si="61"/>
        <v>0</v>
      </c>
      <c r="CB61" s="945">
        <f t="shared" si="62"/>
        <v>6898279.1905000005</v>
      </c>
      <c r="CC61" s="976">
        <f t="shared" si="63"/>
        <v>2963.1147056549471</v>
      </c>
      <c r="CD61" s="976" t="e">
        <f t="shared" si="63"/>
        <v>#DIV/0!</v>
      </c>
      <c r="CE61" s="976">
        <f t="shared" si="39"/>
        <v>2963.1147056549471</v>
      </c>
      <c r="CF61" s="976">
        <f t="shared" si="18"/>
        <v>2963.1147056549471</v>
      </c>
      <c r="CG61" s="977">
        <f t="shared" si="19"/>
        <v>8169168.2537999991</v>
      </c>
      <c r="CH61" s="977">
        <f t="shared" si="40"/>
        <v>3509.0175270290579</v>
      </c>
      <c r="CI61" s="945"/>
      <c r="CJ61" s="1405">
        <f t="shared" si="86"/>
        <v>6010.2120550199988</v>
      </c>
      <c r="CK61" s="1405">
        <f t="shared" si="83"/>
        <v>4926.4302489599995</v>
      </c>
      <c r="CL61" s="1405">
        <f t="shared" si="50"/>
        <v>10936.642303979999</v>
      </c>
      <c r="CM61" s="890">
        <f t="shared" si="41"/>
        <v>11740.9207542</v>
      </c>
      <c r="CN61" s="890">
        <f t="shared" si="42"/>
        <v>804.2784502200011</v>
      </c>
      <c r="CO61" s="890">
        <f t="shared" si="22"/>
        <v>10936642.303979998</v>
      </c>
      <c r="CP61" s="890">
        <f t="shared" si="23"/>
        <v>9506036.1194000002</v>
      </c>
      <c r="CQ61" s="890">
        <f t="shared" si="24"/>
        <v>9506036.1194000002</v>
      </c>
      <c r="CR61" s="890">
        <f t="shared" si="25"/>
        <v>5532511.9789199997</v>
      </c>
      <c r="CS61" s="890">
        <f t="shared" si="26"/>
        <v>9927700.3872999996</v>
      </c>
      <c r="CT61" s="890">
        <f t="shared" si="27"/>
        <v>9927700.3872999996</v>
      </c>
      <c r="CU61" s="890">
        <f t="shared" si="28"/>
        <v>4133241.2617599997</v>
      </c>
      <c r="CV61" s="890">
        <f t="shared" si="43"/>
        <v>19433736.506700002</v>
      </c>
      <c r="CW61" s="978">
        <f t="shared" si="44"/>
        <v>6221.2344060311643</v>
      </c>
      <c r="CX61" s="890">
        <f t="shared" si="29"/>
        <v>6868236.3905000007</v>
      </c>
      <c r="CY61" s="890">
        <f t="shared" si="30"/>
        <v>6936913.8655000003</v>
      </c>
      <c r="CZ61" s="890"/>
      <c r="DA61" s="890">
        <f t="shared" si="31"/>
        <v>10355201.669099998</v>
      </c>
      <c r="DB61" s="890">
        <f t="shared" si="32"/>
        <v>11740920.7542</v>
      </c>
      <c r="DC61" s="840"/>
      <c r="DD61" s="841">
        <f t="shared" si="45"/>
        <v>127.40001559211038</v>
      </c>
      <c r="DE61" s="840"/>
      <c r="DF61" s="840"/>
      <c r="DG61" s="840"/>
      <c r="DH61" s="1050"/>
      <c r="DI61" s="1050"/>
      <c r="DJ61" s="1050"/>
      <c r="DK61" s="945"/>
      <c r="DL61" s="975">
        <f t="shared" si="33"/>
        <v>0</v>
      </c>
      <c r="DM61" s="975">
        <f t="shared" si="34"/>
        <v>0</v>
      </c>
      <c r="DN61" s="975">
        <f t="shared" si="35"/>
        <v>0</v>
      </c>
      <c r="DO61" s="816"/>
      <c r="DP61" s="871"/>
      <c r="DQ61" s="871"/>
      <c r="DR61" s="871"/>
      <c r="DS61" s="871"/>
      <c r="DT61" s="871"/>
      <c r="DU61" s="871"/>
      <c r="DV61" s="871"/>
      <c r="DW61" s="871"/>
      <c r="DX61" s="871"/>
      <c r="DY61" s="871"/>
      <c r="DZ61" s="871"/>
      <c r="EA61" s="871"/>
      <c r="EB61" s="871"/>
      <c r="EC61" s="871"/>
      <c r="ED61" s="871"/>
      <c r="EE61" s="871"/>
      <c r="EF61" s="871"/>
      <c r="EG61" s="871"/>
      <c r="EH61" s="871"/>
      <c r="EI61" s="871"/>
      <c r="EJ61" s="871"/>
      <c r="EK61" s="871"/>
      <c r="EL61" s="871"/>
    </row>
    <row r="62" spans="1:142" s="869" customFormat="1" ht="73.5" customHeight="1">
      <c r="A62" s="6" t="e">
        <f t="shared" si="46"/>
        <v>#REF!</v>
      </c>
      <c r="B62" s="886" t="s">
        <v>21</v>
      </c>
      <c r="C62" s="1395" t="s">
        <v>101</v>
      </c>
      <c r="D62" s="1262" t="s">
        <v>141</v>
      </c>
      <c r="E62" s="887">
        <v>4632024035</v>
      </c>
      <c r="F62" s="886" t="s">
        <v>8</v>
      </c>
      <c r="G62" s="1238" t="s">
        <v>983</v>
      </c>
      <c r="H62" s="1256">
        <v>3314.9639999999995</v>
      </c>
      <c r="I62" s="1257">
        <f t="shared" si="93"/>
        <v>3314.9639999999995</v>
      </c>
      <c r="J62" s="1263">
        <v>2950.21</v>
      </c>
      <c r="K62" s="891"/>
      <c r="L62" s="1256">
        <v>3314.9639999999995</v>
      </c>
      <c r="M62" s="991"/>
      <c r="N62" s="1259">
        <f t="shared" si="94"/>
        <v>3758.5679999999998</v>
      </c>
      <c r="O62" s="1260">
        <f t="shared" si="95"/>
        <v>3758.5679999999998</v>
      </c>
      <c r="P62" s="1264">
        <v>2979.71</v>
      </c>
      <c r="Q62" s="891"/>
      <c r="R62" s="891">
        <f t="shared" si="96"/>
        <v>3758.5679999999998</v>
      </c>
      <c r="S62" s="991"/>
      <c r="T62" s="1367">
        <v>215.74499999999998</v>
      </c>
      <c r="U62" s="1374">
        <v>65.263000000000005</v>
      </c>
      <c r="V62" s="1374">
        <v>0</v>
      </c>
      <c r="W62" s="975"/>
      <c r="X62" s="975"/>
      <c r="Y62" s="975"/>
      <c r="Z62" s="1397">
        <f t="shared" si="8"/>
        <v>281.00799999999998</v>
      </c>
      <c r="AA62" s="1369">
        <v>125.28</v>
      </c>
      <c r="AB62" s="1374">
        <v>48.298000000000002</v>
      </c>
      <c r="AC62" s="1374">
        <v>0</v>
      </c>
      <c r="AD62" s="975"/>
      <c r="AE62" s="975"/>
      <c r="AF62" s="975"/>
      <c r="AG62" s="951">
        <f t="shared" si="51"/>
        <v>173.578</v>
      </c>
      <c r="AH62" s="947">
        <f t="shared" si="52"/>
        <v>454.58600000000001</v>
      </c>
      <c r="AI62" s="890">
        <f t="shared" si="73"/>
        <v>341.02499999999998</v>
      </c>
      <c r="AJ62" s="890">
        <f t="shared" si="73"/>
        <v>113.56100000000001</v>
      </c>
      <c r="AK62" s="890">
        <f t="shared" si="73"/>
        <v>0</v>
      </c>
      <c r="AL62" s="890">
        <f t="shared" si="73"/>
        <v>0</v>
      </c>
      <c r="AM62" s="890">
        <f t="shared" si="73"/>
        <v>0</v>
      </c>
      <c r="AN62" s="890"/>
      <c r="AO62" s="890">
        <f t="shared" si="70"/>
        <v>454.58600000000001</v>
      </c>
      <c r="AP62" s="890">
        <f t="shared" si="71"/>
        <v>454.58600000000001</v>
      </c>
      <c r="AQ62" s="952">
        <f t="shared" si="72"/>
        <v>454.58600000000001</v>
      </c>
      <c r="AR62" s="973">
        <f t="shared" si="36"/>
        <v>0</v>
      </c>
      <c r="AS62" s="889">
        <f t="shared" si="88"/>
        <v>1130485.5980999998</v>
      </c>
      <c r="AT62" s="890">
        <f t="shared" si="88"/>
        <v>335028.79781000002</v>
      </c>
      <c r="AU62" s="890">
        <f t="shared" si="88"/>
        <v>0</v>
      </c>
      <c r="AV62" s="890">
        <f t="shared" si="88"/>
        <v>0</v>
      </c>
      <c r="AW62" s="890">
        <f t="shared" si="88"/>
        <v>0</v>
      </c>
      <c r="AX62" s="890">
        <f t="shared" si="47"/>
        <v>1465514.39591</v>
      </c>
      <c r="AY62" s="890">
        <f t="shared" si="48"/>
        <v>1465514.39591</v>
      </c>
      <c r="AZ62" s="890">
        <f t="shared" si="89"/>
        <v>1281765.6521999999</v>
      </c>
      <c r="BA62" s="890">
        <f t="shared" si="89"/>
        <v>338378.84731000004</v>
      </c>
      <c r="BB62" s="890">
        <f t="shared" si="89"/>
        <v>0</v>
      </c>
      <c r="BC62" s="890">
        <f t="shared" si="89"/>
        <v>0</v>
      </c>
      <c r="BD62" s="890">
        <f t="shared" si="89"/>
        <v>0</v>
      </c>
      <c r="BE62" s="890">
        <f t="shared" si="49"/>
        <v>1620144.49951</v>
      </c>
      <c r="BF62" s="952">
        <f t="shared" si="53"/>
        <v>1620144.49951</v>
      </c>
      <c r="BG62" s="953">
        <f t="shared" si="90"/>
        <v>19.837450251666638</v>
      </c>
      <c r="BH62" s="954">
        <f t="shared" si="91"/>
        <v>31.347736403333322</v>
      </c>
      <c r="BI62" s="955">
        <f t="shared" si="92"/>
        <v>51.18518665499996</v>
      </c>
      <c r="BJ62" s="955"/>
      <c r="BK62" s="1197"/>
      <c r="BL62" s="890">
        <f t="shared" si="84"/>
        <v>715186.90817999979</v>
      </c>
      <c r="BM62" s="890">
        <f t="shared" si="84"/>
        <v>192539.55523000003</v>
      </c>
      <c r="BN62" s="890">
        <f t="shared" si="84"/>
        <v>0</v>
      </c>
      <c r="BO62" s="890">
        <f t="shared" si="84"/>
        <v>0</v>
      </c>
      <c r="BP62" s="890">
        <f t="shared" si="84"/>
        <v>0</v>
      </c>
      <c r="BQ62" s="890">
        <f t="shared" si="55"/>
        <v>907726.46340999985</v>
      </c>
      <c r="BR62" s="890">
        <f t="shared" si="56"/>
        <v>907726.46340999985</v>
      </c>
      <c r="BS62" s="890">
        <f t="shared" si="85"/>
        <v>470873.39903999999</v>
      </c>
      <c r="BT62" s="890">
        <f t="shared" si="85"/>
        <v>143914.03358000002</v>
      </c>
      <c r="BU62" s="890">
        <f t="shared" si="85"/>
        <v>0</v>
      </c>
      <c r="BV62" s="890">
        <f t="shared" si="58"/>
        <v>0</v>
      </c>
      <c r="BW62" s="890">
        <f t="shared" si="17"/>
        <v>0</v>
      </c>
      <c r="BX62" s="890">
        <f t="shared" si="59"/>
        <v>614787.43261999998</v>
      </c>
      <c r="BY62" s="890">
        <f t="shared" si="60"/>
        <v>614787.43261999998</v>
      </c>
      <c r="BZ62" s="945">
        <f t="shared" si="61"/>
        <v>336453.58881000004</v>
      </c>
      <c r="CA62" s="945">
        <f t="shared" si="61"/>
        <v>0</v>
      </c>
      <c r="CB62" s="945">
        <f t="shared" si="62"/>
        <v>336453.58881000004</v>
      </c>
      <c r="CC62" s="976">
        <f t="shared" si="63"/>
        <v>2962.7564816266149</v>
      </c>
      <c r="CD62" s="976" t="e">
        <f t="shared" si="63"/>
        <v>#DIV/0!</v>
      </c>
      <c r="CE62" s="976">
        <f t="shared" si="39"/>
        <v>2962.7564816266149</v>
      </c>
      <c r="CF62" s="976">
        <f t="shared" si="18"/>
        <v>2962.7564816266149</v>
      </c>
      <c r="CG62" s="977">
        <f t="shared" si="19"/>
        <v>397875.81279599993</v>
      </c>
      <c r="CH62" s="977">
        <f t="shared" si="40"/>
        <v>3503.6307605251795</v>
      </c>
      <c r="CI62" s="945"/>
      <c r="CJ62" s="1405">
        <f t="shared" si="86"/>
        <v>931.53140371199981</v>
      </c>
      <c r="CK62" s="1405">
        <f t="shared" si="83"/>
        <v>652.40471630399998</v>
      </c>
      <c r="CL62" s="1405">
        <f t="shared" si="50"/>
        <v>1583.9361200159997</v>
      </c>
      <c r="CM62" s="890">
        <f t="shared" si="41"/>
        <v>1708.5923928479999</v>
      </c>
      <c r="CN62" s="890">
        <f t="shared" si="42"/>
        <v>124.65627283200024</v>
      </c>
      <c r="CO62" s="890">
        <f t="shared" si="22"/>
        <v>1583936.1200159998</v>
      </c>
      <c r="CP62" s="890">
        <f t="shared" si="23"/>
        <v>1465514.39591</v>
      </c>
      <c r="CQ62" s="890">
        <f t="shared" si="24"/>
        <v>1465514.39591</v>
      </c>
      <c r="CR62" s="890">
        <f t="shared" si="25"/>
        <v>907726.46340999985</v>
      </c>
      <c r="CS62" s="890">
        <f t="shared" si="26"/>
        <v>1620144.49951</v>
      </c>
      <c r="CT62" s="890">
        <f t="shared" si="27"/>
        <v>1620144.49951</v>
      </c>
      <c r="CU62" s="890">
        <f t="shared" si="28"/>
        <v>614787.43261999998</v>
      </c>
      <c r="CV62" s="890">
        <f t="shared" si="43"/>
        <v>3085658.89542</v>
      </c>
      <c r="CW62" s="978">
        <f t="shared" si="44"/>
        <v>6787.8440942307943</v>
      </c>
      <c r="CX62" s="890">
        <f t="shared" si="29"/>
        <v>335028.79781000002</v>
      </c>
      <c r="CY62" s="890">
        <f t="shared" si="30"/>
        <v>338378.84731000004</v>
      </c>
      <c r="CZ62" s="890"/>
      <c r="DA62" s="890">
        <f t="shared" si="31"/>
        <v>1506936.2249039998</v>
      </c>
      <c r="DB62" s="890">
        <f t="shared" si="32"/>
        <v>1708592.3928479999</v>
      </c>
      <c r="DC62" s="840"/>
      <c r="DD62" s="841">
        <f t="shared" si="45"/>
        <v>127.40001559211038</v>
      </c>
      <c r="DE62" s="840"/>
      <c r="DF62" s="840"/>
      <c r="DG62" s="840"/>
      <c r="DH62" s="1050"/>
      <c r="DI62" s="1050"/>
      <c r="DJ62" s="1050"/>
      <c r="DK62" s="945"/>
      <c r="DL62" s="975">
        <f t="shared" si="33"/>
        <v>0</v>
      </c>
      <c r="DM62" s="975">
        <f t="shared" si="34"/>
        <v>0</v>
      </c>
      <c r="DN62" s="975">
        <f t="shared" si="35"/>
        <v>0</v>
      </c>
      <c r="DO62" s="816"/>
      <c r="DP62" s="871"/>
      <c r="DQ62" s="871"/>
      <c r="DR62" s="871"/>
      <c r="DS62" s="871"/>
      <c r="DT62" s="871"/>
      <c r="DU62" s="871"/>
      <c r="DV62" s="871"/>
      <c r="DW62" s="871"/>
      <c r="DX62" s="871"/>
      <c r="DY62" s="871"/>
      <c r="DZ62" s="871"/>
      <c r="EA62" s="871"/>
      <c r="EB62" s="871"/>
      <c r="EC62" s="871"/>
      <c r="ED62" s="871"/>
      <c r="EE62" s="871"/>
      <c r="EF62" s="871"/>
      <c r="EG62" s="871"/>
      <c r="EH62" s="871"/>
      <c r="EI62" s="871"/>
      <c r="EJ62" s="871"/>
      <c r="EK62" s="871"/>
      <c r="EL62" s="871"/>
    </row>
    <row r="63" spans="1:142" s="869" customFormat="1" ht="75" customHeight="1">
      <c r="A63" s="6" t="e">
        <f t="shared" si="46"/>
        <v>#REF!</v>
      </c>
      <c r="B63" s="886" t="s">
        <v>21</v>
      </c>
      <c r="C63" s="1395" t="s">
        <v>102</v>
      </c>
      <c r="D63" s="1262" t="s">
        <v>141</v>
      </c>
      <c r="E63" s="887">
        <v>4632024035</v>
      </c>
      <c r="F63" s="886" t="s">
        <v>8</v>
      </c>
      <c r="G63" s="1238" t="s">
        <v>983</v>
      </c>
      <c r="H63" s="1256">
        <v>3314.9639999999995</v>
      </c>
      <c r="I63" s="1257">
        <f t="shared" si="93"/>
        <v>3314.9639999999995</v>
      </c>
      <c r="J63" s="891"/>
      <c r="K63" s="891"/>
      <c r="L63" s="1256">
        <v>3314.9639999999995</v>
      </c>
      <c r="M63" s="991"/>
      <c r="N63" s="1259">
        <f t="shared" si="94"/>
        <v>3758.5679999999998</v>
      </c>
      <c r="O63" s="1260">
        <f t="shared" si="95"/>
        <v>3758.5679999999998</v>
      </c>
      <c r="P63" s="891"/>
      <c r="Q63" s="891"/>
      <c r="R63" s="891">
        <f t="shared" si="96"/>
        <v>3758.5679999999998</v>
      </c>
      <c r="S63" s="991"/>
      <c r="T63" s="1375">
        <v>132.41700000000003</v>
      </c>
      <c r="U63" s="1376"/>
      <c r="V63" s="1376"/>
      <c r="W63" s="995"/>
      <c r="X63" s="995"/>
      <c r="Y63" s="995"/>
      <c r="Z63" s="1397">
        <f t="shared" si="8"/>
        <v>132.41700000000003</v>
      </c>
      <c r="AA63" s="1377">
        <v>75.58</v>
      </c>
      <c r="AB63" s="1376"/>
      <c r="AC63" s="1376"/>
      <c r="AD63" s="995"/>
      <c r="AE63" s="995"/>
      <c r="AF63" s="995"/>
      <c r="AG63" s="951">
        <f t="shared" si="51"/>
        <v>75.58</v>
      </c>
      <c r="AH63" s="947">
        <f t="shared" si="52"/>
        <v>207.99700000000001</v>
      </c>
      <c r="AI63" s="890">
        <f t="shared" si="73"/>
        <v>207.99700000000001</v>
      </c>
      <c r="AJ63" s="890">
        <f t="shared" si="73"/>
        <v>0</v>
      </c>
      <c r="AK63" s="890">
        <f t="shared" si="73"/>
        <v>0</v>
      </c>
      <c r="AL63" s="890">
        <f t="shared" si="73"/>
        <v>0</v>
      </c>
      <c r="AM63" s="890">
        <f t="shared" si="73"/>
        <v>0</v>
      </c>
      <c r="AN63" s="890"/>
      <c r="AO63" s="890">
        <f t="shared" si="70"/>
        <v>207.99700000000001</v>
      </c>
      <c r="AP63" s="890">
        <f t="shared" si="71"/>
        <v>207.99700000000001</v>
      </c>
      <c r="AQ63" s="952">
        <f t="shared" si="72"/>
        <v>207.99700000000001</v>
      </c>
      <c r="AR63" s="973">
        <f t="shared" si="36"/>
        <v>0</v>
      </c>
      <c r="AS63" s="889">
        <f t="shared" si="88"/>
        <v>689502.56710799993</v>
      </c>
      <c r="AT63" s="890">
        <f t="shared" si="88"/>
        <v>0</v>
      </c>
      <c r="AU63" s="890">
        <f t="shared" si="88"/>
        <v>0</v>
      </c>
      <c r="AV63" s="890">
        <f t="shared" si="88"/>
        <v>0</v>
      </c>
      <c r="AW63" s="890">
        <f t="shared" si="88"/>
        <v>0</v>
      </c>
      <c r="AX63" s="890">
        <f t="shared" si="47"/>
        <v>689502.56710799993</v>
      </c>
      <c r="AY63" s="890">
        <f t="shared" si="48"/>
        <v>689502.56710799993</v>
      </c>
      <c r="AZ63" s="890">
        <f t="shared" si="89"/>
        <v>781770.86829600006</v>
      </c>
      <c r="BA63" s="890">
        <f t="shared" si="89"/>
        <v>0</v>
      </c>
      <c r="BB63" s="890">
        <f t="shared" si="89"/>
        <v>0</v>
      </c>
      <c r="BC63" s="890">
        <f t="shared" si="89"/>
        <v>0</v>
      </c>
      <c r="BD63" s="890">
        <f t="shared" si="89"/>
        <v>0</v>
      </c>
      <c r="BE63" s="890">
        <f t="shared" si="49"/>
        <v>781770.86829600006</v>
      </c>
      <c r="BF63" s="952">
        <f t="shared" si="53"/>
        <v>781770.86829600006</v>
      </c>
      <c r="BG63" s="953">
        <f t="shared" si="90"/>
        <v>0</v>
      </c>
      <c r="BH63" s="954">
        <f t="shared" si="91"/>
        <v>0</v>
      </c>
      <c r="BI63" s="955">
        <f t="shared" si="92"/>
        <v>0</v>
      </c>
      <c r="BJ63" s="975"/>
      <c r="BK63" s="1198"/>
      <c r="BL63" s="890">
        <f t="shared" si="84"/>
        <v>438957.58798800001</v>
      </c>
      <c r="BM63" s="890">
        <f t="shared" si="84"/>
        <v>0</v>
      </c>
      <c r="BN63" s="890">
        <f t="shared" si="84"/>
        <v>0</v>
      </c>
      <c r="BO63" s="890">
        <f t="shared" si="84"/>
        <v>0</v>
      </c>
      <c r="BP63" s="890">
        <f t="shared" si="84"/>
        <v>0</v>
      </c>
      <c r="BQ63" s="890">
        <f t="shared" si="55"/>
        <v>438957.58798800001</v>
      </c>
      <c r="BR63" s="890">
        <f t="shared" si="56"/>
        <v>438957.58798800001</v>
      </c>
      <c r="BS63" s="890">
        <f t="shared" si="85"/>
        <v>284072.56943999999</v>
      </c>
      <c r="BT63" s="890">
        <f t="shared" si="85"/>
        <v>0</v>
      </c>
      <c r="BU63" s="890">
        <f t="shared" si="85"/>
        <v>0</v>
      </c>
      <c r="BV63" s="890">
        <f t="shared" si="58"/>
        <v>0</v>
      </c>
      <c r="BW63" s="890">
        <f t="shared" si="17"/>
        <v>0</v>
      </c>
      <c r="BX63" s="890">
        <f t="shared" si="59"/>
        <v>284072.56943999999</v>
      </c>
      <c r="BY63" s="890">
        <f t="shared" si="60"/>
        <v>284072.56943999999</v>
      </c>
      <c r="BZ63" s="945">
        <f t="shared" si="61"/>
        <v>0</v>
      </c>
      <c r="CA63" s="945">
        <f t="shared" si="61"/>
        <v>0</v>
      </c>
      <c r="CB63" s="945">
        <f t="shared" si="62"/>
        <v>0</v>
      </c>
      <c r="CC63" s="976" t="e">
        <f t="shared" si="63"/>
        <v>#DIV/0!</v>
      </c>
      <c r="CD63" s="976" t="e">
        <f t="shared" si="63"/>
        <v>#DIV/0!</v>
      </c>
      <c r="CE63" s="976" t="e">
        <f t="shared" si="39"/>
        <v>#DIV/0!</v>
      </c>
      <c r="CF63" s="945" t="e">
        <f t="shared" si="18"/>
        <v>#DIV/0!</v>
      </c>
      <c r="CG63" s="977">
        <f t="shared" si="19"/>
        <v>0</v>
      </c>
      <c r="CH63" s="977" t="e">
        <f t="shared" si="40"/>
        <v>#DIV/0!</v>
      </c>
      <c r="CI63" s="941"/>
      <c r="CJ63" s="1405">
        <f t="shared" si="86"/>
        <v>438.957587988</v>
      </c>
      <c r="CK63" s="1405">
        <f t="shared" si="83"/>
        <v>284.07256944</v>
      </c>
      <c r="CL63" s="1405">
        <f t="shared" si="50"/>
        <v>723.03015742799994</v>
      </c>
      <c r="CM63" s="890">
        <f t="shared" si="41"/>
        <v>781.770868296</v>
      </c>
      <c r="CN63" s="890">
        <f t="shared" si="42"/>
        <v>58.740710868000065</v>
      </c>
      <c r="CO63" s="890">
        <f t="shared" si="22"/>
        <v>723030.15742800001</v>
      </c>
      <c r="CP63" s="890">
        <f t="shared" si="23"/>
        <v>689502.56710799993</v>
      </c>
      <c r="CQ63" s="890">
        <f t="shared" si="24"/>
        <v>689502.56710799993</v>
      </c>
      <c r="CR63" s="890">
        <f t="shared" si="25"/>
        <v>438957.58798800001</v>
      </c>
      <c r="CS63" s="890">
        <f t="shared" si="26"/>
        <v>781770.86829600006</v>
      </c>
      <c r="CT63" s="890">
        <f t="shared" si="27"/>
        <v>781770.86829600006</v>
      </c>
      <c r="CU63" s="890">
        <f t="shared" si="28"/>
        <v>284072.56943999999</v>
      </c>
      <c r="CV63" s="890">
        <f t="shared" si="43"/>
        <v>1471273.4354039999</v>
      </c>
      <c r="CW63" s="978">
        <f t="shared" si="44"/>
        <v>7073.5319999999992</v>
      </c>
      <c r="CX63" s="890">
        <f t="shared" si="29"/>
        <v>0</v>
      </c>
      <c r="CY63" s="890">
        <f t="shared" si="30"/>
        <v>0</v>
      </c>
      <c r="CZ63" s="890"/>
      <c r="DA63" s="890">
        <f t="shared" si="31"/>
        <v>689502.56710799993</v>
      </c>
      <c r="DB63" s="890">
        <f t="shared" si="32"/>
        <v>781770.86829600006</v>
      </c>
      <c r="DC63" s="870"/>
      <c r="DD63" s="841" t="e">
        <f t="shared" si="45"/>
        <v>#DIV/0!</v>
      </c>
      <c r="DE63" s="870"/>
      <c r="DF63" s="870"/>
      <c r="DG63" s="870"/>
      <c r="DH63" s="1050"/>
      <c r="DI63" s="1050"/>
      <c r="DJ63" s="1050"/>
      <c r="DK63" s="941"/>
      <c r="DL63" s="975">
        <f t="shared" si="33"/>
        <v>0</v>
      </c>
      <c r="DM63" s="975">
        <f t="shared" si="34"/>
        <v>0</v>
      </c>
      <c r="DN63" s="975">
        <f t="shared" si="35"/>
        <v>0</v>
      </c>
      <c r="DO63" s="799"/>
      <c r="DP63" s="871"/>
      <c r="DQ63" s="871"/>
      <c r="DR63" s="871"/>
      <c r="DS63" s="871"/>
      <c r="DT63" s="871"/>
      <c r="DU63" s="871"/>
      <c r="DV63" s="871"/>
      <c r="DW63" s="871"/>
      <c r="DX63" s="871"/>
      <c r="DY63" s="871"/>
      <c r="DZ63" s="871"/>
      <c r="EA63" s="871"/>
      <c r="EB63" s="871"/>
      <c r="EC63" s="871"/>
      <c r="ED63" s="871"/>
      <c r="EE63" s="871"/>
      <c r="EF63" s="871"/>
      <c r="EG63" s="871"/>
      <c r="EH63" s="871"/>
      <c r="EI63" s="871"/>
      <c r="EJ63" s="871"/>
      <c r="EK63" s="871"/>
      <c r="EL63" s="871"/>
    </row>
    <row r="64" spans="1:142" s="869" customFormat="1" ht="84.75" customHeight="1">
      <c r="A64" s="6" t="e">
        <f t="shared" si="46"/>
        <v>#REF!</v>
      </c>
      <c r="B64" s="886" t="s">
        <v>22</v>
      </c>
      <c r="C64" s="1395" t="s">
        <v>103</v>
      </c>
      <c r="D64" s="1262" t="s">
        <v>142</v>
      </c>
      <c r="E64" s="887">
        <v>4632024035</v>
      </c>
      <c r="F64" s="886" t="s">
        <v>8</v>
      </c>
      <c r="G64" s="1238" t="s">
        <v>983</v>
      </c>
      <c r="H64" s="1256">
        <v>3314.9639999999995</v>
      </c>
      <c r="I64" s="1257">
        <f t="shared" si="93"/>
        <v>3314.9639999999995</v>
      </c>
      <c r="J64" s="1263">
        <v>2484</v>
      </c>
      <c r="K64" s="891"/>
      <c r="L64" s="1256">
        <v>3314.9639999999995</v>
      </c>
      <c r="M64" s="946"/>
      <c r="N64" s="1259">
        <f t="shared" si="94"/>
        <v>3758.5679999999998</v>
      </c>
      <c r="O64" s="1260">
        <f t="shared" si="95"/>
        <v>3758.5679999999998</v>
      </c>
      <c r="P64" s="1264">
        <v>2719.98</v>
      </c>
      <c r="Q64" s="891"/>
      <c r="R64" s="891">
        <f t="shared" si="96"/>
        <v>3758.5679999999998</v>
      </c>
      <c r="S64" s="946"/>
      <c r="T64" s="1378">
        <v>2440.1130000000003</v>
      </c>
      <c r="U64" s="1379">
        <v>60.106000000000016</v>
      </c>
      <c r="V64" s="1380"/>
      <c r="W64" s="931"/>
      <c r="X64" s="931"/>
      <c r="Y64" s="931"/>
      <c r="Z64" s="1397">
        <f t="shared" si="8"/>
        <v>2500.2190000000005</v>
      </c>
      <c r="AA64" s="1381">
        <v>1992.963</v>
      </c>
      <c r="AB64" s="1382">
        <v>134</v>
      </c>
      <c r="AC64" s="1380"/>
      <c r="AD64" s="931"/>
      <c r="AE64" s="931"/>
      <c r="AF64" s="931"/>
      <c r="AG64" s="951">
        <f t="shared" si="51"/>
        <v>2126.9629999999997</v>
      </c>
      <c r="AH64" s="947">
        <f t="shared" si="52"/>
        <v>4627.1820000000007</v>
      </c>
      <c r="AI64" s="890">
        <f t="shared" si="73"/>
        <v>4433.076</v>
      </c>
      <c r="AJ64" s="890">
        <f t="shared" si="73"/>
        <v>194.10600000000002</v>
      </c>
      <c r="AK64" s="890">
        <f t="shared" si="73"/>
        <v>0</v>
      </c>
      <c r="AL64" s="890">
        <f t="shared" si="73"/>
        <v>0</v>
      </c>
      <c r="AM64" s="890">
        <f t="shared" si="73"/>
        <v>0</v>
      </c>
      <c r="AN64" s="890"/>
      <c r="AO64" s="890">
        <f t="shared" si="70"/>
        <v>4627.1819999999998</v>
      </c>
      <c r="AP64" s="890">
        <f t="shared" si="71"/>
        <v>4627.1819999999998</v>
      </c>
      <c r="AQ64" s="952">
        <f t="shared" si="72"/>
        <v>4627.1819999999998</v>
      </c>
      <c r="AR64" s="973">
        <f t="shared" si="36"/>
        <v>0</v>
      </c>
      <c r="AS64" s="889">
        <f t="shared" si="88"/>
        <v>14695487.349263998</v>
      </c>
      <c r="AT64" s="890">
        <f t="shared" si="88"/>
        <v>482159.30400000006</v>
      </c>
      <c r="AU64" s="890">
        <f t="shared" si="88"/>
        <v>0</v>
      </c>
      <c r="AV64" s="890">
        <f t="shared" si="88"/>
        <v>0</v>
      </c>
      <c r="AW64" s="890">
        <f t="shared" si="88"/>
        <v>0</v>
      </c>
      <c r="AX64" s="890">
        <f t="shared" si="47"/>
        <v>15177646.653263997</v>
      </c>
      <c r="AY64" s="890">
        <f t="shared" si="48"/>
        <v>15177646.653263997</v>
      </c>
      <c r="AZ64" s="890">
        <f t="shared" si="89"/>
        <v>16662017.595167998</v>
      </c>
      <c r="BA64" s="890">
        <f t="shared" si="89"/>
        <v>527964.4378800001</v>
      </c>
      <c r="BB64" s="890">
        <f t="shared" si="89"/>
        <v>0</v>
      </c>
      <c r="BC64" s="890">
        <f t="shared" si="89"/>
        <v>0</v>
      </c>
      <c r="BD64" s="890">
        <f t="shared" si="89"/>
        <v>0</v>
      </c>
      <c r="BE64" s="890">
        <f t="shared" si="49"/>
        <v>17189982.033047996</v>
      </c>
      <c r="BF64" s="952">
        <f t="shared" si="53"/>
        <v>17189982.033047996</v>
      </c>
      <c r="BG64" s="953">
        <f t="shared" si="90"/>
        <v>41.621601819999981</v>
      </c>
      <c r="BH64" s="954">
        <f t="shared" si="91"/>
        <v>115.97565999999996</v>
      </c>
      <c r="BI64" s="955">
        <f t="shared" si="92"/>
        <v>157.59726181999994</v>
      </c>
      <c r="BJ64" s="955"/>
      <c r="BK64" s="1197"/>
      <c r="BL64" s="890">
        <f t="shared" si="84"/>
        <v>8088886.7509319996</v>
      </c>
      <c r="BM64" s="890">
        <f t="shared" si="84"/>
        <v>149303.30400000003</v>
      </c>
      <c r="BN64" s="890">
        <f t="shared" si="84"/>
        <v>0</v>
      </c>
      <c r="BO64" s="890">
        <f t="shared" si="84"/>
        <v>0</v>
      </c>
      <c r="BP64" s="890">
        <f t="shared" si="84"/>
        <v>0</v>
      </c>
      <c r="BQ64" s="890">
        <f t="shared" si="55"/>
        <v>8238190.0549320001</v>
      </c>
      <c r="BR64" s="890">
        <f t="shared" si="56"/>
        <v>8238190.0549320001</v>
      </c>
      <c r="BS64" s="890">
        <f t="shared" si="85"/>
        <v>7490686.9569839993</v>
      </c>
      <c r="BT64" s="890">
        <f t="shared" si="85"/>
        <v>364477.32</v>
      </c>
      <c r="BU64" s="890">
        <f t="shared" si="85"/>
        <v>0</v>
      </c>
      <c r="BV64" s="890">
        <f t="shared" si="58"/>
        <v>0</v>
      </c>
      <c r="BW64" s="890">
        <f t="shared" si="17"/>
        <v>0</v>
      </c>
      <c r="BX64" s="890">
        <f t="shared" si="59"/>
        <v>7855164.2769839996</v>
      </c>
      <c r="BY64" s="890">
        <f t="shared" si="60"/>
        <v>7855164.2769839996</v>
      </c>
      <c r="BZ64" s="945">
        <f t="shared" si="61"/>
        <v>513780.62400000007</v>
      </c>
      <c r="CA64" s="945">
        <f t="shared" si="61"/>
        <v>0</v>
      </c>
      <c r="CB64" s="945">
        <f t="shared" si="62"/>
        <v>513780.62400000007</v>
      </c>
      <c r="CC64" s="976">
        <f t="shared" si="63"/>
        <v>2646.9074835399215</v>
      </c>
      <c r="CD64" s="976" t="e">
        <f t="shared" si="63"/>
        <v>#DIV/0!</v>
      </c>
      <c r="CE64" s="976">
        <f t="shared" si="39"/>
        <v>2646.9074835399215</v>
      </c>
      <c r="CF64" s="976">
        <f t="shared" si="18"/>
        <v>2646.9074835399215</v>
      </c>
      <c r="CG64" s="977">
        <f t="shared" si="19"/>
        <v>702897.33818399999</v>
      </c>
      <c r="CH64" s="977">
        <f t="shared" si="40"/>
        <v>3621.2035598281345</v>
      </c>
      <c r="CI64" s="941"/>
      <c r="CJ64" s="1405">
        <f t="shared" si="86"/>
        <v>8288.1359771160005</v>
      </c>
      <c r="CK64" s="1405">
        <f t="shared" si="83"/>
        <v>7994.3350689839981</v>
      </c>
      <c r="CL64" s="1405">
        <f t="shared" si="50"/>
        <v>16282.4710461</v>
      </c>
      <c r="CM64" s="890">
        <f t="shared" si="41"/>
        <v>17391.578195376002</v>
      </c>
      <c r="CN64" s="890">
        <f t="shared" si="42"/>
        <v>1109.107149276002</v>
      </c>
      <c r="CO64" s="890">
        <f t="shared" si="22"/>
        <v>16282471.046099998</v>
      </c>
      <c r="CP64" s="890">
        <f t="shared" si="23"/>
        <v>15177646.653263997</v>
      </c>
      <c r="CQ64" s="890">
        <f t="shared" si="24"/>
        <v>15177646.653263997</v>
      </c>
      <c r="CR64" s="890">
        <f t="shared" si="25"/>
        <v>8238190.0549320001</v>
      </c>
      <c r="CS64" s="890">
        <f t="shared" si="26"/>
        <v>17189982.033047996</v>
      </c>
      <c r="CT64" s="890">
        <f t="shared" si="27"/>
        <v>17189982.033047996</v>
      </c>
      <c r="CU64" s="890">
        <f t="shared" si="28"/>
        <v>7855164.2769839996</v>
      </c>
      <c r="CV64" s="890">
        <f t="shared" si="43"/>
        <v>32367628.686311994</v>
      </c>
      <c r="CW64" s="978">
        <f t="shared" si="44"/>
        <v>6995.1060248574595</v>
      </c>
      <c r="CX64" s="890">
        <f t="shared" si="29"/>
        <v>482159.30400000006</v>
      </c>
      <c r="CY64" s="890">
        <f t="shared" si="30"/>
        <v>527964.4378800001</v>
      </c>
      <c r="CZ64" s="890"/>
      <c r="DA64" s="890">
        <f t="shared" si="31"/>
        <v>15338941.751447998</v>
      </c>
      <c r="DB64" s="890">
        <f t="shared" si="32"/>
        <v>17391578.195375998</v>
      </c>
      <c r="DC64" s="870"/>
      <c r="DD64" s="841">
        <f t="shared" si="45"/>
        <v>151.3111111111111</v>
      </c>
      <c r="DE64" s="870"/>
      <c r="DF64" s="870"/>
      <c r="DG64" s="870"/>
      <c r="DH64" s="1050"/>
      <c r="DI64" s="1050"/>
      <c r="DJ64" s="1050"/>
      <c r="DK64" s="941"/>
      <c r="DL64" s="975">
        <f t="shared" si="33"/>
        <v>0</v>
      </c>
      <c r="DM64" s="975">
        <f t="shared" si="34"/>
        <v>0</v>
      </c>
      <c r="DN64" s="975">
        <f t="shared" si="35"/>
        <v>0</v>
      </c>
      <c r="DO64" s="799"/>
      <c r="DP64" s="871"/>
      <c r="DQ64" s="871"/>
      <c r="DR64" s="871"/>
      <c r="DS64" s="871"/>
      <c r="DT64" s="871"/>
      <c r="DU64" s="871"/>
      <c r="DV64" s="871"/>
      <c r="DW64" s="871"/>
      <c r="DX64" s="871"/>
      <c r="DY64" s="871"/>
      <c r="DZ64" s="871"/>
      <c r="EA64" s="871"/>
      <c r="EB64" s="871"/>
      <c r="EC64" s="871"/>
      <c r="ED64" s="871"/>
      <c r="EE64" s="871"/>
      <c r="EF64" s="871"/>
      <c r="EG64" s="871"/>
      <c r="EH64" s="871"/>
      <c r="EI64" s="871"/>
      <c r="EJ64" s="871"/>
      <c r="EK64" s="871"/>
      <c r="EL64" s="871"/>
    </row>
    <row r="65" spans="1:142" s="869" customFormat="1" ht="76.5" customHeight="1">
      <c r="A65" s="6" t="e">
        <f t="shared" si="46"/>
        <v>#REF!</v>
      </c>
      <c r="B65" s="886" t="s">
        <v>22</v>
      </c>
      <c r="C65" s="1395" t="s">
        <v>104</v>
      </c>
      <c r="D65" s="1262" t="s">
        <v>141</v>
      </c>
      <c r="E65" s="887">
        <v>4632024035</v>
      </c>
      <c r="F65" s="886" t="s">
        <v>8</v>
      </c>
      <c r="G65" s="1238" t="s">
        <v>983</v>
      </c>
      <c r="H65" s="1256">
        <v>3314.9639999999995</v>
      </c>
      <c r="I65" s="1257">
        <f t="shared" si="93"/>
        <v>3314.9639999999995</v>
      </c>
      <c r="J65" s="891"/>
      <c r="K65" s="891"/>
      <c r="L65" s="1256">
        <v>3314.9639999999995</v>
      </c>
      <c r="M65" s="946"/>
      <c r="N65" s="1259">
        <f t="shared" si="94"/>
        <v>3758.5679999999998</v>
      </c>
      <c r="O65" s="1260">
        <f t="shared" si="95"/>
        <v>3758.5679999999998</v>
      </c>
      <c r="P65" s="891"/>
      <c r="Q65" s="891"/>
      <c r="R65" s="891">
        <f t="shared" si="96"/>
        <v>3758.5679999999998</v>
      </c>
      <c r="S65" s="946"/>
      <c r="T65" s="1307">
        <v>118.66</v>
      </c>
      <c r="U65" s="1366"/>
      <c r="V65" s="1366"/>
      <c r="W65" s="890"/>
      <c r="X65" s="890"/>
      <c r="Y65" s="890"/>
      <c r="Z65" s="1397">
        <f t="shared" si="8"/>
        <v>118.66</v>
      </c>
      <c r="AA65" s="1308">
        <v>68.903999999999996</v>
      </c>
      <c r="AB65" s="1366"/>
      <c r="AC65" s="1366"/>
      <c r="AD65" s="890"/>
      <c r="AE65" s="890"/>
      <c r="AF65" s="890"/>
      <c r="AG65" s="951">
        <f t="shared" si="51"/>
        <v>68.903999999999996</v>
      </c>
      <c r="AH65" s="947">
        <f t="shared" si="52"/>
        <v>187.56399999999999</v>
      </c>
      <c r="AI65" s="890">
        <f t="shared" si="73"/>
        <v>187.56399999999999</v>
      </c>
      <c r="AJ65" s="890">
        <f t="shared" si="73"/>
        <v>0</v>
      </c>
      <c r="AK65" s="890">
        <f t="shared" si="73"/>
        <v>0</v>
      </c>
      <c r="AL65" s="890">
        <f t="shared" si="73"/>
        <v>0</v>
      </c>
      <c r="AM65" s="890">
        <f t="shared" si="73"/>
        <v>0</v>
      </c>
      <c r="AN65" s="890"/>
      <c r="AO65" s="890">
        <f t="shared" si="70"/>
        <v>187.56399999999999</v>
      </c>
      <c r="AP65" s="890">
        <f t="shared" si="71"/>
        <v>187.56399999999999</v>
      </c>
      <c r="AQ65" s="952">
        <f t="shared" si="72"/>
        <v>187.56399999999999</v>
      </c>
      <c r="AR65" s="973">
        <f t="shared" si="36"/>
        <v>0</v>
      </c>
      <c r="AS65" s="889">
        <f t="shared" si="88"/>
        <v>621767.90769599983</v>
      </c>
      <c r="AT65" s="890">
        <f t="shared" si="88"/>
        <v>0</v>
      </c>
      <c r="AU65" s="890">
        <f t="shared" si="88"/>
        <v>0</v>
      </c>
      <c r="AV65" s="890">
        <f t="shared" si="88"/>
        <v>0</v>
      </c>
      <c r="AW65" s="890">
        <f t="shared" si="88"/>
        <v>0</v>
      </c>
      <c r="AX65" s="890">
        <f t="shared" si="47"/>
        <v>621767.90769599983</v>
      </c>
      <c r="AY65" s="890">
        <f t="shared" si="48"/>
        <v>621767.90769599983</v>
      </c>
      <c r="AZ65" s="890">
        <f t="shared" si="89"/>
        <v>704972.04835199995</v>
      </c>
      <c r="BA65" s="890">
        <f t="shared" si="89"/>
        <v>0</v>
      </c>
      <c r="BB65" s="890">
        <f t="shared" si="89"/>
        <v>0</v>
      </c>
      <c r="BC65" s="890">
        <f t="shared" si="89"/>
        <v>0</v>
      </c>
      <c r="BD65" s="890">
        <f t="shared" si="89"/>
        <v>0</v>
      </c>
      <c r="BE65" s="890">
        <f t="shared" si="49"/>
        <v>704972.04835199995</v>
      </c>
      <c r="BF65" s="952">
        <f t="shared" si="53"/>
        <v>704972.04835199995</v>
      </c>
      <c r="BG65" s="953">
        <f t="shared" si="90"/>
        <v>0</v>
      </c>
      <c r="BH65" s="954">
        <f t="shared" si="91"/>
        <v>0</v>
      </c>
      <c r="BI65" s="955">
        <f t="shared" si="92"/>
        <v>0</v>
      </c>
      <c r="BJ65" s="890"/>
      <c r="BK65" s="1199"/>
      <c r="BL65" s="890">
        <f t="shared" si="84"/>
        <v>393353.62823999993</v>
      </c>
      <c r="BM65" s="890">
        <f t="shared" si="84"/>
        <v>0</v>
      </c>
      <c r="BN65" s="890">
        <f t="shared" si="84"/>
        <v>0</v>
      </c>
      <c r="BO65" s="890">
        <f t="shared" si="84"/>
        <v>0</v>
      </c>
      <c r="BP65" s="890">
        <f t="shared" si="84"/>
        <v>0</v>
      </c>
      <c r="BQ65" s="890">
        <f t="shared" si="55"/>
        <v>393353.62823999993</v>
      </c>
      <c r="BR65" s="890">
        <f t="shared" si="56"/>
        <v>393353.62823999993</v>
      </c>
      <c r="BS65" s="890">
        <f t="shared" si="85"/>
        <v>258980.36947199996</v>
      </c>
      <c r="BT65" s="890">
        <f t="shared" si="85"/>
        <v>0</v>
      </c>
      <c r="BU65" s="890">
        <f t="shared" si="85"/>
        <v>0</v>
      </c>
      <c r="BV65" s="890">
        <f t="shared" si="58"/>
        <v>0</v>
      </c>
      <c r="BW65" s="890">
        <f t="shared" si="17"/>
        <v>0</v>
      </c>
      <c r="BX65" s="890">
        <f t="shared" si="59"/>
        <v>258980.36947199996</v>
      </c>
      <c r="BY65" s="890">
        <f t="shared" si="60"/>
        <v>258980.36947199996</v>
      </c>
      <c r="BZ65" s="945">
        <f t="shared" si="61"/>
        <v>0</v>
      </c>
      <c r="CA65" s="945">
        <f t="shared" si="61"/>
        <v>0</v>
      </c>
      <c r="CB65" s="945">
        <f t="shared" si="62"/>
        <v>0</v>
      </c>
      <c r="CC65" s="976" t="e">
        <f t="shared" si="63"/>
        <v>#DIV/0!</v>
      </c>
      <c r="CD65" s="976" t="e">
        <f t="shared" si="63"/>
        <v>#DIV/0!</v>
      </c>
      <c r="CE65" s="976" t="e">
        <f t="shared" si="39"/>
        <v>#DIV/0!</v>
      </c>
      <c r="CF65" s="945" t="e">
        <f t="shared" si="18"/>
        <v>#DIV/0!</v>
      </c>
      <c r="CG65" s="977">
        <f t="shared" si="19"/>
        <v>0</v>
      </c>
      <c r="CH65" s="977" t="e">
        <f t="shared" si="40"/>
        <v>#DIV/0!</v>
      </c>
      <c r="CI65" s="945"/>
      <c r="CJ65" s="1405">
        <f t="shared" si="86"/>
        <v>393.35362823999992</v>
      </c>
      <c r="CK65" s="1405">
        <f t="shared" si="83"/>
        <v>258.98036947199995</v>
      </c>
      <c r="CL65" s="1405">
        <f t="shared" si="50"/>
        <v>652.33399771199993</v>
      </c>
      <c r="CM65" s="890">
        <f t="shared" si="41"/>
        <v>704.972048352</v>
      </c>
      <c r="CN65" s="890">
        <f t="shared" si="42"/>
        <v>52.638050640000074</v>
      </c>
      <c r="CO65" s="890">
        <f t="shared" si="22"/>
        <v>652333.99771199992</v>
      </c>
      <c r="CP65" s="890">
        <f t="shared" si="23"/>
        <v>621767.90769599983</v>
      </c>
      <c r="CQ65" s="890">
        <f t="shared" si="24"/>
        <v>621767.90769599983</v>
      </c>
      <c r="CR65" s="890">
        <f t="shared" si="25"/>
        <v>393353.62823999993</v>
      </c>
      <c r="CS65" s="890">
        <f t="shared" si="26"/>
        <v>704972.04835199995</v>
      </c>
      <c r="CT65" s="890">
        <f t="shared" si="27"/>
        <v>704972.04835199995</v>
      </c>
      <c r="CU65" s="890">
        <f t="shared" si="28"/>
        <v>258980.36947199996</v>
      </c>
      <c r="CV65" s="890">
        <f t="shared" si="43"/>
        <v>1326739.9560479997</v>
      </c>
      <c r="CW65" s="978">
        <f t="shared" si="44"/>
        <v>7073.5319999999983</v>
      </c>
      <c r="CX65" s="890">
        <f t="shared" si="29"/>
        <v>0</v>
      </c>
      <c r="CY65" s="890">
        <f t="shared" si="30"/>
        <v>0</v>
      </c>
      <c r="CZ65" s="890"/>
      <c r="DA65" s="890">
        <f t="shared" si="31"/>
        <v>621767.90769599983</v>
      </c>
      <c r="DB65" s="890">
        <f t="shared" si="32"/>
        <v>704972.04835199995</v>
      </c>
      <c r="DC65" s="840"/>
      <c r="DD65" s="841" t="e">
        <f t="shared" si="45"/>
        <v>#DIV/0!</v>
      </c>
      <c r="DE65" s="840"/>
      <c r="DF65" s="840"/>
      <c r="DG65" s="840"/>
      <c r="DH65" s="1050"/>
      <c r="DI65" s="1050"/>
      <c r="DJ65" s="1050"/>
      <c r="DK65" s="945"/>
      <c r="DL65" s="975">
        <f t="shared" si="33"/>
        <v>0</v>
      </c>
      <c r="DM65" s="975">
        <f t="shared" si="34"/>
        <v>0</v>
      </c>
      <c r="DN65" s="975">
        <f t="shared" si="35"/>
        <v>0</v>
      </c>
      <c r="DO65" s="816"/>
      <c r="DP65" s="871"/>
      <c r="DQ65" s="871"/>
      <c r="DR65" s="871"/>
      <c r="DS65" s="871"/>
      <c r="DT65" s="871"/>
      <c r="DU65" s="871"/>
      <c r="DV65" s="871"/>
      <c r="DW65" s="871"/>
      <c r="DX65" s="871"/>
      <c r="DY65" s="871"/>
      <c r="DZ65" s="871"/>
      <c r="EA65" s="871"/>
      <c r="EB65" s="871"/>
      <c r="EC65" s="871"/>
      <c r="ED65" s="871"/>
      <c r="EE65" s="871"/>
      <c r="EF65" s="871"/>
      <c r="EG65" s="871"/>
      <c r="EH65" s="871"/>
      <c r="EI65" s="871"/>
      <c r="EJ65" s="871"/>
      <c r="EK65" s="871"/>
      <c r="EL65" s="871"/>
    </row>
    <row r="66" spans="1:142" s="50" customFormat="1" ht="75" customHeight="1">
      <c r="A66" s="6" t="e">
        <f t="shared" si="46"/>
        <v>#REF!</v>
      </c>
      <c r="B66" s="886" t="s">
        <v>23</v>
      </c>
      <c r="C66" s="956" t="s">
        <v>68</v>
      </c>
      <c r="D66" s="886" t="s">
        <v>24</v>
      </c>
      <c r="E66" s="887">
        <v>4616008283</v>
      </c>
      <c r="F66" s="886" t="s">
        <v>8</v>
      </c>
      <c r="G66" s="888" t="s">
        <v>970</v>
      </c>
      <c r="H66" s="1251">
        <v>3478.3346220056919</v>
      </c>
      <c r="I66" s="1252">
        <v>3478.3346220056919</v>
      </c>
      <c r="J66" s="891">
        <v>3122.7852000000003</v>
      </c>
      <c r="K66" s="891">
        <v>3122.7852000000003</v>
      </c>
      <c r="L66" s="891">
        <v>3478.3346220056919</v>
      </c>
      <c r="M66" s="946"/>
      <c r="N66" s="927">
        <v>3853.91</v>
      </c>
      <c r="O66" s="928">
        <v>3853.91</v>
      </c>
      <c r="P66" s="928">
        <v>3572.47</v>
      </c>
      <c r="Q66" s="928">
        <v>3572.47</v>
      </c>
      <c r="R66" s="891">
        <v>3853.91</v>
      </c>
      <c r="S66" s="926"/>
      <c r="T66" s="988">
        <v>4222.33</v>
      </c>
      <c r="U66" s="987">
        <v>1260.886</v>
      </c>
      <c r="V66" s="897">
        <v>39.804000000000002</v>
      </c>
      <c r="W66" s="897">
        <v>375.74</v>
      </c>
      <c r="X66" s="897">
        <v>0</v>
      </c>
      <c r="Y66" s="897">
        <v>0</v>
      </c>
      <c r="Z66" s="920">
        <f>SUM(T66:W66)</f>
        <v>5898.76</v>
      </c>
      <c r="AA66" s="989">
        <v>2490.3200000000002</v>
      </c>
      <c r="AB66" s="987">
        <v>901.81399999999996</v>
      </c>
      <c r="AC66" s="897">
        <v>26.536000000000001</v>
      </c>
      <c r="AD66" s="897">
        <v>112.84</v>
      </c>
      <c r="AE66" s="897">
        <v>0</v>
      </c>
      <c r="AF66" s="897">
        <v>0</v>
      </c>
      <c r="AG66" s="900">
        <f>SUM(AA66:AD66)</f>
        <v>3531.51</v>
      </c>
      <c r="AH66" s="896">
        <f>Z66+AG66</f>
        <v>9430.27</v>
      </c>
      <c r="AI66" s="987">
        <f>T66+AA66</f>
        <v>6712.65</v>
      </c>
      <c r="AJ66" s="987">
        <f>U66+AB66</f>
        <v>2162.6999999999998</v>
      </c>
      <c r="AK66" s="897">
        <f>V66+AC66</f>
        <v>66.34</v>
      </c>
      <c r="AL66" s="897">
        <f>W66+AD66</f>
        <v>488.58000000000004</v>
      </c>
      <c r="AM66" s="897">
        <f t="shared" si="73"/>
        <v>0</v>
      </c>
      <c r="AN66" s="897"/>
      <c r="AO66" s="987">
        <f>SUM(AI66:AN66)</f>
        <v>9430.2699999999986</v>
      </c>
      <c r="AP66" s="987">
        <f>SUM(AI66:AM66)</f>
        <v>9430.2699999999986</v>
      </c>
      <c r="AQ66" s="998">
        <f>SUM(AI66:AL66)</f>
        <v>9430.2699999999986</v>
      </c>
      <c r="AR66" s="902">
        <f t="shared" si="36"/>
        <v>0</v>
      </c>
      <c r="AS66" s="903">
        <f t="shared" si="88"/>
        <v>23348842.900406506</v>
      </c>
      <c r="AT66" s="897">
        <f t="shared" si="88"/>
        <v>6753647.5520400004</v>
      </c>
      <c r="AU66" s="897">
        <f t="shared" si="88"/>
        <v>207165.57016800003</v>
      </c>
      <c r="AV66" s="897">
        <f t="shared" si="88"/>
        <v>1699444.7296195412</v>
      </c>
      <c r="AW66" s="897">
        <f t="shared" si="88"/>
        <v>0</v>
      </c>
      <c r="AX66" s="897">
        <f t="shared" si="47"/>
        <v>32009100.752234045</v>
      </c>
      <c r="AY66" s="897">
        <f t="shared" si="48"/>
        <v>32009100.752234045</v>
      </c>
      <c r="AZ66" s="897">
        <f t="shared" si="89"/>
        <v>25869948.961499996</v>
      </c>
      <c r="BA66" s="897">
        <f t="shared" si="89"/>
        <v>7726180.868999999</v>
      </c>
      <c r="BB66" s="897">
        <f t="shared" si="89"/>
        <v>236997.65979999999</v>
      </c>
      <c r="BC66" s="897">
        <f t="shared" si="89"/>
        <v>1882943.3478000001</v>
      </c>
      <c r="BD66" s="897">
        <f t="shared" si="89"/>
        <v>0</v>
      </c>
      <c r="BE66" s="897">
        <f t="shared" si="49"/>
        <v>35716070.838099994</v>
      </c>
      <c r="BF66" s="901">
        <f t="shared" si="53"/>
        <v>35716070.838099994</v>
      </c>
      <c r="BG66" s="904">
        <v>462.45</v>
      </c>
      <c r="BH66" s="897">
        <v>261.27999999999997</v>
      </c>
      <c r="BI66" s="897">
        <f t="shared" si="92"/>
        <v>723.73</v>
      </c>
      <c r="BJ66" s="940">
        <v>34127.947036475904</v>
      </c>
      <c r="BK66" s="1227">
        <v>34440.639999999999</v>
      </c>
      <c r="BL66" s="897">
        <f>I66*T66</f>
        <v>14686676.624533294</v>
      </c>
      <c r="BM66" s="897">
        <f>J66*U66</f>
        <v>3937476.1396872001</v>
      </c>
      <c r="BN66" s="897">
        <f>K66*V66</f>
        <v>124299.34210080002</v>
      </c>
      <c r="BO66" s="897">
        <f>L66*W66</f>
        <v>1306949.4508724187</v>
      </c>
      <c r="BP66" s="897">
        <f t="shared" si="84"/>
        <v>0</v>
      </c>
      <c r="BQ66" s="897">
        <f>BL66+BM66+BN66+BO66+BP66</f>
        <v>20055401.557193711</v>
      </c>
      <c r="BR66" s="897">
        <f>BQ66-BP66</f>
        <v>20055401.557193711</v>
      </c>
      <c r="BS66" s="897">
        <f>O66*AA66</f>
        <v>9597469.1512000002</v>
      </c>
      <c r="BT66" s="897">
        <f>P66*AB66</f>
        <v>3221703.4605799997</v>
      </c>
      <c r="BU66" s="897">
        <f>Q66*AC66</f>
        <v>94799.063920000001</v>
      </c>
      <c r="BV66" s="897">
        <f>R66*W66</f>
        <v>1448068.1433999999</v>
      </c>
      <c r="BW66" s="897">
        <f t="shared" si="17"/>
        <v>0</v>
      </c>
      <c r="BX66" s="897">
        <f>BS66+BT66+BU66+BV66+BW66</f>
        <v>14362039.8191</v>
      </c>
      <c r="BY66" s="897">
        <f>BX66-BW66</f>
        <v>14362039.8191</v>
      </c>
      <c r="BZ66" s="905">
        <f>BM66+BT66</f>
        <v>7159179.6002671998</v>
      </c>
      <c r="CA66" s="905">
        <f>BN66+BU66</f>
        <v>219098.4060208</v>
      </c>
      <c r="CB66" s="905">
        <f>BZ66+CA66</f>
        <v>7378278.0062879995</v>
      </c>
      <c r="CC66" s="907">
        <f t="shared" si="63"/>
        <v>3310.297128712813</v>
      </c>
      <c r="CD66" s="907">
        <f t="shared" si="63"/>
        <v>3302.6591199999998</v>
      </c>
      <c r="CE66" s="907">
        <f t="shared" si="39"/>
        <v>3310.0698086566413</v>
      </c>
      <c r="CF66" s="907">
        <f t="shared" si="18"/>
        <v>3310.0698086566413</v>
      </c>
      <c r="CG66" s="923">
        <f t="shared" si="19"/>
        <v>8102012.4079965828</v>
      </c>
      <c r="CH66" s="923">
        <f t="shared" si="40"/>
        <v>3634.7541578422024</v>
      </c>
      <c r="CI66" s="979"/>
      <c r="CJ66" s="1405">
        <f t="shared" si="86"/>
        <v>20517.861134902294</v>
      </c>
      <c r="CK66" s="1405">
        <f t="shared" si="83"/>
        <v>13610.1217041</v>
      </c>
      <c r="CL66" s="1405">
        <f>CJ66+CK66</f>
        <v>34127.982839002296</v>
      </c>
      <c r="CM66" s="897">
        <f t="shared" si="41"/>
        <v>36343.411855700004</v>
      </c>
      <c r="CN66" s="897">
        <f t="shared" si="42"/>
        <v>2215.429016697708</v>
      </c>
      <c r="CO66" s="897">
        <f t="shared" si="22"/>
        <v>34127982.839002296</v>
      </c>
      <c r="CP66" s="897">
        <f t="shared" si="23"/>
        <v>32009100.752234045</v>
      </c>
      <c r="CQ66" s="897">
        <f t="shared" si="24"/>
        <v>32009100.752234045</v>
      </c>
      <c r="CR66" s="897">
        <f t="shared" si="25"/>
        <v>20055401.557193711</v>
      </c>
      <c r="CS66" s="897">
        <f t="shared" si="26"/>
        <v>35716070.838099994</v>
      </c>
      <c r="CT66" s="897">
        <f t="shared" si="27"/>
        <v>35716070.838100001</v>
      </c>
      <c r="CU66" s="897">
        <f t="shared" si="28"/>
        <v>13348846.880099999</v>
      </c>
      <c r="CV66" s="897">
        <f t="shared" si="43"/>
        <v>67725171.590334043</v>
      </c>
      <c r="CW66" s="906">
        <f t="shared" si="44"/>
        <v>7181.6789540844575</v>
      </c>
      <c r="CX66" s="897">
        <f t="shared" si="29"/>
        <v>6960813.1222080002</v>
      </c>
      <c r="CY66" s="897">
        <f t="shared" si="30"/>
        <v>7963178.5287999986</v>
      </c>
      <c r="CZ66" s="897"/>
      <c r="DA66" s="897">
        <f t="shared" si="31"/>
        <v>32801634.635861613</v>
      </c>
      <c r="DB66" s="897">
        <f t="shared" si="32"/>
        <v>36343411.855699994</v>
      </c>
      <c r="DC66" s="1131"/>
      <c r="DD66" s="40">
        <f t="shared" si="45"/>
        <v>123.41258694321976</v>
      </c>
      <c r="DE66" s="1131"/>
      <c r="DF66" s="1131"/>
      <c r="DG66" s="1131"/>
      <c r="DH66" s="1226">
        <v>9430.27</v>
      </c>
      <c r="DI66" s="1226">
        <v>2229.04</v>
      </c>
      <c r="DJ66" s="1043">
        <f>DH66-DI66</f>
        <v>7201.2300000000005</v>
      </c>
      <c r="DK66" s="979"/>
      <c r="DL66" s="908">
        <f t="shared" si="33"/>
        <v>0</v>
      </c>
      <c r="DM66" s="908">
        <f t="shared" si="34"/>
        <v>0</v>
      </c>
      <c r="DN66" s="908">
        <f t="shared" si="35"/>
        <v>0</v>
      </c>
      <c r="DO66" s="81"/>
      <c r="DP66" s="81"/>
      <c r="DQ66" s="81"/>
      <c r="DR66" s="81"/>
      <c r="DS66" s="81"/>
      <c r="DT66" s="81"/>
      <c r="DU66" s="81"/>
      <c r="DV66" s="81"/>
      <c r="DW66" s="81"/>
      <c r="DX66" s="81"/>
      <c r="DY66" s="81"/>
      <c r="DZ66" s="81"/>
      <c r="EA66" s="81"/>
      <c r="EB66" s="81"/>
      <c r="EC66" s="81"/>
      <c r="ED66" s="81"/>
      <c r="EE66" s="81"/>
      <c r="EF66" s="81"/>
      <c r="EG66" s="81"/>
      <c r="EH66" s="81"/>
      <c r="EI66" s="81"/>
      <c r="EJ66" s="81"/>
      <c r="EK66" s="81"/>
      <c r="EL66" s="81"/>
    </row>
    <row r="67" spans="1:142" s="869" customFormat="1" ht="72.75" customHeight="1">
      <c r="A67" s="6" t="e">
        <f t="shared" si="46"/>
        <v>#REF!</v>
      </c>
      <c r="B67" s="886" t="s">
        <v>23</v>
      </c>
      <c r="C67" s="1309" t="s">
        <v>106</v>
      </c>
      <c r="D67" s="1262" t="s">
        <v>141</v>
      </c>
      <c r="E67" s="887">
        <v>4632024035</v>
      </c>
      <c r="F67" s="886" t="s">
        <v>8</v>
      </c>
      <c r="G67" s="1238" t="s">
        <v>983</v>
      </c>
      <c r="H67" s="1256">
        <v>3314.9639999999995</v>
      </c>
      <c r="I67" s="1257">
        <f>H67</f>
        <v>3314.9639999999995</v>
      </c>
      <c r="J67" s="891"/>
      <c r="K67" s="891"/>
      <c r="L67" s="1256">
        <v>3314.9639999999995</v>
      </c>
      <c r="M67" s="946"/>
      <c r="N67" s="1259">
        <f>3132.14*1.2</f>
        <v>3758.5679999999998</v>
      </c>
      <c r="O67" s="1260">
        <f>N67</f>
        <v>3758.5679999999998</v>
      </c>
      <c r="P67" s="891"/>
      <c r="Q67" s="891"/>
      <c r="R67" s="891">
        <f>O67</f>
        <v>3758.5679999999998</v>
      </c>
      <c r="S67" s="946"/>
      <c r="T67" s="1307">
        <v>425.62399999999997</v>
      </c>
      <c r="U67" s="1366"/>
      <c r="V67" s="1366"/>
      <c r="W67" s="890"/>
      <c r="X67" s="890"/>
      <c r="Y67" s="890"/>
      <c r="Z67" s="949">
        <f t="shared" si="8"/>
        <v>425.62399999999997</v>
      </c>
      <c r="AA67" s="1308">
        <v>277.774</v>
      </c>
      <c r="AB67" s="1366"/>
      <c r="AC67" s="1366"/>
      <c r="AD67" s="890"/>
      <c r="AE67" s="890"/>
      <c r="AF67" s="890"/>
      <c r="AG67" s="951">
        <f t="shared" si="51"/>
        <v>277.774</v>
      </c>
      <c r="AH67" s="947">
        <f t="shared" si="52"/>
        <v>703.39799999999991</v>
      </c>
      <c r="AI67" s="890">
        <f t="shared" si="73"/>
        <v>703.39799999999991</v>
      </c>
      <c r="AJ67" s="890">
        <f t="shared" si="73"/>
        <v>0</v>
      </c>
      <c r="AK67" s="890">
        <f t="shared" si="73"/>
        <v>0</v>
      </c>
      <c r="AL67" s="890">
        <f t="shared" si="73"/>
        <v>0</v>
      </c>
      <c r="AM67" s="890">
        <f t="shared" si="73"/>
        <v>0</v>
      </c>
      <c r="AN67" s="890"/>
      <c r="AO67" s="890">
        <f t="shared" si="70"/>
        <v>703.39799999999991</v>
      </c>
      <c r="AP67" s="890">
        <f t="shared" si="71"/>
        <v>703.39799999999991</v>
      </c>
      <c r="AQ67" s="952">
        <f t="shared" si="72"/>
        <v>703.39799999999991</v>
      </c>
      <c r="AR67" s="973">
        <f t="shared" si="36"/>
        <v>0</v>
      </c>
      <c r="AS67" s="889">
        <f t="shared" si="88"/>
        <v>2331739.0476719993</v>
      </c>
      <c r="AT67" s="890">
        <f t="shared" si="88"/>
        <v>0</v>
      </c>
      <c r="AU67" s="890">
        <f t="shared" si="88"/>
        <v>0</v>
      </c>
      <c r="AV67" s="890">
        <f t="shared" si="88"/>
        <v>0</v>
      </c>
      <c r="AW67" s="890">
        <f t="shared" si="88"/>
        <v>0</v>
      </c>
      <c r="AX67" s="890">
        <f t="shared" si="47"/>
        <v>2331739.0476719993</v>
      </c>
      <c r="AY67" s="890">
        <f t="shared" si="48"/>
        <v>2331739.0476719993</v>
      </c>
      <c r="AZ67" s="890">
        <f t="shared" si="89"/>
        <v>2643769.2140639997</v>
      </c>
      <c r="BA67" s="890">
        <f t="shared" si="89"/>
        <v>0</v>
      </c>
      <c r="BB67" s="890">
        <f t="shared" si="89"/>
        <v>0</v>
      </c>
      <c r="BC67" s="890">
        <f t="shared" si="89"/>
        <v>0</v>
      </c>
      <c r="BD67" s="890">
        <f t="shared" si="89"/>
        <v>0</v>
      </c>
      <c r="BE67" s="890">
        <f t="shared" si="49"/>
        <v>2643769.2140639997</v>
      </c>
      <c r="BF67" s="952">
        <f t="shared" si="53"/>
        <v>2643769.2140639997</v>
      </c>
      <c r="BG67" s="953">
        <f>(H67-J67)/1.2*U67/1000+(H67-K67)/1.2*V67/1000</f>
        <v>0</v>
      </c>
      <c r="BH67" s="954">
        <f>(O67-P67)*AB67/1000/1.2+(O67-Q67)/1.2*AC67/1000</f>
        <v>0</v>
      </c>
      <c r="BI67" s="955">
        <f t="shared" si="92"/>
        <v>0</v>
      </c>
      <c r="BJ67" s="890"/>
      <c r="BK67" s="1199"/>
      <c r="BL67" s="890">
        <f t="shared" si="84"/>
        <v>1410928.2375359996</v>
      </c>
      <c r="BM67" s="890">
        <f t="shared" si="84"/>
        <v>0</v>
      </c>
      <c r="BN67" s="890">
        <f t="shared" si="84"/>
        <v>0</v>
      </c>
      <c r="BO67" s="890">
        <f t="shared" si="84"/>
        <v>0</v>
      </c>
      <c r="BP67" s="890">
        <f t="shared" si="84"/>
        <v>0</v>
      </c>
      <c r="BQ67" s="890">
        <f t="shared" si="55"/>
        <v>1410928.2375359996</v>
      </c>
      <c r="BR67" s="890">
        <f t="shared" si="56"/>
        <v>1410928.2375359996</v>
      </c>
      <c r="BS67" s="890">
        <f t="shared" si="85"/>
        <v>1044032.467632</v>
      </c>
      <c r="BT67" s="890">
        <f t="shared" si="85"/>
        <v>0</v>
      </c>
      <c r="BU67" s="890">
        <f t="shared" si="85"/>
        <v>0</v>
      </c>
      <c r="BV67" s="890">
        <f t="shared" si="58"/>
        <v>0</v>
      </c>
      <c r="BW67" s="890">
        <f t="shared" si="17"/>
        <v>0</v>
      </c>
      <c r="BX67" s="890">
        <f t="shared" si="59"/>
        <v>1044032.467632</v>
      </c>
      <c r="BY67" s="890">
        <f t="shared" si="60"/>
        <v>1044032.467632</v>
      </c>
      <c r="BZ67" s="945">
        <f t="shared" si="61"/>
        <v>0</v>
      </c>
      <c r="CA67" s="945">
        <f t="shared" si="61"/>
        <v>0</v>
      </c>
      <c r="CB67" s="945">
        <f t="shared" si="62"/>
        <v>0</v>
      </c>
      <c r="CC67" s="976" t="e">
        <f t="shared" si="63"/>
        <v>#DIV/0!</v>
      </c>
      <c r="CD67" s="976" t="e">
        <f t="shared" si="63"/>
        <v>#DIV/0!</v>
      </c>
      <c r="CE67" s="976" t="e">
        <f t="shared" si="39"/>
        <v>#DIV/0!</v>
      </c>
      <c r="CF67" s="945" t="e">
        <f t="shared" si="18"/>
        <v>#DIV/0!</v>
      </c>
      <c r="CG67" s="977">
        <f t="shared" si="19"/>
        <v>0</v>
      </c>
      <c r="CH67" s="977" t="e">
        <f t="shared" si="40"/>
        <v>#DIV/0!</v>
      </c>
      <c r="CI67" s="945"/>
      <c r="CJ67" s="1405">
        <f>H67*Z67/1000</f>
        <v>1410.9282375359996</v>
      </c>
      <c r="CK67" s="1405">
        <f>N67*AG67/1000</f>
        <v>1044.0324676319999</v>
      </c>
      <c r="CL67" s="1405">
        <f t="shared" si="50"/>
        <v>2454.9607051679995</v>
      </c>
      <c r="CM67" s="890">
        <f t="shared" si="41"/>
        <v>2643.7692140639997</v>
      </c>
      <c r="CN67" s="890">
        <f t="shared" si="42"/>
        <v>188.80850889600015</v>
      </c>
      <c r="CO67" s="890">
        <f t="shared" si="22"/>
        <v>2454960.7051679995</v>
      </c>
      <c r="CP67" s="890">
        <f t="shared" si="23"/>
        <v>2331739.0476719993</v>
      </c>
      <c r="CQ67" s="890">
        <f t="shared" si="24"/>
        <v>2331739.0476719993</v>
      </c>
      <c r="CR67" s="890">
        <f t="shared" si="25"/>
        <v>1410928.2375359996</v>
      </c>
      <c r="CS67" s="890">
        <f t="shared" si="26"/>
        <v>2643769.2140639997</v>
      </c>
      <c r="CT67" s="890">
        <f t="shared" si="27"/>
        <v>2643769.2140639997</v>
      </c>
      <c r="CU67" s="890">
        <f t="shared" si="28"/>
        <v>1044032.467632</v>
      </c>
      <c r="CV67" s="890">
        <f t="shared" si="43"/>
        <v>4975508.261735999</v>
      </c>
      <c r="CW67" s="978">
        <f t="shared" si="44"/>
        <v>7073.5319999999992</v>
      </c>
      <c r="CX67" s="890">
        <f t="shared" si="29"/>
        <v>0</v>
      </c>
      <c r="CY67" s="890">
        <f t="shared" si="30"/>
        <v>0</v>
      </c>
      <c r="CZ67" s="890"/>
      <c r="DA67" s="890">
        <f t="shared" si="31"/>
        <v>2331739.0476719993</v>
      </c>
      <c r="DB67" s="890">
        <f t="shared" si="32"/>
        <v>2643769.2140639997</v>
      </c>
      <c r="DC67" s="840"/>
      <c r="DD67" s="841" t="e">
        <f t="shared" si="45"/>
        <v>#DIV/0!</v>
      </c>
      <c r="DE67" s="840"/>
      <c r="DF67" s="840"/>
      <c r="DG67" s="840"/>
      <c r="DH67" s="1050"/>
      <c r="DI67" s="1050"/>
      <c r="DJ67" s="1050"/>
      <c r="DK67" s="945"/>
      <c r="DL67" s="975">
        <f t="shared" si="33"/>
        <v>0</v>
      </c>
      <c r="DM67" s="975">
        <f t="shared" si="34"/>
        <v>0</v>
      </c>
      <c r="DN67" s="975">
        <f t="shared" si="35"/>
        <v>0</v>
      </c>
      <c r="DO67" s="816"/>
      <c r="DP67" s="871"/>
      <c r="DQ67" s="871"/>
      <c r="DR67" s="871"/>
      <c r="DS67" s="871"/>
      <c r="DT67" s="871"/>
      <c r="DU67" s="871"/>
      <c r="DV67" s="871"/>
      <c r="DW67" s="871"/>
      <c r="DX67" s="871"/>
      <c r="DY67" s="871"/>
      <c r="DZ67" s="871"/>
      <c r="EA67" s="871"/>
      <c r="EB67" s="871"/>
      <c r="EC67" s="871"/>
      <c r="ED67" s="871"/>
      <c r="EE67" s="871"/>
      <c r="EF67" s="871"/>
      <c r="EG67" s="871"/>
      <c r="EH67" s="871"/>
      <c r="EI67" s="871"/>
      <c r="EJ67" s="871"/>
      <c r="EK67" s="871"/>
      <c r="EL67" s="871"/>
    </row>
    <row r="68" spans="1:142" s="869" customFormat="1" ht="77.25" customHeight="1">
      <c r="A68" s="6" t="e">
        <f t="shared" si="46"/>
        <v>#REF!</v>
      </c>
      <c r="B68" s="886" t="s">
        <v>23</v>
      </c>
      <c r="C68" s="1309" t="s">
        <v>107</v>
      </c>
      <c r="D68" s="1262" t="s">
        <v>141</v>
      </c>
      <c r="E68" s="887">
        <v>4632024035</v>
      </c>
      <c r="F68" s="886" t="s">
        <v>8</v>
      </c>
      <c r="G68" s="1238" t="s">
        <v>983</v>
      </c>
      <c r="H68" s="1256">
        <v>3314.9639999999995</v>
      </c>
      <c r="I68" s="1257">
        <f>H68</f>
        <v>3314.9639999999995</v>
      </c>
      <c r="J68" s="891"/>
      <c r="K68" s="891"/>
      <c r="L68" s="1256">
        <v>3314.9639999999995</v>
      </c>
      <c r="M68" s="946"/>
      <c r="N68" s="1259">
        <f>3132.14*1.2</f>
        <v>3758.5679999999998</v>
      </c>
      <c r="O68" s="1260">
        <f>N68</f>
        <v>3758.5679999999998</v>
      </c>
      <c r="P68" s="891"/>
      <c r="Q68" s="891"/>
      <c r="R68" s="891">
        <f>O68</f>
        <v>3758.5679999999998</v>
      </c>
      <c r="S68" s="946"/>
      <c r="T68" s="1307">
        <v>111.73699999999999</v>
      </c>
      <c r="U68" s="1383"/>
      <c r="V68" s="1384"/>
      <c r="W68" s="894"/>
      <c r="X68" s="894"/>
      <c r="Y68" s="894"/>
      <c r="Z68" s="949">
        <f t="shared" si="8"/>
        <v>111.73699999999999</v>
      </c>
      <c r="AA68" s="1308">
        <v>97.44</v>
      </c>
      <c r="AB68" s="1366"/>
      <c r="AC68" s="1366"/>
      <c r="AD68" s="890"/>
      <c r="AE68" s="890"/>
      <c r="AF68" s="890"/>
      <c r="AG68" s="951">
        <f t="shared" si="51"/>
        <v>97.44</v>
      </c>
      <c r="AH68" s="947">
        <f t="shared" si="52"/>
        <v>209.17699999999999</v>
      </c>
      <c r="AI68" s="890">
        <f t="shared" si="73"/>
        <v>209.17699999999999</v>
      </c>
      <c r="AJ68" s="890">
        <f t="shared" si="73"/>
        <v>0</v>
      </c>
      <c r="AK68" s="890">
        <f t="shared" si="73"/>
        <v>0</v>
      </c>
      <c r="AL68" s="890">
        <f t="shared" si="73"/>
        <v>0</v>
      </c>
      <c r="AM68" s="890">
        <f t="shared" si="73"/>
        <v>0</v>
      </c>
      <c r="AN68" s="890"/>
      <c r="AO68" s="890">
        <f t="shared" si="70"/>
        <v>209.17699999999999</v>
      </c>
      <c r="AP68" s="890">
        <f t="shared" si="71"/>
        <v>209.17699999999999</v>
      </c>
      <c r="AQ68" s="952">
        <f t="shared" si="72"/>
        <v>209.17699999999999</v>
      </c>
      <c r="AR68" s="973">
        <f t="shared" si="36"/>
        <v>0</v>
      </c>
      <c r="AS68" s="889">
        <f t="shared" si="88"/>
        <v>693414.22462799982</v>
      </c>
      <c r="AT68" s="890">
        <f t="shared" si="88"/>
        <v>0</v>
      </c>
      <c r="AU68" s="890">
        <f t="shared" si="88"/>
        <v>0</v>
      </c>
      <c r="AV68" s="890">
        <f t="shared" si="88"/>
        <v>0</v>
      </c>
      <c r="AW68" s="890">
        <f t="shared" si="88"/>
        <v>0</v>
      </c>
      <c r="AX68" s="890">
        <f t="shared" si="47"/>
        <v>693414.22462799982</v>
      </c>
      <c r="AY68" s="890">
        <f t="shared" si="48"/>
        <v>693414.22462799982</v>
      </c>
      <c r="AZ68" s="890">
        <f t="shared" si="89"/>
        <v>786205.97853599989</v>
      </c>
      <c r="BA68" s="890">
        <f t="shared" si="89"/>
        <v>0</v>
      </c>
      <c r="BB68" s="890">
        <f t="shared" si="89"/>
        <v>0</v>
      </c>
      <c r="BC68" s="890">
        <f t="shared" si="89"/>
        <v>0</v>
      </c>
      <c r="BD68" s="890">
        <f t="shared" si="89"/>
        <v>0</v>
      </c>
      <c r="BE68" s="890">
        <f t="shared" si="49"/>
        <v>786205.97853599989</v>
      </c>
      <c r="BF68" s="952">
        <f t="shared" si="53"/>
        <v>786205.97853599989</v>
      </c>
      <c r="BG68" s="953">
        <f>(H68-J68)/1.2*U68/1000+(H68-K68)/1.2*V68/1000</f>
        <v>0</v>
      </c>
      <c r="BH68" s="954">
        <f>(O68-P68)*AB68/1000/1.2+(O68-Q68)/1.2*AC68/1000</f>
        <v>0</v>
      </c>
      <c r="BI68" s="955">
        <f t="shared" si="92"/>
        <v>0</v>
      </c>
      <c r="BJ68" s="890"/>
      <c r="BK68" s="1199"/>
      <c r="BL68" s="890">
        <f t="shared" si="84"/>
        <v>370404.13246799994</v>
      </c>
      <c r="BM68" s="890">
        <f t="shared" si="84"/>
        <v>0</v>
      </c>
      <c r="BN68" s="890">
        <f t="shared" si="84"/>
        <v>0</v>
      </c>
      <c r="BO68" s="890">
        <f t="shared" si="84"/>
        <v>0</v>
      </c>
      <c r="BP68" s="890">
        <f t="shared" si="84"/>
        <v>0</v>
      </c>
      <c r="BQ68" s="890">
        <f t="shared" si="55"/>
        <v>370404.13246799994</v>
      </c>
      <c r="BR68" s="890">
        <f t="shared" si="56"/>
        <v>370404.13246799994</v>
      </c>
      <c r="BS68" s="890">
        <f t="shared" si="85"/>
        <v>366234.86591999995</v>
      </c>
      <c r="BT68" s="890">
        <f t="shared" si="85"/>
        <v>0</v>
      </c>
      <c r="BU68" s="890">
        <f t="shared" si="85"/>
        <v>0</v>
      </c>
      <c r="BV68" s="890">
        <f t="shared" si="58"/>
        <v>0</v>
      </c>
      <c r="BW68" s="890">
        <f t="shared" si="17"/>
        <v>0</v>
      </c>
      <c r="BX68" s="890">
        <f t="shared" si="59"/>
        <v>366234.86591999995</v>
      </c>
      <c r="BY68" s="890">
        <f t="shared" si="60"/>
        <v>366234.86591999995</v>
      </c>
      <c r="BZ68" s="945">
        <f t="shared" si="61"/>
        <v>0</v>
      </c>
      <c r="CA68" s="945">
        <f t="shared" si="61"/>
        <v>0</v>
      </c>
      <c r="CB68" s="945">
        <f t="shared" si="62"/>
        <v>0</v>
      </c>
      <c r="CC68" s="976" t="e">
        <f t="shared" si="63"/>
        <v>#DIV/0!</v>
      </c>
      <c r="CD68" s="976" t="e">
        <f t="shared" si="63"/>
        <v>#DIV/0!</v>
      </c>
      <c r="CE68" s="976" t="e">
        <f t="shared" si="39"/>
        <v>#DIV/0!</v>
      </c>
      <c r="CF68" s="945" t="e">
        <f t="shared" si="18"/>
        <v>#DIV/0!</v>
      </c>
      <c r="CG68" s="977">
        <f t="shared" si="19"/>
        <v>0</v>
      </c>
      <c r="CH68" s="977" t="e">
        <f t="shared" si="40"/>
        <v>#DIV/0!</v>
      </c>
      <c r="CI68" s="945"/>
      <c r="CJ68" s="1405">
        <f>H68*Z68/1000</f>
        <v>370.40413246799994</v>
      </c>
      <c r="CK68" s="1405">
        <f>N68*AG68/1000</f>
        <v>366.23486591999995</v>
      </c>
      <c r="CL68" s="1405">
        <f t="shared" si="50"/>
        <v>736.63899838799989</v>
      </c>
      <c r="CM68" s="890">
        <f t="shared" si="41"/>
        <v>786.20597853599986</v>
      </c>
      <c r="CN68" s="890">
        <f t="shared" si="42"/>
        <v>49.566980147999971</v>
      </c>
      <c r="CO68" s="890">
        <f t="shared" si="22"/>
        <v>736638.99838799983</v>
      </c>
      <c r="CP68" s="890">
        <f t="shared" si="23"/>
        <v>693414.22462799982</v>
      </c>
      <c r="CQ68" s="890">
        <f t="shared" si="24"/>
        <v>693414.22462799982</v>
      </c>
      <c r="CR68" s="890">
        <f t="shared" si="25"/>
        <v>370404.13246799994</v>
      </c>
      <c r="CS68" s="890">
        <f t="shared" si="26"/>
        <v>786205.97853599989</v>
      </c>
      <c r="CT68" s="890">
        <f t="shared" si="27"/>
        <v>786205.97853599989</v>
      </c>
      <c r="CU68" s="890">
        <f t="shared" si="28"/>
        <v>366234.86591999995</v>
      </c>
      <c r="CV68" s="890">
        <f t="shared" si="43"/>
        <v>1479620.2031639996</v>
      </c>
      <c r="CW68" s="978">
        <f t="shared" si="44"/>
        <v>7073.5319999999983</v>
      </c>
      <c r="CX68" s="890">
        <f t="shared" si="29"/>
        <v>0</v>
      </c>
      <c r="CY68" s="890">
        <f t="shared" si="30"/>
        <v>0</v>
      </c>
      <c r="CZ68" s="890"/>
      <c r="DA68" s="890">
        <f t="shared" si="31"/>
        <v>693414.22462799982</v>
      </c>
      <c r="DB68" s="890">
        <f t="shared" si="32"/>
        <v>786205.97853599989</v>
      </c>
      <c r="DC68" s="840"/>
      <c r="DD68" s="841" t="e">
        <f t="shared" si="45"/>
        <v>#DIV/0!</v>
      </c>
      <c r="DE68" s="840"/>
      <c r="DF68" s="840"/>
      <c r="DG68" s="840"/>
      <c r="DH68" s="1050"/>
      <c r="DI68" s="1050"/>
      <c r="DJ68" s="1050"/>
      <c r="DK68" s="945"/>
      <c r="DL68" s="975">
        <f t="shared" si="33"/>
        <v>0</v>
      </c>
      <c r="DM68" s="975">
        <f t="shared" si="34"/>
        <v>0</v>
      </c>
      <c r="DN68" s="975">
        <f t="shared" si="35"/>
        <v>0</v>
      </c>
      <c r="DO68" s="816"/>
      <c r="DP68" s="871"/>
      <c r="DQ68" s="871"/>
      <c r="DR68" s="871"/>
      <c r="DS68" s="871"/>
      <c r="DT68" s="871"/>
      <c r="DU68" s="871"/>
      <c r="DV68" s="871"/>
      <c r="DW68" s="871"/>
      <c r="DX68" s="871"/>
      <c r="DY68" s="871"/>
      <c r="DZ68" s="871"/>
      <c r="EA68" s="871"/>
      <c r="EB68" s="871"/>
      <c r="EC68" s="871"/>
      <c r="ED68" s="871"/>
      <c r="EE68" s="871"/>
      <c r="EF68" s="871"/>
      <c r="EG68" s="871"/>
      <c r="EH68" s="871"/>
      <c r="EI68" s="871"/>
      <c r="EJ68" s="871"/>
      <c r="EK68" s="871"/>
      <c r="EL68" s="871"/>
    </row>
    <row r="69" spans="1:142" s="50" customFormat="1" ht="75" customHeight="1">
      <c r="A69" s="6" t="e">
        <f t="shared" si="46"/>
        <v>#REF!</v>
      </c>
      <c r="B69" s="909" t="s">
        <v>25</v>
      </c>
      <c r="C69" s="886" t="s">
        <v>108</v>
      </c>
      <c r="D69" s="886" t="s">
        <v>26</v>
      </c>
      <c r="E69" s="958">
        <v>4617004147</v>
      </c>
      <c r="F69" s="886" t="s">
        <v>8</v>
      </c>
      <c r="G69" s="888" t="s">
        <v>953</v>
      </c>
      <c r="H69" s="1253">
        <v>2706.4706688038673</v>
      </c>
      <c r="I69" s="1252">
        <v>2706.4706688038673</v>
      </c>
      <c r="J69" s="912">
        <v>2706.4706688038673</v>
      </c>
      <c r="K69" s="912"/>
      <c r="L69" s="912"/>
      <c r="M69" s="913"/>
      <c r="N69" s="1212">
        <v>3095.58</v>
      </c>
      <c r="O69" s="891">
        <v>3095.58</v>
      </c>
      <c r="P69" s="912">
        <v>3095.58</v>
      </c>
      <c r="Q69" s="912"/>
      <c r="R69" s="891"/>
      <c r="S69" s="991"/>
      <c r="T69" s="999">
        <v>1509.53</v>
      </c>
      <c r="U69" s="917">
        <v>574.79</v>
      </c>
      <c r="V69" s="917">
        <v>0</v>
      </c>
      <c r="W69" s="917">
        <v>0</v>
      </c>
      <c r="X69" s="917">
        <v>0</v>
      </c>
      <c r="Y69" s="917">
        <v>0</v>
      </c>
      <c r="Z69" s="898">
        <f t="shared" si="8"/>
        <v>2084.3199999999997</v>
      </c>
      <c r="AA69" s="1000">
        <v>1281.6400000000001</v>
      </c>
      <c r="AB69" s="917">
        <v>395.71</v>
      </c>
      <c r="AC69" s="917">
        <v>0</v>
      </c>
      <c r="AD69" s="917">
        <v>0</v>
      </c>
      <c r="AE69" s="917">
        <v>0</v>
      </c>
      <c r="AF69" s="917">
        <v>0</v>
      </c>
      <c r="AG69" s="900">
        <f t="shared" si="51"/>
        <v>1677.3500000000001</v>
      </c>
      <c r="AH69" s="1330">
        <f t="shared" si="52"/>
        <v>3761.67</v>
      </c>
      <c r="AI69" s="897">
        <f t="shared" si="73"/>
        <v>2791.17</v>
      </c>
      <c r="AJ69" s="897">
        <f t="shared" si="73"/>
        <v>970.5</v>
      </c>
      <c r="AK69" s="897">
        <f t="shared" si="73"/>
        <v>0</v>
      </c>
      <c r="AL69" s="897">
        <f t="shared" si="73"/>
        <v>0</v>
      </c>
      <c r="AM69" s="897">
        <f t="shared" si="73"/>
        <v>0</v>
      </c>
      <c r="AN69" s="897"/>
      <c r="AO69" s="897">
        <f t="shared" si="70"/>
        <v>3761.67</v>
      </c>
      <c r="AP69" s="897">
        <f t="shared" si="71"/>
        <v>3761.67</v>
      </c>
      <c r="AQ69" s="901">
        <f t="shared" si="72"/>
        <v>3761.67</v>
      </c>
      <c r="AR69" s="902">
        <f t="shared" si="36"/>
        <v>0</v>
      </c>
      <c r="AS69" s="903">
        <f>I69*AI69</f>
        <v>7554219.7366452906</v>
      </c>
      <c r="AT69" s="897">
        <f>J69*AJ69</f>
        <v>2626629.7840741533</v>
      </c>
      <c r="AU69" s="897">
        <f t="shared" si="88"/>
        <v>0</v>
      </c>
      <c r="AV69" s="897">
        <f t="shared" si="88"/>
        <v>0</v>
      </c>
      <c r="AW69" s="897">
        <f t="shared" si="88"/>
        <v>0</v>
      </c>
      <c r="AX69" s="897">
        <f>SUM(AS69:AW69)</f>
        <v>10180849.520719444</v>
      </c>
      <c r="AY69" s="897">
        <f>SUM(AS69:AV69)</f>
        <v>10180849.520719444</v>
      </c>
      <c r="AZ69" s="897">
        <f>O69*AI69</f>
        <v>8640290.0285999998</v>
      </c>
      <c r="BA69" s="897">
        <f t="shared" si="89"/>
        <v>3004260.39</v>
      </c>
      <c r="BB69" s="897">
        <f t="shared" si="89"/>
        <v>0</v>
      </c>
      <c r="BC69" s="897">
        <f t="shared" si="89"/>
        <v>0</v>
      </c>
      <c r="BD69" s="897">
        <f t="shared" si="89"/>
        <v>0</v>
      </c>
      <c r="BE69" s="897">
        <f t="shared" si="49"/>
        <v>11644550.4186</v>
      </c>
      <c r="BF69" s="901">
        <f t="shared" si="53"/>
        <v>11644550.4186</v>
      </c>
      <c r="BG69" s="953"/>
      <c r="BH69" s="954"/>
      <c r="BI69" s="955">
        <f t="shared" si="92"/>
        <v>0</v>
      </c>
      <c r="BJ69" s="955">
        <v>10833.512492239432</v>
      </c>
      <c r="BK69" s="1197">
        <v>12169.495251999999</v>
      </c>
      <c r="BL69" s="897">
        <f>I69*T69</f>
        <v>4085498.6686795019</v>
      </c>
      <c r="BM69" s="897">
        <f>J69*U69</f>
        <v>1555652.2757217747</v>
      </c>
      <c r="BN69" s="897">
        <f t="shared" si="84"/>
        <v>0</v>
      </c>
      <c r="BO69" s="897">
        <f t="shared" si="84"/>
        <v>0</v>
      </c>
      <c r="BP69" s="897">
        <f t="shared" si="84"/>
        <v>0</v>
      </c>
      <c r="BQ69" s="897">
        <f>BL69+BM69+BN69+BO69+BP69</f>
        <v>5641150.9444012763</v>
      </c>
      <c r="BR69" s="897">
        <f>BQ69-BP69</f>
        <v>5641150.9444012763</v>
      </c>
      <c r="BS69" s="897">
        <f>O69*AA69</f>
        <v>3967419.1512000002</v>
      </c>
      <c r="BT69" s="897">
        <f t="shared" si="85"/>
        <v>1224951.9617999999</v>
      </c>
      <c r="BU69" s="897">
        <f t="shared" si="85"/>
        <v>0</v>
      </c>
      <c r="BV69" s="897">
        <f t="shared" si="58"/>
        <v>0</v>
      </c>
      <c r="BW69" s="897">
        <f t="shared" si="17"/>
        <v>0</v>
      </c>
      <c r="BX69" s="897">
        <f t="shared" si="59"/>
        <v>5192371.1129999999</v>
      </c>
      <c r="BY69" s="897">
        <f t="shared" si="60"/>
        <v>5192371.1129999999</v>
      </c>
      <c r="BZ69" s="905">
        <f>BM69+BT69</f>
        <v>2780604.2375217746</v>
      </c>
      <c r="CA69" s="905">
        <f t="shared" si="61"/>
        <v>0</v>
      </c>
      <c r="CB69" s="905">
        <f>BZ69+CA69</f>
        <v>2780604.2375217746</v>
      </c>
      <c r="CC69" s="907">
        <f t="shared" si="63"/>
        <v>2865.1254379410352</v>
      </c>
      <c r="CD69" s="907" t="e">
        <f t="shared" si="63"/>
        <v>#DIV/0!</v>
      </c>
      <c r="CE69" s="907">
        <f t="shared" si="39"/>
        <v>2865.1254379410352</v>
      </c>
      <c r="CF69" s="907">
        <f t="shared" si="18"/>
        <v>2865.1254379410352</v>
      </c>
      <c r="CG69" s="923">
        <f t="shared" si="19"/>
        <v>2780604.2375217746</v>
      </c>
      <c r="CH69" s="923">
        <f t="shared" si="40"/>
        <v>2865.1254379410352</v>
      </c>
      <c r="CI69" s="964"/>
      <c r="CJ69" s="1405">
        <f>H69*Z69/1000</f>
        <v>5641.1509444012763</v>
      </c>
      <c r="CK69" s="1405">
        <f>N69*AG69/1000</f>
        <v>5192.3711130000002</v>
      </c>
      <c r="CL69" s="1405">
        <f>CJ69+CK69</f>
        <v>10833.522057401276</v>
      </c>
      <c r="CM69" s="897">
        <f t="shared" si="41"/>
        <v>11644.5504186</v>
      </c>
      <c r="CN69" s="897">
        <f t="shared" si="42"/>
        <v>811.02836119872336</v>
      </c>
      <c r="CO69" s="897">
        <f t="shared" si="22"/>
        <v>10833522.057401277</v>
      </c>
      <c r="CP69" s="897">
        <f t="shared" si="23"/>
        <v>10180849.520719444</v>
      </c>
      <c r="CQ69" s="897">
        <f t="shared" si="24"/>
        <v>10180849.520719444</v>
      </c>
      <c r="CR69" s="897">
        <f t="shared" si="25"/>
        <v>5641150.9444012763</v>
      </c>
      <c r="CS69" s="897">
        <f t="shared" si="26"/>
        <v>11644550.4186</v>
      </c>
      <c r="CT69" s="897">
        <f t="shared" si="27"/>
        <v>11644550.4186</v>
      </c>
      <c r="CU69" s="897">
        <f t="shared" si="28"/>
        <v>5192371.1129999999</v>
      </c>
      <c r="CV69" s="897">
        <f t="shared" si="43"/>
        <v>21825399.939319447</v>
      </c>
      <c r="CW69" s="906">
        <f t="shared" si="44"/>
        <v>5802.0506688038677</v>
      </c>
      <c r="CX69" s="897">
        <f t="shared" si="29"/>
        <v>2626629.7840741533</v>
      </c>
      <c r="CY69" s="897">
        <f t="shared" si="30"/>
        <v>3004260.39</v>
      </c>
      <c r="CZ69" s="897"/>
      <c r="DA69" s="897">
        <f t="shared" si="31"/>
        <v>10180849.520719444</v>
      </c>
      <c r="DB69" s="897">
        <f t="shared" si="32"/>
        <v>11644550.4186</v>
      </c>
      <c r="DC69" s="1130"/>
      <c r="DD69" s="40">
        <f t="shared" si="45"/>
        <v>114.3770015940391</v>
      </c>
      <c r="DE69" s="1130"/>
      <c r="DF69" s="1130"/>
      <c r="DG69" s="1130"/>
      <c r="DH69" s="1043">
        <v>3862.054333333333</v>
      </c>
      <c r="DI69" s="1043">
        <v>935.47199999999998</v>
      </c>
      <c r="DJ69" s="1043">
        <f>DH69-DI69</f>
        <v>2926.5823333333328</v>
      </c>
      <c r="DK69" s="964"/>
      <c r="DL69" s="908">
        <f t="shared" si="33"/>
        <v>0</v>
      </c>
      <c r="DM69" s="908">
        <f t="shared" si="34"/>
        <v>0</v>
      </c>
      <c r="DN69" s="908">
        <f t="shared" si="35"/>
        <v>0</v>
      </c>
      <c r="DO69" s="868"/>
      <c r="DP69" s="868"/>
      <c r="DQ69" s="868"/>
      <c r="DR69" s="81"/>
      <c r="DS69" s="81"/>
      <c r="DT69" s="81"/>
      <c r="DU69" s="81"/>
      <c r="DV69" s="81"/>
      <c r="DW69" s="81"/>
      <c r="DX69" s="81"/>
      <c r="DY69" s="81"/>
      <c r="DZ69" s="81"/>
      <c r="EA69" s="81"/>
      <c r="EB69" s="81"/>
      <c r="EC69" s="81"/>
      <c r="ED69" s="81"/>
      <c r="EE69" s="81"/>
      <c r="EF69" s="81"/>
      <c r="EG69" s="81"/>
      <c r="EH69" s="81"/>
      <c r="EI69" s="81"/>
      <c r="EJ69" s="81"/>
      <c r="EK69" s="81"/>
      <c r="EL69" s="81"/>
    </row>
    <row r="70" spans="1:142" s="869" customFormat="1" ht="72" customHeight="1">
      <c r="A70" s="6" t="e">
        <f t="shared" si="46"/>
        <v>#REF!</v>
      </c>
      <c r="B70" s="909" t="s">
        <v>25</v>
      </c>
      <c r="C70" s="1309" t="s">
        <v>108</v>
      </c>
      <c r="D70" s="1262" t="s">
        <v>141</v>
      </c>
      <c r="E70" s="887">
        <v>4632024035</v>
      </c>
      <c r="F70" s="886" t="s">
        <v>8</v>
      </c>
      <c r="G70" s="1238" t="s">
        <v>983</v>
      </c>
      <c r="H70" s="1256">
        <v>3314.9639999999995</v>
      </c>
      <c r="I70" s="1257">
        <f>H70</f>
        <v>3314.9639999999995</v>
      </c>
      <c r="J70" s="1263">
        <v>2950.21</v>
      </c>
      <c r="K70" s="891"/>
      <c r="L70" s="1256">
        <v>3314.9639999999995</v>
      </c>
      <c r="M70" s="991"/>
      <c r="N70" s="1259">
        <f>3132.14*1.2</f>
        <v>3758.5679999999998</v>
      </c>
      <c r="O70" s="1260">
        <f>N70</f>
        <v>3758.5679999999998</v>
      </c>
      <c r="P70" s="1264">
        <v>2979.71</v>
      </c>
      <c r="Q70" s="891"/>
      <c r="R70" s="891">
        <f>O70</f>
        <v>3758.5679999999998</v>
      </c>
      <c r="S70" s="991"/>
      <c r="T70" s="1367">
        <v>172.791</v>
      </c>
      <c r="U70" s="1368">
        <v>1691.6189999999999</v>
      </c>
      <c r="V70" s="1368"/>
      <c r="W70" s="992"/>
      <c r="X70" s="992"/>
      <c r="Y70" s="992"/>
      <c r="Z70" s="949">
        <f t="shared" si="8"/>
        <v>1864.4099999999999</v>
      </c>
      <c r="AA70" s="1369">
        <v>94.62</v>
      </c>
      <c r="AB70" s="1368">
        <v>1347.8</v>
      </c>
      <c r="AC70" s="1368">
        <v>0</v>
      </c>
      <c r="AD70" s="992"/>
      <c r="AE70" s="992"/>
      <c r="AF70" s="992"/>
      <c r="AG70" s="951">
        <f t="shared" si="51"/>
        <v>1442.42</v>
      </c>
      <c r="AH70" s="947">
        <f>Z70+AG70</f>
        <v>3306.83</v>
      </c>
      <c r="AI70" s="890">
        <f t="shared" si="73"/>
        <v>267.411</v>
      </c>
      <c r="AJ70" s="890">
        <f t="shared" si="73"/>
        <v>3039.4189999999999</v>
      </c>
      <c r="AK70" s="890">
        <f t="shared" si="73"/>
        <v>0</v>
      </c>
      <c r="AL70" s="890">
        <f t="shared" si="73"/>
        <v>0</v>
      </c>
      <c r="AM70" s="890">
        <f t="shared" si="73"/>
        <v>0</v>
      </c>
      <c r="AN70" s="890"/>
      <c r="AO70" s="890">
        <f t="shared" si="70"/>
        <v>3306.83</v>
      </c>
      <c r="AP70" s="890">
        <f t="shared" si="71"/>
        <v>3306.83</v>
      </c>
      <c r="AQ70" s="952">
        <f t="shared" ref="AQ70:AQ132" si="97">SUM(AI70:AL70)</f>
        <v>3306.83</v>
      </c>
      <c r="AR70" s="973">
        <f t="shared" si="36"/>
        <v>0</v>
      </c>
      <c r="AS70" s="889">
        <f t="shared" si="88"/>
        <v>886457.83820399991</v>
      </c>
      <c r="AT70" s="890">
        <f t="shared" si="88"/>
        <v>8966924.3279899992</v>
      </c>
      <c r="AU70" s="890">
        <f t="shared" si="88"/>
        <v>0</v>
      </c>
      <c r="AV70" s="890">
        <f t="shared" si="88"/>
        <v>0</v>
      </c>
      <c r="AW70" s="890">
        <f t="shared" si="88"/>
        <v>0</v>
      </c>
      <c r="AX70" s="890">
        <f t="shared" ref="AX70:AX133" si="98">SUM(AS70:AW70)</f>
        <v>9853382.1661939994</v>
      </c>
      <c r="AY70" s="890">
        <f t="shared" ref="AY70:AY133" si="99">SUM(AS70:AV70)</f>
        <v>9853382.1661939994</v>
      </c>
      <c r="AZ70" s="890">
        <f t="shared" si="89"/>
        <v>1005082.4274479999</v>
      </c>
      <c r="BA70" s="890">
        <f t="shared" si="89"/>
        <v>9056587.1884899996</v>
      </c>
      <c r="BB70" s="890">
        <f t="shared" si="89"/>
        <v>0</v>
      </c>
      <c r="BC70" s="890">
        <f t="shared" si="89"/>
        <v>0</v>
      </c>
      <c r="BD70" s="890">
        <f t="shared" si="89"/>
        <v>0</v>
      </c>
      <c r="BE70" s="890">
        <f t="shared" ref="BE70:BE133" si="100">SUM(AZ70:BD70)</f>
        <v>10061669.615938</v>
      </c>
      <c r="BF70" s="952">
        <f t="shared" ref="BF70:BF133" si="101">SUM(AZ70:BC70)</f>
        <v>10061669.615938</v>
      </c>
      <c r="BG70" s="953">
        <f>(H70-J70)/1.2*U70/1000+(H70-K70)/1.2*V70/1000</f>
        <v>514.18733060499926</v>
      </c>
      <c r="BH70" s="954">
        <f>(O70-P70)*AB70/1000/1.2+(O70-Q70)/1.2*AC70/1000</f>
        <v>874.78734366666629</v>
      </c>
      <c r="BI70" s="955">
        <f t="shared" si="92"/>
        <v>1388.9746742716657</v>
      </c>
      <c r="BJ70" s="955"/>
      <c r="BK70" s="1197"/>
      <c r="BL70" s="890">
        <f t="shared" si="84"/>
        <v>572795.94452399993</v>
      </c>
      <c r="BM70" s="890">
        <f t="shared" si="84"/>
        <v>4990631.2899899995</v>
      </c>
      <c r="BN70" s="890">
        <f t="shared" si="84"/>
        <v>0</v>
      </c>
      <c r="BO70" s="890">
        <f t="shared" si="84"/>
        <v>0</v>
      </c>
      <c r="BP70" s="890">
        <f t="shared" si="84"/>
        <v>0</v>
      </c>
      <c r="BQ70" s="890">
        <f t="shared" si="55"/>
        <v>5563427.2345139999</v>
      </c>
      <c r="BR70" s="890">
        <f t="shared" si="56"/>
        <v>5563427.2345139999</v>
      </c>
      <c r="BS70" s="890">
        <f t="shared" si="85"/>
        <v>355635.70416000002</v>
      </c>
      <c r="BT70" s="890">
        <f t="shared" si="85"/>
        <v>4016053.1379999998</v>
      </c>
      <c r="BU70" s="890">
        <f t="shared" si="85"/>
        <v>0</v>
      </c>
      <c r="BV70" s="890">
        <f t="shared" si="58"/>
        <v>0</v>
      </c>
      <c r="BW70" s="890">
        <f t="shared" si="17"/>
        <v>0</v>
      </c>
      <c r="BX70" s="890">
        <f t="shared" si="59"/>
        <v>4371688.8421599995</v>
      </c>
      <c r="BY70" s="890">
        <f t="shared" si="60"/>
        <v>4371688.8421599995</v>
      </c>
      <c r="BZ70" s="945">
        <f t="shared" si="61"/>
        <v>9006684.4279899988</v>
      </c>
      <c r="CA70" s="945">
        <f t="shared" si="61"/>
        <v>0</v>
      </c>
      <c r="CB70" s="945">
        <f t="shared" si="62"/>
        <v>9006684.4279899988</v>
      </c>
      <c r="CC70" s="976">
        <f t="shared" si="63"/>
        <v>2963.2914803750318</v>
      </c>
      <c r="CD70" s="976" t="e">
        <f t="shared" si="63"/>
        <v>#DIV/0!</v>
      </c>
      <c r="CE70" s="976">
        <f t="shared" si="39"/>
        <v>2963.2914803750318</v>
      </c>
      <c r="CF70" s="976">
        <f t="shared" si="18"/>
        <v>2963.2914803750318</v>
      </c>
      <c r="CG70" s="977">
        <f t="shared" si="19"/>
        <v>10673454.037115999</v>
      </c>
      <c r="CH70" s="977">
        <f t="shared" si="40"/>
        <v>3511.675763399518</v>
      </c>
      <c r="CI70" s="1289"/>
      <c r="CJ70" s="1405">
        <f>H70*Z70/1000</f>
        <v>6180.4520312399982</v>
      </c>
      <c r="CK70" s="1405">
        <f t="shared" ref="CK70:CK133" si="102">N70*AG70/1000</f>
        <v>5421.4336545599999</v>
      </c>
      <c r="CL70" s="1405">
        <f>CJ70+CK70</f>
        <v>11601.885685799998</v>
      </c>
      <c r="CM70" s="890">
        <f t="shared" si="41"/>
        <v>12428.945419439999</v>
      </c>
      <c r="CN70" s="890">
        <f t="shared" si="42"/>
        <v>827.05973364000056</v>
      </c>
      <c r="CO70" s="890">
        <f t="shared" si="22"/>
        <v>11601885.685799997</v>
      </c>
      <c r="CP70" s="890">
        <f t="shared" si="23"/>
        <v>9853382.1661939994</v>
      </c>
      <c r="CQ70" s="890">
        <f t="shared" si="24"/>
        <v>9853382.1661939994</v>
      </c>
      <c r="CR70" s="890">
        <f t="shared" si="25"/>
        <v>5563427.2345139999</v>
      </c>
      <c r="CS70" s="890">
        <f t="shared" si="26"/>
        <v>10061669.615938</v>
      </c>
      <c r="CT70" s="890">
        <f t="shared" si="27"/>
        <v>10061669.615938</v>
      </c>
      <c r="CU70" s="890">
        <f t="shared" si="28"/>
        <v>4371688.8421599995</v>
      </c>
      <c r="CV70" s="890">
        <f t="shared" si="43"/>
        <v>19915051.782132</v>
      </c>
      <c r="CW70" s="978">
        <f t="shared" si="44"/>
        <v>6022.3996341305719</v>
      </c>
      <c r="CX70" s="890">
        <f t="shared" si="29"/>
        <v>8966924.3279899992</v>
      </c>
      <c r="CY70" s="890">
        <f t="shared" si="30"/>
        <v>9056587.1884899996</v>
      </c>
      <c r="CZ70" s="890"/>
      <c r="DA70" s="890">
        <f t="shared" si="31"/>
        <v>10962022.404119998</v>
      </c>
      <c r="DB70" s="890">
        <f t="shared" si="32"/>
        <v>12428945.419439999</v>
      </c>
      <c r="DC70" s="1290"/>
      <c r="DD70" s="841">
        <f t="shared" si="45"/>
        <v>127.40001559211038</v>
      </c>
      <c r="DE70" s="1290"/>
      <c r="DF70" s="1290"/>
      <c r="DG70" s="1290"/>
      <c r="DH70" s="1050"/>
      <c r="DI70" s="1050"/>
      <c r="DJ70" s="1050"/>
      <c r="DK70" s="1289"/>
      <c r="DL70" s="975">
        <f t="shared" si="33"/>
        <v>0</v>
      </c>
      <c r="DM70" s="975">
        <f t="shared" si="34"/>
        <v>0</v>
      </c>
      <c r="DN70" s="975">
        <f t="shared" si="35"/>
        <v>0</v>
      </c>
      <c r="DO70" s="1291"/>
      <c r="DP70" s="871"/>
      <c r="DQ70" s="871"/>
      <c r="DR70" s="871"/>
      <c r="DS70" s="871"/>
      <c r="DT70" s="871"/>
      <c r="DU70" s="871"/>
      <c r="DV70" s="871"/>
      <c r="DW70" s="871"/>
      <c r="DX70" s="871"/>
      <c r="DY70" s="871"/>
      <c r="DZ70" s="871"/>
      <c r="EA70" s="871"/>
      <c r="EB70" s="871"/>
      <c r="EC70" s="871"/>
      <c r="ED70" s="871"/>
      <c r="EE70" s="871"/>
      <c r="EF70" s="871"/>
      <c r="EG70" s="871"/>
      <c r="EH70" s="871"/>
      <c r="EI70" s="871"/>
      <c r="EJ70" s="871"/>
      <c r="EK70" s="871"/>
      <c r="EL70" s="871"/>
    </row>
    <row r="71" spans="1:142" s="50" customFormat="1" ht="78.75" customHeight="1">
      <c r="A71" s="6" t="e">
        <f t="shared" si="46"/>
        <v>#REF!</v>
      </c>
      <c r="B71" s="909" t="str">
        <f t="shared" ref="B71:B77" si="103">B70</f>
        <v>Октябрьский район</v>
      </c>
      <c r="C71" s="956" t="s">
        <v>902</v>
      </c>
      <c r="D71" s="963" t="s">
        <v>161</v>
      </c>
      <c r="E71" s="1001">
        <v>4617004147</v>
      </c>
      <c r="F71" s="963" t="s">
        <v>8</v>
      </c>
      <c r="G71" s="1002" t="s">
        <v>953</v>
      </c>
      <c r="H71" s="1247">
        <v>3850.8480191964254</v>
      </c>
      <c r="I71" s="1248">
        <v>3850.8480191964254</v>
      </c>
      <c r="J71" s="912"/>
      <c r="K71" s="912"/>
      <c r="L71" s="912"/>
      <c r="M71" s="913"/>
      <c r="N71" s="1213">
        <v>4621.0200000000004</v>
      </c>
      <c r="O71" s="1214">
        <v>4621.0200000000004</v>
      </c>
      <c r="P71" s="915"/>
      <c r="Q71" s="915"/>
      <c r="R71" s="891"/>
      <c r="S71" s="913"/>
      <c r="T71" s="999">
        <f t="shared" ref="T71:T77" si="104">2542.18/7</f>
        <v>363.1685714285714</v>
      </c>
      <c r="U71" s="917">
        <v>0</v>
      </c>
      <c r="V71" s="917">
        <v>0</v>
      </c>
      <c r="W71" s="917">
        <v>0</v>
      </c>
      <c r="X71" s="917">
        <v>0</v>
      </c>
      <c r="Y71" s="917">
        <v>0</v>
      </c>
      <c r="Z71" s="898">
        <f t="shared" si="8"/>
        <v>363.1685714285714</v>
      </c>
      <c r="AA71" s="918">
        <f t="shared" ref="AA71:AA77" si="105">2177.72/7</f>
        <v>311.10285714285709</v>
      </c>
      <c r="AB71" s="917"/>
      <c r="AC71" s="917">
        <v>0</v>
      </c>
      <c r="AD71" s="917">
        <v>0</v>
      </c>
      <c r="AE71" s="917">
        <v>0</v>
      </c>
      <c r="AF71" s="917">
        <v>0</v>
      </c>
      <c r="AG71" s="900">
        <f t="shared" si="51"/>
        <v>311.10285714285709</v>
      </c>
      <c r="AH71" s="896">
        <f t="shared" si="52"/>
        <v>674.27142857142849</v>
      </c>
      <c r="AI71" s="897">
        <f t="shared" si="73"/>
        <v>674.27142857142849</v>
      </c>
      <c r="AJ71" s="1194">
        <f t="shared" si="73"/>
        <v>0</v>
      </c>
      <c r="AK71" s="897">
        <f t="shared" si="73"/>
        <v>0</v>
      </c>
      <c r="AL71" s="897">
        <f t="shared" si="73"/>
        <v>0</v>
      </c>
      <c r="AM71" s="897">
        <f t="shared" si="73"/>
        <v>0</v>
      </c>
      <c r="AN71" s="897"/>
      <c r="AO71" s="897">
        <f t="shared" si="70"/>
        <v>674.27142857142849</v>
      </c>
      <c r="AP71" s="897">
        <f t="shared" si="71"/>
        <v>674.27142857142849</v>
      </c>
      <c r="AQ71" s="901">
        <f t="shared" si="97"/>
        <v>674.27142857142849</v>
      </c>
      <c r="AR71" s="902">
        <f t="shared" si="36"/>
        <v>0</v>
      </c>
      <c r="AS71" s="903">
        <f t="shared" si="88"/>
        <v>2596516.7951150294</v>
      </c>
      <c r="AT71" s="897">
        <f t="shared" si="88"/>
        <v>0</v>
      </c>
      <c r="AU71" s="897">
        <f t="shared" si="88"/>
        <v>0</v>
      </c>
      <c r="AV71" s="897">
        <f t="shared" si="88"/>
        <v>0</v>
      </c>
      <c r="AW71" s="897">
        <f t="shared" si="88"/>
        <v>0</v>
      </c>
      <c r="AX71" s="897">
        <f t="shared" si="98"/>
        <v>2596516.7951150294</v>
      </c>
      <c r="AY71" s="897">
        <f t="shared" si="99"/>
        <v>2596516.7951150294</v>
      </c>
      <c r="AZ71" s="897">
        <f t="shared" si="89"/>
        <v>3115821.7568571428</v>
      </c>
      <c r="BA71" s="897">
        <f t="shared" si="89"/>
        <v>0</v>
      </c>
      <c r="BB71" s="897">
        <f t="shared" si="89"/>
        <v>0</v>
      </c>
      <c r="BC71" s="897">
        <f t="shared" si="89"/>
        <v>0</v>
      </c>
      <c r="BD71" s="897">
        <f t="shared" si="89"/>
        <v>0</v>
      </c>
      <c r="BE71" s="897">
        <f t="shared" si="100"/>
        <v>3115821.7568571428</v>
      </c>
      <c r="BF71" s="901">
        <f t="shared" si="101"/>
        <v>3115821.7568571428</v>
      </c>
      <c r="BG71" s="918"/>
      <c r="BH71" s="917"/>
      <c r="BI71" s="897">
        <f t="shared" si="92"/>
        <v>0</v>
      </c>
      <c r="BJ71" s="1215">
        <v>21673.773596703588</v>
      </c>
      <c r="BK71" s="1216">
        <v>25874.876200000002</v>
      </c>
      <c r="BL71" s="897">
        <f t="shared" si="84"/>
        <v>1398506.9739201097</v>
      </c>
      <c r="BM71" s="897">
        <f t="shared" si="84"/>
        <v>0</v>
      </c>
      <c r="BN71" s="897">
        <f t="shared" si="84"/>
        <v>0</v>
      </c>
      <c r="BO71" s="897">
        <f t="shared" si="84"/>
        <v>0</v>
      </c>
      <c r="BP71" s="897">
        <f t="shared" si="84"/>
        <v>0</v>
      </c>
      <c r="BQ71" s="897">
        <f t="shared" si="55"/>
        <v>1398506.9739201097</v>
      </c>
      <c r="BR71" s="897">
        <f t="shared" si="56"/>
        <v>1398506.9739201097</v>
      </c>
      <c r="BS71" s="897">
        <f t="shared" si="85"/>
        <v>1437612.5249142856</v>
      </c>
      <c r="BT71" s="897">
        <f t="shared" si="85"/>
        <v>0</v>
      </c>
      <c r="BU71" s="897">
        <f t="shared" si="85"/>
        <v>0</v>
      </c>
      <c r="BV71" s="897">
        <f t="shared" si="58"/>
        <v>0</v>
      </c>
      <c r="BW71" s="897">
        <f t="shared" si="17"/>
        <v>0</v>
      </c>
      <c r="BX71" s="897">
        <f t="shared" si="59"/>
        <v>1437612.5249142856</v>
      </c>
      <c r="BY71" s="897">
        <f t="shared" si="60"/>
        <v>1437612.5249142856</v>
      </c>
      <c r="BZ71" s="905">
        <f t="shared" si="61"/>
        <v>0</v>
      </c>
      <c r="CA71" s="905">
        <f t="shared" si="61"/>
        <v>0</v>
      </c>
      <c r="CB71" s="905">
        <f t="shared" si="62"/>
        <v>0</v>
      </c>
      <c r="CC71" s="907" t="e">
        <f t="shared" si="63"/>
        <v>#DIV/0!</v>
      </c>
      <c r="CD71" s="907" t="e">
        <f t="shared" si="63"/>
        <v>#DIV/0!</v>
      </c>
      <c r="CE71" s="907" t="e">
        <f t="shared" si="39"/>
        <v>#DIV/0!</v>
      </c>
      <c r="CF71" s="905" t="e">
        <f t="shared" si="18"/>
        <v>#DIV/0!</v>
      </c>
      <c r="CG71" s="923">
        <f t="shared" si="19"/>
        <v>0</v>
      </c>
      <c r="CH71" s="923" t="e">
        <f t="shared" si="40"/>
        <v>#DIV/0!</v>
      </c>
      <c r="CI71" s="964"/>
      <c r="CJ71" s="1405">
        <f t="shared" ref="CJ71:CJ134" si="106">H71*Z71/1000</f>
        <v>1398.5069739201097</v>
      </c>
      <c r="CK71" s="1405">
        <f t="shared" si="102"/>
        <v>1437.6125249142856</v>
      </c>
      <c r="CL71" s="1405">
        <f t="shared" ref="CL71:CL134" si="107">CJ71+CK71</f>
        <v>2836.119498834395</v>
      </c>
      <c r="CM71" s="897">
        <f t="shared" si="41"/>
        <v>3115.8217568571426</v>
      </c>
      <c r="CN71" s="897">
        <f t="shared" si="42"/>
        <v>279.70225802274763</v>
      </c>
      <c r="CO71" s="897">
        <f t="shared" si="22"/>
        <v>2836119.4988343953</v>
      </c>
      <c r="CP71" s="897">
        <f t="shared" si="23"/>
        <v>2596516.7951150294</v>
      </c>
      <c r="CQ71" s="897">
        <f t="shared" si="24"/>
        <v>2596516.7951150294</v>
      </c>
      <c r="CR71" s="897">
        <f t="shared" si="25"/>
        <v>1398506.9739201097</v>
      </c>
      <c r="CS71" s="897">
        <f t="shared" si="26"/>
        <v>3115821.7568571428</v>
      </c>
      <c r="CT71" s="897">
        <f t="shared" si="27"/>
        <v>3115821.7568571428</v>
      </c>
      <c r="CU71" s="897">
        <f t="shared" si="28"/>
        <v>1437612.5249142856</v>
      </c>
      <c r="CV71" s="897">
        <f t="shared" si="43"/>
        <v>5712338.5519721722</v>
      </c>
      <c r="CW71" s="906">
        <f t="shared" si="44"/>
        <v>8471.8680191964268</v>
      </c>
      <c r="CX71" s="897">
        <f t="shared" si="29"/>
        <v>0</v>
      </c>
      <c r="CY71" s="897">
        <f t="shared" si="30"/>
        <v>0</v>
      </c>
      <c r="CZ71" s="897"/>
      <c r="DA71" s="897">
        <f t="shared" si="31"/>
        <v>2596516.7951150294</v>
      </c>
      <c r="DB71" s="897">
        <f t="shared" si="32"/>
        <v>3115821.7568571428</v>
      </c>
      <c r="DC71" s="1130"/>
      <c r="DD71" s="40" t="e">
        <f t="shared" si="45"/>
        <v>#DIV/0!</v>
      </c>
      <c r="DE71" s="1130"/>
      <c r="DF71" s="1130"/>
      <c r="DG71" s="1130"/>
      <c r="DH71" s="1043">
        <v>714.64285714285711</v>
      </c>
      <c r="DI71" s="1043">
        <v>0</v>
      </c>
      <c r="DJ71" s="1043">
        <f t="shared" ref="DJ71:DJ134" si="108">DH71-DI71</f>
        <v>714.64285714285711</v>
      </c>
      <c r="DK71" s="964"/>
      <c r="DL71" s="908">
        <f t="shared" si="33"/>
        <v>0</v>
      </c>
      <c r="DM71" s="908">
        <f t="shared" si="34"/>
        <v>0</v>
      </c>
      <c r="DN71" s="908">
        <f t="shared" si="35"/>
        <v>0</v>
      </c>
      <c r="DO71" s="868"/>
      <c r="DP71" s="81"/>
      <c r="DQ71" s="81"/>
      <c r="DR71" s="81"/>
      <c r="DS71" s="81"/>
      <c r="DT71" s="81"/>
      <c r="DU71" s="81"/>
      <c r="DV71" s="81"/>
      <c r="DW71" s="81"/>
      <c r="DX71" s="81"/>
      <c r="DY71" s="81"/>
      <c r="DZ71" s="81"/>
      <c r="EA71" s="81"/>
      <c r="EB71" s="81"/>
      <c r="EC71" s="81"/>
      <c r="ED71" s="81"/>
      <c r="EE71" s="81"/>
      <c r="EF71" s="81"/>
      <c r="EG71" s="81"/>
      <c r="EH71" s="81"/>
      <c r="EI71" s="81"/>
      <c r="EJ71" s="81"/>
      <c r="EK71" s="81"/>
      <c r="EL71" s="81"/>
    </row>
    <row r="72" spans="1:142" s="50" customFormat="1" ht="75" customHeight="1">
      <c r="A72" s="6" t="e">
        <f t="shared" si="46"/>
        <v>#REF!</v>
      </c>
      <c r="B72" s="909" t="str">
        <f t="shared" si="103"/>
        <v>Октябрьский район</v>
      </c>
      <c r="C72" s="956" t="s">
        <v>156</v>
      </c>
      <c r="D72" s="963" t="s">
        <v>161</v>
      </c>
      <c r="E72" s="1001">
        <v>4617004147</v>
      </c>
      <c r="F72" s="963" t="s">
        <v>8</v>
      </c>
      <c r="G72" s="1002"/>
      <c r="H72" s="911">
        <v>3850.8480191964254</v>
      </c>
      <c r="I72" s="912">
        <v>3850.8480191964254</v>
      </c>
      <c r="J72" s="912"/>
      <c r="K72" s="912"/>
      <c r="L72" s="912"/>
      <c r="M72" s="913"/>
      <c r="N72" s="1213">
        <v>4621.0200000000004</v>
      </c>
      <c r="O72" s="1214">
        <v>4621.0200000000004</v>
      </c>
      <c r="P72" s="915"/>
      <c r="Q72" s="915"/>
      <c r="R72" s="891"/>
      <c r="S72" s="913"/>
      <c r="T72" s="999">
        <f t="shared" si="104"/>
        <v>363.1685714285714</v>
      </c>
      <c r="U72" s="917">
        <v>0</v>
      </c>
      <c r="V72" s="917">
        <v>0</v>
      </c>
      <c r="W72" s="917">
        <v>0</v>
      </c>
      <c r="X72" s="917">
        <v>0</v>
      </c>
      <c r="Y72" s="917">
        <v>0</v>
      </c>
      <c r="Z72" s="898">
        <f t="shared" si="8"/>
        <v>363.1685714285714</v>
      </c>
      <c r="AA72" s="918">
        <f t="shared" si="105"/>
        <v>311.10285714285709</v>
      </c>
      <c r="AB72" s="917">
        <v>0</v>
      </c>
      <c r="AC72" s="917">
        <v>0</v>
      </c>
      <c r="AD72" s="917">
        <v>0</v>
      </c>
      <c r="AE72" s="917">
        <v>0</v>
      </c>
      <c r="AF72" s="917">
        <v>0</v>
      </c>
      <c r="AG72" s="900">
        <f t="shared" si="51"/>
        <v>311.10285714285709</v>
      </c>
      <c r="AH72" s="896">
        <f t="shared" si="52"/>
        <v>674.27142857142849</v>
      </c>
      <c r="AI72" s="897">
        <f t="shared" si="73"/>
        <v>674.27142857142849</v>
      </c>
      <c r="AJ72" s="897">
        <f t="shared" si="73"/>
        <v>0</v>
      </c>
      <c r="AK72" s="897">
        <f t="shared" si="73"/>
        <v>0</v>
      </c>
      <c r="AL72" s="897">
        <f t="shared" si="73"/>
        <v>0</v>
      </c>
      <c r="AM72" s="897">
        <f t="shared" si="73"/>
        <v>0</v>
      </c>
      <c r="AN72" s="897"/>
      <c r="AO72" s="897">
        <f t="shared" si="70"/>
        <v>674.27142857142849</v>
      </c>
      <c r="AP72" s="897">
        <f t="shared" si="71"/>
        <v>674.27142857142849</v>
      </c>
      <c r="AQ72" s="901">
        <f t="shared" si="97"/>
        <v>674.27142857142849</v>
      </c>
      <c r="AR72" s="902">
        <f t="shared" si="36"/>
        <v>0</v>
      </c>
      <c r="AS72" s="903">
        <f t="shared" si="88"/>
        <v>2596516.7951150294</v>
      </c>
      <c r="AT72" s="897">
        <f t="shared" si="88"/>
        <v>0</v>
      </c>
      <c r="AU72" s="897">
        <f t="shared" si="88"/>
        <v>0</v>
      </c>
      <c r="AV72" s="897">
        <f t="shared" si="88"/>
        <v>0</v>
      </c>
      <c r="AW72" s="897">
        <f t="shared" si="88"/>
        <v>0</v>
      </c>
      <c r="AX72" s="897">
        <f t="shared" si="98"/>
        <v>2596516.7951150294</v>
      </c>
      <c r="AY72" s="897">
        <f t="shared" si="99"/>
        <v>2596516.7951150294</v>
      </c>
      <c r="AZ72" s="897">
        <f t="shared" si="89"/>
        <v>3115821.7568571428</v>
      </c>
      <c r="BA72" s="897">
        <f t="shared" si="89"/>
        <v>0</v>
      </c>
      <c r="BB72" s="897">
        <f t="shared" si="89"/>
        <v>0</v>
      </c>
      <c r="BC72" s="897">
        <f t="shared" si="89"/>
        <v>0</v>
      </c>
      <c r="BD72" s="897">
        <f t="shared" si="89"/>
        <v>0</v>
      </c>
      <c r="BE72" s="897">
        <f t="shared" si="100"/>
        <v>3115821.7568571428</v>
      </c>
      <c r="BF72" s="901">
        <f t="shared" si="101"/>
        <v>3115821.7568571428</v>
      </c>
      <c r="BG72" s="918"/>
      <c r="BH72" s="917"/>
      <c r="BI72" s="897">
        <f t="shared" si="92"/>
        <v>0</v>
      </c>
      <c r="BJ72" s="981"/>
      <c r="BK72" s="1201"/>
      <c r="BL72" s="897">
        <f t="shared" si="84"/>
        <v>1398506.9739201097</v>
      </c>
      <c r="BM72" s="897">
        <f t="shared" si="84"/>
        <v>0</v>
      </c>
      <c r="BN72" s="897">
        <f t="shared" si="84"/>
        <v>0</v>
      </c>
      <c r="BO72" s="897">
        <f t="shared" si="84"/>
        <v>0</v>
      </c>
      <c r="BP72" s="897">
        <f t="shared" si="84"/>
        <v>0</v>
      </c>
      <c r="BQ72" s="897">
        <f t="shared" si="55"/>
        <v>1398506.9739201097</v>
      </c>
      <c r="BR72" s="897">
        <f t="shared" si="56"/>
        <v>1398506.9739201097</v>
      </c>
      <c r="BS72" s="897">
        <f t="shared" si="85"/>
        <v>1437612.5249142856</v>
      </c>
      <c r="BT72" s="897">
        <f t="shared" si="85"/>
        <v>0</v>
      </c>
      <c r="BU72" s="897">
        <f t="shared" si="85"/>
        <v>0</v>
      </c>
      <c r="BV72" s="897">
        <f t="shared" si="58"/>
        <v>0</v>
      </c>
      <c r="BW72" s="897">
        <f t="shared" si="17"/>
        <v>0</v>
      </c>
      <c r="BX72" s="897">
        <f t="shared" si="59"/>
        <v>1437612.5249142856</v>
      </c>
      <c r="BY72" s="897">
        <f t="shared" si="60"/>
        <v>1437612.5249142856</v>
      </c>
      <c r="BZ72" s="905">
        <f t="shared" si="61"/>
        <v>0</v>
      </c>
      <c r="CA72" s="905">
        <f t="shared" si="61"/>
        <v>0</v>
      </c>
      <c r="CB72" s="905">
        <f t="shared" si="62"/>
        <v>0</v>
      </c>
      <c r="CC72" s="907" t="e">
        <f t="shared" si="63"/>
        <v>#DIV/0!</v>
      </c>
      <c r="CD72" s="907" t="e">
        <f t="shared" si="63"/>
        <v>#DIV/0!</v>
      </c>
      <c r="CE72" s="907" t="e">
        <f t="shared" si="39"/>
        <v>#DIV/0!</v>
      </c>
      <c r="CF72" s="905" t="e">
        <f t="shared" si="18"/>
        <v>#DIV/0!</v>
      </c>
      <c r="CG72" s="923">
        <f t="shared" si="19"/>
        <v>0</v>
      </c>
      <c r="CH72" s="923" t="e">
        <f t="shared" si="40"/>
        <v>#DIV/0!</v>
      </c>
      <c r="CI72" s="964"/>
      <c r="CJ72" s="1405">
        <f t="shared" si="106"/>
        <v>1398.5069739201097</v>
      </c>
      <c r="CK72" s="1405">
        <f t="shared" si="102"/>
        <v>1437.6125249142856</v>
      </c>
      <c r="CL72" s="1405">
        <f t="shared" si="107"/>
        <v>2836.119498834395</v>
      </c>
      <c r="CM72" s="897">
        <f t="shared" si="41"/>
        <v>3115.8217568571426</v>
      </c>
      <c r="CN72" s="897">
        <f t="shared" si="42"/>
        <v>279.70225802274763</v>
      </c>
      <c r="CO72" s="897">
        <f t="shared" si="22"/>
        <v>2836119.4988343953</v>
      </c>
      <c r="CP72" s="897">
        <f t="shared" si="23"/>
        <v>2596516.7951150294</v>
      </c>
      <c r="CQ72" s="897">
        <f t="shared" si="24"/>
        <v>2596516.7951150294</v>
      </c>
      <c r="CR72" s="897">
        <f t="shared" si="25"/>
        <v>1398506.9739201097</v>
      </c>
      <c r="CS72" s="897">
        <f t="shared" si="26"/>
        <v>3115821.7568571428</v>
      </c>
      <c r="CT72" s="897">
        <f t="shared" si="27"/>
        <v>3115821.7568571428</v>
      </c>
      <c r="CU72" s="897">
        <f t="shared" si="28"/>
        <v>1437612.5249142856</v>
      </c>
      <c r="CV72" s="897">
        <f t="shared" si="43"/>
        <v>5712338.5519721722</v>
      </c>
      <c r="CW72" s="906">
        <f t="shared" si="44"/>
        <v>8471.8680191964268</v>
      </c>
      <c r="CX72" s="897">
        <f t="shared" si="29"/>
        <v>0</v>
      </c>
      <c r="CY72" s="897">
        <f t="shared" si="30"/>
        <v>0</v>
      </c>
      <c r="CZ72" s="897"/>
      <c r="DA72" s="897">
        <f t="shared" si="31"/>
        <v>2596516.7951150294</v>
      </c>
      <c r="DB72" s="897">
        <f t="shared" si="32"/>
        <v>3115821.7568571428</v>
      </c>
      <c r="DC72" s="1130"/>
      <c r="DD72" s="40" t="e">
        <f t="shared" si="45"/>
        <v>#DIV/0!</v>
      </c>
      <c r="DE72" s="1130"/>
      <c r="DF72" s="1130"/>
      <c r="DG72" s="1130"/>
      <c r="DH72" s="1043">
        <v>714.64285714285711</v>
      </c>
      <c r="DI72" s="1043">
        <v>0</v>
      </c>
      <c r="DJ72" s="1043">
        <f t="shared" si="108"/>
        <v>714.64285714285711</v>
      </c>
      <c r="DK72" s="964"/>
      <c r="DL72" s="908">
        <f t="shared" si="33"/>
        <v>0</v>
      </c>
      <c r="DM72" s="908">
        <f t="shared" si="34"/>
        <v>0</v>
      </c>
      <c r="DN72" s="908">
        <f t="shared" si="35"/>
        <v>0</v>
      </c>
      <c r="DO72" s="868"/>
      <c r="DP72" s="81"/>
      <c r="DQ72" s="81"/>
      <c r="DR72" s="81"/>
      <c r="DS72" s="81"/>
      <c r="DT72" s="81"/>
      <c r="DU72" s="81"/>
      <c r="DV72" s="81"/>
      <c r="DW72" s="81"/>
      <c r="DX72" s="81"/>
      <c r="DY72" s="81"/>
      <c r="DZ72" s="81"/>
      <c r="EA72" s="81"/>
      <c r="EB72" s="81"/>
      <c r="EC72" s="81"/>
      <c r="ED72" s="81"/>
      <c r="EE72" s="81"/>
      <c r="EF72" s="81"/>
      <c r="EG72" s="81"/>
      <c r="EH72" s="81"/>
      <c r="EI72" s="81"/>
      <c r="EJ72" s="81"/>
      <c r="EK72" s="81"/>
      <c r="EL72" s="81"/>
    </row>
    <row r="73" spans="1:142" s="50" customFormat="1" ht="70.5" customHeight="1">
      <c r="A73" s="6" t="e">
        <f t="shared" si="46"/>
        <v>#REF!</v>
      </c>
      <c r="B73" s="909" t="str">
        <f t="shared" si="103"/>
        <v>Октябрьский район</v>
      </c>
      <c r="C73" s="956" t="s">
        <v>157</v>
      </c>
      <c r="D73" s="963" t="s">
        <v>161</v>
      </c>
      <c r="E73" s="1001">
        <v>4617004147</v>
      </c>
      <c r="F73" s="963" t="s">
        <v>8</v>
      </c>
      <c r="G73" s="1002"/>
      <c r="H73" s="911">
        <v>3850.8480191964254</v>
      </c>
      <c r="I73" s="912">
        <v>3850.8480191964254</v>
      </c>
      <c r="J73" s="912"/>
      <c r="K73" s="912"/>
      <c r="L73" s="912"/>
      <c r="M73" s="913"/>
      <c r="N73" s="1213">
        <v>4621.0200000000004</v>
      </c>
      <c r="O73" s="1214">
        <v>4621.0200000000004</v>
      </c>
      <c r="P73" s="915"/>
      <c r="Q73" s="915"/>
      <c r="R73" s="891"/>
      <c r="S73" s="913"/>
      <c r="T73" s="999">
        <f t="shared" si="104"/>
        <v>363.1685714285714</v>
      </c>
      <c r="U73" s="917">
        <v>0</v>
      </c>
      <c r="V73" s="917">
        <v>0</v>
      </c>
      <c r="W73" s="917">
        <v>0</v>
      </c>
      <c r="X73" s="917">
        <v>0</v>
      </c>
      <c r="Y73" s="917">
        <v>0</v>
      </c>
      <c r="Z73" s="898">
        <f t="shared" si="8"/>
        <v>363.1685714285714</v>
      </c>
      <c r="AA73" s="918">
        <f t="shared" si="105"/>
        <v>311.10285714285709</v>
      </c>
      <c r="AB73" s="917">
        <v>0</v>
      </c>
      <c r="AC73" s="917">
        <v>0</v>
      </c>
      <c r="AD73" s="917">
        <v>0</v>
      </c>
      <c r="AE73" s="917">
        <v>0</v>
      </c>
      <c r="AF73" s="917">
        <v>0</v>
      </c>
      <c r="AG73" s="900">
        <f t="shared" si="51"/>
        <v>311.10285714285709</v>
      </c>
      <c r="AH73" s="896">
        <f t="shared" si="52"/>
        <v>674.27142857142849</v>
      </c>
      <c r="AI73" s="897">
        <f t="shared" si="73"/>
        <v>674.27142857142849</v>
      </c>
      <c r="AJ73" s="897">
        <f t="shared" si="73"/>
        <v>0</v>
      </c>
      <c r="AK73" s="897">
        <f t="shared" si="73"/>
        <v>0</v>
      </c>
      <c r="AL73" s="897">
        <f t="shared" si="73"/>
        <v>0</v>
      </c>
      <c r="AM73" s="897">
        <f t="shared" si="73"/>
        <v>0</v>
      </c>
      <c r="AN73" s="897"/>
      <c r="AO73" s="897">
        <f t="shared" si="70"/>
        <v>674.27142857142849</v>
      </c>
      <c r="AP73" s="897">
        <f t="shared" si="71"/>
        <v>674.27142857142849</v>
      </c>
      <c r="AQ73" s="901">
        <f t="shared" si="97"/>
        <v>674.27142857142849</v>
      </c>
      <c r="AR73" s="902">
        <f t="shared" si="36"/>
        <v>0</v>
      </c>
      <c r="AS73" s="903">
        <f t="shared" si="88"/>
        <v>2596516.7951150294</v>
      </c>
      <c r="AT73" s="897">
        <f t="shared" si="88"/>
        <v>0</v>
      </c>
      <c r="AU73" s="897">
        <f t="shared" si="88"/>
        <v>0</v>
      </c>
      <c r="AV73" s="897">
        <f t="shared" si="88"/>
        <v>0</v>
      </c>
      <c r="AW73" s="897">
        <f t="shared" si="88"/>
        <v>0</v>
      </c>
      <c r="AX73" s="897">
        <f t="shared" si="98"/>
        <v>2596516.7951150294</v>
      </c>
      <c r="AY73" s="897">
        <f t="shared" si="99"/>
        <v>2596516.7951150294</v>
      </c>
      <c r="AZ73" s="897">
        <f t="shared" si="89"/>
        <v>3115821.7568571428</v>
      </c>
      <c r="BA73" s="897">
        <f t="shared" si="89"/>
        <v>0</v>
      </c>
      <c r="BB73" s="897">
        <f t="shared" si="89"/>
        <v>0</v>
      </c>
      <c r="BC73" s="897">
        <f t="shared" si="89"/>
        <v>0</v>
      </c>
      <c r="BD73" s="897">
        <f t="shared" si="89"/>
        <v>0</v>
      </c>
      <c r="BE73" s="897">
        <f t="shared" si="100"/>
        <v>3115821.7568571428</v>
      </c>
      <c r="BF73" s="901">
        <f t="shared" si="101"/>
        <v>3115821.7568571428</v>
      </c>
      <c r="BG73" s="918"/>
      <c r="BH73" s="917"/>
      <c r="BI73" s="897">
        <f t="shared" si="92"/>
        <v>0</v>
      </c>
      <c r="BJ73" s="981"/>
      <c r="BK73" s="1201"/>
      <c r="BL73" s="897">
        <f t="shared" si="84"/>
        <v>1398506.9739201097</v>
      </c>
      <c r="BM73" s="897">
        <f t="shared" si="84"/>
        <v>0</v>
      </c>
      <c r="BN73" s="897">
        <f t="shared" si="84"/>
        <v>0</v>
      </c>
      <c r="BO73" s="897">
        <f t="shared" si="84"/>
        <v>0</v>
      </c>
      <c r="BP73" s="897">
        <f t="shared" si="84"/>
        <v>0</v>
      </c>
      <c r="BQ73" s="897">
        <f t="shared" si="55"/>
        <v>1398506.9739201097</v>
      </c>
      <c r="BR73" s="897">
        <f t="shared" si="56"/>
        <v>1398506.9739201097</v>
      </c>
      <c r="BS73" s="897">
        <f t="shared" si="85"/>
        <v>1437612.5249142856</v>
      </c>
      <c r="BT73" s="897">
        <f t="shared" si="85"/>
        <v>0</v>
      </c>
      <c r="BU73" s="897">
        <f t="shared" si="85"/>
        <v>0</v>
      </c>
      <c r="BV73" s="897">
        <f t="shared" si="58"/>
        <v>0</v>
      </c>
      <c r="BW73" s="897">
        <f t="shared" si="17"/>
        <v>0</v>
      </c>
      <c r="BX73" s="897">
        <f t="shared" si="59"/>
        <v>1437612.5249142856</v>
      </c>
      <c r="BY73" s="897">
        <f t="shared" si="60"/>
        <v>1437612.5249142856</v>
      </c>
      <c r="BZ73" s="905">
        <f t="shared" si="61"/>
        <v>0</v>
      </c>
      <c r="CA73" s="905">
        <f t="shared" si="61"/>
        <v>0</v>
      </c>
      <c r="CB73" s="905">
        <f t="shared" si="62"/>
        <v>0</v>
      </c>
      <c r="CC73" s="907" t="e">
        <f t="shared" si="63"/>
        <v>#DIV/0!</v>
      </c>
      <c r="CD73" s="907" t="e">
        <f t="shared" si="63"/>
        <v>#DIV/0!</v>
      </c>
      <c r="CE73" s="907" t="e">
        <f t="shared" si="39"/>
        <v>#DIV/0!</v>
      </c>
      <c r="CF73" s="905" t="e">
        <f t="shared" si="18"/>
        <v>#DIV/0!</v>
      </c>
      <c r="CG73" s="923">
        <f t="shared" si="19"/>
        <v>0</v>
      </c>
      <c r="CH73" s="923" t="e">
        <f t="shared" si="40"/>
        <v>#DIV/0!</v>
      </c>
      <c r="CI73" s="964"/>
      <c r="CJ73" s="1405">
        <f t="shared" si="106"/>
        <v>1398.5069739201097</v>
      </c>
      <c r="CK73" s="1405">
        <f t="shared" si="102"/>
        <v>1437.6125249142856</v>
      </c>
      <c r="CL73" s="1405">
        <f t="shared" si="107"/>
        <v>2836.119498834395</v>
      </c>
      <c r="CM73" s="897">
        <f t="shared" si="41"/>
        <v>3115.8217568571426</v>
      </c>
      <c r="CN73" s="897">
        <f t="shared" si="42"/>
        <v>279.70225802274763</v>
      </c>
      <c r="CO73" s="897">
        <f t="shared" si="22"/>
        <v>2836119.4988343953</v>
      </c>
      <c r="CP73" s="897">
        <f t="shared" si="23"/>
        <v>2596516.7951150294</v>
      </c>
      <c r="CQ73" s="897">
        <f t="shared" si="24"/>
        <v>2596516.7951150294</v>
      </c>
      <c r="CR73" s="897">
        <f t="shared" si="25"/>
        <v>1398506.9739201097</v>
      </c>
      <c r="CS73" s="897">
        <f t="shared" si="26"/>
        <v>3115821.7568571428</v>
      </c>
      <c r="CT73" s="897">
        <f t="shared" si="27"/>
        <v>3115821.7568571428</v>
      </c>
      <c r="CU73" s="897">
        <f t="shared" si="28"/>
        <v>1437612.5249142856</v>
      </c>
      <c r="CV73" s="897">
        <f t="shared" si="43"/>
        <v>5712338.5519721722</v>
      </c>
      <c r="CW73" s="906">
        <f t="shared" si="44"/>
        <v>8471.8680191964268</v>
      </c>
      <c r="CX73" s="897">
        <f t="shared" si="29"/>
        <v>0</v>
      </c>
      <c r="CY73" s="897">
        <f t="shared" si="30"/>
        <v>0</v>
      </c>
      <c r="CZ73" s="897"/>
      <c r="DA73" s="897">
        <f t="shared" si="31"/>
        <v>2596516.7951150294</v>
      </c>
      <c r="DB73" s="897">
        <f t="shared" si="32"/>
        <v>3115821.7568571428</v>
      </c>
      <c r="DC73" s="1130"/>
      <c r="DD73" s="40" t="e">
        <f t="shared" si="45"/>
        <v>#DIV/0!</v>
      </c>
      <c r="DE73" s="1130"/>
      <c r="DF73" s="1130"/>
      <c r="DG73" s="1130"/>
      <c r="DH73" s="1043">
        <v>714.64285714285711</v>
      </c>
      <c r="DI73" s="1043">
        <v>0</v>
      </c>
      <c r="DJ73" s="1043">
        <f t="shared" si="108"/>
        <v>714.64285714285711</v>
      </c>
      <c r="DK73" s="964"/>
      <c r="DL73" s="908">
        <f t="shared" si="33"/>
        <v>0</v>
      </c>
      <c r="DM73" s="908">
        <f t="shared" si="34"/>
        <v>0</v>
      </c>
      <c r="DN73" s="908">
        <f t="shared" si="35"/>
        <v>0</v>
      </c>
      <c r="DO73" s="868"/>
      <c r="DP73" s="81"/>
      <c r="DQ73" s="81"/>
      <c r="DR73" s="81"/>
      <c r="DS73" s="81"/>
      <c r="DT73" s="81"/>
      <c r="DU73" s="81"/>
      <c r="DV73" s="81"/>
      <c r="DW73" s="81"/>
      <c r="DX73" s="81"/>
      <c r="DY73" s="81"/>
      <c r="DZ73" s="81"/>
      <c r="EA73" s="81"/>
      <c r="EB73" s="81"/>
      <c r="EC73" s="81"/>
      <c r="ED73" s="81"/>
      <c r="EE73" s="81"/>
      <c r="EF73" s="81"/>
      <c r="EG73" s="81"/>
      <c r="EH73" s="81"/>
      <c r="EI73" s="81"/>
      <c r="EJ73" s="81"/>
      <c r="EK73" s="81"/>
      <c r="EL73" s="81"/>
    </row>
    <row r="74" spans="1:142" s="50" customFormat="1" ht="72" customHeight="1">
      <c r="A74" s="6" t="e">
        <f t="shared" si="46"/>
        <v>#REF!</v>
      </c>
      <c r="B74" s="909" t="str">
        <f t="shared" si="103"/>
        <v>Октябрьский район</v>
      </c>
      <c r="C74" s="956" t="s">
        <v>158</v>
      </c>
      <c r="D74" s="963" t="s">
        <v>161</v>
      </c>
      <c r="E74" s="1001">
        <v>4617004147</v>
      </c>
      <c r="F74" s="963" t="s">
        <v>8</v>
      </c>
      <c r="G74" s="1002"/>
      <c r="H74" s="911">
        <v>3850.8480191964254</v>
      </c>
      <c r="I74" s="912">
        <v>3850.8480191964254</v>
      </c>
      <c r="J74" s="912"/>
      <c r="K74" s="912"/>
      <c r="L74" s="912"/>
      <c r="M74" s="913"/>
      <c r="N74" s="1213">
        <v>4621.0200000000004</v>
      </c>
      <c r="O74" s="1214">
        <v>4621.0200000000004</v>
      </c>
      <c r="P74" s="915"/>
      <c r="Q74" s="915"/>
      <c r="R74" s="891"/>
      <c r="S74" s="913"/>
      <c r="T74" s="999">
        <f t="shared" si="104"/>
        <v>363.1685714285714</v>
      </c>
      <c r="U74" s="917">
        <v>0</v>
      </c>
      <c r="V74" s="917">
        <v>0</v>
      </c>
      <c r="W74" s="917">
        <v>0</v>
      </c>
      <c r="X74" s="917">
        <v>0</v>
      </c>
      <c r="Y74" s="917">
        <v>0</v>
      </c>
      <c r="Z74" s="898">
        <f t="shared" si="8"/>
        <v>363.1685714285714</v>
      </c>
      <c r="AA74" s="918">
        <f t="shared" si="105"/>
        <v>311.10285714285709</v>
      </c>
      <c r="AB74" s="917">
        <v>0</v>
      </c>
      <c r="AC74" s="917">
        <v>0</v>
      </c>
      <c r="AD74" s="917">
        <v>0</v>
      </c>
      <c r="AE74" s="917">
        <v>0</v>
      </c>
      <c r="AF74" s="917">
        <v>0</v>
      </c>
      <c r="AG74" s="900">
        <f t="shared" si="51"/>
        <v>311.10285714285709</v>
      </c>
      <c r="AH74" s="896">
        <f t="shared" si="52"/>
        <v>674.27142857142849</v>
      </c>
      <c r="AI74" s="897">
        <f t="shared" si="73"/>
        <v>674.27142857142849</v>
      </c>
      <c r="AJ74" s="897">
        <f t="shared" si="73"/>
        <v>0</v>
      </c>
      <c r="AK74" s="897">
        <f t="shared" si="73"/>
        <v>0</v>
      </c>
      <c r="AL74" s="897">
        <f t="shared" si="73"/>
        <v>0</v>
      </c>
      <c r="AM74" s="897">
        <f t="shared" si="73"/>
        <v>0</v>
      </c>
      <c r="AN74" s="897"/>
      <c r="AO74" s="897">
        <f t="shared" si="70"/>
        <v>674.27142857142849</v>
      </c>
      <c r="AP74" s="897">
        <f t="shared" si="71"/>
        <v>674.27142857142849</v>
      </c>
      <c r="AQ74" s="901">
        <f t="shared" si="97"/>
        <v>674.27142857142849</v>
      </c>
      <c r="AR74" s="902">
        <f t="shared" si="36"/>
        <v>0</v>
      </c>
      <c r="AS74" s="903">
        <f t="shared" si="88"/>
        <v>2596516.7951150294</v>
      </c>
      <c r="AT74" s="897">
        <f t="shared" si="88"/>
        <v>0</v>
      </c>
      <c r="AU74" s="897">
        <f t="shared" si="88"/>
        <v>0</v>
      </c>
      <c r="AV74" s="897">
        <f t="shared" si="88"/>
        <v>0</v>
      </c>
      <c r="AW74" s="897">
        <f t="shared" si="88"/>
        <v>0</v>
      </c>
      <c r="AX74" s="897">
        <f t="shared" si="98"/>
        <v>2596516.7951150294</v>
      </c>
      <c r="AY74" s="897">
        <f t="shared" si="99"/>
        <v>2596516.7951150294</v>
      </c>
      <c r="AZ74" s="897">
        <f t="shared" si="89"/>
        <v>3115821.7568571428</v>
      </c>
      <c r="BA74" s="897">
        <f t="shared" si="89"/>
        <v>0</v>
      </c>
      <c r="BB74" s="897">
        <f t="shared" si="89"/>
        <v>0</v>
      </c>
      <c r="BC74" s="897">
        <f t="shared" si="89"/>
        <v>0</v>
      </c>
      <c r="BD74" s="897">
        <f t="shared" si="89"/>
        <v>0</v>
      </c>
      <c r="BE74" s="897">
        <f t="shared" si="100"/>
        <v>3115821.7568571428</v>
      </c>
      <c r="BF74" s="901">
        <f t="shared" si="101"/>
        <v>3115821.7568571428</v>
      </c>
      <c r="BG74" s="918"/>
      <c r="BH74" s="917"/>
      <c r="BI74" s="897">
        <f t="shared" si="92"/>
        <v>0</v>
      </c>
      <c r="BJ74" s="981"/>
      <c r="BK74" s="1201"/>
      <c r="BL74" s="897">
        <f t="shared" ref="BL74:BP107" si="109">I74*T74</f>
        <v>1398506.9739201097</v>
      </c>
      <c r="BM74" s="897">
        <f t="shared" si="109"/>
        <v>0</v>
      </c>
      <c r="BN74" s="897">
        <f t="shared" si="109"/>
        <v>0</v>
      </c>
      <c r="BO74" s="897">
        <f t="shared" si="109"/>
        <v>0</v>
      </c>
      <c r="BP74" s="897">
        <f t="shared" si="109"/>
        <v>0</v>
      </c>
      <c r="BQ74" s="897">
        <f t="shared" si="55"/>
        <v>1398506.9739201097</v>
      </c>
      <c r="BR74" s="897">
        <f t="shared" si="56"/>
        <v>1398506.9739201097</v>
      </c>
      <c r="BS74" s="897">
        <f t="shared" ref="BS74:BU107" si="110">O74*AA74</f>
        <v>1437612.5249142856</v>
      </c>
      <c r="BT74" s="897">
        <f t="shared" si="110"/>
        <v>0</v>
      </c>
      <c r="BU74" s="897">
        <f t="shared" si="110"/>
        <v>0</v>
      </c>
      <c r="BV74" s="897">
        <f t="shared" si="58"/>
        <v>0</v>
      </c>
      <c r="BW74" s="897">
        <f t="shared" si="17"/>
        <v>0</v>
      </c>
      <c r="BX74" s="897">
        <f t="shared" si="59"/>
        <v>1437612.5249142856</v>
      </c>
      <c r="BY74" s="897">
        <f t="shared" si="60"/>
        <v>1437612.5249142856</v>
      </c>
      <c r="BZ74" s="905">
        <f t="shared" ref="BZ74:CA140" si="111">BM74+BT74</f>
        <v>0</v>
      </c>
      <c r="CA74" s="905">
        <f t="shared" si="111"/>
        <v>0</v>
      </c>
      <c r="CB74" s="905">
        <f t="shared" si="62"/>
        <v>0</v>
      </c>
      <c r="CC74" s="907" t="e">
        <f t="shared" ref="CC74:CD140" si="112">BZ74/AJ74</f>
        <v>#DIV/0!</v>
      </c>
      <c r="CD74" s="907" t="e">
        <f t="shared" si="112"/>
        <v>#DIV/0!</v>
      </c>
      <c r="CE74" s="907" t="e">
        <f t="shared" si="39"/>
        <v>#DIV/0!</v>
      </c>
      <c r="CF74" s="905" t="e">
        <f t="shared" si="18"/>
        <v>#DIV/0!</v>
      </c>
      <c r="CG74" s="923">
        <f t="shared" si="19"/>
        <v>0</v>
      </c>
      <c r="CH74" s="923" t="e">
        <f t="shared" si="40"/>
        <v>#DIV/0!</v>
      </c>
      <c r="CI74" s="964"/>
      <c r="CJ74" s="1405">
        <f t="shared" si="106"/>
        <v>1398.5069739201097</v>
      </c>
      <c r="CK74" s="1405">
        <f t="shared" si="102"/>
        <v>1437.6125249142856</v>
      </c>
      <c r="CL74" s="1405">
        <f t="shared" si="107"/>
        <v>2836.119498834395</v>
      </c>
      <c r="CM74" s="897">
        <f t="shared" si="41"/>
        <v>3115.8217568571426</v>
      </c>
      <c r="CN74" s="897">
        <f t="shared" si="42"/>
        <v>279.70225802274763</v>
      </c>
      <c r="CO74" s="897">
        <f t="shared" si="22"/>
        <v>2836119.4988343953</v>
      </c>
      <c r="CP74" s="897">
        <f t="shared" si="23"/>
        <v>2596516.7951150294</v>
      </c>
      <c r="CQ74" s="897">
        <f t="shared" si="24"/>
        <v>2596516.7951150294</v>
      </c>
      <c r="CR74" s="897">
        <f t="shared" si="25"/>
        <v>1398506.9739201097</v>
      </c>
      <c r="CS74" s="897">
        <f t="shared" si="26"/>
        <v>3115821.7568571428</v>
      </c>
      <c r="CT74" s="897">
        <f t="shared" si="27"/>
        <v>3115821.7568571428</v>
      </c>
      <c r="CU74" s="897">
        <f t="shared" si="28"/>
        <v>1437612.5249142856</v>
      </c>
      <c r="CV74" s="897">
        <f t="shared" si="43"/>
        <v>5712338.5519721722</v>
      </c>
      <c r="CW74" s="906">
        <f t="shared" si="44"/>
        <v>8471.8680191964268</v>
      </c>
      <c r="CX74" s="897">
        <f t="shared" si="29"/>
        <v>0</v>
      </c>
      <c r="CY74" s="897">
        <f t="shared" si="30"/>
        <v>0</v>
      </c>
      <c r="CZ74" s="897"/>
      <c r="DA74" s="897">
        <f t="shared" si="31"/>
        <v>2596516.7951150294</v>
      </c>
      <c r="DB74" s="897">
        <f t="shared" si="32"/>
        <v>3115821.7568571428</v>
      </c>
      <c r="DC74" s="1130"/>
      <c r="DD74" s="40" t="e">
        <f t="shared" si="45"/>
        <v>#DIV/0!</v>
      </c>
      <c r="DE74" s="1130"/>
      <c r="DF74" s="1130"/>
      <c r="DG74" s="1130"/>
      <c r="DH74" s="1043">
        <v>714.64285714285711</v>
      </c>
      <c r="DI74" s="1043">
        <v>0</v>
      </c>
      <c r="DJ74" s="1043">
        <f t="shared" si="108"/>
        <v>714.64285714285711</v>
      </c>
      <c r="DK74" s="964"/>
      <c r="DL74" s="908">
        <f t="shared" si="33"/>
        <v>0</v>
      </c>
      <c r="DM74" s="908">
        <f t="shared" si="34"/>
        <v>0</v>
      </c>
      <c r="DN74" s="908">
        <f t="shared" si="35"/>
        <v>0</v>
      </c>
      <c r="DO74" s="868"/>
      <c r="DP74" s="81"/>
      <c r="DQ74" s="81"/>
      <c r="DR74" s="81"/>
      <c r="DS74" s="81"/>
      <c r="DT74" s="81"/>
      <c r="DU74" s="81"/>
      <c r="DV74" s="81"/>
      <c r="DW74" s="81"/>
      <c r="DX74" s="81"/>
      <c r="DY74" s="81"/>
      <c r="DZ74" s="81"/>
      <c r="EA74" s="81"/>
      <c r="EB74" s="81"/>
      <c r="EC74" s="81"/>
      <c r="ED74" s="81"/>
      <c r="EE74" s="81"/>
      <c r="EF74" s="81"/>
      <c r="EG74" s="81"/>
      <c r="EH74" s="81"/>
      <c r="EI74" s="81"/>
      <c r="EJ74" s="81"/>
      <c r="EK74" s="81"/>
      <c r="EL74" s="81"/>
    </row>
    <row r="75" spans="1:142" s="50" customFormat="1" ht="75" customHeight="1">
      <c r="A75" s="6" t="e">
        <f t="shared" si="46"/>
        <v>#REF!</v>
      </c>
      <c r="B75" s="909" t="str">
        <f t="shared" si="103"/>
        <v>Октябрьский район</v>
      </c>
      <c r="C75" s="956" t="s">
        <v>159</v>
      </c>
      <c r="D75" s="963" t="s">
        <v>161</v>
      </c>
      <c r="E75" s="1001">
        <v>4617004147</v>
      </c>
      <c r="F75" s="963" t="s">
        <v>8</v>
      </c>
      <c r="G75" s="1002"/>
      <c r="H75" s="911">
        <v>3850.8480191964254</v>
      </c>
      <c r="I75" s="912">
        <v>3850.8480191964254</v>
      </c>
      <c r="J75" s="912"/>
      <c r="K75" s="912"/>
      <c r="L75" s="912"/>
      <c r="M75" s="913"/>
      <c r="N75" s="1213">
        <v>4621.0200000000004</v>
      </c>
      <c r="O75" s="1214">
        <v>4621.0200000000004</v>
      </c>
      <c r="P75" s="915"/>
      <c r="Q75" s="915"/>
      <c r="R75" s="891"/>
      <c r="S75" s="913"/>
      <c r="T75" s="999">
        <f t="shared" si="104"/>
        <v>363.1685714285714</v>
      </c>
      <c r="U75" s="917">
        <v>0</v>
      </c>
      <c r="V75" s="917">
        <v>0</v>
      </c>
      <c r="W75" s="917">
        <v>0</v>
      </c>
      <c r="X75" s="917">
        <v>0</v>
      </c>
      <c r="Y75" s="917">
        <v>0</v>
      </c>
      <c r="Z75" s="898">
        <f>SUM(T75:W75)</f>
        <v>363.1685714285714</v>
      </c>
      <c r="AA75" s="918">
        <f t="shared" si="105"/>
        <v>311.10285714285709</v>
      </c>
      <c r="AB75" s="917">
        <v>0</v>
      </c>
      <c r="AC75" s="917">
        <v>0</v>
      </c>
      <c r="AD75" s="917">
        <v>0</v>
      </c>
      <c r="AE75" s="917">
        <v>0</v>
      </c>
      <c r="AF75" s="917">
        <v>0</v>
      </c>
      <c r="AG75" s="900">
        <f>SUM(AA75:AD75)</f>
        <v>311.10285714285709</v>
      </c>
      <c r="AH75" s="896">
        <f t="shared" si="52"/>
        <v>674.27142857142849</v>
      </c>
      <c r="AI75" s="897">
        <f t="shared" si="73"/>
        <v>674.27142857142849</v>
      </c>
      <c r="AJ75" s="897">
        <f t="shared" si="73"/>
        <v>0</v>
      </c>
      <c r="AK75" s="897">
        <f t="shared" si="73"/>
        <v>0</v>
      </c>
      <c r="AL75" s="897">
        <f t="shared" si="73"/>
        <v>0</v>
      </c>
      <c r="AM75" s="897">
        <f t="shared" si="73"/>
        <v>0</v>
      </c>
      <c r="AN75" s="897"/>
      <c r="AO75" s="897">
        <f t="shared" si="70"/>
        <v>674.27142857142849</v>
      </c>
      <c r="AP75" s="897">
        <f t="shared" si="71"/>
        <v>674.27142857142849</v>
      </c>
      <c r="AQ75" s="901">
        <f t="shared" si="97"/>
        <v>674.27142857142849</v>
      </c>
      <c r="AR75" s="902">
        <f t="shared" si="36"/>
        <v>0</v>
      </c>
      <c r="AS75" s="903">
        <f t="shared" si="88"/>
        <v>2596516.7951150294</v>
      </c>
      <c r="AT75" s="897">
        <f t="shared" si="88"/>
        <v>0</v>
      </c>
      <c r="AU75" s="897">
        <f t="shared" si="88"/>
        <v>0</v>
      </c>
      <c r="AV75" s="897">
        <f t="shared" si="88"/>
        <v>0</v>
      </c>
      <c r="AW75" s="897">
        <f t="shared" si="88"/>
        <v>0</v>
      </c>
      <c r="AX75" s="897">
        <f t="shared" si="98"/>
        <v>2596516.7951150294</v>
      </c>
      <c r="AY75" s="897">
        <f t="shared" si="99"/>
        <v>2596516.7951150294</v>
      </c>
      <c r="AZ75" s="897">
        <f t="shared" si="89"/>
        <v>3115821.7568571428</v>
      </c>
      <c r="BA75" s="897">
        <f t="shared" si="89"/>
        <v>0</v>
      </c>
      <c r="BB75" s="897">
        <f t="shared" si="89"/>
        <v>0</v>
      </c>
      <c r="BC75" s="897">
        <f t="shared" si="89"/>
        <v>0</v>
      </c>
      <c r="BD75" s="897">
        <f t="shared" si="89"/>
        <v>0</v>
      </c>
      <c r="BE75" s="897">
        <f t="shared" si="100"/>
        <v>3115821.7568571428</v>
      </c>
      <c r="BF75" s="901">
        <f t="shared" si="101"/>
        <v>3115821.7568571428</v>
      </c>
      <c r="BG75" s="918"/>
      <c r="BH75" s="917"/>
      <c r="BI75" s="897">
        <f t="shared" si="92"/>
        <v>0</v>
      </c>
      <c r="BJ75" s="981"/>
      <c r="BK75" s="1201"/>
      <c r="BL75" s="897">
        <f t="shared" si="109"/>
        <v>1398506.9739201097</v>
      </c>
      <c r="BM75" s="897">
        <f t="shared" si="109"/>
        <v>0</v>
      </c>
      <c r="BN75" s="897">
        <f t="shared" si="109"/>
        <v>0</v>
      </c>
      <c r="BO75" s="897">
        <f t="shared" si="109"/>
        <v>0</v>
      </c>
      <c r="BP75" s="897">
        <f t="shared" si="109"/>
        <v>0</v>
      </c>
      <c r="BQ75" s="897">
        <f t="shared" si="55"/>
        <v>1398506.9739201097</v>
      </c>
      <c r="BR75" s="897">
        <f t="shared" si="56"/>
        <v>1398506.9739201097</v>
      </c>
      <c r="BS75" s="897">
        <f t="shared" si="110"/>
        <v>1437612.5249142856</v>
      </c>
      <c r="BT75" s="897">
        <f t="shared" si="110"/>
        <v>0</v>
      </c>
      <c r="BU75" s="897">
        <f t="shared" si="110"/>
        <v>0</v>
      </c>
      <c r="BV75" s="897">
        <f t="shared" si="58"/>
        <v>0</v>
      </c>
      <c r="BW75" s="897">
        <f t="shared" si="17"/>
        <v>0</v>
      </c>
      <c r="BX75" s="897">
        <f t="shared" si="59"/>
        <v>1437612.5249142856</v>
      </c>
      <c r="BY75" s="897">
        <f t="shared" si="60"/>
        <v>1437612.5249142856</v>
      </c>
      <c r="BZ75" s="905">
        <f t="shared" si="111"/>
        <v>0</v>
      </c>
      <c r="CA75" s="905">
        <f t="shared" si="111"/>
        <v>0</v>
      </c>
      <c r="CB75" s="905">
        <f t="shared" si="62"/>
        <v>0</v>
      </c>
      <c r="CC75" s="907" t="e">
        <f t="shared" si="112"/>
        <v>#DIV/0!</v>
      </c>
      <c r="CD75" s="907" t="e">
        <f t="shared" si="112"/>
        <v>#DIV/0!</v>
      </c>
      <c r="CE75" s="907" t="e">
        <f t="shared" si="39"/>
        <v>#DIV/0!</v>
      </c>
      <c r="CF75" s="905" t="e">
        <f t="shared" si="18"/>
        <v>#DIV/0!</v>
      </c>
      <c r="CG75" s="923">
        <f t="shared" si="19"/>
        <v>0</v>
      </c>
      <c r="CH75" s="923" t="e">
        <f t="shared" si="40"/>
        <v>#DIV/0!</v>
      </c>
      <c r="CI75" s="964"/>
      <c r="CJ75" s="1405">
        <f t="shared" si="106"/>
        <v>1398.5069739201097</v>
      </c>
      <c r="CK75" s="1405">
        <f t="shared" si="102"/>
        <v>1437.6125249142856</v>
      </c>
      <c r="CL75" s="1405">
        <f t="shared" si="107"/>
        <v>2836.119498834395</v>
      </c>
      <c r="CM75" s="897">
        <f t="shared" si="41"/>
        <v>3115.8217568571426</v>
      </c>
      <c r="CN75" s="897">
        <f t="shared" si="42"/>
        <v>279.70225802274763</v>
      </c>
      <c r="CO75" s="897">
        <f t="shared" si="22"/>
        <v>2836119.4988343953</v>
      </c>
      <c r="CP75" s="897">
        <f t="shared" si="23"/>
        <v>2596516.7951150294</v>
      </c>
      <c r="CQ75" s="897">
        <f t="shared" si="24"/>
        <v>2596516.7951150294</v>
      </c>
      <c r="CR75" s="897">
        <f t="shared" si="25"/>
        <v>1398506.9739201097</v>
      </c>
      <c r="CS75" s="897">
        <f t="shared" si="26"/>
        <v>3115821.7568571428</v>
      </c>
      <c r="CT75" s="897">
        <f t="shared" si="27"/>
        <v>3115821.7568571428</v>
      </c>
      <c r="CU75" s="897">
        <f t="shared" si="28"/>
        <v>1437612.5249142856</v>
      </c>
      <c r="CV75" s="897">
        <f t="shared" si="43"/>
        <v>5712338.5519721722</v>
      </c>
      <c r="CW75" s="906">
        <f t="shared" si="44"/>
        <v>8471.8680191964268</v>
      </c>
      <c r="CX75" s="897">
        <f t="shared" si="29"/>
        <v>0</v>
      </c>
      <c r="CY75" s="897">
        <f t="shared" si="30"/>
        <v>0</v>
      </c>
      <c r="CZ75" s="897"/>
      <c r="DA75" s="897">
        <f t="shared" si="31"/>
        <v>2596516.7951150294</v>
      </c>
      <c r="DB75" s="897">
        <f t="shared" si="32"/>
        <v>3115821.7568571428</v>
      </c>
      <c r="DC75" s="1130"/>
      <c r="DD75" s="40" t="e">
        <f t="shared" si="45"/>
        <v>#DIV/0!</v>
      </c>
      <c r="DE75" s="1130"/>
      <c r="DF75" s="1130"/>
      <c r="DG75" s="1130"/>
      <c r="DH75" s="1043">
        <v>714.64285714285711</v>
      </c>
      <c r="DI75" s="1043">
        <v>0</v>
      </c>
      <c r="DJ75" s="1043">
        <f t="shared" si="108"/>
        <v>714.64285714285711</v>
      </c>
      <c r="DK75" s="964"/>
      <c r="DL75" s="908">
        <f t="shared" si="33"/>
        <v>0</v>
      </c>
      <c r="DM75" s="908">
        <f t="shared" si="34"/>
        <v>0</v>
      </c>
      <c r="DN75" s="908">
        <f t="shared" si="35"/>
        <v>0</v>
      </c>
      <c r="DO75" s="868"/>
      <c r="DP75" s="81"/>
      <c r="DQ75" s="81"/>
      <c r="DR75" s="81"/>
      <c r="DS75" s="81"/>
      <c r="DT75" s="81"/>
      <c r="DU75" s="81"/>
      <c r="DV75" s="81"/>
      <c r="DW75" s="81"/>
      <c r="DX75" s="81"/>
      <c r="DY75" s="81"/>
      <c r="DZ75" s="81"/>
      <c r="EA75" s="81"/>
      <c r="EB75" s="81"/>
      <c r="EC75" s="81"/>
      <c r="ED75" s="81"/>
      <c r="EE75" s="81"/>
      <c r="EF75" s="81"/>
      <c r="EG75" s="81"/>
      <c r="EH75" s="81"/>
      <c r="EI75" s="81"/>
      <c r="EJ75" s="81"/>
      <c r="EK75" s="81"/>
      <c r="EL75" s="81"/>
    </row>
    <row r="76" spans="1:142" s="50" customFormat="1" ht="72.75" customHeight="1">
      <c r="A76" s="6" t="e">
        <f t="shared" si="46"/>
        <v>#REF!</v>
      </c>
      <c r="B76" s="909" t="str">
        <f t="shared" si="103"/>
        <v>Октябрьский район</v>
      </c>
      <c r="C76" s="956" t="s">
        <v>160</v>
      </c>
      <c r="D76" s="963" t="s">
        <v>161</v>
      </c>
      <c r="E76" s="1001">
        <v>4617004147</v>
      </c>
      <c r="F76" s="963" t="s">
        <v>8</v>
      </c>
      <c r="G76" s="1002"/>
      <c r="H76" s="911">
        <v>3850.8480191964254</v>
      </c>
      <c r="I76" s="912">
        <v>3850.8480191964254</v>
      </c>
      <c r="J76" s="912"/>
      <c r="K76" s="912"/>
      <c r="L76" s="912"/>
      <c r="M76" s="913"/>
      <c r="N76" s="1213">
        <v>4621.0200000000004</v>
      </c>
      <c r="O76" s="1214">
        <v>4621.0200000000004</v>
      </c>
      <c r="P76" s="915"/>
      <c r="Q76" s="915"/>
      <c r="R76" s="891"/>
      <c r="S76" s="913"/>
      <c r="T76" s="999">
        <f t="shared" si="104"/>
        <v>363.1685714285714</v>
      </c>
      <c r="U76" s="917">
        <v>0</v>
      </c>
      <c r="V76" s="917">
        <v>0</v>
      </c>
      <c r="W76" s="917">
        <v>0</v>
      </c>
      <c r="X76" s="917">
        <v>0</v>
      </c>
      <c r="Y76" s="917">
        <v>0</v>
      </c>
      <c r="Z76" s="898">
        <f>SUM(T76:W76)</f>
        <v>363.1685714285714</v>
      </c>
      <c r="AA76" s="918">
        <f t="shared" si="105"/>
        <v>311.10285714285709</v>
      </c>
      <c r="AB76" s="917">
        <v>0</v>
      </c>
      <c r="AC76" s="917">
        <v>0</v>
      </c>
      <c r="AD76" s="917">
        <v>0</v>
      </c>
      <c r="AE76" s="917">
        <v>0</v>
      </c>
      <c r="AF76" s="917">
        <v>0</v>
      </c>
      <c r="AG76" s="900">
        <f>SUM(AA76:AD76)</f>
        <v>311.10285714285709</v>
      </c>
      <c r="AH76" s="896">
        <f t="shared" si="52"/>
        <v>674.27142857142849</v>
      </c>
      <c r="AI76" s="897">
        <f t="shared" si="73"/>
        <v>674.27142857142849</v>
      </c>
      <c r="AJ76" s="897">
        <f t="shared" si="73"/>
        <v>0</v>
      </c>
      <c r="AK76" s="897">
        <f t="shared" si="73"/>
        <v>0</v>
      </c>
      <c r="AL76" s="897">
        <f t="shared" si="73"/>
        <v>0</v>
      </c>
      <c r="AM76" s="897">
        <f t="shared" si="73"/>
        <v>0</v>
      </c>
      <c r="AN76" s="897"/>
      <c r="AO76" s="897">
        <f t="shared" si="70"/>
        <v>674.27142857142849</v>
      </c>
      <c r="AP76" s="897">
        <f t="shared" si="71"/>
        <v>674.27142857142849</v>
      </c>
      <c r="AQ76" s="901">
        <f t="shared" si="97"/>
        <v>674.27142857142849</v>
      </c>
      <c r="AR76" s="902">
        <f t="shared" si="36"/>
        <v>0</v>
      </c>
      <c r="AS76" s="903">
        <f t="shared" si="88"/>
        <v>2596516.7951150294</v>
      </c>
      <c r="AT76" s="897">
        <f t="shared" si="88"/>
        <v>0</v>
      </c>
      <c r="AU76" s="897">
        <f t="shared" si="88"/>
        <v>0</v>
      </c>
      <c r="AV76" s="897">
        <f t="shared" si="88"/>
        <v>0</v>
      </c>
      <c r="AW76" s="897">
        <f t="shared" si="88"/>
        <v>0</v>
      </c>
      <c r="AX76" s="897">
        <f t="shared" si="98"/>
        <v>2596516.7951150294</v>
      </c>
      <c r="AY76" s="897">
        <f t="shared" si="99"/>
        <v>2596516.7951150294</v>
      </c>
      <c r="AZ76" s="897">
        <f t="shared" si="89"/>
        <v>3115821.7568571428</v>
      </c>
      <c r="BA76" s="897">
        <f t="shared" si="89"/>
        <v>0</v>
      </c>
      <c r="BB76" s="897">
        <f t="shared" si="89"/>
        <v>0</v>
      </c>
      <c r="BC76" s="897">
        <f t="shared" si="89"/>
        <v>0</v>
      </c>
      <c r="BD76" s="897">
        <f t="shared" si="89"/>
        <v>0</v>
      </c>
      <c r="BE76" s="897">
        <f t="shared" si="100"/>
        <v>3115821.7568571428</v>
      </c>
      <c r="BF76" s="901">
        <f t="shared" si="101"/>
        <v>3115821.7568571428</v>
      </c>
      <c r="BG76" s="918"/>
      <c r="BH76" s="917"/>
      <c r="BI76" s="897">
        <f t="shared" si="92"/>
        <v>0</v>
      </c>
      <c r="BJ76" s="981"/>
      <c r="BK76" s="1201"/>
      <c r="BL76" s="897">
        <f t="shared" si="109"/>
        <v>1398506.9739201097</v>
      </c>
      <c r="BM76" s="897">
        <f t="shared" si="109"/>
        <v>0</v>
      </c>
      <c r="BN76" s="897">
        <f t="shared" si="109"/>
        <v>0</v>
      </c>
      <c r="BO76" s="897">
        <f t="shared" si="109"/>
        <v>0</v>
      </c>
      <c r="BP76" s="897">
        <f t="shared" si="109"/>
        <v>0</v>
      </c>
      <c r="BQ76" s="897">
        <f t="shared" si="55"/>
        <v>1398506.9739201097</v>
      </c>
      <c r="BR76" s="897">
        <f t="shared" si="56"/>
        <v>1398506.9739201097</v>
      </c>
      <c r="BS76" s="897">
        <f t="shared" si="110"/>
        <v>1437612.5249142856</v>
      </c>
      <c r="BT76" s="897">
        <f t="shared" si="110"/>
        <v>0</v>
      </c>
      <c r="BU76" s="897">
        <f t="shared" si="110"/>
        <v>0</v>
      </c>
      <c r="BV76" s="897">
        <f t="shared" si="58"/>
        <v>0</v>
      </c>
      <c r="BW76" s="897">
        <f t="shared" si="17"/>
        <v>0</v>
      </c>
      <c r="BX76" s="897">
        <f t="shared" si="59"/>
        <v>1437612.5249142856</v>
      </c>
      <c r="BY76" s="897">
        <f t="shared" si="60"/>
        <v>1437612.5249142856</v>
      </c>
      <c r="BZ76" s="905">
        <f t="shared" si="111"/>
        <v>0</v>
      </c>
      <c r="CA76" s="905">
        <f t="shared" si="111"/>
        <v>0</v>
      </c>
      <c r="CB76" s="905">
        <f t="shared" si="62"/>
        <v>0</v>
      </c>
      <c r="CC76" s="907" t="e">
        <f t="shared" si="112"/>
        <v>#DIV/0!</v>
      </c>
      <c r="CD76" s="907" t="e">
        <f t="shared" si="112"/>
        <v>#DIV/0!</v>
      </c>
      <c r="CE76" s="907" t="e">
        <f t="shared" si="39"/>
        <v>#DIV/0!</v>
      </c>
      <c r="CF76" s="905" t="e">
        <f t="shared" si="18"/>
        <v>#DIV/0!</v>
      </c>
      <c r="CG76" s="923">
        <f t="shared" si="19"/>
        <v>0</v>
      </c>
      <c r="CH76" s="923" t="e">
        <f t="shared" si="40"/>
        <v>#DIV/0!</v>
      </c>
      <c r="CI76" s="964"/>
      <c r="CJ76" s="1405">
        <f t="shared" si="106"/>
        <v>1398.5069739201097</v>
      </c>
      <c r="CK76" s="1405">
        <f t="shared" si="102"/>
        <v>1437.6125249142856</v>
      </c>
      <c r="CL76" s="1405">
        <f t="shared" si="107"/>
        <v>2836.119498834395</v>
      </c>
      <c r="CM76" s="897">
        <f t="shared" si="41"/>
        <v>3115.8217568571426</v>
      </c>
      <c r="CN76" s="897">
        <f t="shared" si="42"/>
        <v>279.70225802274763</v>
      </c>
      <c r="CO76" s="897">
        <f t="shared" si="22"/>
        <v>2836119.4988343953</v>
      </c>
      <c r="CP76" s="897">
        <f t="shared" si="23"/>
        <v>2596516.7951150294</v>
      </c>
      <c r="CQ76" s="897">
        <f t="shared" si="24"/>
        <v>2596516.7951150294</v>
      </c>
      <c r="CR76" s="897">
        <f t="shared" si="25"/>
        <v>1398506.9739201097</v>
      </c>
      <c r="CS76" s="897">
        <f t="shared" si="26"/>
        <v>3115821.7568571428</v>
      </c>
      <c r="CT76" s="897">
        <f t="shared" si="27"/>
        <v>3115821.7568571428</v>
      </c>
      <c r="CU76" s="897">
        <f t="shared" si="28"/>
        <v>1437612.5249142856</v>
      </c>
      <c r="CV76" s="897">
        <f t="shared" si="43"/>
        <v>5712338.5519721722</v>
      </c>
      <c r="CW76" s="906">
        <f t="shared" si="44"/>
        <v>8471.8680191964268</v>
      </c>
      <c r="CX76" s="897">
        <f t="shared" si="29"/>
        <v>0</v>
      </c>
      <c r="CY76" s="897">
        <f t="shared" si="30"/>
        <v>0</v>
      </c>
      <c r="CZ76" s="897"/>
      <c r="DA76" s="897">
        <f t="shared" si="31"/>
        <v>2596516.7951150294</v>
      </c>
      <c r="DB76" s="897">
        <f t="shared" si="32"/>
        <v>3115821.7568571428</v>
      </c>
      <c r="DC76" s="1130"/>
      <c r="DD76" s="40" t="e">
        <f t="shared" si="45"/>
        <v>#DIV/0!</v>
      </c>
      <c r="DE76" s="1130"/>
      <c r="DF76" s="1130"/>
      <c r="DG76" s="1130"/>
      <c r="DH76" s="1043">
        <v>714.64285714285711</v>
      </c>
      <c r="DI76" s="1043">
        <v>0</v>
      </c>
      <c r="DJ76" s="1043">
        <f t="shared" si="108"/>
        <v>714.64285714285711</v>
      </c>
      <c r="DK76" s="964"/>
      <c r="DL76" s="908">
        <f t="shared" si="33"/>
        <v>0</v>
      </c>
      <c r="DM76" s="908">
        <f t="shared" si="34"/>
        <v>0</v>
      </c>
      <c r="DN76" s="908">
        <f t="shared" si="35"/>
        <v>0</v>
      </c>
      <c r="DO76" s="868"/>
      <c r="DP76" s="81"/>
      <c r="DQ76" s="81"/>
      <c r="DR76" s="81"/>
      <c r="DS76" s="81"/>
      <c r="DT76" s="81"/>
      <c r="DU76" s="81"/>
      <c r="DV76" s="81"/>
      <c r="DW76" s="81"/>
      <c r="DX76" s="81"/>
      <c r="DY76" s="81"/>
      <c r="DZ76" s="81"/>
      <c r="EA76" s="81"/>
      <c r="EB76" s="81"/>
      <c r="EC76" s="81"/>
      <c r="ED76" s="81"/>
      <c r="EE76" s="81"/>
      <c r="EF76" s="81"/>
      <c r="EG76" s="81"/>
      <c r="EH76" s="81"/>
      <c r="EI76" s="81"/>
      <c r="EJ76" s="81"/>
      <c r="EK76" s="81"/>
      <c r="EL76" s="81"/>
    </row>
    <row r="77" spans="1:142" s="50" customFormat="1" ht="76.5" customHeight="1">
      <c r="A77" s="6" t="e">
        <f t="shared" si="46"/>
        <v>#REF!</v>
      </c>
      <c r="B77" s="909" t="str">
        <f t="shared" si="103"/>
        <v>Октябрьский район</v>
      </c>
      <c r="C77" s="956" t="s">
        <v>155</v>
      </c>
      <c r="D77" s="963" t="s">
        <v>161</v>
      </c>
      <c r="E77" s="1001">
        <v>4617004147</v>
      </c>
      <c r="F77" s="963" t="s">
        <v>8</v>
      </c>
      <c r="G77" s="1002"/>
      <c r="H77" s="911">
        <v>3850.8480191964254</v>
      </c>
      <c r="I77" s="912">
        <v>3850.8480191964254</v>
      </c>
      <c r="J77" s="912"/>
      <c r="K77" s="912"/>
      <c r="L77" s="912"/>
      <c r="M77" s="913"/>
      <c r="N77" s="1213">
        <v>4621.0200000000004</v>
      </c>
      <c r="O77" s="1214">
        <v>4621.0200000000004</v>
      </c>
      <c r="P77" s="915"/>
      <c r="Q77" s="915"/>
      <c r="R77" s="891"/>
      <c r="S77" s="913"/>
      <c r="T77" s="999">
        <f t="shared" si="104"/>
        <v>363.1685714285714</v>
      </c>
      <c r="U77" s="917">
        <v>0</v>
      </c>
      <c r="V77" s="917">
        <v>0</v>
      </c>
      <c r="W77" s="917">
        <v>0</v>
      </c>
      <c r="X77" s="917">
        <v>0</v>
      </c>
      <c r="Y77" s="917">
        <v>0</v>
      </c>
      <c r="Z77" s="898">
        <f>SUM(T77:W77)</f>
        <v>363.1685714285714</v>
      </c>
      <c r="AA77" s="918">
        <f t="shared" si="105"/>
        <v>311.10285714285709</v>
      </c>
      <c r="AB77" s="917">
        <v>0</v>
      </c>
      <c r="AC77" s="917">
        <v>0</v>
      </c>
      <c r="AD77" s="917">
        <v>0</v>
      </c>
      <c r="AE77" s="917">
        <v>0</v>
      </c>
      <c r="AF77" s="917">
        <v>0</v>
      </c>
      <c r="AG77" s="900">
        <f>SUM(AA77:AD77)</f>
        <v>311.10285714285709</v>
      </c>
      <c r="AH77" s="896">
        <f t="shared" si="52"/>
        <v>674.27142857142849</v>
      </c>
      <c r="AI77" s="897">
        <f t="shared" si="73"/>
        <v>674.27142857142849</v>
      </c>
      <c r="AJ77" s="897">
        <f t="shared" si="73"/>
        <v>0</v>
      </c>
      <c r="AK77" s="897">
        <f t="shared" si="73"/>
        <v>0</v>
      </c>
      <c r="AL77" s="897">
        <f t="shared" si="73"/>
        <v>0</v>
      </c>
      <c r="AM77" s="897">
        <f t="shared" si="73"/>
        <v>0</v>
      </c>
      <c r="AN77" s="897"/>
      <c r="AO77" s="897">
        <f t="shared" si="70"/>
        <v>674.27142857142849</v>
      </c>
      <c r="AP77" s="897">
        <f t="shared" si="71"/>
        <v>674.27142857142849</v>
      </c>
      <c r="AQ77" s="901">
        <f t="shared" si="97"/>
        <v>674.27142857142849</v>
      </c>
      <c r="AR77" s="902">
        <f t="shared" si="36"/>
        <v>0</v>
      </c>
      <c r="AS77" s="903">
        <f t="shared" si="88"/>
        <v>2596516.7951150294</v>
      </c>
      <c r="AT77" s="897">
        <f t="shared" si="88"/>
        <v>0</v>
      </c>
      <c r="AU77" s="897">
        <f t="shared" si="88"/>
        <v>0</v>
      </c>
      <c r="AV77" s="897">
        <f t="shared" si="88"/>
        <v>0</v>
      </c>
      <c r="AW77" s="897">
        <f t="shared" si="88"/>
        <v>0</v>
      </c>
      <c r="AX77" s="897">
        <f t="shared" si="98"/>
        <v>2596516.7951150294</v>
      </c>
      <c r="AY77" s="897">
        <f t="shared" si="99"/>
        <v>2596516.7951150294</v>
      </c>
      <c r="AZ77" s="897">
        <f t="shared" si="89"/>
        <v>3115821.7568571428</v>
      </c>
      <c r="BA77" s="897">
        <f t="shared" si="89"/>
        <v>0</v>
      </c>
      <c r="BB77" s="897">
        <f t="shared" si="89"/>
        <v>0</v>
      </c>
      <c r="BC77" s="897">
        <f t="shared" si="89"/>
        <v>0</v>
      </c>
      <c r="BD77" s="897">
        <f t="shared" si="89"/>
        <v>0</v>
      </c>
      <c r="BE77" s="897">
        <f t="shared" si="100"/>
        <v>3115821.7568571428</v>
      </c>
      <c r="BF77" s="901">
        <f t="shared" si="101"/>
        <v>3115821.7568571428</v>
      </c>
      <c r="BG77" s="918"/>
      <c r="BH77" s="917"/>
      <c r="BI77" s="897">
        <f t="shared" si="92"/>
        <v>0</v>
      </c>
      <c r="BJ77" s="981"/>
      <c r="BK77" s="1201"/>
      <c r="BL77" s="897">
        <f t="shared" si="109"/>
        <v>1398506.9739201097</v>
      </c>
      <c r="BM77" s="897">
        <f t="shared" si="109"/>
        <v>0</v>
      </c>
      <c r="BN77" s="897">
        <f t="shared" si="109"/>
        <v>0</v>
      </c>
      <c r="BO77" s="897">
        <f t="shared" si="109"/>
        <v>0</v>
      </c>
      <c r="BP77" s="897">
        <f t="shared" si="109"/>
        <v>0</v>
      </c>
      <c r="BQ77" s="897">
        <f t="shared" si="55"/>
        <v>1398506.9739201097</v>
      </c>
      <c r="BR77" s="897">
        <f t="shared" si="56"/>
        <v>1398506.9739201097</v>
      </c>
      <c r="BS77" s="897">
        <f t="shared" si="110"/>
        <v>1437612.5249142856</v>
      </c>
      <c r="BT77" s="897">
        <f t="shared" si="110"/>
        <v>0</v>
      </c>
      <c r="BU77" s="897">
        <f t="shared" si="110"/>
        <v>0</v>
      </c>
      <c r="BV77" s="897">
        <f t="shared" si="58"/>
        <v>0</v>
      </c>
      <c r="BW77" s="897">
        <f t="shared" si="17"/>
        <v>0</v>
      </c>
      <c r="BX77" s="897">
        <f t="shared" si="59"/>
        <v>1437612.5249142856</v>
      </c>
      <c r="BY77" s="897">
        <f t="shared" si="60"/>
        <v>1437612.5249142856</v>
      </c>
      <c r="BZ77" s="905">
        <f t="shared" si="111"/>
        <v>0</v>
      </c>
      <c r="CA77" s="905">
        <f t="shared" si="111"/>
        <v>0</v>
      </c>
      <c r="CB77" s="905">
        <f t="shared" si="62"/>
        <v>0</v>
      </c>
      <c r="CC77" s="907" t="e">
        <f t="shared" si="112"/>
        <v>#DIV/0!</v>
      </c>
      <c r="CD77" s="907" t="e">
        <f t="shared" si="112"/>
        <v>#DIV/0!</v>
      </c>
      <c r="CE77" s="907" t="e">
        <f t="shared" si="39"/>
        <v>#DIV/0!</v>
      </c>
      <c r="CF77" s="905" t="e">
        <f t="shared" si="18"/>
        <v>#DIV/0!</v>
      </c>
      <c r="CG77" s="923">
        <f t="shared" si="19"/>
        <v>0</v>
      </c>
      <c r="CH77" s="923" t="e">
        <f t="shared" si="40"/>
        <v>#DIV/0!</v>
      </c>
      <c r="CI77" s="964"/>
      <c r="CJ77" s="1405">
        <f t="shared" si="106"/>
        <v>1398.5069739201097</v>
      </c>
      <c r="CK77" s="1405">
        <f t="shared" si="102"/>
        <v>1437.6125249142856</v>
      </c>
      <c r="CL77" s="1405">
        <f t="shared" si="107"/>
        <v>2836.119498834395</v>
      </c>
      <c r="CM77" s="897">
        <f t="shared" si="41"/>
        <v>3115.8217568571426</v>
      </c>
      <c r="CN77" s="897">
        <f t="shared" si="42"/>
        <v>279.70225802274763</v>
      </c>
      <c r="CO77" s="897">
        <f t="shared" si="22"/>
        <v>2836119.4988343953</v>
      </c>
      <c r="CP77" s="897">
        <f t="shared" si="23"/>
        <v>2596516.7951150294</v>
      </c>
      <c r="CQ77" s="897">
        <f t="shared" si="24"/>
        <v>2596516.7951150294</v>
      </c>
      <c r="CR77" s="897">
        <f t="shared" si="25"/>
        <v>1398506.9739201097</v>
      </c>
      <c r="CS77" s="897">
        <f t="shared" si="26"/>
        <v>3115821.7568571428</v>
      </c>
      <c r="CT77" s="897">
        <f t="shared" si="27"/>
        <v>3115821.7568571428</v>
      </c>
      <c r="CU77" s="897">
        <f t="shared" si="28"/>
        <v>1437612.5249142856</v>
      </c>
      <c r="CV77" s="897">
        <f t="shared" si="43"/>
        <v>5712338.5519721722</v>
      </c>
      <c r="CW77" s="906">
        <f t="shared" si="44"/>
        <v>8471.8680191964268</v>
      </c>
      <c r="CX77" s="897">
        <f t="shared" si="29"/>
        <v>0</v>
      </c>
      <c r="CY77" s="897">
        <f t="shared" si="30"/>
        <v>0</v>
      </c>
      <c r="CZ77" s="897"/>
      <c r="DA77" s="897">
        <f t="shared" si="31"/>
        <v>2596516.7951150294</v>
      </c>
      <c r="DB77" s="897">
        <f t="shared" si="32"/>
        <v>3115821.7568571428</v>
      </c>
      <c r="DC77" s="1130"/>
      <c r="DD77" s="40" t="e">
        <f t="shared" si="45"/>
        <v>#DIV/0!</v>
      </c>
      <c r="DE77" s="1130"/>
      <c r="DF77" s="1130"/>
      <c r="DG77" s="1130"/>
      <c r="DH77" s="1043">
        <v>714.64285714285711</v>
      </c>
      <c r="DI77" s="1043">
        <v>0</v>
      </c>
      <c r="DJ77" s="1043">
        <f t="shared" si="108"/>
        <v>714.64285714285711</v>
      </c>
      <c r="DK77" s="964"/>
      <c r="DL77" s="908">
        <f t="shared" si="33"/>
        <v>0</v>
      </c>
      <c r="DM77" s="908">
        <f t="shared" si="34"/>
        <v>0</v>
      </c>
      <c r="DN77" s="908">
        <f t="shared" si="35"/>
        <v>0</v>
      </c>
      <c r="DO77" s="868"/>
      <c r="DP77" s="81"/>
      <c r="DQ77" s="81"/>
      <c r="DR77" s="81"/>
      <c r="DS77" s="81"/>
      <c r="DT77" s="81"/>
      <c r="DU77" s="81"/>
      <c r="DV77" s="81"/>
      <c r="DW77" s="81"/>
      <c r="DX77" s="81"/>
      <c r="DY77" s="81"/>
      <c r="DZ77" s="81"/>
      <c r="EA77" s="81"/>
      <c r="EB77" s="81"/>
      <c r="EC77" s="81"/>
      <c r="ED77" s="81"/>
      <c r="EE77" s="81"/>
      <c r="EF77" s="81"/>
      <c r="EG77" s="81"/>
      <c r="EH77" s="81"/>
      <c r="EI77" s="81"/>
      <c r="EJ77" s="81"/>
      <c r="EK77" s="81"/>
      <c r="EL77" s="81"/>
    </row>
    <row r="78" spans="1:142" s="50" customFormat="1" ht="73.5" customHeight="1">
      <c r="A78" s="6" t="e">
        <f t="shared" si="46"/>
        <v>#REF!</v>
      </c>
      <c r="B78" s="886" t="s">
        <v>27</v>
      </c>
      <c r="C78" s="956" t="s">
        <v>63</v>
      </c>
      <c r="D78" s="886" t="s">
        <v>28</v>
      </c>
      <c r="E78" s="886">
        <v>4618003724</v>
      </c>
      <c r="F78" s="886" t="s">
        <v>8</v>
      </c>
      <c r="G78" s="888" t="s">
        <v>971</v>
      </c>
      <c r="H78" s="1242">
        <v>2810.44</v>
      </c>
      <c r="I78" s="1242">
        <v>2810.44</v>
      </c>
      <c r="J78" s="891">
        <v>2810.44</v>
      </c>
      <c r="K78" s="891"/>
      <c r="L78" s="891">
        <v>2810.44</v>
      </c>
      <c r="M78" s="892"/>
      <c r="N78" s="984">
        <v>2958.8</v>
      </c>
      <c r="O78" s="895">
        <v>2958.8</v>
      </c>
      <c r="P78" s="895">
        <v>2958.8</v>
      </c>
      <c r="Q78" s="895"/>
      <c r="R78" s="891">
        <v>2958.8</v>
      </c>
      <c r="S78" s="892"/>
      <c r="T78" s="960">
        <v>2581</v>
      </c>
      <c r="U78" s="897">
        <v>1010</v>
      </c>
      <c r="V78" s="897">
        <v>0</v>
      </c>
      <c r="W78" s="897">
        <v>430</v>
      </c>
      <c r="X78" s="897">
        <v>0</v>
      </c>
      <c r="Y78" s="897">
        <v>0</v>
      </c>
      <c r="Z78" s="898">
        <f t="shared" ref="Z78:Z141" si="113">SUM(T78:W78)</f>
        <v>4021</v>
      </c>
      <c r="AA78" s="904">
        <v>1561</v>
      </c>
      <c r="AB78" s="1003">
        <v>640</v>
      </c>
      <c r="AC78" s="897">
        <v>0</v>
      </c>
      <c r="AD78" s="897">
        <v>420</v>
      </c>
      <c r="AE78" s="897">
        <v>0</v>
      </c>
      <c r="AF78" s="897">
        <v>0</v>
      </c>
      <c r="AG78" s="900">
        <f t="shared" ref="AG78:AG141" si="114">SUM(AA78:AD78)</f>
        <v>2621</v>
      </c>
      <c r="AH78" s="896">
        <f t="shared" si="52"/>
        <v>6642</v>
      </c>
      <c r="AI78" s="897">
        <f t="shared" si="73"/>
        <v>4142</v>
      </c>
      <c r="AJ78" s="897">
        <f t="shared" si="73"/>
        <v>1650</v>
      </c>
      <c r="AK78" s="897">
        <f t="shared" si="73"/>
        <v>0</v>
      </c>
      <c r="AL78" s="897">
        <f t="shared" si="73"/>
        <v>850</v>
      </c>
      <c r="AM78" s="897">
        <f t="shared" si="73"/>
        <v>0</v>
      </c>
      <c r="AN78" s="897">
        <v>0</v>
      </c>
      <c r="AO78" s="897">
        <f t="shared" si="70"/>
        <v>6642</v>
      </c>
      <c r="AP78" s="897">
        <f t="shared" si="71"/>
        <v>6642</v>
      </c>
      <c r="AQ78" s="901">
        <f t="shared" si="97"/>
        <v>6642</v>
      </c>
      <c r="AR78" s="902">
        <f t="shared" si="36"/>
        <v>0</v>
      </c>
      <c r="AS78" s="903">
        <f t="shared" si="88"/>
        <v>11640842.48</v>
      </c>
      <c r="AT78" s="897">
        <f t="shared" si="88"/>
        <v>4637226</v>
      </c>
      <c r="AU78" s="897">
        <f t="shared" si="88"/>
        <v>0</v>
      </c>
      <c r="AV78" s="897">
        <f t="shared" si="88"/>
        <v>2388874</v>
      </c>
      <c r="AW78" s="897">
        <f t="shared" si="88"/>
        <v>0</v>
      </c>
      <c r="AX78" s="897">
        <f t="shared" si="98"/>
        <v>18666942.48</v>
      </c>
      <c r="AY78" s="897">
        <f t="shared" si="99"/>
        <v>18666942.48</v>
      </c>
      <c r="AZ78" s="897">
        <f t="shared" si="89"/>
        <v>12255349.600000001</v>
      </c>
      <c r="BA78" s="897">
        <f t="shared" si="89"/>
        <v>4882020</v>
      </c>
      <c r="BB78" s="897">
        <f t="shared" si="89"/>
        <v>0</v>
      </c>
      <c r="BC78" s="897">
        <f t="shared" si="89"/>
        <v>2514980</v>
      </c>
      <c r="BD78" s="897">
        <f t="shared" si="89"/>
        <v>0</v>
      </c>
      <c r="BE78" s="897">
        <f t="shared" si="100"/>
        <v>19652349.600000001</v>
      </c>
      <c r="BF78" s="901">
        <f t="shared" si="101"/>
        <v>19652349.600000001</v>
      </c>
      <c r="BG78" s="904"/>
      <c r="BH78" s="897"/>
      <c r="BI78" s="897"/>
      <c r="BJ78" s="919">
        <v>19055.798809660224</v>
      </c>
      <c r="BK78" s="1194">
        <v>20192.07</v>
      </c>
      <c r="BL78" s="897">
        <f t="shared" si="109"/>
        <v>7253745.6400000006</v>
      </c>
      <c r="BM78" s="897">
        <f t="shared" si="109"/>
        <v>2838544.4</v>
      </c>
      <c r="BN78" s="897">
        <f t="shared" si="109"/>
        <v>0</v>
      </c>
      <c r="BO78" s="897">
        <f t="shared" si="109"/>
        <v>1208489.2</v>
      </c>
      <c r="BP78" s="897">
        <f t="shared" si="109"/>
        <v>0</v>
      </c>
      <c r="BQ78" s="897">
        <f t="shared" si="55"/>
        <v>11300779.24</v>
      </c>
      <c r="BR78" s="897">
        <f t="shared" si="56"/>
        <v>11300779.24</v>
      </c>
      <c r="BS78" s="897">
        <f t="shared" si="110"/>
        <v>4618686.8000000007</v>
      </c>
      <c r="BT78" s="897">
        <f t="shared" si="110"/>
        <v>1893632</v>
      </c>
      <c r="BU78" s="897">
        <f t="shared" si="110"/>
        <v>0</v>
      </c>
      <c r="BV78" s="897">
        <f t="shared" si="58"/>
        <v>1272284</v>
      </c>
      <c r="BW78" s="897">
        <f t="shared" ref="BW78:BW130" si="115">S78*AE78</f>
        <v>0</v>
      </c>
      <c r="BX78" s="897">
        <f t="shared" si="59"/>
        <v>7784602.8000000007</v>
      </c>
      <c r="BY78" s="897">
        <f t="shared" si="60"/>
        <v>7784602.8000000007</v>
      </c>
      <c r="BZ78" s="905">
        <f t="shared" si="111"/>
        <v>4732176.4000000004</v>
      </c>
      <c r="CA78" s="905">
        <f t="shared" si="111"/>
        <v>0</v>
      </c>
      <c r="CB78" s="905">
        <f t="shared" si="62"/>
        <v>4732176.4000000004</v>
      </c>
      <c r="CC78" s="907">
        <f t="shared" si="112"/>
        <v>2867.9856969696971</v>
      </c>
      <c r="CD78" s="907" t="e">
        <f t="shared" si="112"/>
        <v>#DIV/0!</v>
      </c>
      <c r="CE78" s="907">
        <f t="shared" si="39"/>
        <v>2867.9856969696971</v>
      </c>
      <c r="CF78" s="907">
        <f t="shared" ref="CF78:CF140" si="116">CB78/(U78+V78+AB78+AC78)</f>
        <v>2867.9856969696971</v>
      </c>
      <c r="CG78" s="923">
        <f t="shared" ref="CG78:CG140" si="117">I78*(U78+V78)+O78*(AB78+AC78)</f>
        <v>4732176.4000000004</v>
      </c>
      <c r="CH78" s="923">
        <f t="shared" si="40"/>
        <v>2867.9856969696971</v>
      </c>
      <c r="CI78" s="905"/>
      <c r="CJ78" s="1405">
        <f t="shared" si="106"/>
        <v>11300.77924</v>
      </c>
      <c r="CK78" s="1405">
        <f t="shared" si="102"/>
        <v>7755.0148000000008</v>
      </c>
      <c r="CL78" s="1405">
        <f t="shared" si="107"/>
        <v>19055.794040000001</v>
      </c>
      <c r="CM78" s="897">
        <f t="shared" si="41"/>
        <v>19652.349600000001</v>
      </c>
      <c r="CN78" s="897">
        <f t="shared" si="42"/>
        <v>596.5555600000007</v>
      </c>
      <c r="CO78" s="897">
        <f t="shared" ref="CO78:CO140" si="118">H78*Z78+N78*AG78</f>
        <v>19055794.039999999</v>
      </c>
      <c r="CP78" s="897">
        <f t="shared" ref="CP78:CP140" si="119">I78*AI78+J78*AJ78+K78*AK78+L78*AL78</f>
        <v>18666942.48</v>
      </c>
      <c r="CQ78" s="897">
        <f t="shared" ref="CQ78:CQ140" si="120">I78*AI78+J78*(AJ78+AK78)+L78*AL78</f>
        <v>18666942.48</v>
      </c>
      <c r="CR78" s="897">
        <f t="shared" ref="CR78:CR140" si="121">I78*T78+J78*U78+K78*V78+L78*W78</f>
        <v>11300779.24</v>
      </c>
      <c r="CS78" s="897">
        <f t="shared" ref="CS78:CS140" si="122">O78*AI78+P78*AJ78+Q78*AK78+R78*AL78</f>
        <v>19652349.600000001</v>
      </c>
      <c r="CT78" s="897">
        <f t="shared" ref="CT78:CT140" si="123">O78*AI78+P78*(AJ78+AK78)+R78*AL78</f>
        <v>19652349.600000001</v>
      </c>
      <c r="CU78" s="897">
        <f t="shared" ref="CU78:CU140" si="124">O78*AA78+P78*AB78+Q78*AC78+R78*AD78</f>
        <v>7755014.8000000007</v>
      </c>
      <c r="CV78" s="897">
        <f t="shared" si="43"/>
        <v>38319292.079999998</v>
      </c>
      <c r="CW78" s="906">
        <f t="shared" si="44"/>
        <v>5769.24</v>
      </c>
      <c r="CX78" s="897">
        <f t="shared" ref="CX78:CX140" si="125">J78*AJ78+K78*AK78</f>
        <v>4637226</v>
      </c>
      <c r="CY78" s="897">
        <f t="shared" ref="CY78:CY140" si="126">P78*AJ78+Q78*AK78</f>
        <v>4882020</v>
      </c>
      <c r="CZ78" s="897"/>
      <c r="DA78" s="897">
        <f t="shared" ref="DA78:DA140" si="127">H78*AI78+H78*AJ78+H78*AK78+H78*AL78</f>
        <v>18666942.48</v>
      </c>
      <c r="DB78" s="897">
        <f t="shared" ref="DB78:DB140" si="128">N78*AI78+N78*AJ78+N78*AK78+N78*AL78</f>
        <v>19652349.600000001</v>
      </c>
      <c r="DC78" s="27"/>
      <c r="DD78" s="40">
        <f t="shared" si="45"/>
        <v>105.27888871493431</v>
      </c>
      <c r="DE78" s="27"/>
      <c r="DF78" s="27"/>
      <c r="DG78" s="27"/>
      <c r="DH78" s="1043">
        <v>6642</v>
      </c>
      <c r="DI78" s="1043">
        <v>1650</v>
      </c>
      <c r="DJ78" s="1043">
        <f t="shared" si="108"/>
        <v>4992</v>
      </c>
      <c r="DK78" s="905"/>
      <c r="DL78" s="908">
        <f t="shared" ref="DL78:DL140" si="129">M78*X78/1000</f>
        <v>0</v>
      </c>
      <c r="DM78" s="908">
        <f t="shared" ref="DM78:DM140" si="130">S78*AE78/1000</f>
        <v>0</v>
      </c>
      <c r="DN78" s="908">
        <f t="shared" ref="DN78:DN140" si="131">DL78+DM78</f>
        <v>0</v>
      </c>
      <c r="DO78" s="6"/>
      <c r="DP78" s="81"/>
      <c r="DQ78" s="81"/>
      <c r="DR78" s="81"/>
      <c r="DS78" s="81"/>
      <c r="DT78" s="81"/>
      <c r="DU78" s="81"/>
      <c r="DV78" s="81"/>
      <c r="DW78" s="81"/>
      <c r="DX78" s="81"/>
      <c r="DY78" s="81"/>
      <c r="DZ78" s="81"/>
      <c r="EA78" s="81"/>
      <c r="EB78" s="81"/>
      <c r="EC78" s="81"/>
      <c r="ED78" s="81"/>
      <c r="EE78" s="81"/>
      <c r="EF78" s="81"/>
      <c r="EG78" s="81"/>
      <c r="EH78" s="81"/>
      <c r="EI78" s="81"/>
      <c r="EJ78" s="81"/>
      <c r="EK78" s="81"/>
      <c r="EL78" s="81"/>
    </row>
    <row r="79" spans="1:142" s="869" customFormat="1" ht="72" customHeight="1">
      <c r="A79" s="6" t="e">
        <f t="shared" si="46"/>
        <v>#REF!</v>
      </c>
      <c r="B79" s="886" t="s">
        <v>27</v>
      </c>
      <c r="C79" s="1309" t="s">
        <v>109</v>
      </c>
      <c r="D79" s="1262" t="s">
        <v>141</v>
      </c>
      <c r="E79" s="887">
        <v>4632024035</v>
      </c>
      <c r="F79" s="886" t="s">
        <v>8</v>
      </c>
      <c r="G79" s="1238" t="s">
        <v>983</v>
      </c>
      <c r="H79" s="1256">
        <v>3314.9639999999995</v>
      </c>
      <c r="I79" s="1257">
        <f>H79</f>
        <v>3314.9639999999995</v>
      </c>
      <c r="J79" s="891"/>
      <c r="K79" s="891"/>
      <c r="L79" s="1256">
        <v>3314.9639999999995</v>
      </c>
      <c r="M79" s="946"/>
      <c r="N79" s="1259">
        <f>3132.14*1.2</f>
        <v>3758.5679999999998</v>
      </c>
      <c r="O79" s="1260">
        <f>N79</f>
        <v>3758.5679999999998</v>
      </c>
      <c r="P79" s="891"/>
      <c r="Q79" s="891"/>
      <c r="R79" s="891">
        <f>O79</f>
        <v>3758.5679999999998</v>
      </c>
      <c r="S79" s="946"/>
      <c r="T79" s="1307">
        <v>194.17099999999999</v>
      </c>
      <c r="U79" s="1366"/>
      <c r="V79" s="1366"/>
      <c r="W79" s="890"/>
      <c r="X79" s="890"/>
      <c r="Y79" s="890"/>
      <c r="Z79" s="949">
        <f t="shared" si="113"/>
        <v>194.17099999999999</v>
      </c>
      <c r="AA79" s="1308">
        <v>112.752</v>
      </c>
      <c r="AB79" s="1292"/>
      <c r="AC79" s="1366"/>
      <c r="AD79" s="890"/>
      <c r="AE79" s="890"/>
      <c r="AF79" s="890"/>
      <c r="AG79" s="951">
        <f t="shared" si="114"/>
        <v>112.752</v>
      </c>
      <c r="AH79" s="947">
        <f t="shared" si="52"/>
        <v>306.923</v>
      </c>
      <c r="AI79" s="890">
        <f t="shared" si="73"/>
        <v>306.923</v>
      </c>
      <c r="AJ79" s="890">
        <f t="shared" si="73"/>
        <v>0</v>
      </c>
      <c r="AK79" s="890">
        <f t="shared" si="73"/>
        <v>0</v>
      </c>
      <c r="AL79" s="890">
        <f t="shared" si="73"/>
        <v>0</v>
      </c>
      <c r="AM79" s="890">
        <f t="shared" si="73"/>
        <v>0</v>
      </c>
      <c r="AN79" s="890"/>
      <c r="AO79" s="890">
        <f t="shared" si="70"/>
        <v>306.923</v>
      </c>
      <c r="AP79" s="890">
        <f t="shared" si="71"/>
        <v>306.923</v>
      </c>
      <c r="AQ79" s="952">
        <f t="shared" si="97"/>
        <v>306.923</v>
      </c>
      <c r="AR79" s="973">
        <f t="shared" ref="AR79:AR142" si="132">AQ79-AH79</f>
        <v>0</v>
      </c>
      <c r="AS79" s="889">
        <f t="shared" si="88"/>
        <v>1017438.6957719999</v>
      </c>
      <c r="AT79" s="890">
        <f t="shared" si="88"/>
        <v>0</v>
      </c>
      <c r="AU79" s="890">
        <f t="shared" si="88"/>
        <v>0</v>
      </c>
      <c r="AV79" s="890">
        <f t="shared" si="88"/>
        <v>0</v>
      </c>
      <c r="AW79" s="890">
        <f t="shared" si="88"/>
        <v>0</v>
      </c>
      <c r="AX79" s="890">
        <f t="shared" si="98"/>
        <v>1017438.6957719999</v>
      </c>
      <c r="AY79" s="890">
        <f t="shared" si="99"/>
        <v>1017438.6957719999</v>
      </c>
      <c r="AZ79" s="890">
        <f t="shared" si="89"/>
        <v>1153590.9662639999</v>
      </c>
      <c r="BA79" s="890">
        <f t="shared" si="89"/>
        <v>0</v>
      </c>
      <c r="BB79" s="890">
        <f t="shared" si="89"/>
        <v>0</v>
      </c>
      <c r="BC79" s="890">
        <f t="shared" si="89"/>
        <v>0</v>
      </c>
      <c r="BD79" s="890">
        <f t="shared" si="89"/>
        <v>0</v>
      </c>
      <c r="BE79" s="890">
        <f t="shared" si="100"/>
        <v>1153590.9662639999</v>
      </c>
      <c r="BF79" s="952">
        <f t="shared" si="101"/>
        <v>1153590.9662639999</v>
      </c>
      <c r="BG79" s="953">
        <f>(H79-J79)/1.2*U79/1000+(H79-K79)/1.2*V79/1000</f>
        <v>0</v>
      </c>
      <c r="BH79" s="954">
        <f>(O79-P79)*AB79/1000/1.2+(O79-Q79)/1.2*AC79/1000</f>
        <v>0</v>
      </c>
      <c r="BI79" s="955">
        <f>BG79+BH79</f>
        <v>0</v>
      </c>
      <c r="BJ79" s="955"/>
      <c r="BK79" s="1197"/>
      <c r="BL79" s="890">
        <f t="shared" si="109"/>
        <v>643669.87484399986</v>
      </c>
      <c r="BM79" s="890">
        <f t="shared" si="109"/>
        <v>0</v>
      </c>
      <c r="BN79" s="890">
        <f t="shared" si="109"/>
        <v>0</v>
      </c>
      <c r="BO79" s="890">
        <f t="shared" si="109"/>
        <v>0</v>
      </c>
      <c r="BP79" s="890">
        <f t="shared" si="109"/>
        <v>0</v>
      </c>
      <c r="BQ79" s="890">
        <f t="shared" si="55"/>
        <v>643669.87484399986</v>
      </c>
      <c r="BR79" s="890">
        <f t="shared" si="56"/>
        <v>643669.87484399986</v>
      </c>
      <c r="BS79" s="890">
        <f t="shared" si="110"/>
        <v>423786.05913599994</v>
      </c>
      <c r="BT79" s="890">
        <f t="shared" si="110"/>
        <v>0</v>
      </c>
      <c r="BU79" s="890">
        <f t="shared" si="110"/>
        <v>0</v>
      </c>
      <c r="BV79" s="890">
        <f t="shared" si="58"/>
        <v>0</v>
      </c>
      <c r="BW79" s="890">
        <f t="shared" si="115"/>
        <v>0</v>
      </c>
      <c r="BX79" s="890">
        <f t="shared" si="59"/>
        <v>423786.05913599994</v>
      </c>
      <c r="BY79" s="890">
        <f t="shared" si="60"/>
        <v>423786.05913599994</v>
      </c>
      <c r="BZ79" s="945">
        <f t="shared" si="111"/>
        <v>0</v>
      </c>
      <c r="CA79" s="945">
        <f t="shared" si="111"/>
        <v>0</v>
      </c>
      <c r="CB79" s="945">
        <f t="shared" si="62"/>
        <v>0</v>
      </c>
      <c r="CC79" s="976" t="e">
        <f t="shared" si="112"/>
        <v>#DIV/0!</v>
      </c>
      <c r="CD79" s="976" t="e">
        <f t="shared" si="112"/>
        <v>#DIV/0!</v>
      </c>
      <c r="CE79" s="976" t="e">
        <f t="shared" ref="CE79:CE142" si="133">CB79/(AJ79+AK79)</f>
        <v>#DIV/0!</v>
      </c>
      <c r="CF79" s="945" t="e">
        <f t="shared" si="116"/>
        <v>#DIV/0!</v>
      </c>
      <c r="CG79" s="977">
        <f t="shared" si="117"/>
        <v>0</v>
      </c>
      <c r="CH79" s="977" t="e">
        <f t="shared" ref="CH79:CH141" si="134">CG79/(AJ79+AK79)</f>
        <v>#DIV/0!</v>
      </c>
      <c r="CI79" s="945"/>
      <c r="CJ79" s="1405">
        <f t="shared" si="106"/>
        <v>643.66987484399988</v>
      </c>
      <c r="CK79" s="1405">
        <f t="shared" si="102"/>
        <v>423.78605913599995</v>
      </c>
      <c r="CL79" s="1405">
        <f t="shared" si="107"/>
        <v>1067.4559339799998</v>
      </c>
      <c r="CM79" s="890">
        <f t="shared" ref="CM79:CM142" si="135">N79*AH79/1000</f>
        <v>1153.5909662639999</v>
      </c>
      <c r="CN79" s="890">
        <f t="shared" ref="CN79:CN142" si="136">CM79-CL79</f>
        <v>86.13503228400009</v>
      </c>
      <c r="CO79" s="890">
        <f t="shared" si="118"/>
        <v>1067455.9339799997</v>
      </c>
      <c r="CP79" s="890">
        <f t="shared" si="119"/>
        <v>1017438.6957719999</v>
      </c>
      <c r="CQ79" s="890">
        <f t="shared" si="120"/>
        <v>1017438.6957719999</v>
      </c>
      <c r="CR79" s="890">
        <f t="shared" si="121"/>
        <v>643669.87484399986</v>
      </c>
      <c r="CS79" s="890">
        <f t="shared" si="122"/>
        <v>1153590.9662639999</v>
      </c>
      <c r="CT79" s="890">
        <f t="shared" si="123"/>
        <v>1153590.9662639999</v>
      </c>
      <c r="CU79" s="890">
        <f t="shared" si="124"/>
        <v>423786.05913599994</v>
      </c>
      <c r="CV79" s="890">
        <f t="shared" ref="CV79:CV142" si="137">CP79+CS79</f>
        <v>2171029.6620359998</v>
      </c>
      <c r="CW79" s="978">
        <f t="shared" ref="CW79:CW142" si="138">CV79/AH79</f>
        <v>7073.5319999999992</v>
      </c>
      <c r="CX79" s="890">
        <f t="shared" si="125"/>
        <v>0</v>
      </c>
      <c r="CY79" s="890">
        <f t="shared" si="126"/>
        <v>0</v>
      </c>
      <c r="CZ79" s="890"/>
      <c r="DA79" s="890">
        <f t="shared" si="127"/>
        <v>1017438.6957719999</v>
      </c>
      <c r="DB79" s="890">
        <f t="shared" si="128"/>
        <v>1153590.9662639999</v>
      </c>
      <c r="DC79" s="840"/>
      <c r="DD79" s="841" t="e">
        <f t="shared" ref="DD79:DD142" si="139">N79/J79*100</f>
        <v>#DIV/0!</v>
      </c>
      <c r="DE79" s="840"/>
      <c r="DF79" s="840"/>
      <c r="DG79" s="840"/>
      <c r="DH79" s="1050"/>
      <c r="DI79" s="1050"/>
      <c r="DJ79" s="1050"/>
      <c r="DK79" s="945"/>
      <c r="DL79" s="975">
        <f t="shared" si="129"/>
        <v>0</v>
      </c>
      <c r="DM79" s="975">
        <f t="shared" si="130"/>
        <v>0</v>
      </c>
      <c r="DN79" s="975">
        <f t="shared" si="131"/>
        <v>0</v>
      </c>
      <c r="DO79" s="816"/>
      <c r="DP79" s="871"/>
      <c r="DQ79" s="871"/>
      <c r="DR79" s="871"/>
      <c r="DS79" s="871"/>
      <c r="DT79" s="871"/>
      <c r="DU79" s="871"/>
      <c r="DV79" s="871"/>
      <c r="DW79" s="871"/>
      <c r="DX79" s="871"/>
      <c r="DY79" s="871"/>
      <c r="DZ79" s="871"/>
      <c r="EA79" s="871"/>
      <c r="EB79" s="871"/>
      <c r="EC79" s="871"/>
      <c r="ED79" s="871"/>
      <c r="EE79" s="871"/>
      <c r="EF79" s="871"/>
      <c r="EG79" s="871"/>
      <c r="EH79" s="871"/>
      <c r="EI79" s="871"/>
      <c r="EJ79" s="871"/>
      <c r="EK79" s="871"/>
      <c r="EL79" s="871"/>
    </row>
    <row r="80" spans="1:142" s="869" customFormat="1" ht="80.25" customHeight="1">
      <c r="A80" s="6" t="e">
        <f t="shared" ref="A80:A141" si="140">A79+1</f>
        <v>#REF!</v>
      </c>
      <c r="B80" s="886" t="s">
        <v>27</v>
      </c>
      <c r="C80" s="1309" t="s">
        <v>110</v>
      </c>
      <c r="D80" s="1262" t="s">
        <v>142</v>
      </c>
      <c r="E80" s="887">
        <v>4632024035</v>
      </c>
      <c r="F80" s="886" t="s">
        <v>8</v>
      </c>
      <c r="G80" s="1238" t="s">
        <v>983</v>
      </c>
      <c r="H80" s="1256">
        <v>3314.9639999999995</v>
      </c>
      <c r="I80" s="1257">
        <f>H80</f>
        <v>3314.9639999999995</v>
      </c>
      <c r="J80" s="1263">
        <v>2950.21</v>
      </c>
      <c r="K80" s="891"/>
      <c r="L80" s="1256">
        <v>3314.9639999999995</v>
      </c>
      <c r="M80" s="946"/>
      <c r="N80" s="1259">
        <f>3132.14*1.2</f>
        <v>3758.5679999999998</v>
      </c>
      <c r="O80" s="1260">
        <f>N80</f>
        <v>3758.5679999999998</v>
      </c>
      <c r="P80" s="1264">
        <v>2979.71</v>
      </c>
      <c r="Q80" s="891"/>
      <c r="R80" s="891">
        <f>O80</f>
        <v>3758.5679999999998</v>
      </c>
      <c r="S80" s="946"/>
      <c r="T80" s="1385">
        <v>633.16700000000003</v>
      </c>
      <c r="U80" s="1384">
        <v>189.04599999999999</v>
      </c>
      <c r="V80" s="1384"/>
      <c r="W80" s="894"/>
      <c r="X80" s="894"/>
      <c r="Y80" s="894"/>
      <c r="Z80" s="972">
        <f t="shared" si="113"/>
        <v>822.21299999999997</v>
      </c>
      <c r="AA80" s="1386">
        <v>368.88</v>
      </c>
      <c r="AB80" s="1384">
        <v>145</v>
      </c>
      <c r="AC80" s="1366"/>
      <c r="AD80" s="890"/>
      <c r="AE80" s="890"/>
      <c r="AF80" s="890"/>
      <c r="AG80" s="951">
        <f t="shared" si="114"/>
        <v>513.88</v>
      </c>
      <c r="AH80" s="947">
        <f t="shared" si="52"/>
        <v>1336.0929999999998</v>
      </c>
      <c r="AI80" s="890">
        <f t="shared" si="73"/>
        <v>1002.047</v>
      </c>
      <c r="AJ80" s="890">
        <f t="shared" si="73"/>
        <v>334.04599999999999</v>
      </c>
      <c r="AK80" s="890">
        <f t="shared" si="73"/>
        <v>0</v>
      </c>
      <c r="AL80" s="890">
        <f t="shared" si="73"/>
        <v>0</v>
      </c>
      <c r="AM80" s="890">
        <f t="shared" si="73"/>
        <v>0</v>
      </c>
      <c r="AN80" s="890"/>
      <c r="AO80" s="890">
        <f t="shared" si="70"/>
        <v>1336.0930000000001</v>
      </c>
      <c r="AP80" s="890">
        <f t="shared" si="71"/>
        <v>1336.0930000000001</v>
      </c>
      <c r="AQ80" s="952">
        <f t="shared" si="97"/>
        <v>1336.0930000000001</v>
      </c>
      <c r="AR80" s="973">
        <f t="shared" si="132"/>
        <v>0</v>
      </c>
      <c r="AS80" s="889">
        <f t="shared" si="88"/>
        <v>3321749.7313079997</v>
      </c>
      <c r="AT80" s="890">
        <f t="shared" si="88"/>
        <v>985505.84965999995</v>
      </c>
      <c r="AU80" s="890">
        <f t="shared" si="88"/>
        <v>0</v>
      </c>
      <c r="AV80" s="890">
        <f t="shared" si="88"/>
        <v>0</v>
      </c>
      <c r="AW80" s="890">
        <f t="shared" si="88"/>
        <v>0</v>
      </c>
      <c r="AX80" s="890">
        <f t="shared" si="98"/>
        <v>4307255.580968</v>
      </c>
      <c r="AY80" s="890">
        <f t="shared" si="99"/>
        <v>4307255.580968</v>
      </c>
      <c r="AZ80" s="890">
        <f t="shared" si="89"/>
        <v>3766261.7886959999</v>
      </c>
      <c r="BA80" s="890">
        <f t="shared" si="89"/>
        <v>995360.20666000003</v>
      </c>
      <c r="BB80" s="890">
        <f t="shared" si="89"/>
        <v>0</v>
      </c>
      <c r="BC80" s="890">
        <f t="shared" si="89"/>
        <v>0</v>
      </c>
      <c r="BD80" s="890">
        <f t="shared" si="89"/>
        <v>0</v>
      </c>
      <c r="BE80" s="890">
        <f t="shared" si="100"/>
        <v>4761621.995356</v>
      </c>
      <c r="BF80" s="952">
        <f t="shared" si="101"/>
        <v>4761621.995356</v>
      </c>
      <c r="BG80" s="953">
        <f>(H80-J80)/1.2*U80/1000+(H80-K80)/1.2*V80/1000</f>
        <v>57.462737236666591</v>
      </c>
      <c r="BH80" s="954">
        <f>(O80-P80)*AB80/1000/1.2+(O80-Q80)/1.2*AC80/1000</f>
        <v>94.112008333333307</v>
      </c>
      <c r="BI80" s="955">
        <f>BG80+BH80</f>
        <v>151.57474556999989</v>
      </c>
      <c r="BJ80" s="955"/>
      <c r="BK80" s="1197"/>
      <c r="BL80" s="890">
        <f t="shared" si="109"/>
        <v>2098925.8109879997</v>
      </c>
      <c r="BM80" s="890">
        <f t="shared" si="109"/>
        <v>557725.39966</v>
      </c>
      <c r="BN80" s="890">
        <f t="shared" si="109"/>
        <v>0</v>
      </c>
      <c r="BO80" s="890">
        <f t="shared" si="109"/>
        <v>0</v>
      </c>
      <c r="BP80" s="890">
        <f t="shared" si="109"/>
        <v>0</v>
      </c>
      <c r="BQ80" s="890">
        <f t="shared" si="55"/>
        <v>2656651.2106479998</v>
      </c>
      <c r="BR80" s="890">
        <f t="shared" si="56"/>
        <v>2656651.2106479998</v>
      </c>
      <c r="BS80" s="890">
        <f t="shared" si="110"/>
        <v>1386460.56384</v>
      </c>
      <c r="BT80" s="890">
        <f t="shared" si="110"/>
        <v>432057.95</v>
      </c>
      <c r="BU80" s="890">
        <f t="shared" si="110"/>
        <v>0</v>
      </c>
      <c r="BV80" s="890">
        <f t="shared" si="58"/>
        <v>0</v>
      </c>
      <c r="BW80" s="890">
        <f t="shared" si="115"/>
        <v>0</v>
      </c>
      <c r="BX80" s="890">
        <f t="shared" si="59"/>
        <v>1818518.5138399999</v>
      </c>
      <c r="BY80" s="890">
        <f t="shared" si="60"/>
        <v>1818518.5138399999</v>
      </c>
      <c r="BZ80" s="945">
        <f t="shared" si="111"/>
        <v>989783.34966000007</v>
      </c>
      <c r="CA80" s="945">
        <f t="shared" si="111"/>
        <v>0</v>
      </c>
      <c r="CB80" s="945">
        <f t="shared" si="62"/>
        <v>989783.34966000007</v>
      </c>
      <c r="CC80" s="976">
        <f t="shared" si="112"/>
        <v>2963.0151226477792</v>
      </c>
      <c r="CD80" s="976" t="e">
        <f t="shared" si="112"/>
        <v>#DIV/0!</v>
      </c>
      <c r="CE80" s="976">
        <f t="shared" si="133"/>
        <v>2963.0151226477792</v>
      </c>
      <c r="CF80" s="976">
        <f t="shared" si="116"/>
        <v>2963.0151226477792</v>
      </c>
      <c r="CG80" s="977">
        <f t="shared" si="117"/>
        <v>1171673.0443439998</v>
      </c>
      <c r="CH80" s="977">
        <f t="shared" si="134"/>
        <v>3507.5200551540802</v>
      </c>
      <c r="CI80" s="945"/>
      <c r="CJ80" s="1405">
        <f t="shared" si="106"/>
        <v>2725.6064953319992</v>
      </c>
      <c r="CK80" s="1405">
        <f t="shared" si="102"/>
        <v>1931.4529238399998</v>
      </c>
      <c r="CL80" s="1405">
        <f t="shared" si="107"/>
        <v>4657.0594191719993</v>
      </c>
      <c r="CM80" s="890">
        <f t="shared" si="135"/>
        <v>5021.7963948239994</v>
      </c>
      <c r="CN80" s="890">
        <f t="shared" si="136"/>
        <v>364.73697565200018</v>
      </c>
      <c r="CO80" s="890">
        <f t="shared" si="118"/>
        <v>4657059.4191719992</v>
      </c>
      <c r="CP80" s="890">
        <f t="shared" si="119"/>
        <v>4307255.580968</v>
      </c>
      <c r="CQ80" s="890">
        <f t="shared" si="120"/>
        <v>4307255.580968</v>
      </c>
      <c r="CR80" s="890">
        <f t="shared" si="121"/>
        <v>2656651.2106479998</v>
      </c>
      <c r="CS80" s="890">
        <f t="shared" si="122"/>
        <v>4761621.995356</v>
      </c>
      <c r="CT80" s="890">
        <f t="shared" si="123"/>
        <v>4761621.995356</v>
      </c>
      <c r="CU80" s="890">
        <f t="shared" si="124"/>
        <v>1818518.5138399999</v>
      </c>
      <c r="CV80" s="890">
        <f t="shared" si="137"/>
        <v>9068877.576324001</v>
      </c>
      <c r="CW80" s="978">
        <f t="shared" si="138"/>
        <v>6787.6095274236168</v>
      </c>
      <c r="CX80" s="890">
        <f t="shared" si="125"/>
        <v>985505.84965999995</v>
      </c>
      <c r="CY80" s="890">
        <f t="shared" si="126"/>
        <v>995360.20666000003</v>
      </c>
      <c r="CZ80" s="890"/>
      <c r="DA80" s="890">
        <f t="shared" si="127"/>
        <v>4429100.1956519997</v>
      </c>
      <c r="DB80" s="890">
        <f t="shared" si="128"/>
        <v>5021796.3948240001</v>
      </c>
      <c r="DC80" s="840"/>
      <c r="DD80" s="841">
        <f t="shared" si="139"/>
        <v>127.40001559211038</v>
      </c>
      <c r="DE80" s="840"/>
      <c r="DF80" s="840"/>
      <c r="DG80" s="840"/>
      <c r="DH80" s="1050"/>
      <c r="DI80" s="1050"/>
      <c r="DJ80" s="1050"/>
      <c r="DK80" s="945"/>
      <c r="DL80" s="975">
        <f t="shared" si="129"/>
        <v>0</v>
      </c>
      <c r="DM80" s="975">
        <f t="shared" si="130"/>
        <v>0</v>
      </c>
      <c r="DN80" s="975">
        <f t="shared" si="131"/>
        <v>0</v>
      </c>
      <c r="DO80" s="816"/>
      <c r="DP80" s="871"/>
      <c r="DQ80" s="871"/>
      <c r="DR80" s="871"/>
      <c r="DS80" s="871"/>
      <c r="DT80" s="871"/>
      <c r="DU80" s="871"/>
      <c r="DV80" s="871"/>
      <c r="DW80" s="871"/>
      <c r="DX80" s="871"/>
      <c r="DY80" s="871"/>
      <c r="DZ80" s="871"/>
      <c r="EA80" s="871"/>
      <c r="EB80" s="871"/>
      <c r="EC80" s="871"/>
      <c r="ED80" s="871"/>
      <c r="EE80" s="871"/>
      <c r="EF80" s="871"/>
      <c r="EG80" s="871"/>
      <c r="EH80" s="871"/>
      <c r="EI80" s="871"/>
      <c r="EJ80" s="871"/>
      <c r="EK80" s="871"/>
      <c r="EL80" s="871"/>
    </row>
    <row r="81" spans="1:191" s="50" customFormat="1" ht="75.75" customHeight="1">
      <c r="A81" s="6" t="e">
        <f t="shared" si="140"/>
        <v>#REF!</v>
      </c>
      <c r="B81" s="909" t="s">
        <v>29</v>
      </c>
      <c r="C81" s="1005" t="s">
        <v>112</v>
      </c>
      <c r="D81" s="963" t="s">
        <v>161</v>
      </c>
      <c r="E81" s="958">
        <v>4617004147</v>
      </c>
      <c r="F81" s="886" t="s">
        <v>8</v>
      </c>
      <c r="G81" s="888" t="s">
        <v>953</v>
      </c>
      <c r="H81" s="1253">
        <v>3127.6598130001857</v>
      </c>
      <c r="I81" s="1252">
        <v>3127.6598130001857</v>
      </c>
      <c r="J81" s="912">
        <v>3127.6598130001857</v>
      </c>
      <c r="K81" s="912"/>
      <c r="L81" s="912"/>
      <c r="M81" s="913"/>
      <c r="N81" s="1213">
        <v>3573.9</v>
      </c>
      <c r="O81" s="928">
        <v>3573.9</v>
      </c>
      <c r="P81" s="1214">
        <v>3573.9</v>
      </c>
      <c r="Q81" s="1214"/>
      <c r="R81" s="891"/>
      <c r="S81" s="994"/>
      <c r="T81" s="999">
        <v>1434.3600000000001</v>
      </c>
      <c r="U81" s="917">
        <v>73.63</v>
      </c>
      <c r="V81" s="917">
        <v>0</v>
      </c>
      <c r="W81" s="917">
        <v>0</v>
      </c>
      <c r="X81" s="917">
        <v>0</v>
      </c>
      <c r="Y81" s="917">
        <v>0</v>
      </c>
      <c r="Z81" s="898">
        <f t="shared" si="113"/>
        <v>1507.9900000000002</v>
      </c>
      <c r="AA81" s="1000">
        <v>1055.48</v>
      </c>
      <c r="AB81" s="917">
        <v>55.22</v>
      </c>
      <c r="AC81" s="917">
        <v>0</v>
      </c>
      <c r="AD81" s="917">
        <v>0</v>
      </c>
      <c r="AE81" s="917">
        <v>0</v>
      </c>
      <c r="AF81" s="917">
        <v>0</v>
      </c>
      <c r="AG81" s="900">
        <f t="shared" si="114"/>
        <v>1110.7</v>
      </c>
      <c r="AH81" s="896">
        <f t="shared" si="52"/>
        <v>2618.6900000000005</v>
      </c>
      <c r="AI81" s="897">
        <f t="shared" si="73"/>
        <v>2489.84</v>
      </c>
      <c r="AJ81" s="897">
        <f t="shared" si="73"/>
        <v>128.85</v>
      </c>
      <c r="AK81" s="897">
        <f t="shared" si="73"/>
        <v>0</v>
      </c>
      <c r="AL81" s="897">
        <f t="shared" si="73"/>
        <v>0</v>
      </c>
      <c r="AM81" s="897">
        <f t="shared" si="73"/>
        <v>0</v>
      </c>
      <c r="AN81" s="897"/>
      <c r="AO81" s="897">
        <f t="shared" si="70"/>
        <v>2618.69</v>
      </c>
      <c r="AP81" s="897">
        <f t="shared" si="71"/>
        <v>2618.69</v>
      </c>
      <c r="AQ81" s="901">
        <f t="shared" si="97"/>
        <v>2618.69</v>
      </c>
      <c r="AR81" s="902">
        <f t="shared" si="132"/>
        <v>0</v>
      </c>
      <c r="AS81" s="903">
        <f t="shared" si="88"/>
        <v>7787372.5088003827</v>
      </c>
      <c r="AT81" s="897">
        <f t="shared" si="88"/>
        <v>402998.9669050739</v>
      </c>
      <c r="AU81" s="897">
        <f t="shared" si="88"/>
        <v>0</v>
      </c>
      <c r="AV81" s="897">
        <f t="shared" si="88"/>
        <v>0</v>
      </c>
      <c r="AW81" s="897">
        <f t="shared" si="88"/>
        <v>0</v>
      </c>
      <c r="AX81" s="897">
        <f t="shared" si="98"/>
        <v>8190371.4757054569</v>
      </c>
      <c r="AY81" s="897">
        <f t="shared" si="99"/>
        <v>8190371.4757054569</v>
      </c>
      <c r="AZ81" s="897">
        <f t="shared" si="89"/>
        <v>8898439.1760000009</v>
      </c>
      <c r="BA81" s="897">
        <f t="shared" si="89"/>
        <v>460497.01500000001</v>
      </c>
      <c r="BB81" s="897">
        <f t="shared" si="89"/>
        <v>0</v>
      </c>
      <c r="BC81" s="897">
        <f t="shared" si="89"/>
        <v>0</v>
      </c>
      <c r="BD81" s="897">
        <f t="shared" si="89"/>
        <v>0</v>
      </c>
      <c r="BE81" s="897">
        <f t="shared" si="100"/>
        <v>9358936.1910000015</v>
      </c>
      <c r="BF81" s="901">
        <f t="shared" si="101"/>
        <v>9358936.1910000015</v>
      </c>
      <c r="BG81" s="953"/>
      <c r="BH81" s="954"/>
      <c r="BI81" s="955">
        <f>BG81+BH81</f>
        <v>0</v>
      </c>
      <c r="BJ81" s="955">
        <v>8686.0114276431705</v>
      </c>
      <c r="BK81" s="1197">
        <v>11208.907684</v>
      </c>
      <c r="BL81" s="897">
        <f t="shared" si="109"/>
        <v>4486190.1293749465</v>
      </c>
      <c r="BM81" s="897">
        <f t="shared" si="109"/>
        <v>230289.59203120368</v>
      </c>
      <c r="BN81" s="897">
        <f t="shared" si="109"/>
        <v>0</v>
      </c>
      <c r="BO81" s="897">
        <f t="shared" si="109"/>
        <v>0</v>
      </c>
      <c r="BP81" s="897">
        <f t="shared" si="109"/>
        <v>0</v>
      </c>
      <c r="BQ81" s="897">
        <f t="shared" si="55"/>
        <v>4716479.7214061506</v>
      </c>
      <c r="BR81" s="897">
        <f t="shared" si="56"/>
        <v>4716479.7214061506</v>
      </c>
      <c r="BS81" s="897">
        <f t="shared" si="110"/>
        <v>3772179.9720000001</v>
      </c>
      <c r="BT81" s="897">
        <f t="shared" si="110"/>
        <v>197350.758</v>
      </c>
      <c r="BU81" s="897">
        <f t="shared" si="110"/>
        <v>0</v>
      </c>
      <c r="BV81" s="897">
        <f t="shared" si="58"/>
        <v>0</v>
      </c>
      <c r="BW81" s="897">
        <f t="shared" si="115"/>
        <v>0</v>
      </c>
      <c r="BX81" s="897">
        <f t="shared" si="59"/>
        <v>3969530.73</v>
      </c>
      <c r="BY81" s="897">
        <f t="shared" si="60"/>
        <v>3969530.73</v>
      </c>
      <c r="BZ81" s="905">
        <f t="shared" si="111"/>
        <v>427640.35003120371</v>
      </c>
      <c r="CA81" s="905">
        <f t="shared" si="111"/>
        <v>0</v>
      </c>
      <c r="CB81" s="905">
        <f t="shared" si="62"/>
        <v>427640.35003120371</v>
      </c>
      <c r="CC81" s="907">
        <f t="shared" si="112"/>
        <v>3318.9006599239715</v>
      </c>
      <c r="CD81" s="907" t="e">
        <f t="shared" si="112"/>
        <v>#DIV/0!</v>
      </c>
      <c r="CE81" s="907">
        <f t="shared" si="133"/>
        <v>3318.9006599239715</v>
      </c>
      <c r="CF81" s="907">
        <f t="shared" si="116"/>
        <v>3318.9006599239715</v>
      </c>
      <c r="CG81" s="923">
        <f t="shared" si="117"/>
        <v>427640.35003120371</v>
      </c>
      <c r="CH81" s="923">
        <f t="shared" si="134"/>
        <v>3318.9006599239715</v>
      </c>
      <c r="CI81" s="964"/>
      <c r="CJ81" s="1405">
        <f t="shared" si="106"/>
        <v>4716.4797214061509</v>
      </c>
      <c r="CK81" s="1405">
        <f t="shared" si="102"/>
        <v>3969.5307300000004</v>
      </c>
      <c r="CL81" s="1405">
        <f t="shared" si="107"/>
        <v>8686.0104514061513</v>
      </c>
      <c r="CM81" s="897">
        <f t="shared" si="135"/>
        <v>9358.9361910000007</v>
      </c>
      <c r="CN81" s="897">
        <f t="shared" si="136"/>
        <v>672.92573959384936</v>
      </c>
      <c r="CO81" s="897">
        <f t="shared" si="118"/>
        <v>8686010.4514061511</v>
      </c>
      <c r="CP81" s="897">
        <f t="shared" si="119"/>
        <v>8190371.4757054569</v>
      </c>
      <c r="CQ81" s="897">
        <f t="shared" si="120"/>
        <v>8190371.4757054569</v>
      </c>
      <c r="CR81" s="897">
        <f t="shared" si="121"/>
        <v>4716479.7214061506</v>
      </c>
      <c r="CS81" s="897">
        <f t="shared" si="122"/>
        <v>9358936.1910000015</v>
      </c>
      <c r="CT81" s="897">
        <f t="shared" si="123"/>
        <v>9358936.1910000015</v>
      </c>
      <c r="CU81" s="897">
        <f t="shared" si="124"/>
        <v>3969530.73</v>
      </c>
      <c r="CV81" s="897">
        <f t="shared" si="137"/>
        <v>17549307.666705459</v>
      </c>
      <c r="CW81" s="906">
        <f t="shared" si="138"/>
        <v>6701.5598130001854</v>
      </c>
      <c r="CX81" s="897">
        <f t="shared" si="125"/>
        <v>402998.9669050739</v>
      </c>
      <c r="CY81" s="897">
        <f t="shared" si="126"/>
        <v>460497.01500000001</v>
      </c>
      <c r="CZ81" s="897"/>
      <c r="DA81" s="897">
        <f t="shared" si="127"/>
        <v>8190371.4757054569</v>
      </c>
      <c r="DB81" s="897">
        <f t="shared" si="128"/>
        <v>9358936.1910000015</v>
      </c>
      <c r="DC81" s="1130"/>
      <c r="DD81" s="40">
        <f t="shared" si="139"/>
        <v>114.26754230575229</v>
      </c>
      <c r="DE81" s="1130"/>
      <c r="DF81" s="1130"/>
      <c r="DG81" s="1130"/>
      <c r="DH81" s="1043">
        <v>2790.1833333333334</v>
      </c>
      <c r="DI81" s="1043">
        <v>178.95</v>
      </c>
      <c r="DJ81" s="1043">
        <f t="shared" si="108"/>
        <v>2611.2333333333336</v>
      </c>
      <c r="DK81" s="964"/>
      <c r="DL81" s="908">
        <f t="shared" si="129"/>
        <v>0</v>
      </c>
      <c r="DM81" s="908">
        <f t="shared" si="130"/>
        <v>0</v>
      </c>
      <c r="DN81" s="908">
        <f t="shared" si="131"/>
        <v>0</v>
      </c>
      <c r="DO81" s="868"/>
      <c r="DP81" s="868"/>
      <c r="DQ81" s="868"/>
      <c r="DR81" s="81"/>
      <c r="DS81" s="81"/>
      <c r="DT81" s="81"/>
      <c r="DU81" s="81"/>
      <c r="DV81" s="81"/>
      <c r="DW81" s="81"/>
      <c r="DX81" s="81"/>
      <c r="DY81" s="81"/>
      <c r="DZ81" s="81"/>
      <c r="EA81" s="81"/>
      <c r="EB81" s="81"/>
      <c r="EC81" s="81"/>
      <c r="ED81" s="81"/>
      <c r="EE81" s="81"/>
      <c r="EF81" s="81"/>
      <c r="EG81" s="81"/>
      <c r="EH81" s="81"/>
      <c r="EI81" s="81"/>
      <c r="EJ81" s="81"/>
      <c r="EK81" s="81"/>
      <c r="EL81" s="81"/>
    </row>
    <row r="82" spans="1:191" s="869" customFormat="1" ht="78.75" customHeight="1">
      <c r="A82" s="6" t="e">
        <f t="shared" si="140"/>
        <v>#REF!</v>
      </c>
      <c r="B82" s="909" t="s">
        <v>29</v>
      </c>
      <c r="C82" s="1309" t="s">
        <v>113</v>
      </c>
      <c r="D82" s="1262" t="s">
        <v>142</v>
      </c>
      <c r="E82" s="887">
        <v>4632024035</v>
      </c>
      <c r="F82" s="886" t="s">
        <v>8</v>
      </c>
      <c r="G82" s="1238" t="s">
        <v>983</v>
      </c>
      <c r="H82" s="1256">
        <v>3314.9639999999995</v>
      </c>
      <c r="I82" s="1257">
        <f>H82</f>
        <v>3314.9639999999995</v>
      </c>
      <c r="J82" s="891"/>
      <c r="K82" s="891"/>
      <c r="L82" s="1256">
        <v>3314.9639999999995</v>
      </c>
      <c r="M82" s="946"/>
      <c r="N82" s="1259">
        <f>3132.14*1.2</f>
        <v>3758.5679999999998</v>
      </c>
      <c r="O82" s="1260">
        <f>N82</f>
        <v>3758.5679999999998</v>
      </c>
      <c r="P82" s="891"/>
      <c r="Q82" s="891"/>
      <c r="R82" s="891">
        <f>O82</f>
        <v>3758.5679999999998</v>
      </c>
      <c r="S82" s="946"/>
      <c r="T82" s="1307">
        <v>228.929</v>
      </c>
      <c r="U82" s="1366"/>
      <c r="V82" s="1366"/>
      <c r="W82" s="890"/>
      <c r="X82" s="890"/>
      <c r="Y82" s="890"/>
      <c r="Z82" s="949">
        <f t="shared" si="113"/>
        <v>228.929</v>
      </c>
      <c r="AA82" s="1308">
        <v>132.93600000000001</v>
      </c>
      <c r="AB82" s="1366"/>
      <c r="AC82" s="1366"/>
      <c r="AD82" s="890"/>
      <c r="AE82" s="890"/>
      <c r="AF82" s="890"/>
      <c r="AG82" s="951">
        <f t="shared" si="114"/>
        <v>132.93600000000001</v>
      </c>
      <c r="AH82" s="947">
        <f t="shared" si="52"/>
        <v>361.86500000000001</v>
      </c>
      <c r="AI82" s="890">
        <f t="shared" si="73"/>
        <v>361.86500000000001</v>
      </c>
      <c r="AJ82" s="890">
        <f t="shared" si="73"/>
        <v>0</v>
      </c>
      <c r="AK82" s="890">
        <f t="shared" si="73"/>
        <v>0</v>
      </c>
      <c r="AL82" s="890">
        <f t="shared" si="73"/>
        <v>0</v>
      </c>
      <c r="AM82" s="890">
        <f t="shared" si="73"/>
        <v>0</v>
      </c>
      <c r="AN82" s="890"/>
      <c r="AO82" s="890">
        <f t="shared" si="70"/>
        <v>361.86500000000001</v>
      </c>
      <c r="AP82" s="890">
        <f t="shared" si="71"/>
        <v>361.86500000000001</v>
      </c>
      <c r="AQ82" s="952">
        <f t="shared" si="97"/>
        <v>361.86500000000001</v>
      </c>
      <c r="AR82" s="973">
        <f t="shared" si="132"/>
        <v>0</v>
      </c>
      <c r="AS82" s="889">
        <f t="shared" si="88"/>
        <v>1199569.44786</v>
      </c>
      <c r="AT82" s="890">
        <f t="shared" si="88"/>
        <v>0</v>
      </c>
      <c r="AU82" s="890">
        <f t="shared" si="88"/>
        <v>0</v>
      </c>
      <c r="AV82" s="890">
        <f t="shared" si="88"/>
        <v>0</v>
      </c>
      <c r="AW82" s="890">
        <f t="shared" si="88"/>
        <v>0</v>
      </c>
      <c r="AX82" s="890">
        <f t="shared" si="98"/>
        <v>1199569.44786</v>
      </c>
      <c r="AY82" s="890">
        <f t="shared" si="99"/>
        <v>1199569.44786</v>
      </c>
      <c r="AZ82" s="890">
        <f t="shared" si="89"/>
        <v>1360094.2093199999</v>
      </c>
      <c r="BA82" s="890">
        <f t="shared" si="89"/>
        <v>0</v>
      </c>
      <c r="BB82" s="890">
        <f t="shared" si="89"/>
        <v>0</v>
      </c>
      <c r="BC82" s="890">
        <f t="shared" si="89"/>
        <v>0</v>
      </c>
      <c r="BD82" s="890">
        <f t="shared" si="89"/>
        <v>0</v>
      </c>
      <c r="BE82" s="890">
        <f t="shared" si="100"/>
        <v>1360094.2093199999</v>
      </c>
      <c r="BF82" s="952">
        <f t="shared" si="101"/>
        <v>1360094.2093199999</v>
      </c>
      <c r="BG82" s="953">
        <f>(H82-J82)/1.2*U82/1000+(H82-K82)/1.2*V82/1000</f>
        <v>0</v>
      </c>
      <c r="BH82" s="954">
        <f>(O82-P82)*AB82/1000/1.2+(O82-Q82)/1.2*AC82/1000</f>
        <v>0</v>
      </c>
      <c r="BI82" s="955">
        <f>BG82+BH82</f>
        <v>0</v>
      </c>
      <c r="BJ82" s="955"/>
      <c r="BK82" s="1197"/>
      <c r="BL82" s="890">
        <f t="shared" si="109"/>
        <v>758891.39355599985</v>
      </c>
      <c r="BM82" s="890">
        <f t="shared" si="109"/>
        <v>0</v>
      </c>
      <c r="BN82" s="890">
        <f t="shared" si="109"/>
        <v>0</v>
      </c>
      <c r="BO82" s="890">
        <f t="shared" si="109"/>
        <v>0</v>
      </c>
      <c r="BP82" s="890">
        <f t="shared" si="109"/>
        <v>0</v>
      </c>
      <c r="BQ82" s="890">
        <f t="shared" si="55"/>
        <v>758891.39355599985</v>
      </c>
      <c r="BR82" s="890">
        <f t="shared" si="56"/>
        <v>758891.39355599985</v>
      </c>
      <c r="BS82" s="890">
        <f t="shared" si="110"/>
        <v>499648.99564799998</v>
      </c>
      <c r="BT82" s="890">
        <f t="shared" si="110"/>
        <v>0</v>
      </c>
      <c r="BU82" s="890">
        <f t="shared" si="110"/>
        <v>0</v>
      </c>
      <c r="BV82" s="890">
        <f t="shared" si="58"/>
        <v>0</v>
      </c>
      <c r="BW82" s="890">
        <f t="shared" si="115"/>
        <v>0</v>
      </c>
      <c r="BX82" s="890">
        <f t="shared" si="59"/>
        <v>499648.99564799998</v>
      </c>
      <c r="BY82" s="890">
        <f t="shared" si="60"/>
        <v>499648.99564799998</v>
      </c>
      <c r="BZ82" s="945">
        <f t="shared" si="111"/>
        <v>0</v>
      </c>
      <c r="CA82" s="945">
        <f t="shared" si="111"/>
        <v>0</v>
      </c>
      <c r="CB82" s="945">
        <f t="shared" si="62"/>
        <v>0</v>
      </c>
      <c r="CC82" s="976" t="e">
        <f t="shared" si="112"/>
        <v>#DIV/0!</v>
      </c>
      <c r="CD82" s="976" t="e">
        <f t="shared" si="112"/>
        <v>#DIV/0!</v>
      </c>
      <c r="CE82" s="976" t="e">
        <f t="shared" si="133"/>
        <v>#DIV/0!</v>
      </c>
      <c r="CF82" s="945" t="e">
        <f t="shared" si="116"/>
        <v>#DIV/0!</v>
      </c>
      <c r="CG82" s="977">
        <f t="shared" si="117"/>
        <v>0</v>
      </c>
      <c r="CH82" s="977" t="e">
        <f t="shared" si="134"/>
        <v>#DIV/0!</v>
      </c>
      <c r="CI82" s="945"/>
      <c r="CJ82" s="1405">
        <f t="shared" si="106"/>
        <v>758.8913935559998</v>
      </c>
      <c r="CK82" s="1405">
        <f t="shared" si="102"/>
        <v>499.64899564799998</v>
      </c>
      <c r="CL82" s="1405">
        <f t="shared" si="107"/>
        <v>1258.5403892039999</v>
      </c>
      <c r="CM82" s="890">
        <f t="shared" si="135"/>
        <v>1360.0942093199999</v>
      </c>
      <c r="CN82" s="890">
        <f t="shared" si="136"/>
        <v>101.553820116</v>
      </c>
      <c r="CO82" s="890">
        <f t="shared" si="118"/>
        <v>1258540.3892039999</v>
      </c>
      <c r="CP82" s="890">
        <f t="shared" si="119"/>
        <v>1199569.44786</v>
      </c>
      <c r="CQ82" s="890">
        <f t="shared" si="120"/>
        <v>1199569.44786</v>
      </c>
      <c r="CR82" s="890">
        <f t="shared" si="121"/>
        <v>758891.39355599985</v>
      </c>
      <c r="CS82" s="890">
        <f t="shared" si="122"/>
        <v>1360094.2093199999</v>
      </c>
      <c r="CT82" s="890">
        <f t="shared" si="123"/>
        <v>1360094.2093199999</v>
      </c>
      <c r="CU82" s="890">
        <f t="shared" si="124"/>
        <v>499648.99564799998</v>
      </c>
      <c r="CV82" s="890">
        <f t="shared" si="137"/>
        <v>2559663.6571800001</v>
      </c>
      <c r="CW82" s="978">
        <f t="shared" si="138"/>
        <v>7073.5320000000002</v>
      </c>
      <c r="CX82" s="890">
        <f t="shared" si="125"/>
        <v>0</v>
      </c>
      <c r="CY82" s="890">
        <f t="shared" si="126"/>
        <v>0</v>
      </c>
      <c r="CZ82" s="890"/>
      <c r="DA82" s="890">
        <f t="shared" si="127"/>
        <v>1199569.44786</v>
      </c>
      <c r="DB82" s="890">
        <f t="shared" si="128"/>
        <v>1360094.2093199999</v>
      </c>
      <c r="DC82" s="840"/>
      <c r="DD82" s="841" t="e">
        <f t="shared" si="139"/>
        <v>#DIV/0!</v>
      </c>
      <c r="DE82" s="840"/>
      <c r="DF82" s="840"/>
      <c r="DG82" s="840"/>
      <c r="DH82" s="1050"/>
      <c r="DI82" s="1050"/>
      <c r="DJ82" s="1050"/>
      <c r="DK82" s="945"/>
      <c r="DL82" s="975">
        <f t="shared" si="129"/>
        <v>0</v>
      </c>
      <c r="DM82" s="975">
        <f t="shared" si="130"/>
        <v>0</v>
      </c>
      <c r="DN82" s="975">
        <f t="shared" si="131"/>
        <v>0</v>
      </c>
      <c r="DO82" s="816"/>
      <c r="DP82" s="871"/>
      <c r="DQ82" s="871"/>
      <c r="DR82" s="871"/>
      <c r="DS82" s="871"/>
      <c r="DT82" s="871"/>
      <c r="DU82" s="871"/>
      <c r="DV82" s="871"/>
      <c r="DW82" s="871"/>
      <c r="DX82" s="871"/>
      <c r="DY82" s="871"/>
      <c r="DZ82" s="871"/>
      <c r="EA82" s="871"/>
      <c r="EB82" s="871"/>
      <c r="EC82" s="871"/>
      <c r="ED82" s="871"/>
      <c r="EE82" s="871"/>
      <c r="EF82" s="871"/>
      <c r="EG82" s="871"/>
      <c r="EH82" s="871"/>
      <c r="EI82" s="871"/>
      <c r="EJ82" s="871"/>
      <c r="EK82" s="871"/>
      <c r="EL82" s="871"/>
    </row>
    <row r="83" spans="1:191" s="869" customFormat="1" ht="76.5" customHeight="1">
      <c r="A83" s="6" t="e">
        <f t="shared" si="140"/>
        <v>#REF!</v>
      </c>
      <c r="B83" s="849" t="s">
        <v>29</v>
      </c>
      <c r="C83" s="1309" t="s">
        <v>114</v>
      </c>
      <c r="D83" s="1262" t="s">
        <v>141</v>
      </c>
      <c r="E83" s="887">
        <v>4632024035</v>
      </c>
      <c r="F83" s="886" t="s">
        <v>8</v>
      </c>
      <c r="G83" s="1238" t="s">
        <v>983</v>
      </c>
      <c r="H83" s="1256">
        <v>3314.9639999999995</v>
      </c>
      <c r="I83" s="1257">
        <f>H83</f>
        <v>3314.9639999999995</v>
      </c>
      <c r="J83" s="1263">
        <v>2950.21</v>
      </c>
      <c r="K83" s="891"/>
      <c r="L83" s="1256">
        <v>3314.9639999999995</v>
      </c>
      <c r="M83" s="946"/>
      <c r="N83" s="1259">
        <f>3132.14*1.2</f>
        <v>3758.5679999999998</v>
      </c>
      <c r="O83" s="1260">
        <f>N83</f>
        <v>3758.5679999999998</v>
      </c>
      <c r="P83" s="1264">
        <v>2979.71</v>
      </c>
      <c r="Q83" s="891"/>
      <c r="R83" s="891">
        <f>O83</f>
        <v>3758.5679999999998</v>
      </c>
      <c r="S83" s="946"/>
      <c r="T83" s="1307">
        <v>141.696</v>
      </c>
      <c r="U83" s="1384">
        <v>148.92600000000002</v>
      </c>
      <c r="V83" s="1384"/>
      <c r="W83" s="894"/>
      <c r="X83" s="894"/>
      <c r="Y83" s="894"/>
      <c r="Z83" s="972">
        <f t="shared" si="113"/>
        <v>290.62200000000001</v>
      </c>
      <c r="AA83" s="1386">
        <v>0</v>
      </c>
      <c r="AB83" s="1384">
        <v>111.6</v>
      </c>
      <c r="AC83" s="1366"/>
      <c r="AD83" s="890"/>
      <c r="AE83" s="890"/>
      <c r="AF83" s="890"/>
      <c r="AG83" s="951">
        <f t="shared" si="114"/>
        <v>111.6</v>
      </c>
      <c r="AH83" s="947">
        <f t="shared" ref="AH83:AH142" si="141">Z83+AG83</f>
        <v>402.22199999999998</v>
      </c>
      <c r="AI83" s="890">
        <f t="shared" si="73"/>
        <v>141.696</v>
      </c>
      <c r="AJ83" s="890">
        <f t="shared" si="73"/>
        <v>260.52600000000001</v>
      </c>
      <c r="AK83" s="890">
        <f t="shared" si="73"/>
        <v>0</v>
      </c>
      <c r="AL83" s="890">
        <f t="shared" si="73"/>
        <v>0</v>
      </c>
      <c r="AM83" s="890">
        <f t="shared" si="73"/>
        <v>0</v>
      </c>
      <c r="AN83" s="890"/>
      <c r="AO83" s="890">
        <f t="shared" si="70"/>
        <v>402.22199999999998</v>
      </c>
      <c r="AP83" s="890">
        <f t="shared" si="71"/>
        <v>402.22199999999998</v>
      </c>
      <c r="AQ83" s="952">
        <f t="shared" si="97"/>
        <v>402.22199999999998</v>
      </c>
      <c r="AR83" s="973">
        <f t="shared" si="132"/>
        <v>0</v>
      </c>
      <c r="AS83" s="889">
        <f t="shared" si="88"/>
        <v>469717.13894399995</v>
      </c>
      <c r="AT83" s="890">
        <f t="shared" si="88"/>
        <v>768606.41046000004</v>
      </c>
      <c r="AU83" s="890">
        <f t="shared" si="88"/>
        <v>0</v>
      </c>
      <c r="AV83" s="890">
        <f t="shared" si="88"/>
        <v>0</v>
      </c>
      <c r="AW83" s="890">
        <f t="shared" si="88"/>
        <v>0</v>
      </c>
      <c r="AX83" s="890">
        <f t="shared" si="98"/>
        <v>1238323.5494039999</v>
      </c>
      <c r="AY83" s="890">
        <f t="shared" si="99"/>
        <v>1238323.5494039999</v>
      </c>
      <c r="AZ83" s="890">
        <f t="shared" si="89"/>
        <v>532574.05132799991</v>
      </c>
      <c r="BA83" s="890">
        <f t="shared" si="89"/>
        <v>776291.92746000004</v>
      </c>
      <c r="BB83" s="890">
        <f t="shared" si="89"/>
        <v>0</v>
      </c>
      <c r="BC83" s="890">
        <f t="shared" si="89"/>
        <v>0</v>
      </c>
      <c r="BD83" s="890">
        <f t="shared" si="89"/>
        <v>0</v>
      </c>
      <c r="BE83" s="890">
        <f t="shared" si="100"/>
        <v>1308865.9787880001</v>
      </c>
      <c r="BF83" s="952">
        <f t="shared" si="101"/>
        <v>1308865.9787880001</v>
      </c>
      <c r="BG83" s="953">
        <f>(H83-J83)/1.2*U83/1000+(H83-K83)/1.2*V83/1000</f>
        <v>45.267795169999943</v>
      </c>
      <c r="BH83" s="954">
        <f>(O83-P83)*AB83/1000/1.2+(O83-Q83)/1.2*AC83/1000</f>
        <v>72.433793999999978</v>
      </c>
      <c r="BI83" s="955">
        <f>BG83+BH83</f>
        <v>117.70158916999992</v>
      </c>
      <c r="BJ83" s="955"/>
      <c r="BK83" s="1197"/>
      <c r="BL83" s="890">
        <f t="shared" si="109"/>
        <v>469717.13894399995</v>
      </c>
      <c r="BM83" s="890">
        <f t="shared" si="109"/>
        <v>439362.97446000006</v>
      </c>
      <c r="BN83" s="890">
        <f t="shared" si="109"/>
        <v>0</v>
      </c>
      <c r="BO83" s="890">
        <f t="shared" si="109"/>
        <v>0</v>
      </c>
      <c r="BP83" s="890">
        <f t="shared" si="109"/>
        <v>0</v>
      </c>
      <c r="BQ83" s="890">
        <f t="shared" ref="BQ83:BQ139" si="142">BL83+BM83+BN83+BO83+BP83</f>
        <v>909080.11340399995</v>
      </c>
      <c r="BR83" s="890">
        <f t="shared" ref="BR83:BR139" si="143">BQ83-BP83</f>
        <v>909080.11340399995</v>
      </c>
      <c r="BS83" s="890">
        <f t="shared" si="110"/>
        <v>0</v>
      </c>
      <c r="BT83" s="890">
        <f t="shared" si="110"/>
        <v>332535.636</v>
      </c>
      <c r="BU83" s="890">
        <f t="shared" si="110"/>
        <v>0</v>
      </c>
      <c r="BV83" s="890">
        <f t="shared" ref="BV83:BV141" si="144">R83*W83</f>
        <v>0</v>
      </c>
      <c r="BW83" s="890">
        <f t="shared" si="115"/>
        <v>0</v>
      </c>
      <c r="BX83" s="890">
        <f t="shared" ref="BX83:BX142" si="145">BS83+BT83+BU83+BV83+BW83</f>
        <v>332535.636</v>
      </c>
      <c r="BY83" s="890">
        <f t="shared" ref="BY83:BY142" si="146">BX83-BW83</f>
        <v>332535.636</v>
      </c>
      <c r="BZ83" s="945">
        <f t="shared" si="111"/>
        <v>771898.61046000011</v>
      </c>
      <c r="CA83" s="945">
        <f t="shared" si="111"/>
        <v>0</v>
      </c>
      <c r="CB83" s="945">
        <f t="shared" ref="CB83:CB142" si="147">BZ83+CA83</f>
        <v>771898.61046000011</v>
      </c>
      <c r="CC83" s="976">
        <f t="shared" si="112"/>
        <v>2962.8467425899912</v>
      </c>
      <c r="CD83" s="976" t="e">
        <f t="shared" si="112"/>
        <v>#DIV/0!</v>
      </c>
      <c r="CE83" s="976">
        <f t="shared" si="133"/>
        <v>2962.8467425899912</v>
      </c>
      <c r="CF83" s="976">
        <f t="shared" si="116"/>
        <v>2962.8467425899912</v>
      </c>
      <c r="CG83" s="977">
        <f t="shared" si="117"/>
        <v>913140.51746399992</v>
      </c>
      <c r="CH83" s="977">
        <f t="shared" si="134"/>
        <v>3504.9880528776393</v>
      </c>
      <c r="CI83" s="945"/>
      <c r="CJ83" s="1405">
        <f t="shared" si="106"/>
        <v>963.40146760799996</v>
      </c>
      <c r="CK83" s="1405">
        <f t="shared" si="102"/>
        <v>419.45618879999995</v>
      </c>
      <c r="CL83" s="1405">
        <f t="shared" si="107"/>
        <v>1382.8576564079999</v>
      </c>
      <c r="CM83" s="890">
        <f t="shared" si="135"/>
        <v>1511.7787380959999</v>
      </c>
      <c r="CN83" s="890">
        <f t="shared" si="136"/>
        <v>128.92108168799996</v>
      </c>
      <c r="CO83" s="890">
        <f t="shared" si="118"/>
        <v>1382857.6564079998</v>
      </c>
      <c r="CP83" s="890">
        <f t="shared" si="119"/>
        <v>1238323.5494039999</v>
      </c>
      <c r="CQ83" s="890">
        <f t="shared" si="120"/>
        <v>1238323.5494039999</v>
      </c>
      <c r="CR83" s="890">
        <f t="shared" si="121"/>
        <v>909080.11340399995</v>
      </c>
      <c r="CS83" s="890">
        <f t="shared" si="122"/>
        <v>1308865.9787880001</v>
      </c>
      <c r="CT83" s="890">
        <f t="shared" si="123"/>
        <v>1308865.9787880001</v>
      </c>
      <c r="CU83" s="890">
        <f t="shared" si="124"/>
        <v>332535.636</v>
      </c>
      <c r="CV83" s="890">
        <f t="shared" si="137"/>
        <v>2547189.528192</v>
      </c>
      <c r="CW83" s="978">
        <f t="shared" si="138"/>
        <v>6332.7951434580909</v>
      </c>
      <c r="CX83" s="890">
        <f t="shared" si="125"/>
        <v>768606.41046000004</v>
      </c>
      <c r="CY83" s="890">
        <f t="shared" si="126"/>
        <v>776291.92746000004</v>
      </c>
      <c r="CZ83" s="890"/>
      <c r="DA83" s="890">
        <f t="shared" si="127"/>
        <v>1333351.4500079998</v>
      </c>
      <c r="DB83" s="890">
        <f t="shared" si="128"/>
        <v>1511778.7380959999</v>
      </c>
      <c r="DC83" s="840"/>
      <c r="DD83" s="841">
        <f t="shared" si="139"/>
        <v>127.40001559211038</v>
      </c>
      <c r="DE83" s="840"/>
      <c r="DF83" s="840"/>
      <c r="DG83" s="840"/>
      <c r="DH83" s="1050"/>
      <c r="DI83" s="1050"/>
      <c r="DJ83" s="1050"/>
      <c r="DK83" s="945"/>
      <c r="DL83" s="975">
        <f t="shared" si="129"/>
        <v>0</v>
      </c>
      <c r="DM83" s="975">
        <f t="shared" si="130"/>
        <v>0</v>
      </c>
      <c r="DN83" s="975">
        <f t="shared" si="131"/>
        <v>0</v>
      </c>
      <c r="DO83" s="816"/>
      <c r="DP83" s="871"/>
      <c r="DQ83" s="871"/>
      <c r="DR83" s="871"/>
      <c r="DS83" s="871"/>
      <c r="DT83" s="871"/>
      <c r="DU83" s="871"/>
      <c r="DV83" s="871"/>
      <c r="DW83" s="871"/>
      <c r="DX83" s="871"/>
      <c r="DY83" s="871"/>
      <c r="DZ83" s="871"/>
      <c r="EA83" s="871"/>
      <c r="EB83" s="871"/>
      <c r="EC83" s="871"/>
      <c r="ED83" s="871"/>
      <c r="EE83" s="871"/>
      <c r="EF83" s="871"/>
      <c r="EG83" s="871"/>
      <c r="EH83" s="871"/>
      <c r="EI83" s="871"/>
      <c r="EJ83" s="871"/>
      <c r="EK83" s="871"/>
      <c r="EL83" s="871"/>
    </row>
    <row r="84" spans="1:191" s="50" customFormat="1" ht="71.25" customHeight="1">
      <c r="A84" s="6" t="e">
        <f t="shared" si="140"/>
        <v>#REF!</v>
      </c>
      <c r="B84" s="886" t="s">
        <v>30</v>
      </c>
      <c r="C84" s="886" t="s">
        <v>58</v>
      </c>
      <c r="D84" s="1206" t="s">
        <v>187</v>
      </c>
      <c r="E84" s="1207">
        <v>4620014875</v>
      </c>
      <c r="F84" s="886" t="s">
        <v>8</v>
      </c>
      <c r="G84" s="888" t="s">
        <v>951</v>
      </c>
      <c r="H84" s="1249">
        <v>3140.41</v>
      </c>
      <c r="I84" s="1250">
        <v>3140.41</v>
      </c>
      <c r="J84" s="891">
        <v>2439.0591660000005</v>
      </c>
      <c r="K84" s="891">
        <v>2146.2878970000002</v>
      </c>
      <c r="L84" s="891">
        <v>3140.41</v>
      </c>
      <c r="M84" s="946">
        <v>0</v>
      </c>
      <c r="N84" s="959">
        <v>3177.82</v>
      </c>
      <c r="O84" s="891">
        <v>3177.82</v>
      </c>
      <c r="P84" s="891">
        <v>2670.77</v>
      </c>
      <c r="Q84" s="891">
        <v>2455.14</v>
      </c>
      <c r="R84" s="891">
        <v>3177.82</v>
      </c>
      <c r="S84" s="946">
        <v>0</v>
      </c>
      <c r="T84" s="935">
        <v>7557.3</v>
      </c>
      <c r="U84" s="931">
        <v>11066.73</v>
      </c>
      <c r="V84" s="928">
        <v>345.45</v>
      </c>
      <c r="W84" s="928">
        <v>707.17</v>
      </c>
      <c r="X84" s="931">
        <v>0</v>
      </c>
      <c r="Y84" s="931">
        <v>0</v>
      </c>
      <c r="Z84" s="949">
        <f>SUM(T84:W84)</f>
        <v>19676.649999999998</v>
      </c>
      <c r="AA84" s="939">
        <v>5389.19</v>
      </c>
      <c r="AB84" s="931">
        <v>7597.99</v>
      </c>
      <c r="AC84" s="928">
        <v>203.92</v>
      </c>
      <c r="AD84" s="928">
        <v>301.64</v>
      </c>
      <c r="AE84" s="931">
        <v>0</v>
      </c>
      <c r="AF84" s="931">
        <v>0</v>
      </c>
      <c r="AG84" s="951">
        <f>SUM(AA84:AD84)</f>
        <v>13492.74</v>
      </c>
      <c r="AH84" s="947">
        <f>Z84+AG84</f>
        <v>33169.39</v>
      </c>
      <c r="AI84" s="890">
        <f>T84+AA84</f>
        <v>12946.49</v>
      </c>
      <c r="AJ84" s="890">
        <f t="shared" si="73"/>
        <v>18664.72</v>
      </c>
      <c r="AK84" s="890">
        <f t="shared" si="73"/>
        <v>549.37</v>
      </c>
      <c r="AL84" s="890">
        <f t="shared" si="73"/>
        <v>1008.81</v>
      </c>
      <c r="AM84" s="890">
        <f t="shared" si="73"/>
        <v>0</v>
      </c>
      <c r="AN84" s="890">
        <v>0</v>
      </c>
      <c r="AO84" s="890">
        <f>SUM(AI84:AN84)</f>
        <v>33169.39</v>
      </c>
      <c r="AP84" s="890">
        <f>SUM(AI84:AM84)</f>
        <v>33169.39</v>
      </c>
      <c r="AQ84" s="952">
        <f>SUM(AI84:AL84)</f>
        <v>33169.39</v>
      </c>
      <c r="AR84" s="973">
        <f t="shared" si="132"/>
        <v>0</v>
      </c>
      <c r="AS84" s="889">
        <f t="shared" si="88"/>
        <v>40657286.660899997</v>
      </c>
      <c r="AT84" s="890">
        <f t="shared" si="88"/>
        <v>45524356.396823533</v>
      </c>
      <c r="AU84" s="890">
        <f t="shared" si="88"/>
        <v>1179106.1819748902</v>
      </c>
      <c r="AV84" s="890">
        <f t="shared" si="88"/>
        <v>3168077.0120999995</v>
      </c>
      <c r="AW84" s="890">
        <f t="shared" si="88"/>
        <v>0</v>
      </c>
      <c r="AX84" s="890">
        <f t="shared" si="98"/>
        <v>90528826.251798406</v>
      </c>
      <c r="AY84" s="890">
        <f t="shared" si="99"/>
        <v>90528826.251798406</v>
      </c>
      <c r="AZ84" s="890">
        <f t="shared" si="89"/>
        <v>41141614.851800002</v>
      </c>
      <c r="BA84" s="890">
        <f t="shared" si="89"/>
        <v>49849174.234400004</v>
      </c>
      <c r="BB84" s="890">
        <f t="shared" si="89"/>
        <v>1348780.2618</v>
      </c>
      <c r="BC84" s="890">
        <f t="shared" si="89"/>
        <v>3205816.5942000002</v>
      </c>
      <c r="BD84" s="890">
        <f t="shared" si="89"/>
        <v>0</v>
      </c>
      <c r="BE84" s="890">
        <f t="shared" si="100"/>
        <v>95545385.942200005</v>
      </c>
      <c r="BF84" s="952">
        <f t="shared" si="101"/>
        <v>95545385.942200005</v>
      </c>
      <c r="BG84" s="950">
        <v>8105.12</v>
      </c>
      <c r="BH84" s="948">
        <v>3999.9119999999998</v>
      </c>
      <c r="BI84" s="948">
        <v>12105.031999999999</v>
      </c>
      <c r="BJ84" s="894">
        <v>104670.28</v>
      </c>
      <c r="BK84" s="1200">
        <v>117889.14</v>
      </c>
      <c r="BL84" s="897">
        <f>I84*T84</f>
        <v>23733020.493000001</v>
      </c>
      <c r="BM84" s="897">
        <f t="shared" si="109"/>
        <v>26992409.244147185</v>
      </c>
      <c r="BN84" s="897">
        <f t="shared" si="109"/>
        <v>741435.15401865006</v>
      </c>
      <c r="BO84" s="897">
        <f t="shared" si="109"/>
        <v>2220803.7396999998</v>
      </c>
      <c r="BP84" s="897">
        <f t="shared" si="109"/>
        <v>0</v>
      </c>
      <c r="BQ84" s="897">
        <f t="shared" si="142"/>
        <v>53687668.630865827</v>
      </c>
      <c r="BR84" s="897">
        <f t="shared" si="143"/>
        <v>53687668.630865827</v>
      </c>
      <c r="BS84" s="897">
        <f t="shared" si="110"/>
        <v>17125875.765799999</v>
      </c>
      <c r="BT84" s="897">
        <f t="shared" si="110"/>
        <v>20292483.752299998</v>
      </c>
      <c r="BU84" s="897">
        <f t="shared" si="110"/>
        <v>500652.14879999997</v>
      </c>
      <c r="BV84" s="897">
        <f t="shared" si="144"/>
        <v>2247258.9693999998</v>
      </c>
      <c r="BW84" s="897">
        <f t="shared" si="115"/>
        <v>0</v>
      </c>
      <c r="BX84" s="897">
        <f t="shared" si="145"/>
        <v>40166270.636299998</v>
      </c>
      <c r="BY84" s="897">
        <f t="shared" si="146"/>
        <v>40166270.636299998</v>
      </c>
      <c r="BZ84" s="905">
        <f t="shared" si="111"/>
        <v>47284892.996447183</v>
      </c>
      <c r="CA84" s="905">
        <f t="shared" si="111"/>
        <v>1242087.3028186499</v>
      </c>
      <c r="CB84" s="905">
        <f t="shared" si="147"/>
        <v>48526980.299265832</v>
      </c>
      <c r="CC84" s="907">
        <f t="shared" si="112"/>
        <v>2533.3834633708507</v>
      </c>
      <c r="CD84" s="907">
        <f t="shared" si="112"/>
        <v>2260.9303435183028</v>
      </c>
      <c r="CE84" s="907">
        <f t="shared" si="133"/>
        <v>2525.5934732930796</v>
      </c>
      <c r="CF84" s="907">
        <f t="shared" si="116"/>
        <v>2525.5934732930805</v>
      </c>
      <c r="CG84" s="923">
        <f t="shared" si="117"/>
        <v>60631989.829999998</v>
      </c>
      <c r="CH84" s="923">
        <f t="shared" si="134"/>
        <v>3155.6003864872077</v>
      </c>
      <c r="CI84" s="979"/>
      <c r="CJ84" s="1405">
        <f t="shared" si="106"/>
        <v>61792.748426499995</v>
      </c>
      <c r="CK84" s="1405">
        <f t="shared" si="102"/>
        <v>42877.499026799996</v>
      </c>
      <c r="CL84" s="1405">
        <f t="shared" si="107"/>
        <v>104670.24745329999</v>
      </c>
      <c r="CM84" s="897">
        <f t="shared" si="135"/>
        <v>105406.3509298</v>
      </c>
      <c r="CN84" s="897">
        <f t="shared" si="136"/>
        <v>736.10347650000767</v>
      </c>
      <c r="CO84" s="897">
        <f t="shared" si="118"/>
        <v>104670247.4533</v>
      </c>
      <c r="CP84" s="897">
        <f t="shared" si="119"/>
        <v>90528826.251798406</v>
      </c>
      <c r="CQ84" s="897">
        <f t="shared" si="120"/>
        <v>90689666.00384894</v>
      </c>
      <c r="CR84" s="897">
        <f t="shared" si="121"/>
        <v>53687668.630865827</v>
      </c>
      <c r="CS84" s="897">
        <f t="shared" si="122"/>
        <v>95545385.942200005</v>
      </c>
      <c r="CT84" s="897">
        <f t="shared" si="123"/>
        <v>95663846.595300004</v>
      </c>
      <c r="CU84" s="897">
        <f t="shared" si="124"/>
        <v>38877569.291699991</v>
      </c>
      <c r="CV84" s="897">
        <f t="shared" si="137"/>
        <v>186074212.1939984</v>
      </c>
      <c r="CW84" s="906">
        <f t="shared" si="138"/>
        <v>5609.8171294075173</v>
      </c>
      <c r="CX84" s="897">
        <f t="shared" si="125"/>
        <v>46703462.578798421</v>
      </c>
      <c r="CY84" s="897">
        <f t="shared" si="126"/>
        <v>51197954.496200003</v>
      </c>
      <c r="CZ84" s="897"/>
      <c r="DA84" s="897">
        <f t="shared" si="127"/>
        <v>104165484.04990001</v>
      </c>
      <c r="DB84" s="897">
        <f t="shared" si="128"/>
        <v>105406350.9298</v>
      </c>
      <c r="DC84" s="1131"/>
      <c r="DD84" s="40">
        <f t="shared" si="139"/>
        <v>130.28876233500927</v>
      </c>
      <c r="DE84" s="1131"/>
      <c r="DF84" s="1131"/>
      <c r="DG84" s="1131"/>
      <c r="DH84" s="1043">
        <v>31206.009999999995</v>
      </c>
      <c r="DI84" s="1043">
        <v>17533.340000000004</v>
      </c>
      <c r="DJ84" s="1043">
        <f t="shared" si="108"/>
        <v>13672.669999999991</v>
      </c>
      <c r="DK84" s="979"/>
      <c r="DL84" s="908">
        <f t="shared" si="129"/>
        <v>0</v>
      </c>
      <c r="DM84" s="908">
        <f t="shared" si="130"/>
        <v>0</v>
      </c>
      <c r="DN84" s="908">
        <f t="shared" si="131"/>
        <v>0</v>
      </c>
      <c r="DO84" s="81"/>
      <c r="DP84" s="81"/>
      <c r="DQ84" s="81"/>
      <c r="DR84" s="81"/>
      <c r="DS84" s="81"/>
      <c r="DT84" s="81"/>
      <c r="DU84" s="81"/>
      <c r="DV84" s="81"/>
      <c r="DW84" s="81"/>
      <c r="DX84" s="81"/>
      <c r="DY84" s="81"/>
      <c r="DZ84" s="81"/>
      <c r="EA84" s="81"/>
      <c r="EB84" s="81"/>
      <c r="EC84" s="81"/>
      <c r="ED84" s="81"/>
      <c r="EE84" s="81"/>
      <c r="EF84" s="81"/>
      <c r="EG84" s="81"/>
      <c r="EH84" s="81"/>
      <c r="EI84" s="81"/>
      <c r="EJ84" s="81"/>
      <c r="EK84" s="81"/>
      <c r="EL84" s="81"/>
    </row>
    <row r="85" spans="1:191" s="50" customFormat="1" ht="75" customHeight="1">
      <c r="A85" s="6" t="e">
        <f t="shared" si="140"/>
        <v>#REF!</v>
      </c>
      <c r="B85" s="886" t="s">
        <v>30</v>
      </c>
      <c r="C85" s="1219" t="s">
        <v>260</v>
      </c>
      <c r="D85" s="1219" t="s">
        <v>31</v>
      </c>
      <c r="E85" s="1221">
        <v>4620001192</v>
      </c>
      <c r="F85" s="1219" t="s">
        <v>8</v>
      </c>
      <c r="G85" s="1222" t="s">
        <v>965</v>
      </c>
      <c r="H85" s="1241">
        <v>2050.1880000000001</v>
      </c>
      <c r="I85" s="1242">
        <v>2050.1880000000001</v>
      </c>
      <c r="J85" s="891">
        <v>1896.4199999999998</v>
      </c>
      <c r="K85" s="891">
        <v>1896.4199999999998</v>
      </c>
      <c r="L85" s="891">
        <v>2050.1880000000001</v>
      </c>
      <c r="M85" s="926">
        <v>0</v>
      </c>
      <c r="N85" s="927">
        <f>2050.18893913138*1.2</f>
        <v>2460.2267269576555</v>
      </c>
      <c r="O85" s="928">
        <f>N85</f>
        <v>2460.2267269576555</v>
      </c>
      <c r="P85" s="928">
        <f>1807.92494615735*1.2</f>
        <v>2169.5099353888199</v>
      </c>
      <c r="Q85" s="928">
        <f>P85</f>
        <v>2169.5099353888199</v>
      </c>
      <c r="R85" s="891">
        <f>O85</f>
        <v>2460.2267269576555</v>
      </c>
      <c r="S85" s="926">
        <v>0</v>
      </c>
      <c r="T85" s="903">
        <v>2390.88</v>
      </c>
      <c r="U85" s="987">
        <v>4364.71</v>
      </c>
      <c r="V85" s="1006">
        <v>707.27999999999975</v>
      </c>
      <c r="W85" s="897">
        <v>625.04</v>
      </c>
      <c r="X85" s="897">
        <v>0</v>
      </c>
      <c r="Y85" s="987">
        <v>4797.92</v>
      </c>
      <c r="Z85" s="898">
        <f t="shared" si="113"/>
        <v>8087.91</v>
      </c>
      <c r="AA85" s="904">
        <v>1905.9</v>
      </c>
      <c r="AB85" s="987">
        <v>3273.54</v>
      </c>
      <c r="AC85" s="987">
        <v>707.27999999999975</v>
      </c>
      <c r="AD85" s="897">
        <v>471.22</v>
      </c>
      <c r="AE85" s="897">
        <v>0</v>
      </c>
      <c r="AF85" s="987">
        <v>3767.16</v>
      </c>
      <c r="AG85" s="900">
        <f t="shared" si="114"/>
        <v>6357.9400000000005</v>
      </c>
      <c r="AH85" s="896">
        <f t="shared" si="141"/>
        <v>14445.85</v>
      </c>
      <c r="AI85" s="897">
        <f t="shared" ref="AI85:AN138" si="148">T85+AA85</f>
        <v>4296.7800000000007</v>
      </c>
      <c r="AJ85" s="897">
        <f t="shared" si="148"/>
        <v>7638.25</v>
      </c>
      <c r="AK85" s="897">
        <f t="shared" si="148"/>
        <v>1414.5599999999995</v>
      </c>
      <c r="AL85" s="897">
        <f t="shared" si="148"/>
        <v>1096.26</v>
      </c>
      <c r="AM85" s="897">
        <f t="shared" si="148"/>
        <v>0</v>
      </c>
      <c r="AN85" s="897">
        <f t="shared" si="148"/>
        <v>8565.08</v>
      </c>
      <c r="AO85" s="897">
        <f t="shared" si="70"/>
        <v>23010.93</v>
      </c>
      <c r="AP85" s="897">
        <f t="shared" si="71"/>
        <v>14445.85</v>
      </c>
      <c r="AQ85" s="901">
        <f t="shared" si="97"/>
        <v>14445.85</v>
      </c>
      <c r="AR85" s="902">
        <f t="shared" si="132"/>
        <v>0</v>
      </c>
      <c r="AS85" s="903">
        <f t="shared" si="88"/>
        <v>8809206.7946400009</v>
      </c>
      <c r="AT85" s="897">
        <f t="shared" si="88"/>
        <v>14485330.064999999</v>
      </c>
      <c r="AU85" s="897">
        <f t="shared" si="88"/>
        <v>2682599.8751999987</v>
      </c>
      <c r="AV85" s="897">
        <f t="shared" si="88"/>
        <v>2247539.0968800001</v>
      </c>
      <c r="AW85" s="897">
        <f t="shared" si="88"/>
        <v>0</v>
      </c>
      <c r="AX85" s="897">
        <f t="shared" si="98"/>
        <v>28224675.831720002</v>
      </c>
      <c r="AY85" s="897">
        <f t="shared" si="99"/>
        <v>28224675.831720002</v>
      </c>
      <c r="AZ85" s="897">
        <f t="shared" si="89"/>
        <v>10571052.995857116</v>
      </c>
      <c r="BA85" s="897">
        <f t="shared" si="89"/>
        <v>16571259.263983654</v>
      </c>
      <c r="BB85" s="897">
        <f t="shared" si="89"/>
        <v>3068901.974203608</v>
      </c>
      <c r="BC85" s="897">
        <f t="shared" si="89"/>
        <v>2697048.1516945995</v>
      </c>
      <c r="BD85" s="897">
        <f t="shared" si="89"/>
        <v>0</v>
      </c>
      <c r="BE85" s="897">
        <f t="shared" si="100"/>
        <v>32908262.38573898</v>
      </c>
      <c r="BF85" s="901">
        <f t="shared" si="101"/>
        <v>32908262.38573898</v>
      </c>
      <c r="BG85" s="899">
        <v>649.90861233655869</v>
      </c>
      <c r="BH85" s="922">
        <v>964.40934851085399</v>
      </c>
      <c r="BI85" s="922">
        <f>BG85+BH85</f>
        <v>1614.3179608474127</v>
      </c>
      <c r="BJ85" s="897">
        <v>34826.84702621006</v>
      </c>
      <c r="BK85" s="1194">
        <v>42449.653741911432</v>
      </c>
      <c r="BL85" s="897">
        <f t="shared" si="109"/>
        <v>4901753.4854400009</v>
      </c>
      <c r="BM85" s="897">
        <f>J85*U85</f>
        <v>8277323.3381999992</v>
      </c>
      <c r="BN85" s="897">
        <f>K85*V85</f>
        <v>1341299.9375999994</v>
      </c>
      <c r="BO85" s="897">
        <f>L85*W85</f>
        <v>1281449.50752</v>
      </c>
      <c r="BP85" s="897">
        <f t="shared" si="109"/>
        <v>0</v>
      </c>
      <c r="BQ85" s="897">
        <f>BL85+BM85+BN85+BO85+BP85</f>
        <v>15801826.268759999</v>
      </c>
      <c r="BR85" s="897">
        <f>BQ85-BP85</f>
        <v>15801826.268759999</v>
      </c>
      <c r="BS85" s="897">
        <f t="shared" si="110"/>
        <v>4688946.1189085962</v>
      </c>
      <c r="BT85" s="897">
        <f t="shared" si="110"/>
        <v>7101977.5538927177</v>
      </c>
      <c r="BU85" s="897">
        <f t="shared" si="110"/>
        <v>1534450.987101804</v>
      </c>
      <c r="BV85" s="897">
        <f t="shared" si="144"/>
        <v>1537740.1134176129</v>
      </c>
      <c r="BW85" s="897">
        <f t="shared" si="115"/>
        <v>0</v>
      </c>
      <c r="BX85" s="897">
        <f t="shared" si="145"/>
        <v>14863114.773320731</v>
      </c>
      <c r="BY85" s="897">
        <f t="shared" si="146"/>
        <v>14863114.773320731</v>
      </c>
      <c r="BZ85" s="905">
        <f t="shared" si="111"/>
        <v>15379300.892092716</v>
      </c>
      <c r="CA85" s="905">
        <f t="shared" si="111"/>
        <v>2875750.9247018034</v>
      </c>
      <c r="CB85" s="905">
        <f t="shared" si="147"/>
        <v>18255051.816794518</v>
      </c>
      <c r="CC85" s="907">
        <f t="shared" si="112"/>
        <v>2013.4586969649745</v>
      </c>
      <c r="CD85" s="907">
        <f t="shared" si="112"/>
        <v>2032.9649676944098</v>
      </c>
      <c r="CE85" s="907">
        <f t="shared" si="133"/>
        <v>2016.5066776828985</v>
      </c>
      <c r="CF85" s="907">
        <f t="shared" si="116"/>
        <v>2016.5066776828987</v>
      </c>
      <c r="CG85" s="923">
        <f t="shared" si="117"/>
        <v>20192252.793327574</v>
      </c>
      <c r="CH85" s="923">
        <f t="shared" si="134"/>
        <v>2230.4955912393584</v>
      </c>
      <c r="CI85" s="979"/>
      <c r="CJ85" s="1405">
        <f t="shared" si="106"/>
        <v>16581.736027080002</v>
      </c>
      <c r="CK85" s="1405">
        <f t="shared" si="102"/>
        <v>15641.973916393157</v>
      </c>
      <c r="CL85" s="1405">
        <f t="shared" si="107"/>
        <v>32223.709943473157</v>
      </c>
      <c r="CM85" s="897">
        <f t="shared" si="135"/>
        <v>35540.066263621251</v>
      </c>
      <c r="CN85" s="897">
        <f t="shared" si="136"/>
        <v>3316.3563201480938</v>
      </c>
      <c r="CO85" s="897">
        <f t="shared" si="118"/>
        <v>32223709.94347316</v>
      </c>
      <c r="CP85" s="897">
        <f t="shared" si="119"/>
        <v>28224675.831720002</v>
      </c>
      <c r="CQ85" s="897">
        <f t="shared" si="120"/>
        <v>28224675.831719998</v>
      </c>
      <c r="CR85" s="897">
        <f t="shared" si="121"/>
        <v>15801826.268759999</v>
      </c>
      <c r="CS85" s="897">
        <f t="shared" si="122"/>
        <v>32908262.38573898</v>
      </c>
      <c r="CT85" s="897">
        <f t="shared" si="123"/>
        <v>32908262.385738976</v>
      </c>
      <c r="CU85" s="897">
        <f t="shared" si="124"/>
        <v>14484682.698180106</v>
      </c>
      <c r="CV85" s="897">
        <f t="shared" si="137"/>
        <v>61132938.217458978</v>
      </c>
      <c r="CW85" s="906">
        <f t="shared" si="138"/>
        <v>4231.8685447695343</v>
      </c>
      <c r="CX85" s="897">
        <f t="shared" si="125"/>
        <v>17167929.940199997</v>
      </c>
      <c r="CY85" s="897">
        <f t="shared" si="126"/>
        <v>19640161.238187261</v>
      </c>
      <c r="CZ85" s="897"/>
      <c r="DA85" s="897">
        <f t="shared" si="127"/>
        <v>29616708.319800001</v>
      </c>
      <c r="DB85" s="897">
        <f t="shared" si="128"/>
        <v>35540066.263621241</v>
      </c>
      <c r="DC85" s="1131"/>
      <c r="DD85" s="40">
        <f t="shared" si="139"/>
        <v>129.73005594528934</v>
      </c>
      <c r="DE85" s="1131"/>
      <c r="DF85" s="1131"/>
      <c r="DG85" s="1131"/>
      <c r="DH85" s="1043">
        <f>AP85</f>
        <v>14445.85</v>
      </c>
      <c r="DI85" s="1043">
        <f>AJ85+AK85</f>
        <v>9052.81</v>
      </c>
      <c r="DJ85" s="1043">
        <f>DH85-DI85</f>
        <v>5393.0400000000009</v>
      </c>
      <c r="DK85" s="979"/>
      <c r="DL85" s="908">
        <f t="shared" si="129"/>
        <v>0</v>
      </c>
      <c r="DM85" s="908">
        <f t="shared" si="130"/>
        <v>0</v>
      </c>
      <c r="DN85" s="908">
        <f t="shared" si="131"/>
        <v>0</v>
      </c>
      <c r="DO85" s="81"/>
      <c r="DP85" s="81"/>
      <c r="DQ85" s="81"/>
      <c r="DR85" s="81"/>
      <c r="DS85" s="81"/>
      <c r="DT85" s="81"/>
      <c r="DU85" s="81"/>
      <c r="DV85" s="81"/>
      <c r="DW85" s="81"/>
      <c r="DX85" s="81"/>
      <c r="DY85" s="81"/>
      <c r="DZ85" s="81"/>
      <c r="EA85" s="81"/>
      <c r="EB85" s="81"/>
      <c r="EC85" s="81"/>
      <c r="ED85" s="81"/>
      <c r="EE85" s="81"/>
      <c r="EF85" s="81"/>
      <c r="EG85" s="81"/>
      <c r="EH85" s="81"/>
      <c r="EI85" s="81"/>
      <c r="EJ85" s="81"/>
      <c r="EK85" s="81"/>
      <c r="EL85" s="81"/>
    </row>
    <row r="86" spans="1:191" s="869" customFormat="1" ht="77.25" customHeight="1">
      <c r="A86" s="6" t="e">
        <f t="shared" si="140"/>
        <v>#REF!</v>
      </c>
      <c r="B86" s="956" t="s">
        <v>30</v>
      </c>
      <c r="C86" s="1309" t="s">
        <v>260</v>
      </c>
      <c r="D86" s="1262" t="s">
        <v>141</v>
      </c>
      <c r="E86" s="887">
        <v>4632024035</v>
      </c>
      <c r="F86" s="956" t="s">
        <v>8</v>
      </c>
      <c r="G86" s="1238" t="s">
        <v>983</v>
      </c>
      <c r="H86" s="1256">
        <v>3314.9639999999995</v>
      </c>
      <c r="I86" s="1257">
        <f>H86</f>
        <v>3314.9639999999995</v>
      </c>
      <c r="J86" s="1263">
        <v>2950.21</v>
      </c>
      <c r="K86" s="891"/>
      <c r="L86" s="1256">
        <v>3314.9639999999995</v>
      </c>
      <c r="M86" s="972"/>
      <c r="N86" s="1259">
        <f>3132.14*1.2</f>
        <v>3758.5679999999998</v>
      </c>
      <c r="O86" s="1260">
        <f>N86</f>
        <v>3758.5679999999998</v>
      </c>
      <c r="P86" s="1264">
        <v>2979.71</v>
      </c>
      <c r="Q86" s="891"/>
      <c r="R86" s="891">
        <f>O86</f>
        <v>3758.5679999999998</v>
      </c>
      <c r="S86" s="972"/>
      <c r="T86" s="1307">
        <v>952.01199999999994</v>
      </c>
      <c r="U86" s="1366">
        <v>63.687000000000005</v>
      </c>
      <c r="V86" s="1366"/>
      <c r="W86" s="890"/>
      <c r="X86" s="890"/>
      <c r="Y86" s="890"/>
      <c r="Z86" s="949">
        <f t="shared" si="113"/>
        <v>1015.699</v>
      </c>
      <c r="AA86" s="1308">
        <v>562.6</v>
      </c>
      <c r="AB86" s="1366">
        <v>47.76</v>
      </c>
      <c r="AC86" s="1366"/>
      <c r="AD86" s="890"/>
      <c r="AE86" s="890"/>
      <c r="AF86" s="890"/>
      <c r="AG86" s="951">
        <f t="shared" si="114"/>
        <v>610.36</v>
      </c>
      <c r="AH86" s="947">
        <f t="shared" si="141"/>
        <v>1626.059</v>
      </c>
      <c r="AI86" s="890">
        <f t="shared" si="148"/>
        <v>1514.6120000000001</v>
      </c>
      <c r="AJ86" s="890">
        <f t="shared" si="148"/>
        <v>111.447</v>
      </c>
      <c r="AK86" s="890">
        <f t="shared" si="148"/>
        <v>0</v>
      </c>
      <c r="AL86" s="890">
        <f t="shared" si="148"/>
        <v>0</v>
      </c>
      <c r="AM86" s="890">
        <f t="shared" si="148"/>
        <v>0</v>
      </c>
      <c r="AN86" s="890"/>
      <c r="AO86" s="890">
        <f t="shared" si="70"/>
        <v>1626.0590000000002</v>
      </c>
      <c r="AP86" s="890">
        <f t="shared" si="71"/>
        <v>1626.0590000000002</v>
      </c>
      <c r="AQ86" s="952">
        <f t="shared" si="97"/>
        <v>1626.0590000000002</v>
      </c>
      <c r="AR86" s="973">
        <f t="shared" si="132"/>
        <v>0</v>
      </c>
      <c r="AS86" s="889">
        <f t="shared" ref="AS86:AW101" si="149">I86*AI86</f>
        <v>5020884.2539679995</v>
      </c>
      <c r="AT86" s="890">
        <f t="shared" si="149"/>
        <v>328792.05387</v>
      </c>
      <c r="AU86" s="890">
        <f t="shared" si="149"/>
        <v>0</v>
      </c>
      <c r="AV86" s="890">
        <f t="shared" si="149"/>
        <v>0</v>
      </c>
      <c r="AW86" s="890">
        <f t="shared" si="149"/>
        <v>0</v>
      </c>
      <c r="AX86" s="890">
        <f t="shared" si="98"/>
        <v>5349676.3078379994</v>
      </c>
      <c r="AY86" s="890">
        <f t="shared" si="99"/>
        <v>5349676.3078379994</v>
      </c>
      <c r="AZ86" s="890">
        <f t="shared" ref="AZ86:BD101" si="150">O86*AI86</f>
        <v>5692772.1956160003</v>
      </c>
      <c r="BA86" s="890">
        <f t="shared" si="150"/>
        <v>332079.74037000001</v>
      </c>
      <c r="BB86" s="890">
        <f t="shared" si="150"/>
        <v>0</v>
      </c>
      <c r="BC86" s="890">
        <f t="shared" si="150"/>
        <v>0</v>
      </c>
      <c r="BD86" s="890">
        <f t="shared" si="150"/>
        <v>0</v>
      </c>
      <c r="BE86" s="890">
        <f t="shared" si="100"/>
        <v>6024851.9359860001</v>
      </c>
      <c r="BF86" s="952">
        <f t="shared" si="101"/>
        <v>6024851.9359860001</v>
      </c>
      <c r="BG86" s="953">
        <f>(H86-J86)/1.2*U86/1000+(H86-K86)/1.2*V86/1000</f>
        <v>19.358406664999972</v>
      </c>
      <c r="BH86" s="954">
        <f>(O86-P86)*AB86/1000/1.2+(O86-Q86)/1.2*AC86/1000</f>
        <v>30.99854839999999</v>
      </c>
      <c r="BI86" s="955">
        <f>BG86+BH86</f>
        <v>50.356955064999966</v>
      </c>
      <c r="BJ86" s="948"/>
      <c r="BK86" s="1202"/>
      <c r="BL86" s="890">
        <f t="shared" si="109"/>
        <v>3155885.5075679994</v>
      </c>
      <c r="BM86" s="890">
        <f t="shared" si="109"/>
        <v>187890.02427000002</v>
      </c>
      <c r="BN86" s="890">
        <f t="shared" si="109"/>
        <v>0</v>
      </c>
      <c r="BO86" s="890">
        <f t="shared" si="109"/>
        <v>0</v>
      </c>
      <c r="BP86" s="890">
        <f t="shared" si="109"/>
        <v>0</v>
      </c>
      <c r="BQ86" s="890">
        <f t="shared" si="142"/>
        <v>3343775.5318379994</v>
      </c>
      <c r="BR86" s="890">
        <f t="shared" si="143"/>
        <v>3343775.5318379994</v>
      </c>
      <c r="BS86" s="890">
        <f t="shared" si="110"/>
        <v>2114570.3567999997</v>
      </c>
      <c r="BT86" s="890">
        <f t="shared" si="110"/>
        <v>142310.94959999999</v>
      </c>
      <c r="BU86" s="890">
        <f t="shared" si="110"/>
        <v>0</v>
      </c>
      <c r="BV86" s="890">
        <f t="shared" si="144"/>
        <v>0</v>
      </c>
      <c r="BW86" s="890">
        <f t="shared" si="115"/>
        <v>0</v>
      </c>
      <c r="BX86" s="890">
        <f t="shared" si="145"/>
        <v>2256881.3063999997</v>
      </c>
      <c r="BY86" s="890">
        <f t="shared" si="146"/>
        <v>2256881.3063999997</v>
      </c>
      <c r="BZ86" s="945">
        <f t="shared" si="111"/>
        <v>330200.97386999999</v>
      </c>
      <c r="CA86" s="945">
        <f t="shared" si="111"/>
        <v>0</v>
      </c>
      <c r="CB86" s="945">
        <f t="shared" si="147"/>
        <v>330200.97386999999</v>
      </c>
      <c r="CC86" s="976">
        <f t="shared" si="112"/>
        <v>2962.8520630434195</v>
      </c>
      <c r="CD86" s="976" t="e">
        <f t="shared" si="112"/>
        <v>#DIV/0!</v>
      </c>
      <c r="CE86" s="976">
        <f t="shared" si="133"/>
        <v>2962.8520630434195</v>
      </c>
      <c r="CF86" s="976">
        <f t="shared" si="116"/>
        <v>2962.8520630434195</v>
      </c>
      <c r="CG86" s="977">
        <f t="shared" si="117"/>
        <v>390629.31994800002</v>
      </c>
      <c r="CH86" s="977">
        <f t="shared" si="134"/>
        <v>3505.0680587902771</v>
      </c>
      <c r="CI86" s="945"/>
      <c r="CJ86" s="1405">
        <f t="shared" si="106"/>
        <v>3367.0056198359994</v>
      </c>
      <c r="CK86" s="1405">
        <f t="shared" si="102"/>
        <v>2294.0795644799996</v>
      </c>
      <c r="CL86" s="1405">
        <f t="shared" si="107"/>
        <v>5661.085184315999</v>
      </c>
      <c r="CM86" s="890">
        <f t="shared" si="135"/>
        <v>6111.6533235119987</v>
      </c>
      <c r="CN86" s="890">
        <f t="shared" si="136"/>
        <v>450.56813919599972</v>
      </c>
      <c r="CO86" s="890">
        <f t="shared" si="118"/>
        <v>5661085.184315999</v>
      </c>
      <c r="CP86" s="890">
        <f t="shared" si="119"/>
        <v>5349676.3078379994</v>
      </c>
      <c r="CQ86" s="890">
        <f t="shared" si="120"/>
        <v>5349676.3078379994</v>
      </c>
      <c r="CR86" s="890">
        <f t="shared" si="121"/>
        <v>3343775.5318379994</v>
      </c>
      <c r="CS86" s="890">
        <f t="shared" si="122"/>
        <v>6024851.9359860001</v>
      </c>
      <c r="CT86" s="890">
        <f t="shared" si="123"/>
        <v>6024851.9359860001</v>
      </c>
      <c r="CU86" s="890">
        <f t="shared" si="124"/>
        <v>2256881.3063999997</v>
      </c>
      <c r="CV86" s="890">
        <f t="shared" si="137"/>
        <v>11374528.243824</v>
      </c>
      <c r="CW86" s="978">
        <f t="shared" si="138"/>
        <v>6995.1510024076615</v>
      </c>
      <c r="CX86" s="890">
        <f t="shared" si="125"/>
        <v>328792.05387</v>
      </c>
      <c r="CY86" s="890">
        <f t="shared" si="126"/>
        <v>332079.74037000001</v>
      </c>
      <c r="CZ86" s="890"/>
      <c r="DA86" s="890">
        <f t="shared" si="127"/>
        <v>5390327.0468759993</v>
      </c>
      <c r="DB86" s="890">
        <f t="shared" si="128"/>
        <v>6111653.323512</v>
      </c>
      <c r="DC86" s="840"/>
      <c r="DD86" s="841">
        <f t="shared" si="139"/>
        <v>127.40001559211038</v>
      </c>
      <c r="DE86" s="840"/>
      <c r="DF86" s="840"/>
      <c r="DG86" s="840"/>
      <c r="DH86" s="1050"/>
      <c r="DI86" s="1050"/>
      <c r="DJ86" s="1050"/>
      <c r="DK86" s="945"/>
      <c r="DL86" s="975">
        <f t="shared" si="129"/>
        <v>0</v>
      </c>
      <c r="DM86" s="975">
        <f t="shared" si="130"/>
        <v>0</v>
      </c>
      <c r="DN86" s="975">
        <f t="shared" si="131"/>
        <v>0</v>
      </c>
      <c r="DO86" s="816"/>
      <c r="DP86" s="871"/>
      <c r="DQ86" s="871"/>
      <c r="DR86" s="871"/>
      <c r="DS86" s="871"/>
      <c r="DT86" s="871"/>
      <c r="DU86" s="871"/>
      <c r="DV86" s="871"/>
      <c r="DW86" s="871"/>
      <c r="DX86" s="871"/>
      <c r="DY86" s="871"/>
      <c r="DZ86" s="871"/>
      <c r="EA86" s="871"/>
      <c r="EB86" s="871"/>
      <c r="EC86" s="871"/>
      <c r="ED86" s="871"/>
      <c r="EE86" s="871"/>
      <c r="EF86" s="871"/>
      <c r="EG86" s="871"/>
      <c r="EH86" s="871"/>
      <c r="EI86" s="871"/>
      <c r="EJ86" s="871"/>
      <c r="EK86" s="871"/>
      <c r="EL86" s="871"/>
    </row>
    <row r="87" spans="1:191" s="50" customFormat="1" ht="69" customHeight="1">
      <c r="A87" s="6" t="e">
        <f t="shared" si="140"/>
        <v>#REF!</v>
      </c>
      <c r="B87" s="956" t="s">
        <v>30</v>
      </c>
      <c r="C87" s="886" t="s">
        <v>260</v>
      </c>
      <c r="D87" s="1206" t="s">
        <v>187</v>
      </c>
      <c r="E87" s="1207">
        <v>4620014875</v>
      </c>
      <c r="F87" s="886" t="s">
        <v>8</v>
      </c>
      <c r="G87" s="888" t="s">
        <v>951</v>
      </c>
      <c r="H87" s="1254">
        <v>2051.0100000000002</v>
      </c>
      <c r="I87" s="1255">
        <v>2051.0100000000002</v>
      </c>
      <c r="J87" s="891">
        <v>1896.4239000000002</v>
      </c>
      <c r="K87" s="891">
        <v>1896.4239000000002</v>
      </c>
      <c r="L87" s="894">
        <v>0</v>
      </c>
      <c r="M87" s="972">
        <v>0</v>
      </c>
      <c r="N87" s="893">
        <v>2282.5100000000002</v>
      </c>
      <c r="O87" s="894">
        <v>2282.5100000000002</v>
      </c>
      <c r="P87" s="891">
        <v>2169.3200000000002</v>
      </c>
      <c r="Q87" s="891">
        <v>2169.3200000000002</v>
      </c>
      <c r="R87" s="891">
        <v>0</v>
      </c>
      <c r="S87" s="972">
        <v>0</v>
      </c>
      <c r="T87" s="1004">
        <v>104.03</v>
      </c>
      <c r="U87" s="890">
        <v>858.12</v>
      </c>
      <c r="V87" s="890">
        <v>137.61000000000001</v>
      </c>
      <c r="W87" s="890">
        <v>0</v>
      </c>
      <c r="X87" s="890">
        <v>0</v>
      </c>
      <c r="Y87" s="890">
        <v>0</v>
      </c>
      <c r="Z87" s="949">
        <f t="shared" si="113"/>
        <v>1099.76</v>
      </c>
      <c r="AA87" s="950">
        <v>91.58</v>
      </c>
      <c r="AB87" s="890">
        <v>643.6</v>
      </c>
      <c r="AC87" s="890">
        <v>140.09</v>
      </c>
      <c r="AD87" s="890">
        <v>0</v>
      </c>
      <c r="AE87" s="890">
        <v>0</v>
      </c>
      <c r="AF87" s="890">
        <v>0</v>
      </c>
      <c r="AG87" s="951">
        <f t="shared" si="114"/>
        <v>875.2700000000001</v>
      </c>
      <c r="AH87" s="947">
        <f t="shared" si="141"/>
        <v>1975.0300000000002</v>
      </c>
      <c r="AI87" s="890">
        <f t="shared" si="148"/>
        <v>195.61</v>
      </c>
      <c r="AJ87" s="948">
        <f t="shared" si="148"/>
        <v>1501.72</v>
      </c>
      <c r="AK87" s="948">
        <f t="shared" si="148"/>
        <v>277.70000000000005</v>
      </c>
      <c r="AL87" s="890">
        <f t="shared" si="148"/>
        <v>0</v>
      </c>
      <c r="AM87" s="890">
        <f t="shared" si="148"/>
        <v>0</v>
      </c>
      <c r="AN87" s="890"/>
      <c r="AO87" s="890">
        <f>SUM(AI87:AN87)</f>
        <v>1975.03</v>
      </c>
      <c r="AP87" s="890">
        <f>SUM(AI87:AM87)</f>
        <v>1975.03</v>
      </c>
      <c r="AQ87" s="952">
        <f>SUM(AI87:AL87)</f>
        <v>1975.03</v>
      </c>
      <c r="AR87" s="902"/>
      <c r="AS87" s="903">
        <f t="shared" si="149"/>
        <v>401198.06610000005</v>
      </c>
      <c r="AT87" s="897">
        <f t="shared" si="149"/>
        <v>2847897.6991080004</v>
      </c>
      <c r="AU87" s="897">
        <f t="shared" si="149"/>
        <v>526636.91703000013</v>
      </c>
      <c r="AV87" s="897">
        <f t="shared" si="149"/>
        <v>0</v>
      </c>
      <c r="AW87" s="897">
        <f t="shared" si="149"/>
        <v>0</v>
      </c>
      <c r="AX87" s="897">
        <f>SUM(AS87:AW87)</f>
        <v>3775732.6822380004</v>
      </c>
      <c r="AY87" s="897">
        <f>SUM(AS87:AV87)</f>
        <v>3775732.6822380004</v>
      </c>
      <c r="AZ87" s="897">
        <f t="shared" si="150"/>
        <v>446481.78110000008</v>
      </c>
      <c r="BA87" s="897">
        <f t="shared" si="150"/>
        <v>3257711.2304000002</v>
      </c>
      <c r="BB87" s="897">
        <f t="shared" si="150"/>
        <v>602420.16400000011</v>
      </c>
      <c r="BC87" s="897">
        <f t="shared" si="150"/>
        <v>0</v>
      </c>
      <c r="BD87" s="897">
        <f t="shared" si="150"/>
        <v>0</v>
      </c>
      <c r="BE87" s="897">
        <f>SUM(AZ87:BD87)</f>
        <v>4306613.1755000008</v>
      </c>
      <c r="BF87" s="901">
        <f>SUM(AZ87:BC87)</f>
        <v>4306613.1755000008</v>
      </c>
      <c r="BG87" s="953">
        <v>153.929</v>
      </c>
      <c r="BH87" s="1007">
        <v>88.704999999999998</v>
      </c>
      <c r="BI87" s="948">
        <v>242.63399999999999</v>
      </c>
      <c r="BJ87" s="948">
        <v>4253.43</v>
      </c>
      <c r="BK87" s="1202">
        <v>11956.18</v>
      </c>
      <c r="BL87" s="890">
        <f>I87*T87</f>
        <v>213366.57030000002</v>
      </c>
      <c r="BM87" s="890">
        <f>J87*U87</f>
        <v>1627359.2770680003</v>
      </c>
      <c r="BN87" s="890">
        <f>K87*V87</f>
        <v>260966.89287900005</v>
      </c>
      <c r="BO87" s="890">
        <f>L87*W87</f>
        <v>0</v>
      </c>
      <c r="BP87" s="890">
        <f>M87*X87</f>
        <v>0</v>
      </c>
      <c r="BQ87" s="890">
        <f>BL87+BM87+BN87+BO87+BP87</f>
        <v>2101692.7402470005</v>
      </c>
      <c r="BR87" s="890">
        <f>BQ87-BP87</f>
        <v>2101692.7402470005</v>
      </c>
      <c r="BS87" s="890">
        <f>O87*AA87</f>
        <v>209032.26580000002</v>
      </c>
      <c r="BT87" s="890">
        <f>P87*AB87</f>
        <v>1396174.3520000002</v>
      </c>
      <c r="BU87" s="890">
        <f>Q87*AC87</f>
        <v>303900.03880000004</v>
      </c>
      <c r="BV87" s="890">
        <f>R87*W87</f>
        <v>0</v>
      </c>
      <c r="BW87" s="890">
        <f>S87*AE87</f>
        <v>0</v>
      </c>
      <c r="BX87" s="890">
        <f>BS87+BT87+BU87+BV87+BW87</f>
        <v>1909106.6566000001</v>
      </c>
      <c r="BY87" s="890">
        <f>BX87-BW87</f>
        <v>1909106.6566000001</v>
      </c>
      <c r="BZ87" s="945">
        <f>BM87+BT87</f>
        <v>3023533.6290680002</v>
      </c>
      <c r="CA87" s="945">
        <f>BN87+BU87</f>
        <v>564866.93167900015</v>
      </c>
      <c r="CB87" s="945">
        <f>BZ87+CA87</f>
        <v>3588400.5607470004</v>
      </c>
      <c r="CC87" s="976">
        <f>BZ87/AJ87</f>
        <v>2013.3804098420478</v>
      </c>
      <c r="CD87" s="976">
        <f>CA87/AK87</f>
        <v>2034.0904993842278</v>
      </c>
      <c r="CE87" s="976">
        <f>CB87/(AJ87+AK87)</f>
        <v>2016.6124696513473</v>
      </c>
      <c r="CF87" s="976">
        <f>CB87/(U87+V87+AB87+AC87)</f>
        <v>2016.6124696513475</v>
      </c>
      <c r="CG87" s="977">
        <f>I87*(U87+V87)+O87*(AB87+AC87)</f>
        <v>3831032.4492000006</v>
      </c>
      <c r="CH87" s="977">
        <f>CG87/(AJ87+AK87)</f>
        <v>2152.966949455441</v>
      </c>
      <c r="CI87" s="945"/>
      <c r="CJ87" s="1405">
        <f t="shared" si="106"/>
        <v>2255.6187576000002</v>
      </c>
      <c r="CK87" s="1405">
        <f t="shared" si="102"/>
        <v>1997.8125277000004</v>
      </c>
      <c r="CL87" s="1405">
        <f t="shared" si="107"/>
        <v>4253.431285300001</v>
      </c>
      <c r="CM87" s="897">
        <f t="shared" si="135"/>
        <v>4508.0257253000009</v>
      </c>
      <c r="CN87" s="897">
        <f t="shared" si="136"/>
        <v>254.59443999999985</v>
      </c>
      <c r="CO87" s="890">
        <f>H87*Z87+N87*AG87</f>
        <v>4253431.2853000006</v>
      </c>
      <c r="CP87" s="890">
        <f>I87*AI87+J87*AJ87+K87*AK87+L87*AL87</f>
        <v>3775732.6822380004</v>
      </c>
      <c r="CQ87" s="890">
        <f>I87*AI87+J87*(AJ87+AK87)+L87*AL87</f>
        <v>3775732.6822380004</v>
      </c>
      <c r="CR87" s="890">
        <f>I87*T87+J87*U87+K87*V87+L87*W87</f>
        <v>2101692.7402470005</v>
      </c>
      <c r="CS87" s="890">
        <f>O87*AI87+P87*AJ87+Q87*AK87+R87*AL87</f>
        <v>4306613.1755000008</v>
      </c>
      <c r="CT87" s="890">
        <f>O87*AI87+P87*(AJ87+AK87)+R87*AL87</f>
        <v>4306613.1755000008</v>
      </c>
      <c r="CU87" s="890">
        <f>O87*AA87+P87*AB87+Q87*AC87+R87*AD87</f>
        <v>1909106.6566000001</v>
      </c>
      <c r="CV87" s="890">
        <f>CP87+CS87</f>
        <v>8082345.8577380013</v>
      </c>
      <c r="CW87" s="906">
        <f>CV87/AH87</f>
        <v>4092.2648555910546</v>
      </c>
      <c r="CX87" s="890">
        <f>J87*AJ87+K87*AK87</f>
        <v>3374534.6161380005</v>
      </c>
      <c r="CY87" s="890">
        <f>P87*AJ87+Q87*AK87</f>
        <v>3860131.3944000006</v>
      </c>
      <c r="CZ87" s="890"/>
      <c r="DA87" s="890">
        <f>H87*AI87+H87*AJ87+H87*AK87+H87*AL87</f>
        <v>4050806.2803000007</v>
      </c>
      <c r="DB87" s="890">
        <f>N87*AI87+N87*AJ87+N87*AK87+N87*AL87</f>
        <v>4508025.725300001</v>
      </c>
      <c r="DC87" s="840"/>
      <c r="DD87" s="841"/>
      <c r="DE87" s="840"/>
      <c r="DF87" s="840"/>
      <c r="DG87" s="840"/>
      <c r="DH87" s="1043">
        <v>1580.405</v>
      </c>
      <c r="DI87" s="1043">
        <v>111.42</v>
      </c>
      <c r="DJ87" s="1043">
        <f>DH87-DI87</f>
        <v>1468.9849999999999</v>
      </c>
      <c r="DK87" s="945"/>
      <c r="DL87" s="908">
        <f>M87*X87/1000</f>
        <v>0</v>
      </c>
      <c r="DM87" s="908">
        <f>S87*AE87/1000</f>
        <v>0</v>
      </c>
      <c r="DN87" s="908">
        <f>DL87+DM87</f>
        <v>0</v>
      </c>
      <c r="DO87" s="816"/>
      <c r="DP87" s="816"/>
      <c r="DQ87" s="816"/>
      <c r="DR87" s="816"/>
      <c r="DS87" s="816"/>
      <c r="DT87" s="816"/>
      <c r="DU87" s="816"/>
      <c r="DV87" s="816"/>
      <c r="DW87" s="816"/>
      <c r="DX87" s="816"/>
      <c r="DY87" s="816"/>
      <c r="DZ87" s="816"/>
      <c r="EA87" s="816"/>
      <c r="EB87" s="816"/>
      <c r="EC87" s="816"/>
      <c r="ED87" s="816"/>
      <c r="EE87" s="816"/>
      <c r="EF87" s="816"/>
      <c r="EG87" s="816"/>
      <c r="EH87" s="816"/>
      <c r="EI87" s="816"/>
      <c r="EJ87" s="816"/>
      <c r="EK87" s="816"/>
      <c r="EL87" s="816"/>
      <c r="EM87" s="834"/>
      <c r="EN87" s="834"/>
      <c r="EO87" s="834"/>
      <c r="EP87" s="834"/>
      <c r="EQ87" s="834"/>
      <c r="ER87" s="834"/>
      <c r="ES87" s="834"/>
      <c r="ET87" s="834"/>
      <c r="EU87" s="834"/>
      <c r="EV87" s="834"/>
      <c r="EW87" s="834"/>
      <c r="EX87" s="834"/>
      <c r="EY87" s="834"/>
      <c r="EZ87" s="834"/>
      <c r="FA87" s="834"/>
      <c r="FB87" s="834"/>
      <c r="FC87" s="834"/>
      <c r="FD87" s="834"/>
      <c r="FE87" s="834"/>
      <c r="FF87" s="834"/>
      <c r="FG87" s="834"/>
      <c r="FH87" s="834"/>
      <c r="FI87" s="834"/>
      <c r="FJ87" s="834"/>
      <c r="FK87" s="834"/>
      <c r="FL87" s="834"/>
      <c r="FM87" s="834"/>
      <c r="FN87" s="834"/>
      <c r="FO87" s="834"/>
      <c r="FP87" s="834"/>
      <c r="FQ87" s="834"/>
      <c r="FR87" s="834"/>
      <c r="FS87" s="834"/>
      <c r="FT87" s="834"/>
      <c r="FU87" s="834"/>
      <c r="FV87" s="834"/>
      <c r="FW87" s="834"/>
      <c r="FX87" s="834"/>
      <c r="FY87" s="834"/>
      <c r="FZ87" s="834"/>
      <c r="GA87" s="834"/>
      <c r="GB87" s="834"/>
      <c r="GC87" s="834"/>
      <c r="GD87" s="834"/>
      <c r="GE87" s="834"/>
      <c r="GF87" s="834"/>
      <c r="GG87" s="834"/>
      <c r="GH87" s="834"/>
      <c r="GI87" s="834"/>
    </row>
    <row r="88" spans="1:191" s="50" customFormat="1" ht="77.25" customHeight="1">
      <c r="A88" s="6" t="e">
        <f t="shared" si="140"/>
        <v>#REF!</v>
      </c>
      <c r="B88" s="956" t="s">
        <v>30</v>
      </c>
      <c r="C88" s="886" t="s">
        <v>59</v>
      </c>
      <c r="D88" s="1206" t="s">
        <v>187</v>
      </c>
      <c r="E88" s="1207">
        <v>4620014875</v>
      </c>
      <c r="F88" s="886" t="s">
        <v>8</v>
      </c>
      <c r="G88" s="888" t="s">
        <v>951</v>
      </c>
      <c r="H88" s="1241">
        <v>4670.43</v>
      </c>
      <c r="I88" s="1242">
        <v>4670.43</v>
      </c>
      <c r="J88" s="891">
        <v>3738.2056635000004</v>
      </c>
      <c r="K88" s="891">
        <v>0</v>
      </c>
      <c r="L88" s="891">
        <v>4670.43</v>
      </c>
      <c r="M88" s="946">
        <v>0</v>
      </c>
      <c r="N88" s="959">
        <v>4680.88</v>
      </c>
      <c r="O88" s="891">
        <v>4680.88</v>
      </c>
      <c r="P88" s="891">
        <v>3745.68</v>
      </c>
      <c r="Q88" s="891">
        <v>0</v>
      </c>
      <c r="R88" s="891">
        <v>4680.88</v>
      </c>
      <c r="S88" s="946">
        <v>0</v>
      </c>
      <c r="T88" s="947">
        <v>291.10000000000002</v>
      </c>
      <c r="U88" s="894">
        <v>138.76</v>
      </c>
      <c r="V88" s="890">
        <v>0</v>
      </c>
      <c r="W88" s="894">
        <v>3.36</v>
      </c>
      <c r="X88" s="890">
        <v>0</v>
      </c>
      <c r="Y88" s="890">
        <v>0</v>
      </c>
      <c r="Z88" s="949">
        <f>SUM(T88:W88)</f>
        <v>433.22</v>
      </c>
      <c r="AA88" s="950">
        <v>191.81</v>
      </c>
      <c r="AB88" s="894">
        <v>114.34</v>
      </c>
      <c r="AC88" s="890">
        <v>0</v>
      </c>
      <c r="AD88" s="890">
        <v>2.52</v>
      </c>
      <c r="AE88" s="890">
        <v>0</v>
      </c>
      <c r="AF88" s="890">
        <v>0</v>
      </c>
      <c r="AG88" s="951">
        <f>SUM(AA88:AD88)</f>
        <v>308.66999999999996</v>
      </c>
      <c r="AH88" s="947">
        <f>Z88+AG88</f>
        <v>741.89</v>
      </c>
      <c r="AI88" s="948">
        <f>T88+AA88</f>
        <v>482.91</v>
      </c>
      <c r="AJ88" s="894">
        <f t="shared" si="148"/>
        <v>253.1</v>
      </c>
      <c r="AK88" s="890">
        <f t="shared" si="148"/>
        <v>0</v>
      </c>
      <c r="AL88" s="890">
        <f t="shared" si="148"/>
        <v>5.88</v>
      </c>
      <c r="AM88" s="890">
        <f t="shared" si="148"/>
        <v>0</v>
      </c>
      <c r="AN88" s="890">
        <v>0</v>
      </c>
      <c r="AO88" s="948">
        <f>SUM(AI88:AN88)</f>
        <v>741.89</v>
      </c>
      <c r="AP88" s="948">
        <f>SUM(AI88:AM88)</f>
        <v>741.89</v>
      </c>
      <c r="AQ88" s="952">
        <f t="shared" si="97"/>
        <v>741.89</v>
      </c>
      <c r="AR88" s="973">
        <f t="shared" si="132"/>
        <v>0</v>
      </c>
      <c r="AS88" s="903">
        <f t="shared" si="149"/>
        <v>2255397.3513000002</v>
      </c>
      <c r="AT88" s="897">
        <f t="shared" si="149"/>
        <v>946139.85343185009</v>
      </c>
      <c r="AU88" s="897">
        <f t="shared" si="149"/>
        <v>0</v>
      </c>
      <c r="AV88" s="897">
        <f t="shared" si="149"/>
        <v>27462.128400000001</v>
      </c>
      <c r="AW88" s="897">
        <f t="shared" si="149"/>
        <v>0</v>
      </c>
      <c r="AX88" s="897">
        <f>SUM(AS88:AW88)</f>
        <v>3228999.3331318502</v>
      </c>
      <c r="AY88" s="897">
        <f>SUM(AS88:AV88)</f>
        <v>3228999.3331318502</v>
      </c>
      <c r="AZ88" s="897">
        <f t="shared" si="150"/>
        <v>2260443.7608000003</v>
      </c>
      <c r="BA88" s="897">
        <f t="shared" si="150"/>
        <v>948031.60799999989</v>
      </c>
      <c r="BB88" s="897">
        <f t="shared" si="150"/>
        <v>0</v>
      </c>
      <c r="BC88" s="897">
        <f t="shared" si="150"/>
        <v>27523.574400000001</v>
      </c>
      <c r="BD88" s="897">
        <f t="shared" si="150"/>
        <v>0</v>
      </c>
      <c r="BE88" s="897">
        <f>SUM(AZ88:BD88)</f>
        <v>3235998.9432000001</v>
      </c>
      <c r="BF88" s="901">
        <f>SUM(AZ88:BC88)</f>
        <v>3235998.9432000001</v>
      </c>
      <c r="BG88" s="953">
        <v>129.35300000000001</v>
      </c>
      <c r="BH88" s="954">
        <v>106.929</v>
      </c>
      <c r="BI88" s="948">
        <v>236.28200000000001</v>
      </c>
      <c r="BJ88" s="894">
        <v>3468.15</v>
      </c>
      <c r="BK88" s="1200">
        <v>5592.76</v>
      </c>
      <c r="BL88" s="897">
        <f>I88*T88</f>
        <v>1359562.1730000002</v>
      </c>
      <c r="BM88" s="897">
        <f>J88*U88</f>
        <v>518713.41786726</v>
      </c>
      <c r="BN88" s="897">
        <f t="shared" si="109"/>
        <v>0</v>
      </c>
      <c r="BO88" s="897">
        <f>L88*W88</f>
        <v>15692.6448</v>
      </c>
      <c r="BP88" s="897">
        <f t="shared" si="109"/>
        <v>0</v>
      </c>
      <c r="BQ88" s="897">
        <f>BL88+BM88+BN88+BO88+BP88</f>
        <v>1893968.2356672601</v>
      </c>
      <c r="BR88" s="897">
        <f>BQ88-BP88</f>
        <v>1893968.2356672601</v>
      </c>
      <c r="BS88" s="897">
        <f>O88*AA88</f>
        <v>897839.59279999998</v>
      </c>
      <c r="BT88" s="897">
        <f>P88*AB88</f>
        <v>428281.05119999999</v>
      </c>
      <c r="BU88" s="897">
        <f t="shared" si="110"/>
        <v>0</v>
      </c>
      <c r="BV88" s="897">
        <f>R88*W88</f>
        <v>15727.756799999999</v>
      </c>
      <c r="BW88" s="897">
        <f t="shared" si="115"/>
        <v>0</v>
      </c>
      <c r="BX88" s="897">
        <f>BS88+BT88+BU88+BV88+BW88</f>
        <v>1341848.4007999999</v>
      </c>
      <c r="BY88" s="897">
        <f>BX88-BW88</f>
        <v>1341848.4007999999</v>
      </c>
      <c r="BZ88" s="905">
        <f t="shared" si="111"/>
        <v>946994.46906725992</v>
      </c>
      <c r="CA88" s="905">
        <f t="shared" si="111"/>
        <v>0</v>
      </c>
      <c r="CB88" s="905">
        <f t="shared" si="147"/>
        <v>946994.46906725992</v>
      </c>
      <c r="CC88" s="907">
        <f t="shared" si="112"/>
        <v>3741.5822562910312</v>
      </c>
      <c r="CD88" s="907" t="e">
        <f t="shared" si="112"/>
        <v>#DIV/0!</v>
      </c>
      <c r="CE88" s="907">
        <f t="shared" si="133"/>
        <v>3741.5822562910312</v>
      </c>
      <c r="CF88" s="907">
        <f t="shared" si="116"/>
        <v>3741.5822562910312</v>
      </c>
      <c r="CG88" s="923">
        <f t="shared" si="117"/>
        <v>1183280.686</v>
      </c>
      <c r="CH88" s="923">
        <f t="shared" si="134"/>
        <v>4675.150873172659</v>
      </c>
      <c r="CI88" s="945"/>
      <c r="CJ88" s="1405">
        <f t="shared" si="106"/>
        <v>2023.3236846000002</v>
      </c>
      <c r="CK88" s="1405">
        <f t="shared" si="102"/>
        <v>1444.8472295999998</v>
      </c>
      <c r="CL88" s="1405">
        <f t="shared" si="107"/>
        <v>3468.1709142</v>
      </c>
      <c r="CM88" s="897">
        <f t="shared" si="135"/>
        <v>3472.6980632000004</v>
      </c>
      <c r="CN88" s="897">
        <f t="shared" si="136"/>
        <v>4.5271490000004633</v>
      </c>
      <c r="CO88" s="897">
        <f t="shared" si="118"/>
        <v>3468170.9142</v>
      </c>
      <c r="CP88" s="897">
        <f t="shared" si="119"/>
        <v>3228999.3331318502</v>
      </c>
      <c r="CQ88" s="897">
        <f t="shared" si="120"/>
        <v>3228999.3331318502</v>
      </c>
      <c r="CR88" s="897">
        <f t="shared" si="121"/>
        <v>1893968.2356672601</v>
      </c>
      <c r="CS88" s="897">
        <f t="shared" si="122"/>
        <v>3235998.9432000001</v>
      </c>
      <c r="CT88" s="897">
        <f t="shared" si="123"/>
        <v>3235998.9432000001</v>
      </c>
      <c r="CU88" s="897">
        <f t="shared" si="124"/>
        <v>1337916.4615999998</v>
      </c>
      <c r="CV88" s="897">
        <f t="shared" si="137"/>
        <v>6464998.2763318503</v>
      </c>
      <c r="CW88" s="906">
        <f t="shared" si="138"/>
        <v>8714.2275490057164</v>
      </c>
      <c r="CX88" s="897">
        <f t="shared" si="125"/>
        <v>946139.85343185009</v>
      </c>
      <c r="CY88" s="897">
        <f t="shared" si="126"/>
        <v>948031.60799999989</v>
      </c>
      <c r="CZ88" s="897"/>
      <c r="DA88" s="897">
        <f t="shared" si="127"/>
        <v>3464945.3127000001</v>
      </c>
      <c r="DB88" s="897">
        <f t="shared" si="128"/>
        <v>3472698.0632000002</v>
      </c>
      <c r="DC88" s="840"/>
      <c r="DD88" s="40">
        <f t="shared" si="139"/>
        <v>125.21729464230158</v>
      </c>
      <c r="DE88" s="840"/>
      <c r="DF88" s="840"/>
      <c r="DG88" s="840"/>
      <c r="DH88" s="1043">
        <v>849.95</v>
      </c>
      <c r="DI88" s="1043">
        <v>343</v>
      </c>
      <c r="DJ88" s="1043">
        <f t="shared" si="108"/>
        <v>506.95000000000005</v>
      </c>
      <c r="DK88" s="945"/>
      <c r="DL88" s="908">
        <f t="shared" si="129"/>
        <v>0</v>
      </c>
      <c r="DM88" s="908">
        <f t="shared" si="130"/>
        <v>0</v>
      </c>
      <c r="DN88" s="908">
        <f t="shared" si="131"/>
        <v>0</v>
      </c>
      <c r="DO88" s="81"/>
      <c r="DP88" s="81"/>
      <c r="DQ88" s="81"/>
      <c r="DR88" s="81"/>
      <c r="DS88" s="81"/>
      <c r="DT88" s="81"/>
      <c r="DU88" s="81"/>
      <c r="DV88" s="81"/>
      <c r="DW88" s="81"/>
      <c r="DX88" s="81"/>
      <c r="DY88" s="81"/>
      <c r="DZ88" s="81"/>
      <c r="EA88" s="81"/>
      <c r="EB88" s="81"/>
      <c r="EC88" s="81"/>
      <c r="ED88" s="81"/>
      <c r="EE88" s="81"/>
      <c r="EF88" s="81"/>
      <c r="EG88" s="81"/>
      <c r="EH88" s="81"/>
      <c r="EI88" s="81"/>
      <c r="EJ88" s="81"/>
      <c r="EK88" s="81"/>
      <c r="EL88" s="81"/>
    </row>
    <row r="89" spans="1:191" s="869" customFormat="1" ht="76.5" customHeight="1">
      <c r="A89" s="6" t="e">
        <f t="shared" si="140"/>
        <v>#REF!</v>
      </c>
      <c r="B89" s="956" t="s">
        <v>30</v>
      </c>
      <c r="C89" s="1309" t="s">
        <v>182</v>
      </c>
      <c r="D89" s="1262" t="s">
        <v>141</v>
      </c>
      <c r="E89" s="887">
        <v>4632024035</v>
      </c>
      <c r="F89" s="886" t="s">
        <v>8</v>
      </c>
      <c r="G89" s="1238" t="s">
        <v>983</v>
      </c>
      <c r="H89" s="1256">
        <v>3314.9639999999995</v>
      </c>
      <c r="I89" s="1257">
        <f>H89</f>
        <v>3314.9639999999995</v>
      </c>
      <c r="J89" s="891"/>
      <c r="K89" s="891"/>
      <c r="L89" s="1256">
        <v>3314.9639999999995</v>
      </c>
      <c r="M89" s="946"/>
      <c r="N89" s="1259">
        <f>3132.14*1.2</f>
        <v>3758.5679999999998</v>
      </c>
      <c r="O89" s="1260">
        <f>N89</f>
        <v>3758.5679999999998</v>
      </c>
      <c r="P89" s="891"/>
      <c r="Q89" s="891"/>
      <c r="R89" s="891">
        <f>O89</f>
        <v>3758.5679999999998</v>
      </c>
      <c r="S89" s="946"/>
      <c r="T89" s="1307">
        <v>191.774</v>
      </c>
      <c r="U89" s="1366"/>
      <c r="V89" s="1366"/>
      <c r="W89" s="890"/>
      <c r="X89" s="890"/>
      <c r="Y89" s="890"/>
      <c r="Z89" s="949">
        <f t="shared" si="113"/>
        <v>191.774</v>
      </c>
      <c r="AA89" s="1308">
        <v>111.36</v>
      </c>
      <c r="AB89" s="1366"/>
      <c r="AC89" s="1366"/>
      <c r="AD89" s="890"/>
      <c r="AE89" s="890"/>
      <c r="AF89" s="890"/>
      <c r="AG89" s="951">
        <f t="shared" si="114"/>
        <v>111.36</v>
      </c>
      <c r="AH89" s="947">
        <f t="shared" si="141"/>
        <v>303.13400000000001</v>
      </c>
      <c r="AI89" s="890">
        <f t="shared" si="148"/>
        <v>303.13400000000001</v>
      </c>
      <c r="AJ89" s="890">
        <f t="shared" si="148"/>
        <v>0</v>
      </c>
      <c r="AK89" s="890">
        <f t="shared" si="148"/>
        <v>0</v>
      </c>
      <c r="AL89" s="890">
        <f t="shared" si="148"/>
        <v>0</v>
      </c>
      <c r="AM89" s="890">
        <f t="shared" si="148"/>
        <v>0</v>
      </c>
      <c r="AN89" s="890"/>
      <c r="AO89" s="890">
        <f t="shared" si="70"/>
        <v>303.13400000000001</v>
      </c>
      <c r="AP89" s="890">
        <f t="shared" si="71"/>
        <v>303.13400000000001</v>
      </c>
      <c r="AQ89" s="952">
        <f t="shared" si="97"/>
        <v>303.13400000000001</v>
      </c>
      <c r="AR89" s="973">
        <f t="shared" si="132"/>
        <v>0</v>
      </c>
      <c r="AS89" s="889">
        <f t="shared" si="149"/>
        <v>1004878.2971759998</v>
      </c>
      <c r="AT89" s="890">
        <f t="shared" si="149"/>
        <v>0</v>
      </c>
      <c r="AU89" s="890">
        <f t="shared" si="149"/>
        <v>0</v>
      </c>
      <c r="AV89" s="890">
        <f t="shared" si="149"/>
        <v>0</v>
      </c>
      <c r="AW89" s="890">
        <f t="shared" si="149"/>
        <v>0</v>
      </c>
      <c r="AX89" s="890">
        <f t="shared" si="98"/>
        <v>1004878.2971759998</v>
      </c>
      <c r="AY89" s="890">
        <f t="shared" si="99"/>
        <v>1004878.2971759998</v>
      </c>
      <c r="AZ89" s="890">
        <f t="shared" si="150"/>
        <v>1139349.752112</v>
      </c>
      <c r="BA89" s="890">
        <f t="shared" si="150"/>
        <v>0</v>
      </c>
      <c r="BB89" s="890">
        <f t="shared" si="150"/>
        <v>0</v>
      </c>
      <c r="BC89" s="890">
        <f t="shared" si="150"/>
        <v>0</v>
      </c>
      <c r="BD89" s="890">
        <f t="shared" si="150"/>
        <v>0</v>
      </c>
      <c r="BE89" s="890">
        <f t="shared" si="100"/>
        <v>1139349.752112</v>
      </c>
      <c r="BF89" s="952">
        <f t="shared" si="101"/>
        <v>1139349.752112</v>
      </c>
      <c r="BG89" s="953">
        <f>(H89-J89)/1.2*U89/1000+(H89-K89)/1.2*V89/1000</f>
        <v>0</v>
      </c>
      <c r="BH89" s="954">
        <f>(O89-P89)*AB89/1000/1.2+(O89-Q89)/1.2*AC89/1000</f>
        <v>0</v>
      </c>
      <c r="BI89" s="955">
        <f>BG89+BH89</f>
        <v>0</v>
      </c>
      <c r="BJ89" s="955"/>
      <c r="BK89" s="1197"/>
      <c r="BL89" s="890">
        <f t="shared" si="109"/>
        <v>635723.90613599995</v>
      </c>
      <c r="BM89" s="890">
        <f t="shared" si="109"/>
        <v>0</v>
      </c>
      <c r="BN89" s="890">
        <f t="shared" si="109"/>
        <v>0</v>
      </c>
      <c r="BO89" s="890">
        <f t="shared" si="109"/>
        <v>0</v>
      </c>
      <c r="BP89" s="890">
        <f t="shared" si="109"/>
        <v>0</v>
      </c>
      <c r="BQ89" s="890">
        <f t="shared" si="142"/>
        <v>635723.90613599995</v>
      </c>
      <c r="BR89" s="890">
        <f t="shared" si="143"/>
        <v>635723.90613599995</v>
      </c>
      <c r="BS89" s="890">
        <f t="shared" si="110"/>
        <v>418554.13247999997</v>
      </c>
      <c r="BT89" s="890">
        <f t="shared" si="110"/>
        <v>0</v>
      </c>
      <c r="BU89" s="890">
        <f t="shared" si="110"/>
        <v>0</v>
      </c>
      <c r="BV89" s="890">
        <f t="shared" si="144"/>
        <v>0</v>
      </c>
      <c r="BW89" s="890">
        <f t="shared" si="115"/>
        <v>0</v>
      </c>
      <c r="BX89" s="890">
        <f t="shared" si="145"/>
        <v>418554.13247999997</v>
      </c>
      <c r="BY89" s="890">
        <f t="shared" si="146"/>
        <v>418554.13247999997</v>
      </c>
      <c r="BZ89" s="945">
        <f t="shared" si="111"/>
        <v>0</v>
      </c>
      <c r="CA89" s="945">
        <f t="shared" si="111"/>
        <v>0</v>
      </c>
      <c r="CB89" s="945">
        <f t="shared" si="147"/>
        <v>0</v>
      </c>
      <c r="CC89" s="976" t="e">
        <f t="shared" si="112"/>
        <v>#DIV/0!</v>
      </c>
      <c r="CD89" s="976" t="e">
        <f t="shared" si="112"/>
        <v>#DIV/0!</v>
      </c>
      <c r="CE89" s="976" t="e">
        <f t="shared" si="133"/>
        <v>#DIV/0!</v>
      </c>
      <c r="CF89" s="945" t="e">
        <f t="shared" si="116"/>
        <v>#DIV/0!</v>
      </c>
      <c r="CG89" s="977">
        <f t="shared" si="117"/>
        <v>0</v>
      </c>
      <c r="CH89" s="977" t="e">
        <f t="shared" si="134"/>
        <v>#DIV/0!</v>
      </c>
      <c r="CI89" s="945"/>
      <c r="CJ89" s="1405">
        <f t="shared" si="106"/>
        <v>635.72390613599998</v>
      </c>
      <c r="CK89" s="1405">
        <f t="shared" si="102"/>
        <v>418.55413247999996</v>
      </c>
      <c r="CL89" s="1405">
        <f t="shared" si="107"/>
        <v>1054.278038616</v>
      </c>
      <c r="CM89" s="890">
        <f t="shared" si="135"/>
        <v>1139.349752112</v>
      </c>
      <c r="CN89" s="890">
        <f t="shared" si="136"/>
        <v>85.071713496000029</v>
      </c>
      <c r="CO89" s="890">
        <f t="shared" si="118"/>
        <v>1054278.038616</v>
      </c>
      <c r="CP89" s="890">
        <f t="shared" si="119"/>
        <v>1004878.2971759998</v>
      </c>
      <c r="CQ89" s="890">
        <f t="shared" si="120"/>
        <v>1004878.2971759998</v>
      </c>
      <c r="CR89" s="890">
        <f t="shared" si="121"/>
        <v>635723.90613599995</v>
      </c>
      <c r="CS89" s="890">
        <f t="shared" si="122"/>
        <v>1139349.752112</v>
      </c>
      <c r="CT89" s="890">
        <f t="shared" si="123"/>
        <v>1139349.752112</v>
      </c>
      <c r="CU89" s="890">
        <f t="shared" si="124"/>
        <v>418554.13247999997</v>
      </c>
      <c r="CV89" s="890">
        <f t="shared" si="137"/>
        <v>2144228.049288</v>
      </c>
      <c r="CW89" s="978">
        <f t="shared" si="138"/>
        <v>7073.5319999999992</v>
      </c>
      <c r="CX89" s="890">
        <f t="shared" si="125"/>
        <v>0</v>
      </c>
      <c r="CY89" s="890">
        <f t="shared" si="126"/>
        <v>0</v>
      </c>
      <c r="CZ89" s="890"/>
      <c r="DA89" s="890">
        <f t="shared" si="127"/>
        <v>1004878.2971759998</v>
      </c>
      <c r="DB89" s="890">
        <f t="shared" si="128"/>
        <v>1139349.752112</v>
      </c>
      <c r="DC89" s="840"/>
      <c r="DD89" s="841" t="e">
        <f t="shared" si="139"/>
        <v>#DIV/0!</v>
      </c>
      <c r="DE89" s="840"/>
      <c r="DF89" s="840"/>
      <c r="DG89" s="840"/>
      <c r="DH89" s="1050"/>
      <c r="DI89" s="1050"/>
      <c r="DJ89" s="1050"/>
      <c r="DK89" s="945"/>
      <c r="DL89" s="975">
        <f t="shared" si="129"/>
        <v>0</v>
      </c>
      <c r="DM89" s="975">
        <f t="shared" si="130"/>
        <v>0</v>
      </c>
      <c r="DN89" s="975">
        <f t="shared" si="131"/>
        <v>0</v>
      </c>
      <c r="DO89" s="816"/>
      <c r="DP89" s="871"/>
      <c r="DQ89" s="871"/>
      <c r="DR89" s="871"/>
      <c r="DS89" s="871"/>
      <c r="DT89" s="871"/>
      <c r="DU89" s="871"/>
      <c r="DV89" s="871"/>
      <c r="DW89" s="871"/>
      <c r="DX89" s="871"/>
      <c r="DY89" s="871"/>
      <c r="DZ89" s="871"/>
      <c r="EA89" s="871"/>
      <c r="EB89" s="871"/>
      <c r="EC89" s="871"/>
      <c r="ED89" s="871"/>
      <c r="EE89" s="871"/>
      <c r="EF89" s="871"/>
      <c r="EG89" s="871"/>
      <c r="EH89" s="871"/>
      <c r="EI89" s="871"/>
      <c r="EJ89" s="871"/>
      <c r="EK89" s="871"/>
      <c r="EL89" s="871"/>
    </row>
    <row r="90" spans="1:191" s="869" customFormat="1" ht="76.5" customHeight="1">
      <c r="A90" s="6" t="e">
        <f t="shared" si="140"/>
        <v>#REF!</v>
      </c>
      <c r="B90" s="886" t="s">
        <v>32</v>
      </c>
      <c r="C90" s="886" t="s">
        <v>65</v>
      </c>
      <c r="D90" s="1225" t="s">
        <v>935</v>
      </c>
      <c r="E90" s="886">
        <v>4621009155</v>
      </c>
      <c r="F90" s="886" t="s">
        <v>8</v>
      </c>
      <c r="G90" s="888" t="s">
        <v>936</v>
      </c>
      <c r="H90" s="1251">
        <f>2581.45*1.2</f>
        <v>3097.74</v>
      </c>
      <c r="I90" s="1252">
        <v>0</v>
      </c>
      <c r="J90" s="891">
        <v>3097.74</v>
      </c>
      <c r="K90" s="891">
        <v>0</v>
      </c>
      <c r="L90" s="1010">
        <v>0</v>
      </c>
      <c r="M90" s="946">
        <v>0</v>
      </c>
      <c r="N90" s="959">
        <f>2917.04*1.2</f>
        <v>3500.4479999999999</v>
      </c>
      <c r="O90" s="891">
        <v>0</v>
      </c>
      <c r="P90" s="891">
        <v>3500.45</v>
      </c>
      <c r="Q90" s="891">
        <v>0</v>
      </c>
      <c r="R90" s="891">
        <v>0</v>
      </c>
      <c r="S90" s="946">
        <v>0</v>
      </c>
      <c r="T90" s="889">
        <v>0</v>
      </c>
      <c r="U90" s="971">
        <v>31</v>
      </c>
      <c r="V90" s="890">
        <v>0</v>
      </c>
      <c r="W90" s="890">
        <v>0</v>
      </c>
      <c r="X90" s="890">
        <v>0</v>
      </c>
      <c r="Y90" s="890">
        <v>0</v>
      </c>
      <c r="Z90" s="949">
        <f>SUM(T90:Y90)</f>
        <v>31</v>
      </c>
      <c r="AA90" s="974">
        <v>0</v>
      </c>
      <c r="AB90" s="890">
        <v>26.116</v>
      </c>
      <c r="AC90" s="890">
        <v>0</v>
      </c>
      <c r="AD90" s="890">
        <v>0</v>
      </c>
      <c r="AE90" s="890">
        <v>0</v>
      </c>
      <c r="AF90" s="890">
        <v>0</v>
      </c>
      <c r="AG90" s="951">
        <f t="shared" si="114"/>
        <v>26.116</v>
      </c>
      <c r="AH90" s="947">
        <f>Z90+AG90</f>
        <v>57.116</v>
      </c>
      <c r="AI90" s="890">
        <f>T90+AA90</f>
        <v>0</v>
      </c>
      <c r="AJ90" s="1008">
        <f>U90+AB90</f>
        <v>57.116</v>
      </c>
      <c r="AK90" s="890">
        <f>V90+AC90</f>
        <v>0</v>
      </c>
      <c r="AL90" s="890">
        <f>W90+AD90</f>
        <v>0</v>
      </c>
      <c r="AM90" s="890">
        <f>X90+AE90</f>
        <v>0</v>
      </c>
      <c r="AN90" s="890"/>
      <c r="AO90" s="890">
        <f>SUM(AI90:AN90)</f>
        <v>57.116</v>
      </c>
      <c r="AP90" s="890">
        <f>SUM(AI90:AM90)</f>
        <v>57.116</v>
      </c>
      <c r="AQ90" s="952">
        <f>SUM(AI90:AL90)</f>
        <v>57.116</v>
      </c>
      <c r="AR90" s="973">
        <f>AQ90-AH90</f>
        <v>0</v>
      </c>
      <c r="AS90" s="889">
        <f>I90*AI90</f>
        <v>0</v>
      </c>
      <c r="AT90" s="890">
        <f>J90*AJ90</f>
        <v>176930.51783999999</v>
      </c>
      <c r="AU90" s="890">
        <f>K90*AK90</f>
        <v>0</v>
      </c>
      <c r="AV90" s="890">
        <f>L90*AL90</f>
        <v>0</v>
      </c>
      <c r="AW90" s="890">
        <f>M90*AM90</f>
        <v>0</v>
      </c>
      <c r="AX90" s="890">
        <f>SUM(AS90:AW90)</f>
        <v>176930.51783999999</v>
      </c>
      <c r="AY90" s="890">
        <f>SUM(AS90:AV90)</f>
        <v>176930.51783999999</v>
      </c>
      <c r="AZ90" s="890">
        <f>O90*AI90</f>
        <v>0</v>
      </c>
      <c r="BA90" s="890">
        <f>P90*AJ90</f>
        <v>199931.7022</v>
      </c>
      <c r="BB90" s="890">
        <f>Q90*AK90</f>
        <v>0</v>
      </c>
      <c r="BC90" s="890">
        <f>R90*AL90</f>
        <v>0</v>
      </c>
      <c r="BD90" s="890">
        <f>S90*AM90</f>
        <v>0</v>
      </c>
      <c r="BE90" s="890">
        <f>SUM(AZ90:BD90)</f>
        <v>199931.7022</v>
      </c>
      <c r="BF90" s="952">
        <f>SUM(AZ90:BC90)</f>
        <v>199931.7022</v>
      </c>
      <c r="BG90" s="974">
        <v>0</v>
      </c>
      <c r="BH90" s="890">
        <v>0</v>
      </c>
      <c r="BI90" s="890">
        <v>0</v>
      </c>
      <c r="BJ90" s="890">
        <v>162.11000000000001</v>
      </c>
      <c r="BK90" s="1199"/>
      <c r="BL90" s="890">
        <f>I90*T90</f>
        <v>0</v>
      </c>
      <c r="BM90" s="890">
        <f>J90*U90</f>
        <v>96029.939999999988</v>
      </c>
      <c r="BN90" s="890">
        <f>K90*V90</f>
        <v>0</v>
      </c>
      <c r="BO90" s="890">
        <f>L90*W90</f>
        <v>0</v>
      </c>
      <c r="BP90" s="890">
        <f>M90*X90</f>
        <v>0</v>
      </c>
      <c r="BQ90" s="890">
        <f>BL90+BM90+BN90+BO90+BP90</f>
        <v>96029.939999999988</v>
      </c>
      <c r="BR90" s="890">
        <f>BQ90-BP90</f>
        <v>96029.939999999988</v>
      </c>
      <c r="BS90" s="890">
        <f>O90*AA90</f>
        <v>0</v>
      </c>
      <c r="BT90" s="890">
        <f>P90*AB90</f>
        <v>91417.752199999988</v>
      </c>
      <c r="BU90" s="890">
        <f>Q90*AC90</f>
        <v>0</v>
      </c>
      <c r="BV90" s="890">
        <f>R90*W90</f>
        <v>0</v>
      </c>
      <c r="BW90" s="890">
        <f>S90*AE90</f>
        <v>0</v>
      </c>
      <c r="BX90" s="890">
        <f>BS90+BT90+BU90+BV90+BW90</f>
        <v>91417.752199999988</v>
      </c>
      <c r="BY90" s="890">
        <f>BX90-BW90</f>
        <v>91417.752199999988</v>
      </c>
      <c r="BZ90" s="945">
        <f>BM90+BT90</f>
        <v>187447.69219999999</v>
      </c>
      <c r="CA90" s="945">
        <f>BN90+BU90</f>
        <v>0</v>
      </c>
      <c r="CB90" s="945">
        <f>BZ90+CA90</f>
        <v>187447.69219999999</v>
      </c>
      <c r="CC90" s="976">
        <f>BZ90/AJ90</f>
        <v>3281.8770957349952</v>
      </c>
      <c r="CD90" s="976" t="e">
        <f>CA90/AK90</f>
        <v>#DIV/0!</v>
      </c>
      <c r="CE90" s="976">
        <f>CB90/(AJ90+AK90)</f>
        <v>3281.8770957349952</v>
      </c>
      <c r="CF90" s="976">
        <f>CB90/(U90+V90+AB90+AC90)</f>
        <v>3281.8770957349952</v>
      </c>
      <c r="CG90" s="977">
        <f>I90*(U90+V90)+O90*(AB90+AC90)</f>
        <v>0</v>
      </c>
      <c r="CH90" s="977">
        <f>CG90/(AJ90+AK90)</f>
        <v>0</v>
      </c>
      <c r="CI90" s="1009"/>
      <c r="CJ90" s="1405">
        <f t="shared" si="106"/>
        <v>96.029939999999982</v>
      </c>
      <c r="CK90" s="1405">
        <f t="shared" si="102"/>
        <v>91.417699967999994</v>
      </c>
      <c r="CL90" s="1405">
        <f t="shared" si="107"/>
        <v>187.44763996799998</v>
      </c>
      <c r="CM90" s="890">
        <f>N90*AH90/1000</f>
        <v>199.93158796799997</v>
      </c>
      <c r="CN90" s="890">
        <f>CM90-CL90</f>
        <v>12.483947999999998</v>
      </c>
      <c r="CO90" s="890">
        <f>H90*Z90+N90*AG90</f>
        <v>187447.639968</v>
      </c>
      <c r="CP90" s="890">
        <f>I90*AI90+J90*AJ90+K90*AK90+L90*AL90</f>
        <v>176930.51783999999</v>
      </c>
      <c r="CQ90" s="890">
        <f>I90*AI90+J90*(AJ90+AK90)+L90*AL90</f>
        <v>176930.51783999999</v>
      </c>
      <c r="CR90" s="890">
        <f>I90*T90+J90*U90+K90*V90+L90*W90</f>
        <v>96029.939999999988</v>
      </c>
      <c r="CS90" s="890">
        <f>O90*AI90+P90*AJ90+Q90*AK90+R90*AL90</f>
        <v>199931.7022</v>
      </c>
      <c r="CT90" s="890">
        <f>O90*AI90+P90*(AJ90+AK90)+R90*AL90</f>
        <v>199931.7022</v>
      </c>
      <c r="CU90" s="890">
        <f>O90*AA90+P90*AB90+Q90*AC90+R90*AD90</f>
        <v>91417.752199999988</v>
      </c>
      <c r="CV90" s="890">
        <f>CP90+CS90</f>
        <v>376862.22003999999</v>
      </c>
      <c r="CW90" s="978">
        <f>CV90/AH90</f>
        <v>6598.19</v>
      </c>
      <c r="CX90" s="890">
        <f>J90*AJ90+K90*AK90</f>
        <v>176930.51783999999</v>
      </c>
      <c r="CY90" s="890">
        <f>P90*AJ90+Q90*AK90</f>
        <v>199931.7022</v>
      </c>
      <c r="CZ90" s="890"/>
      <c r="DA90" s="890">
        <f>H90*AI90+H90*AJ90+H90*AK90+H90*AL90</f>
        <v>176930.51783999999</v>
      </c>
      <c r="DB90" s="890">
        <f>N90*AI90+N90*AJ90+N90*AK90+N90*AL90</f>
        <v>199931.58796799998</v>
      </c>
      <c r="DC90" s="1132"/>
      <c r="DD90" s="841">
        <f>N90/J90*100</f>
        <v>113.00005810687792</v>
      </c>
      <c r="DE90" s="1132"/>
      <c r="DF90" s="1132"/>
      <c r="DG90" s="1132"/>
      <c r="DH90" s="1136">
        <f>AH90</f>
        <v>57.116</v>
      </c>
      <c r="DI90" s="1136">
        <f>AH90</f>
        <v>57.116</v>
      </c>
      <c r="DJ90" s="1050">
        <f>DH90-DI90</f>
        <v>0</v>
      </c>
      <c r="DK90" s="1009"/>
      <c r="DL90" s="975">
        <f>M90*X90/1000</f>
        <v>0</v>
      </c>
      <c r="DM90" s="975">
        <f>S90*AE90/1000</f>
        <v>0</v>
      </c>
      <c r="DN90" s="975">
        <f>DL90+DM90</f>
        <v>0</v>
      </c>
      <c r="DO90" s="871"/>
      <c r="DP90" s="871"/>
      <c r="DQ90" s="871"/>
      <c r="DR90" s="871"/>
      <c r="DS90" s="871"/>
      <c r="DT90" s="871"/>
      <c r="DU90" s="871"/>
      <c r="DV90" s="871"/>
      <c r="DW90" s="871"/>
      <c r="DX90" s="871"/>
      <c r="DY90" s="871"/>
      <c r="DZ90" s="871"/>
      <c r="EA90" s="871"/>
      <c r="EB90" s="871"/>
      <c r="EC90" s="871"/>
      <c r="ED90" s="871"/>
      <c r="EE90" s="871"/>
      <c r="EF90" s="871"/>
      <c r="EG90" s="871"/>
      <c r="EH90" s="871"/>
      <c r="EI90" s="871"/>
      <c r="EJ90" s="871"/>
      <c r="EK90" s="871"/>
      <c r="EL90" s="871"/>
    </row>
    <row r="91" spans="1:191" s="869" customFormat="1" ht="78.75" customHeight="1">
      <c r="A91" s="6" t="e">
        <f t="shared" si="140"/>
        <v>#REF!</v>
      </c>
      <c r="B91" s="886" t="s">
        <v>32</v>
      </c>
      <c r="C91" s="1309" t="s">
        <v>65</v>
      </c>
      <c r="D91" s="1262" t="s">
        <v>141</v>
      </c>
      <c r="E91" s="887">
        <v>4632024035</v>
      </c>
      <c r="F91" s="886" t="s">
        <v>8</v>
      </c>
      <c r="G91" s="1238" t="s">
        <v>983</v>
      </c>
      <c r="H91" s="1256">
        <v>3314.9639999999995</v>
      </c>
      <c r="I91" s="1257">
        <f>H91</f>
        <v>3314.9639999999995</v>
      </c>
      <c r="J91" s="1263">
        <v>2950.21</v>
      </c>
      <c r="K91" s="891"/>
      <c r="L91" s="1256">
        <v>3314.9639999999995</v>
      </c>
      <c r="M91" s="946"/>
      <c r="N91" s="1259">
        <f>3132.14*1.2</f>
        <v>3758.5679999999998</v>
      </c>
      <c r="O91" s="1260">
        <f>N91</f>
        <v>3758.5679999999998</v>
      </c>
      <c r="P91" s="1264">
        <v>2979.71</v>
      </c>
      <c r="Q91" s="891"/>
      <c r="R91" s="891">
        <f>O91</f>
        <v>3758.5679999999998</v>
      </c>
      <c r="S91" s="946"/>
      <c r="T91" s="1385">
        <v>2113.643</v>
      </c>
      <c r="U91" s="1384">
        <v>412.79400000000004</v>
      </c>
      <c r="V91" s="1384"/>
      <c r="W91" s="894"/>
      <c r="X91" s="894"/>
      <c r="Y91" s="894"/>
      <c r="Z91" s="972">
        <f t="shared" si="113"/>
        <v>2526.4369999999999</v>
      </c>
      <c r="AA91" s="1386">
        <v>1221.3319999999999</v>
      </c>
      <c r="AB91" s="1384">
        <v>241</v>
      </c>
      <c r="AC91" s="1366"/>
      <c r="AD91" s="890"/>
      <c r="AE91" s="890"/>
      <c r="AF91" s="890"/>
      <c r="AG91" s="951">
        <f t="shared" si="114"/>
        <v>1462.3319999999999</v>
      </c>
      <c r="AH91" s="947">
        <f t="shared" si="141"/>
        <v>3988.7689999999998</v>
      </c>
      <c r="AI91" s="890">
        <f t="shared" si="148"/>
        <v>3334.9749999999999</v>
      </c>
      <c r="AJ91" s="890">
        <f t="shared" si="148"/>
        <v>653.7940000000001</v>
      </c>
      <c r="AK91" s="890">
        <f t="shared" si="148"/>
        <v>0</v>
      </c>
      <c r="AL91" s="890">
        <f t="shared" si="148"/>
        <v>0</v>
      </c>
      <c r="AM91" s="890">
        <f t="shared" si="148"/>
        <v>0</v>
      </c>
      <c r="AN91" s="890"/>
      <c r="AO91" s="890">
        <f t="shared" si="70"/>
        <v>3988.7690000000002</v>
      </c>
      <c r="AP91" s="890">
        <f t="shared" si="71"/>
        <v>3988.7690000000002</v>
      </c>
      <c r="AQ91" s="952">
        <f t="shared" si="97"/>
        <v>3988.7690000000002</v>
      </c>
      <c r="AR91" s="973">
        <f t="shared" si="132"/>
        <v>0</v>
      </c>
      <c r="AS91" s="889">
        <f t="shared" si="149"/>
        <v>11055322.065899998</v>
      </c>
      <c r="AT91" s="890">
        <f t="shared" si="149"/>
        <v>1928829.5967400004</v>
      </c>
      <c r="AU91" s="890">
        <f t="shared" si="149"/>
        <v>0</v>
      </c>
      <c r="AV91" s="890">
        <f t="shared" si="149"/>
        <v>0</v>
      </c>
      <c r="AW91" s="890">
        <f t="shared" si="149"/>
        <v>0</v>
      </c>
      <c r="AX91" s="890">
        <f t="shared" si="98"/>
        <v>12984151.662639998</v>
      </c>
      <c r="AY91" s="890">
        <f t="shared" si="99"/>
        <v>12984151.662639998</v>
      </c>
      <c r="AZ91" s="890">
        <f t="shared" si="150"/>
        <v>12534730.315799998</v>
      </c>
      <c r="BA91" s="890">
        <f t="shared" si="150"/>
        <v>1948116.5197400004</v>
      </c>
      <c r="BB91" s="890">
        <f t="shared" si="150"/>
        <v>0</v>
      </c>
      <c r="BC91" s="890">
        <f t="shared" si="150"/>
        <v>0</v>
      </c>
      <c r="BD91" s="890">
        <f t="shared" si="150"/>
        <v>0</v>
      </c>
      <c r="BE91" s="890">
        <f t="shared" si="100"/>
        <v>14482846.835539998</v>
      </c>
      <c r="BF91" s="952">
        <f t="shared" si="101"/>
        <v>14482846.835539998</v>
      </c>
      <c r="BG91" s="953">
        <f>(H91-J91)/1.2*U91/1000+(H91-K91)/1.2*V91/1000</f>
        <v>125.47355222999984</v>
      </c>
      <c r="BH91" s="954">
        <f>(O91-P91)*AB91/1000/1.2+(O91-Q91)/1.2*AC91/1000</f>
        <v>156.42064833333328</v>
      </c>
      <c r="BI91" s="955">
        <f t="shared" ref="BI91:BI97" si="151">BG91+BH91</f>
        <v>281.89420056333313</v>
      </c>
      <c r="BJ91" s="955"/>
      <c r="BK91" s="1197"/>
      <c r="BL91" s="890">
        <f t="shared" si="109"/>
        <v>7006650.4538519988</v>
      </c>
      <c r="BM91" s="890">
        <f t="shared" si="109"/>
        <v>1217828.9867400001</v>
      </c>
      <c r="BN91" s="890">
        <f t="shared" si="109"/>
        <v>0</v>
      </c>
      <c r="BO91" s="890">
        <f t="shared" si="109"/>
        <v>0</v>
      </c>
      <c r="BP91" s="890">
        <f t="shared" si="109"/>
        <v>0</v>
      </c>
      <c r="BQ91" s="890">
        <f t="shared" si="142"/>
        <v>8224479.4405919984</v>
      </c>
      <c r="BR91" s="890">
        <f t="shared" si="143"/>
        <v>8224479.4405919984</v>
      </c>
      <c r="BS91" s="890">
        <f t="shared" si="110"/>
        <v>4590459.3725759992</v>
      </c>
      <c r="BT91" s="890">
        <f t="shared" si="110"/>
        <v>718110.11</v>
      </c>
      <c r="BU91" s="890">
        <f t="shared" si="110"/>
        <v>0</v>
      </c>
      <c r="BV91" s="890">
        <f t="shared" si="144"/>
        <v>0</v>
      </c>
      <c r="BW91" s="890">
        <f t="shared" si="115"/>
        <v>0</v>
      </c>
      <c r="BX91" s="890">
        <f t="shared" si="145"/>
        <v>5308569.4825759996</v>
      </c>
      <c r="BY91" s="890">
        <f t="shared" si="146"/>
        <v>5308569.4825759996</v>
      </c>
      <c r="BZ91" s="945">
        <f t="shared" si="111"/>
        <v>1935939.0967399999</v>
      </c>
      <c r="CA91" s="945">
        <f t="shared" si="111"/>
        <v>0</v>
      </c>
      <c r="CB91" s="945">
        <f t="shared" si="147"/>
        <v>1935939.0967399999</v>
      </c>
      <c r="CC91" s="976">
        <f t="shared" si="112"/>
        <v>2961.0842203201614</v>
      </c>
      <c r="CD91" s="976" t="e">
        <f t="shared" si="112"/>
        <v>#DIV/0!</v>
      </c>
      <c r="CE91" s="976">
        <f t="shared" si="133"/>
        <v>2961.0842203201614</v>
      </c>
      <c r="CF91" s="976">
        <f t="shared" si="116"/>
        <v>2961.0842203201614</v>
      </c>
      <c r="CG91" s="977">
        <f t="shared" si="117"/>
        <v>2274212.137416</v>
      </c>
      <c r="CH91" s="977">
        <f t="shared" si="134"/>
        <v>3478.4842586747504</v>
      </c>
      <c r="CI91" s="945"/>
      <c r="CJ91" s="1405">
        <f t="shared" si="106"/>
        <v>8375.0477032679973</v>
      </c>
      <c r="CK91" s="1405">
        <f t="shared" si="102"/>
        <v>5496.2742605759995</v>
      </c>
      <c r="CL91" s="1405">
        <f t="shared" si="107"/>
        <v>13871.321963843997</v>
      </c>
      <c r="CM91" s="890">
        <f t="shared" si="135"/>
        <v>14992.059522791998</v>
      </c>
      <c r="CN91" s="890">
        <f t="shared" si="136"/>
        <v>1120.7375589480016</v>
      </c>
      <c r="CO91" s="890">
        <f t="shared" si="118"/>
        <v>13871321.963843998</v>
      </c>
      <c r="CP91" s="890">
        <f t="shared" si="119"/>
        <v>12984151.662639998</v>
      </c>
      <c r="CQ91" s="890">
        <f t="shared" si="120"/>
        <v>12984151.662639998</v>
      </c>
      <c r="CR91" s="890">
        <f t="shared" si="121"/>
        <v>8224479.4405919984</v>
      </c>
      <c r="CS91" s="890">
        <f t="shared" si="122"/>
        <v>14482846.835539998</v>
      </c>
      <c r="CT91" s="890">
        <f t="shared" si="123"/>
        <v>14482846.835539998</v>
      </c>
      <c r="CU91" s="890">
        <f t="shared" si="124"/>
        <v>5308569.4825759996</v>
      </c>
      <c r="CV91" s="890">
        <f t="shared" si="137"/>
        <v>27466998.498179995</v>
      </c>
      <c r="CW91" s="978">
        <f t="shared" si="138"/>
        <v>6886.0840269717291</v>
      </c>
      <c r="CX91" s="890">
        <f t="shared" si="125"/>
        <v>1928829.5967400004</v>
      </c>
      <c r="CY91" s="890">
        <f t="shared" si="126"/>
        <v>1948116.5197400004</v>
      </c>
      <c r="CZ91" s="890"/>
      <c r="DA91" s="890">
        <f t="shared" si="127"/>
        <v>13222625.639315998</v>
      </c>
      <c r="DB91" s="890">
        <f t="shared" si="128"/>
        <v>14992059.522791998</v>
      </c>
      <c r="DC91" s="840"/>
      <c r="DD91" s="841">
        <f t="shared" si="139"/>
        <v>127.40001559211038</v>
      </c>
      <c r="DE91" s="840"/>
      <c r="DF91" s="840"/>
      <c r="DG91" s="840"/>
      <c r="DH91" s="1050"/>
      <c r="DI91" s="1050"/>
      <c r="DJ91" s="1050"/>
      <c r="DK91" s="945"/>
      <c r="DL91" s="975">
        <f t="shared" si="129"/>
        <v>0</v>
      </c>
      <c r="DM91" s="975">
        <f t="shared" si="130"/>
        <v>0</v>
      </c>
      <c r="DN91" s="975">
        <f t="shared" si="131"/>
        <v>0</v>
      </c>
      <c r="DO91" s="816"/>
      <c r="DP91" s="871"/>
      <c r="DQ91" s="871"/>
      <c r="DR91" s="871"/>
      <c r="DS91" s="871"/>
      <c r="DT91" s="871"/>
      <c r="DU91" s="871"/>
      <c r="DV91" s="871"/>
      <c r="DW91" s="871"/>
      <c r="DX91" s="871"/>
      <c r="DY91" s="871"/>
      <c r="DZ91" s="871"/>
      <c r="EA91" s="871"/>
      <c r="EB91" s="871"/>
      <c r="EC91" s="871"/>
      <c r="ED91" s="871"/>
      <c r="EE91" s="871"/>
      <c r="EF91" s="871"/>
      <c r="EG91" s="871"/>
      <c r="EH91" s="871"/>
      <c r="EI91" s="871"/>
      <c r="EJ91" s="871"/>
      <c r="EK91" s="871"/>
      <c r="EL91" s="871"/>
    </row>
    <row r="92" spans="1:191" s="869" customFormat="1" ht="77.25" customHeight="1">
      <c r="A92" s="6" t="e">
        <f t="shared" si="140"/>
        <v>#REF!</v>
      </c>
      <c r="B92" s="886" t="s">
        <v>32</v>
      </c>
      <c r="C92" s="1309" t="s">
        <v>115</v>
      </c>
      <c r="D92" s="1262" t="s">
        <v>142</v>
      </c>
      <c r="E92" s="887">
        <v>4632024035</v>
      </c>
      <c r="F92" s="886" t="s">
        <v>8</v>
      </c>
      <c r="G92" s="1238" t="s">
        <v>983</v>
      </c>
      <c r="H92" s="1256">
        <v>3314.9639999999995</v>
      </c>
      <c r="I92" s="1257">
        <f>H92</f>
        <v>3314.9639999999995</v>
      </c>
      <c r="J92" s="891"/>
      <c r="K92" s="891"/>
      <c r="L92" s="1256">
        <v>3314.9639999999995</v>
      </c>
      <c r="M92" s="946"/>
      <c r="N92" s="1259">
        <f>3132.14*1.2</f>
        <v>3758.5679999999998</v>
      </c>
      <c r="O92" s="1260">
        <f>N92</f>
        <v>3758.5679999999998</v>
      </c>
      <c r="P92" s="891"/>
      <c r="Q92" s="891"/>
      <c r="R92" s="891">
        <f>O92</f>
        <v>3758.5679999999998</v>
      </c>
      <c r="S92" s="946"/>
      <c r="T92" s="1385">
        <v>251.70200000000003</v>
      </c>
      <c r="U92" s="1384"/>
      <c r="V92" s="1384"/>
      <c r="W92" s="894"/>
      <c r="X92" s="894"/>
      <c r="Y92" s="894"/>
      <c r="Z92" s="972">
        <f t="shared" si="113"/>
        <v>251.70200000000003</v>
      </c>
      <c r="AA92" s="1386">
        <v>146.16</v>
      </c>
      <c r="AB92" s="1366"/>
      <c r="AC92" s="1366"/>
      <c r="AD92" s="890"/>
      <c r="AE92" s="890"/>
      <c r="AF92" s="890"/>
      <c r="AG92" s="951">
        <f t="shared" si="114"/>
        <v>146.16</v>
      </c>
      <c r="AH92" s="947">
        <f t="shared" si="141"/>
        <v>397.86200000000002</v>
      </c>
      <c r="AI92" s="890">
        <f t="shared" si="148"/>
        <v>397.86200000000002</v>
      </c>
      <c r="AJ92" s="890">
        <f t="shared" si="148"/>
        <v>0</v>
      </c>
      <c r="AK92" s="890">
        <f t="shared" si="148"/>
        <v>0</v>
      </c>
      <c r="AL92" s="890">
        <f t="shared" si="148"/>
        <v>0</v>
      </c>
      <c r="AM92" s="890">
        <f t="shared" si="148"/>
        <v>0</v>
      </c>
      <c r="AN92" s="890"/>
      <c r="AO92" s="890">
        <f t="shared" ref="AO92:AO136" si="152">SUM(AI92:AN92)</f>
        <v>397.86200000000002</v>
      </c>
      <c r="AP92" s="890">
        <f t="shared" ref="AP92:AP138" si="153">SUM(AI92:AM92)</f>
        <v>397.86200000000002</v>
      </c>
      <c r="AQ92" s="952">
        <f t="shared" si="97"/>
        <v>397.86200000000002</v>
      </c>
      <c r="AR92" s="973">
        <f t="shared" si="132"/>
        <v>0</v>
      </c>
      <c r="AS92" s="889">
        <f t="shared" si="149"/>
        <v>1318898.2069679999</v>
      </c>
      <c r="AT92" s="890">
        <f t="shared" si="149"/>
        <v>0</v>
      </c>
      <c r="AU92" s="890">
        <f t="shared" si="149"/>
        <v>0</v>
      </c>
      <c r="AV92" s="890">
        <f t="shared" si="149"/>
        <v>0</v>
      </c>
      <c r="AW92" s="890">
        <f t="shared" si="149"/>
        <v>0</v>
      </c>
      <c r="AX92" s="890">
        <f t="shared" si="98"/>
        <v>1318898.2069679999</v>
      </c>
      <c r="AY92" s="890">
        <f t="shared" si="99"/>
        <v>1318898.2069679999</v>
      </c>
      <c r="AZ92" s="890">
        <f t="shared" si="150"/>
        <v>1495391.3816160001</v>
      </c>
      <c r="BA92" s="890">
        <f t="shared" si="150"/>
        <v>0</v>
      </c>
      <c r="BB92" s="890">
        <f t="shared" si="150"/>
        <v>0</v>
      </c>
      <c r="BC92" s="890">
        <f t="shared" si="150"/>
        <v>0</v>
      </c>
      <c r="BD92" s="890">
        <f t="shared" si="150"/>
        <v>0</v>
      </c>
      <c r="BE92" s="890">
        <f t="shared" si="100"/>
        <v>1495391.3816160001</v>
      </c>
      <c r="BF92" s="952">
        <f t="shared" si="101"/>
        <v>1495391.3816160001</v>
      </c>
      <c r="BG92" s="953">
        <f>(H92-J92)/1.2*U92/1000+(H92-K92)/1.2*V92/1000</f>
        <v>0</v>
      </c>
      <c r="BH92" s="954">
        <f>(O92-P92)*AB92/1000/1.2+(O92-Q92)/1.2*AC92/1000</f>
        <v>0</v>
      </c>
      <c r="BI92" s="955">
        <f t="shared" si="151"/>
        <v>0</v>
      </c>
      <c r="BJ92" s="890"/>
      <c r="BK92" s="1199"/>
      <c r="BL92" s="890">
        <f t="shared" si="109"/>
        <v>834383.06872799993</v>
      </c>
      <c r="BM92" s="890">
        <f t="shared" si="109"/>
        <v>0</v>
      </c>
      <c r="BN92" s="890">
        <f t="shared" si="109"/>
        <v>0</v>
      </c>
      <c r="BO92" s="890">
        <f t="shared" si="109"/>
        <v>0</v>
      </c>
      <c r="BP92" s="890">
        <f t="shared" si="109"/>
        <v>0</v>
      </c>
      <c r="BQ92" s="890">
        <f t="shared" si="142"/>
        <v>834383.06872799993</v>
      </c>
      <c r="BR92" s="890">
        <f t="shared" si="143"/>
        <v>834383.06872799993</v>
      </c>
      <c r="BS92" s="890">
        <f t="shared" si="110"/>
        <v>549352.2988799999</v>
      </c>
      <c r="BT92" s="890">
        <f t="shared" si="110"/>
        <v>0</v>
      </c>
      <c r="BU92" s="890">
        <f t="shared" si="110"/>
        <v>0</v>
      </c>
      <c r="BV92" s="890">
        <f t="shared" si="144"/>
        <v>0</v>
      </c>
      <c r="BW92" s="890">
        <f t="shared" si="115"/>
        <v>0</v>
      </c>
      <c r="BX92" s="890">
        <f t="shared" si="145"/>
        <v>549352.2988799999</v>
      </c>
      <c r="BY92" s="890">
        <f t="shared" si="146"/>
        <v>549352.2988799999</v>
      </c>
      <c r="BZ92" s="945">
        <f t="shared" si="111"/>
        <v>0</v>
      </c>
      <c r="CA92" s="945">
        <f t="shared" si="111"/>
        <v>0</v>
      </c>
      <c r="CB92" s="945">
        <f t="shared" si="147"/>
        <v>0</v>
      </c>
      <c r="CC92" s="976" t="e">
        <f t="shared" si="112"/>
        <v>#DIV/0!</v>
      </c>
      <c r="CD92" s="976" t="e">
        <f t="shared" si="112"/>
        <v>#DIV/0!</v>
      </c>
      <c r="CE92" s="976" t="e">
        <f t="shared" si="133"/>
        <v>#DIV/0!</v>
      </c>
      <c r="CF92" s="945" t="e">
        <f t="shared" si="116"/>
        <v>#DIV/0!</v>
      </c>
      <c r="CG92" s="977">
        <f t="shared" si="117"/>
        <v>0</v>
      </c>
      <c r="CH92" s="977" t="e">
        <f t="shared" si="134"/>
        <v>#DIV/0!</v>
      </c>
      <c r="CI92" s="945"/>
      <c r="CJ92" s="1405">
        <f t="shared" si="106"/>
        <v>834.3830687279999</v>
      </c>
      <c r="CK92" s="1405">
        <f t="shared" si="102"/>
        <v>549.35229887999992</v>
      </c>
      <c r="CL92" s="1405">
        <f t="shared" si="107"/>
        <v>1383.7353676079997</v>
      </c>
      <c r="CM92" s="890">
        <f t="shared" si="135"/>
        <v>1495.391381616</v>
      </c>
      <c r="CN92" s="890">
        <f t="shared" si="136"/>
        <v>111.65601400800028</v>
      </c>
      <c r="CO92" s="890">
        <f t="shared" si="118"/>
        <v>1383735.3676079998</v>
      </c>
      <c r="CP92" s="890">
        <f t="shared" si="119"/>
        <v>1318898.2069679999</v>
      </c>
      <c r="CQ92" s="890">
        <f t="shared" si="120"/>
        <v>1318898.2069679999</v>
      </c>
      <c r="CR92" s="890">
        <f t="shared" si="121"/>
        <v>834383.06872799993</v>
      </c>
      <c r="CS92" s="890">
        <f t="shared" si="122"/>
        <v>1495391.3816160001</v>
      </c>
      <c r="CT92" s="890">
        <f t="shared" si="123"/>
        <v>1495391.3816160001</v>
      </c>
      <c r="CU92" s="890">
        <f t="shared" si="124"/>
        <v>549352.2988799999</v>
      </c>
      <c r="CV92" s="890">
        <f t="shared" si="137"/>
        <v>2814289.5885840002</v>
      </c>
      <c r="CW92" s="978">
        <f t="shared" si="138"/>
        <v>7073.5320000000002</v>
      </c>
      <c r="CX92" s="890">
        <f t="shared" si="125"/>
        <v>0</v>
      </c>
      <c r="CY92" s="890">
        <f t="shared" si="126"/>
        <v>0</v>
      </c>
      <c r="CZ92" s="890"/>
      <c r="DA92" s="890">
        <f t="shared" si="127"/>
        <v>1318898.2069679999</v>
      </c>
      <c r="DB92" s="890">
        <f t="shared" si="128"/>
        <v>1495391.3816160001</v>
      </c>
      <c r="DC92" s="840"/>
      <c r="DD92" s="841" t="e">
        <f t="shared" si="139"/>
        <v>#DIV/0!</v>
      </c>
      <c r="DE92" s="840"/>
      <c r="DF92" s="840"/>
      <c r="DG92" s="840"/>
      <c r="DH92" s="1050"/>
      <c r="DI92" s="1050"/>
      <c r="DJ92" s="1050"/>
      <c r="DK92" s="945"/>
      <c r="DL92" s="975">
        <f t="shared" si="129"/>
        <v>0</v>
      </c>
      <c r="DM92" s="975">
        <f t="shared" si="130"/>
        <v>0</v>
      </c>
      <c r="DN92" s="975">
        <f t="shared" si="131"/>
        <v>0</v>
      </c>
      <c r="DO92" s="816"/>
      <c r="DP92" s="871"/>
      <c r="DQ92" s="871"/>
      <c r="DR92" s="871"/>
      <c r="DS92" s="871"/>
      <c r="DT92" s="871"/>
      <c r="DU92" s="871"/>
      <c r="DV92" s="871"/>
      <c r="DW92" s="871"/>
      <c r="DX92" s="871"/>
      <c r="DY92" s="871"/>
      <c r="DZ92" s="871"/>
      <c r="EA92" s="871"/>
      <c r="EB92" s="871"/>
      <c r="EC92" s="871"/>
      <c r="ED92" s="871"/>
      <c r="EE92" s="871"/>
      <c r="EF92" s="871"/>
      <c r="EG92" s="871"/>
      <c r="EH92" s="871"/>
      <c r="EI92" s="871"/>
      <c r="EJ92" s="871"/>
      <c r="EK92" s="871"/>
      <c r="EL92" s="871"/>
    </row>
    <row r="93" spans="1:191" s="869" customFormat="1" ht="77.25" customHeight="1">
      <c r="A93" s="6" t="e">
        <f t="shared" si="140"/>
        <v>#REF!</v>
      </c>
      <c r="B93" s="886" t="s">
        <v>32</v>
      </c>
      <c r="C93" s="1309" t="s">
        <v>116</v>
      </c>
      <c r="D93" s="1262" t="s">
        <v>141</v>
      </c>
      <c r="E93" s="887">
        <v>4632024035</v>
      </c>
      <c r="F93" s="886" t="s">
        <v>8</v>
      </c>
      <c r="G93" s="1238" t="s">
        <v>983</v>
      </c>
      <c r="H93" s="1256">
        <v>3314.9639999999995</v>
      </c>
      <c r="I93" s="1257">
        <f>H93</f>
        <v>3314.9639999999995</v>
      </c>
      <c r="J93" s="891"/>
      <c r="K93" s="891"/>
      <c r="L93" s="1256">
        <v>3314.9639999999995</v>
      </c>
      <c r="M93" s="946"/>
      <c r="N93" s="1259">
        <f>3132.14*1.2</f>
        <v>3758.5679999999998</v>
      </c>
      <c r="O93" s="1260">
        <f>N93</f>
        <v>3758.5679999999998</v>
      </c>
      <c r="P93" s="891"/>
      <c r="Q93" s="891"/>
      <c r="R93" s="891">
        <f>O93</f>
        <v>3758.5679999999998</v>
      </c>
      <c r="S93" s="946"/>
      <c r="T93" s="1307">
        <v>1107.5940000000001</v>
      </c>
      <c r="U93" s="1366"/>
      <c r="V93" s="1366"/>
      <c r="W93" s="890"/>
      <c r="X93" s="890"/>
      <c r="Y93" s="890"/>
      <c r="Z93" s="949">
        <f t="shared" si="113"/>
        <v>1107.5940000000001</v>
      </c>
      <c r="AA93" s="1308">
        <v>667.43200000000002</v>
      </c>
      <c r="AB93" s="1366"/>
      <c r="AC93" s="1366"/>
      <c r="AD93" s="890"/>
      <c r="AE93" s="890"/>
      <c r="AF93" s="890"/>
      <c r="AG93" s="951">
        <f t="shared" si="114"/>
        <v>667.43200000000002</v>
      </c>
      <c r="AH93" s="947">
        <f t="shared" si="141"/>
        <v>1775.0260000000001</v>
      </c>
      <c r="AI93" s="890">
        <f t="shared" si="148"/>
        <v>1775.0260000000001</v>
      </c>
      <c r="AJ93" s="890">
        <f t="shared" si="148"/>
        <v>0</v>
      </c>
      <c r="AK93" s="890">
        <f t="shared" si="148"/>
        <v>0</v>
      </c>
      <c r="AL93" s="890">
        <f t="shared" si="148"/>
        <v>0</v>
      </c>
      <c r="AM93" s="890">
        <f t="shared" si="148"/>
        <v>0</v>
      </c>
      <c r="AN93" s="890"/>
      <c r="AO93" s="890">
        <f t="shared" si="152"/>
        <v>1775.0260000000001</v>
      </c>
      <c r="AP93" s="890">
        <f t="shared" si="153"/>
        <v>1775.0260000000001</v>
      </c>
      <c r="AQ93" s="952">
        <f t="shared" si="97"/>
        <v>1775.0260000000001</v>
      </c>
      <c r="AR93" s="973">
        <f t="shared" si="132"/>
        <v>0</v>
      </c>
      <c r="AS93" s="889">
        <f t="shared" si="149"/>
        <v>5884147.2890639994</v>
      </c>
      <c r="AT93" s="890">
        <f t="shared" si="149"/>
        <v>0</v>
      </c>
      <c r="AU93" s="890">
        <f t="shared" si="149"/>
        <v>0</v>
      </c>
      <c r="AV93" s="890">
        <f t="shared" si="149"/>
        <v>0</v>
      </c>
      <c r="AW93" s="890">
        <f t="shared" si="149"/>
        <v>0</v>
      </c>
      <c r="AX93" s="890">
        <f t="shared" si="98"/>
        <v>5884147.2890639994</v>
      </c>
      <c r="AY93" s="890">
        <f t="shared" si="99"/>
        <v>5884147.2890639994</v>
      </c>
      <c r="AZ93" s="890">
        <f t="shared" si="150"/>
        <v>6671555.9227679996</v>
      </c>
      <c r="BA93" s="890">
        <f t="shared" si="150"/>
        <v>0</v>
      </c>
      <c r="BB93" s="890">
        <f t="shared" si="150"/>
        <v>0</v>
      </c>
      <c r="BC93" s="890">
        <f t="shared" si="150"/>
        <v>0</v>
      </c>
      <c r="BD93" s="890">
        <f t="shared" si="150"/>
        <v>0</v>
      </c>
      <c r="BE93" s="890">
        <f t="shared" si="100"/>
        <v>6671555.9227679996</v>
      </c>
      <c r="BF93" s="952">
        <f t="shared" si="101"/>
        <v>6671555.9227679996</v>
      </c>
      <c r="BG93" s="953">
        <f>(H93-J93)/1.2*U93/1000+(H93-K93)/1.2*V93/1000</f>
        <v>0</v>
      </c>
      <c r="BH93" s="954">
        <f>(O93-P93)*AB93/1000/1.2+(O93-Q93)/1.2*AC93/1000</f>
        <v>0</v>
      </c>
      <c r="BI93" s="955">
        <f t="shared" si="151"/>
        <v>0</v>
      </c>
      <c r="BJ93" s="890"/>
      <c r="BK93" s="1199"/>
      <c r="BL93" s="890">
        <f t="shared" si="109"/>
        <v>3671634.2366159996</v>
      </c>
      <c r="BM93" s="890">
        <f t="shared" si="109"/>
        <v>0</v>
      </c>
      <c r="BN93" s="890">
        <f t="shared" si="109"/>
        <v>0</v>
      </c>
      <c r="BO93" s="890">
        <f t="shared" si="109"/>
        <v>0</v>
      </c>
      <c r="BP93" s="890">
        <f t="shared" si="109"/>
        <v>0</v>
      </c>
      <c r="BQ93" s="890">
        <f t="shared" si="142"/>
        <v>3671634.2366159996</v>
      </c>
      <c r="BR93" s="890">
        <f t="shared" si="143"/>
        <v>3671634.2366159996</v>
      </c>
      <c r="BS93" s="890">
        <f t="shared" si="110"/>
        <v>2508588.5573760001</v>
      </c>
      <c r="BT93" s="890">
        <f t="shared" si="110"/>
        <v>0</v>
      </c>
      <c r="BU93" s="890">
        <f t="shared" si="110"/>
        <v>0</v>
      </c>
      <c r="BV93" s="890">
        <f t="shared" si="144"/>
        <v>0</v>
      </c>
      <c r="BW93" s="890">
        <f t="shared" si="115"/>
        <v>0</v>
      </c>
      <c r="BX93" s="890">
        <f t="shared" si="145"/>
        <v>2508588.5573760001</v>
      </c>
      <c r="BY93" s="890">
        <f t="shared" si="146"/>
        <v>2508588.5573760001</v>
      </c>
      <c r="BZ93" s="945">
        <f t="shared" si="111"/>
        <v>0</v>
      </c>
      <c r="CA93" s="945">
        <f t="shared" si="111"/>
        <v>0</v>
      </c>
      <c r="CB93" s="945">
        <f t="shared" si="147"/>
        <v>0</v>
      </c>
      <c r="CC93" s="976" t="e">
        <f t="shared" si="112"/>
        <v>#DIV/0!</v>
      </c>
      <c r="CD93" s="976" t="e">
        <f t="shared" si="112"/>
        <v>#DIV/0!</v>
      </c>
      <c r="CE93" s="976" t="e">
        <f t="shared" si="133"/>
        <v>#DIV/0!</v>
      </c>
      <c r="CF93" s="945" t="e">
        <f t="shared" si="116"/>
        <v>#DIV/0!</v>
      </c>
      <c r="CG93" s="977">
        <f t="shared" si="117"/>
        <v>0</v>
      </c>
      <c r="CH93" s="977" t="e">
        <f t="shared" si="134"/>
        <v>#DIV/0!</v>
      </c>
      <c r="CI93" s="945"/>
      <c r="CJ93" s="1405">
        <f t="shared" si="106"/>
        <v>3671.6342366159997</v>
      </c>
      <c r="CK93" s="1405">
        <f t="shared" si="102"/>
        <v>2508.5885573760002</v>
      </c>
      <c r="CL93" s="1405">
        <f t="shared" si="107"/>
        <v>6180.2227939919994</v>
      </c>
      <c r="CM93" s="890">
        <f t="shared" si="135"/>
        <v>6671.5559227679996</v>
      </c>
      <c r="CN93" s="890">
        <f t="shared" si="136"/>
        <v>491.33312877600019</v>
      </c>
      <c r="CO93" s="890">
        <f t="shared" si="118"/>
        <v>6180222.7939919997</v>
      </c>
      <c r="CP93" s="890">
        <f t="shared" si="119"/>
        <v>5884147.2890639994</v>
      </c>
      <c r="CQ93" s="890">
        <f t="shared" si="120"/>
        <v>5884147.2890639994</v>
      </c>
      <c r="CR93" s="890">
        <f t="shared" si="121"/>
        <v>3671634.2366159996</v>
      </c>
      <c r="CS93" s="890">
        <f t="shared" si="122"/>
        <v>6671555.9227679996</v>
      </c>
      <c r="CT93" s="890">
        <f t="shared" si="123"/>
        <v>6671555.9227679996</v>
      </c>
      <c r="CU93" s="890">
        <f t="shared" si="124"/>
        <v>2508588.5573760001</v>
      </c>
      <c r="CV93" s="890">
        <f t="shared" si="137"/>
        <v>12555703.211831998</v>
      </c>
      <c r="CW93" s="978">
        <f t="shared" si="138"/>
        <v>7073.5319999999983</v>
      </c>
      <c r="CX93" s="890">
        <f t="shared" si="125"/>
        <v>0</v>
      </c>
      <c r="CY93" s="890">
        <f t="shared" si="126"/>
        <v>0</v>
      </c>
      <c r="CZ93" s="890"/>
      <c r="DA93" s="890">
        <f t="shared" si="127"/>
        <v>5884147.2890639994</v>
      </c>
      <c r="DB93" s="890">
        <f t="shared" si="128"/>
        <v>6671555.9227679996</v>
      </c>
      <c r="DC93" s="840"/>
      <c r="DD93" s="841" t="e">
        <f t="shared" si="139"/>
        <v>#DIV/0!</v>
      </c>
      <c r="DE93" s="840"/>
      <c r="DF93" s="840"/>
      <c r="DG93" s="840"/>
      <c r="DH93" s="1050"/>
      <c r="DI93" s="1050"/>
      <c r="DJ93" s="1050"/>
      <c r="DK93" s="945"/>
      <c r="DL93" s="975">
        <f t="shared" si="129"/>
        <v>0</v>
      </c>
      <c r="DM93" s="975">
        <f t="shared" si="130"/>
        <v>0</v>
      </c>
      <c r="DN93" s="975">
        <f t="shared" si="131"/>
        <v>0</v>
      </c>
      <c r="DO93" s="816"/>
      <c r="DP93" s="871"/>
      <c r="DQ93" s="871"/>
      <c r="DR93" s="871"/>
      <c r="DS93" s="871"/>
      <c r="DT93" s="871"/>
      <c r="DU93" s="871"/>
      <c r="DV93" s="871"/>
      <c r="DW93" s="871"/>
      <c r="DX93" s="871"/>
      <c r="DY93" s="871"/>
      <c r="DZ93" s="871"/>
      <c r="EA93" s="871"/>
      <c r="EB93" s="871"/>
      <c r="EC93" s="871"/>
      <c r="ED93" s="871"/>
      <c r="EE93" s="871"/>
      <c r="EF93" s="871"/>
      <c r="EG93" s="871"/>
      <c r="EH93" s="871"/>
      <c r="EI93" s="871"/>
      <c r="EJ93" s="871"/>
      <c r="EK93" s="871"/>
      <c r="EL93" s="871"/>
    </row>
    <row r="94" spans="1:191" s="869" customFormat="1" ht="78" customHeight="1">
      <c r="A94" s="6" t="e">
        <f t="shared" si="140"/>
        <v>#REF!</v>
      </c>
      <c r="B94" s="886" t="s">
        <v>32</v>
      </c>
      <c r="C94" s="1309" t="s">
        <v>117</v>
      </c>
      <c r="D94" s="1262" t="s">
        <v>141</v>
      </c>
      <c r="E94" s="887">
        <v>4632024035</v>
      </c>
      <c r="F94" s="886" t="s">
        <v>8</v>
      </c>
      <c r="G94" s="1238" t="s">
        <v>983</v>
      </c>
      <c r="H94" s="1256">
        <v>3314.9639999999995</v>
      </c>
      <c r="I94" s="1257">
        <f>H94</f>
        <v>3314.9639999999995</v>
      </c>
      <c r="J94" s="891"/>
      <c r="K94" s="891"/>
      <c r="L94" s="1256">
        <v>3314.9639999999995</v>
      </c>
      <c r="M94" s="946"/>
      <c r="N94" s="1259">
        <f>3132.14*1.2</f>
        <v>3758.5679999999998</v>
      </c>
      <c r="O94" s="1260">
        <f>N94</f>
        <v>3758.5679999999998</v>
      </c>
      <c r="P94" s="891"/>
      <c r="Q94" s="891"/>
      <c r="R94" s="891">
        <f>O94</f>
        <v>3758.5679999999998</v>
      </c>
      <c r="S94" s="946"/>
      <c r="T94" s="1307">
        <v>119.858</v>
      </c>
      <c r="U94" s="1366"/>
      <c r="V94" s="1366"/>
      <c r="W94" s="890"/>
      <c r="X94" s="890"/>
      <c r="Y94" s="890"/>
      <c r="Z94" s="949">
        <f t="shared" si="113"/>
        <v>119.858</v>
      </c>
      <c r="AA94" s="1308">
        <v>69.599999999999994</v>
      </c>
      <c r="AB94" s="1366"/>
      <c r="AC94" s="1366"/>
      <c r="AD94" s="890"/>
      <c r="AE94" s="890"/>
      <c r="AF94" s="890"/>
      <c r="AG94" s="951">
        <f t="shared" si="114"/>
        <v>69.599999999999994</v>
      </c>
      <c r="AH94" s="947">
        <f t="shared" si="141"/>
        <v>189.458</v>
      </c>
      <c r="AI94" s="890">
        <f t="shared" si="148"/>
        <v>189.458</v>
      </c>
      <c r="AJ94" s="890">
        <f t="shared" si="148"/>
        <v>0</v>
      </c>
      <c r="AK94" s="890">
        <f t="shared" si="148"/>
        <v>0</v>
      </c>
      <c r="AL94" s="890">
        <f t="shared" si="148"/>
        <v>0</v>
      </c>
      <c r="AM94" s="890">
        <f t="shared" si="148"/>
        <v>0</v>
      </c>
      <c r="AN94" s="890"/>
      <c r="AO94" s="890">
        <f t="shared" si="152"/>
        <v>189.458</v>
      </c>
      <c r="AP94" s="890">
        <f t="shared" si="153"/>
        <v>189.458</v>
      </c>
      <c r="AQ94" s="952">
        <f t="shared" si="97"/>
        <v>189.458</v>
      </c>
      <c r="AR94" s="973">
        <f t="shared" si="132"/>
        <v>0</v>
      </c>
      <c r="AS94" s="889">
        <f t="shared" si="149"/>
        <v>628046.44951199985</v>
      </c>
      <c r="AT94" s="890">
        <f t="shared" si="149"/>
        <v>0</v>
      </c>
      <c r="AU94" s="890">
        <f t="shared" si="149"/>
        <v>0</v>
      </c>
      <c r="AV94" s="890">
        <f t="shared" si="149"/>
        <v>0</v>
      </c>
      <c r="AW94" s="890">
        <f t="shared" si="149"/>
        <v>0</v>
      </c>
      <c r="AX94" s="890">
        <f t="shared" si="98"/>
        <v>628046.44951199985</v>
      </c>
      <c r="AY94" s="890">
        <f t="shared" si="99"/>
        <v>628046.44951199985</v>
      </c>
      <c r="AZ94" s="890">
        <f t="shared" si="150"/>
        <v>712090.776144</v>
      </c>
      <c r="BA94" s="890">
        <f t="shared" si="150"/>
        <v>0</v>
      </c>
      <c r="BB94" s="890">
        <f t="shared" si="150"/>
        <v>0</v>
      </c>
      <c r="BC94" s="890">
        <f t="shared" si="150"/>
        <v>0</v>
      </c>
      <c r="BD94" s="890">
        <f t="shared" si="150"/>
        <v>0</v>
      </c>
      <c r="BE94" s="890">
        <f t="shared" si="100"/>
        <v>712090.776144</v>
      </c>
      <c r="BF94" s="952">
        <f t="shared" si="101"/>
        <v>712090.776144</v>
      </c>
      <c r="BG94" s="953">
        <f>(H94-J94)/1.2*U94/1000+(H94-K94)/1.2*V94/1000</f>
        <v>0</v>
      </c>
      <c r="BH94" s="954">
        <f>(O94-P94)*AB94/1000/1.2+(O94-Q94)/1.2*AC94/1000</f>
        <v>0</v>
      </c>
      <c r="BI94" s="955">
        <f t="shared" si="151"/>
        <v>0</v>
      </c>
      <c r="BJ94" s="890"/>
      <c r="BK94" s="1199"/>
      <c r="BL94" s="890">
        <f t="shared" si="109"/>
        <v>397324.95511199994</v>
      </c>
      <c r="BM94" s="890">
        <f t="shared" si="109"/>
        <v>0</v>
      </c>
      <c r="BN94" s="890">
        <f t="shared" si="109"/>
        <v>0</v>
      </c>
      <c r="BO94" s="890">
        <f t="shared" si="109"/>
        <v>0</v>
      </c>
      <c r="BP94" s="890">
        <f t="shared" si="109"/>
        <v>0</v>
      </c>
      <c r="BQ94" s="890">
        <f t="shared" si="142"/>
        <v>397324.95511199994</v>
      </c>
      <c r="BR94" s="890">
        <f t="shared" si="143"/>
        <v>397324.95511199994</v>
      </c>
      <c r="BS94" s="890">
        <f t="shared" si="110"/>
        <v>261596.33279999997</v>
      </c>
      <c r="BT94" s="890">
        <f t="shared" si="110"/>
        <v>0</v>
      </c>
      <c r="BU94" s="890">
        <f t="shared" si="110"/>
        <v>0</v>
      </c>
      <c r="BV94" s="890">
        <f t="shared" si="144"/>
        <v>0</v>
      </c>
      <c r="BW94" s="890">
        <f t="shared" si="115"/>
        <v>0</v>
      </c>
      <c r="BX94" s="890">
        <f t="shared" si="145"/>
        <v>261596.33279999997</v>
      </c>
      <c r="BY94" s="890">
        <f t="shared" si="146"/>
        <v>261596.33279999997</v>
      </c>
      <c r="BZ94" s="945">
        <f t="shared" si="111"/>
        <v>0</v>
      </c>
      <c r="CA94" s="945">
        <f t="shared" si="111"/>
        <v>0</v>
      </c>
      <c r="CB94" s="945">
        <f t="shared" si="147"/>
        <v>0</v>
      </c>
      <c r="CC94" s="976" t="e">
        <f t="shared" si="112"/>
        <v>#DIV/0!</v>
      </c>
      <c r="CD94" s="976" t="e">
        <f t="shared" si="112"/>
        <v>#DIV/0!</v>
      </c>
      <c r="CE94" s="976" t="e">
        <f t="shared" si="133"/>
        <v>#DIV/0!</v>
      </c>
      <c r="CF94" s="945" t="e">
        <f t="shared" si="116"/>
        <v>#DIV/0!</v>
      </c>
      <c r="CG94" s="977">
        <f t="shared" si="117"/>
        <v>0</v>
      </c>
      <c r="CH94" s="977" t="e">
        <f t="shared" si="134"/>
        <v>#DIV/0!</v>
      </c>
      <c r="CI94" s="945"/>
      <c r="CJ94" s="1405">
        <f t="shared" si="106"/>
        <v>397.32495511199994</v>
      </c>
      <c r="CK94" s="1405">
        <f t="shared" si="102"/>
        <v>261.59633279999997</v>
      </c>
      <c r="CL94" s="1405">
        <f t="shared" si="107"/>
        <v>658.92128791199991</v>
      </c>
      <c r="CM94" s="890">
        <f t="shared" si="135"/>
        <v>712.09077614399996</v>
      </c>
      <c r="CN94" s="890">
        <f t="shared" si="136"/>
        <v>53.169488232000049</v>
      </c>
      <c r="CO94" s="890">
        <f t="shared" si="118"/>
        <v>658921.28791199997</v>
      </c>
      <c r="CP94" s="890">
        <f t="shared" si="119"/>
        <v>628046.44951199985</v>
      </c>
      <c r="CQ94" s="890">
        <f t="shared" si="120"/>
        <v>628046.44951199985</v>
      </c>
      <c r="CR94" s="890">
        <f t="shared" si="121"/>
        <v>397324.95511199994</v>
      </c>
      <c r="CS94" s="890">
        <f t="shared" si="122"/>
        <v>712090.776144</v>
      </c>
      <c r="CT94" s="890">
        <f t="shared" si="123"/>
        <v>712090.776144</v>
      </c>
      <c r="CU94" s="890">
        <f t="shared" si="124"/>
        <v>261596.33279999997</v>
      </c>
      <c r="CV94" s="890">
        <f t="shared" si="137"/>
        <v>1340137.225656</v>
      </c>
      <c r="CW94" s="978">
        <f t="shared" si="138"/>
        <v>7073.5320000000002</v>
      </c>
      <c r="CX94" s="890">
        <f t="shared" si="125"/>
        <v>0</v>
      </c>
      <c r="CY94" s="890">
        <f t="shared" si="126"/>
        <v>0</v>
      </c>
      <c r="CZ94" s="890"/>
      <c r="DA94" s="890">
        <f t="shared" si="127"/>
        <v>628046.44951199985</v>
      </c>
      <c r="DB94" s="890">
        <f t="shared" si="128"/>
        <v>712090.776144</v>
      </c>
      <c r="DC94" s="840"/>
      <c r="DD94" s="841" t="e">
        <f t="shared" si="139"/>
        <v>#DIV/0!</v>
      </c>
      <c r="DE94" s="840"/>
      <c r="DF94" s="840"/>
      <c r="DG94" s="840"/>
      <c r="DH94" s="1050"/>
      <c r="DI94" s="1050"/>
      <c r="DJ94" s="1050"/>
      <c r="DK94" s="945"/>
      <c r="DL94" s="975">
        <f t="shared" si="129"/>
        <v>0</v>
      </c>
      <c r="DM94" s="975">
        <f t="shared" si="130"/>
        <v>0</v>
      </c>
      <c r="DN94" s="975">
        <f t="shared" si="131"/>
        <v>0</v>
      </c>
      <c r="DO94" s="816"/>
      <c r="DP94" s="871"/>
      <c r="DQ94" s="871"/>
      <c r="DR94" s="871"/>
      <c r="DS94" s="871"/>
      <c r="DT94" s="871"/>
      <c r="DU94" s="871"/>
      <c r="DV94" s="871"/>
      <c r="DW94" s="871"/>
      <c r="DX94" s="871"/>
      <c r="DY94" s="871"/>
      <c r="DZ94" s="871"/>
      <c r="EA94" s="871"/>
      <c r="EB94" s="871"/>
      <c r="EC94" s="871"/>
      <c r="ED94" s="871"/>
      <c r="EE94" s="871"/>
      <c r="EF94" s="871"/>
      <c r="EG94" s="871"/>
      <c r="EH94" s="871"/>
      <c r="EI94" s="871"/>
      <c r="EJ94" s="871"/>
      <c r="EK94" s="871"/>
      <c r="EL94" s="871"/>
    </row>
    <row r="95" spans="1:191" s="869" customFormat="1" ht="82.5" customHeight="1">
      <c r="A95" s="6" t="e">
        <f t="shared" si="140"/>
        <v>#REF!</v>
      </c>
      <c r="B95" s="909" t="s">
        <v>169</v>
      </c>
      <c r="C95" s="1309" t="s">
        <v>118</v>
      </c>
      <c r="D95" s="1262" t="s">
        <v>141</v>
      </c>
      <c r="E95" s="887">
        <v>4632024035</v>
      </c>
      <c r="F95" s="886" t="s">
        <v>8</v>
      </c>
      <c r="G95" s="1238" t="s">
        <v>983</v>
      </c>
      <c r="H95" s="1256">
        <v>3314.9639999999995</v>
      </c>
      <c r="I95" s="1257">
        <f>H95</f>
        <v>3314.9639999999995</v>
      </c>
      <c r="J95" s="891"/>
      <c r="K95" s="891"/>
      <c r="L95" s="1256">
        <v>3314.9639999999995</v>
      </c>
      <c r="M95" s="946"/>
      <c r="N95" s="1259">
        <f>3132.14*1.2</f>
        <v>3758.5679999999998</v>
      </c>
      <c r="O95" s="1260">
        <f>N95</f>
        <v>3758.5679999999998</v>
      </c>
      <c r="P95" s="891"/>
      <c r="Q95" s="891"/>
      <c r="R95" s="891">
        <f>O95</f>
        <v>3758.5679999999998</v>
      </c>
      <c r="S95" s="946"/>
      <c r="T95" s="1307">
        <v>659.22</v>
      </c>
      <c r="U95" s="1366"/>
      <c r="V95" s="1366"/>
      <c r="W95" s="890"/>
      <c r="X95" s="890"/>
      <c r="Y95" s="890"/>
      <c r="Z95" s="949">
        <f t="shared" si="113"/>
        <v>659.22</v>
      </c>
      <c r="AA95" s="1308">
        <v>382.8</v>
      </c>
      <c r="AB95" s="1366"/>
      <c r="AC95" s="1366"/>
      <c r="AD95" s="890"/>
      <c r="AE95" s="890"/>
      <c r="AF95" s="890"/>
      <c r="AG95" s="951">
        <f t="shared" si="114"/>
        <v>382.8</v>
      </c>
      <c r="AH95" s="947">
        <f t="shared" si="141"/>
        <v>1042.02</v>
      </c>
      <c r="AI95" s="890">
        <f t="shared" si="148"/>
        <v>1042.02</v>
      </c>
      <c r="AJ95" s="890">
        <f t="shared" si="148"/>
        <v>0</v>
      </c>
      <c r="AK95" s="890">
        <f t="shared" si="148"/>
        <v>0</v>
      </c>
      <c r="AL95" s="890">
        <f t="shared" si="148"/>
        <v>0</v>
      </c>
      <c r="AM95" s="890">
        <f t="shared" si="148"/>
        <v>0</v>
      </c>
      <c r="AN95" s="890"/>
      <c r="AO95" s="890">
        <f t="shared" si="152"/>
        <v>1042.02</v>
      </c>
      <c r="AP95" s="890">
        <f t="shared" si="153"/>
        <v>1042.02</v>
      </c>
      <c r="AQ95" s="952">
        <f t="shared" si="97"/>
        <v>1042.02</v>
      </c>
      <c r="AR95" s="973">
        <f t="shared" si="132"/>
        <v>0</v>
      </c>
      <c r="AS95" s="889">
        <f t="shared" si="149"/>
        <v>3454258.7872799993</v>
      </c>
      <c r="AT95" s="890">
        <f t="shared" si="149"/>
        <v>0</v>
      </c>
      <c r="AU95" s="890">
        <f t="shared" si="149"/>
        <v>0</v>
      </c>
      <c r="AV95" s="890">
        <f t="shared" si="149"/>
        <v>0</v>
      </c>
      <c r="AW95" s="890">
        <f t="shared" si="149"/>
        <v>0</v>
      </c>
      <c r="AX95" s="890">
        <f t="shared" si="98"/>
        <v>3454258.7872799993</v>
      </c>
      <c r="AY95" s="890">
        <f t="shared" si="99"/>
        <v>3454258.7872799993</v>
      </c>
      <c r="AZ95" s="890">
        <f t="shared" si="150"/>
        <v>3916503.0273599997</v>
      </c>
      <c r="BA95" s="890">
        <f t="shared" si="150"/>
        <v>0</v>
      </c>
      <c r="BB95" s="890">
        <f t="shared" si="150"/>
        <v>0</v>
      </c>
      <c r="BC95" s="890">
        <f t="shared" si="150"/>
        <v>0</v>
      </c>
      <c r="BD95" s="890">
        <f t="shared" si="150"/>
        <v>0</v>
      </c>
      <c r="BE95" s="890">
        <f t="shared" si="100"/>
        <v>3916503.0273599997</v>
      </c>
      <c r="BF95" s="952">
        <f t="shared" si="101"/>
        <v>3916503.0273599997</v>
      </c>
      <c r="BG95" s="953">
        <f>(H95-J95)/1.2*U95/1000+(H95-K95)/1.2*V95/1000</f>
        <v>0</v>
      </c>
      <c r="BH95" s="954">
        <f>(O95-P95)*AB95/1000/1.2+(O95-Q95)/1.2*AC95/1000</f>
        <v>0</v>
      </c>
      <c r="BI95" s="955">
        <f t="shared" si="151"/>
        <v>0</v>
      </c>
      <c r="BJ95" s="890"/>
      <c r="BK95" s="1199"/>
      <c r="BL95" s="890">
        <f t="shared" si="109"/>
        <v>2185290.5680799996</v>
      </c>
      <c r="BM95" s="890">
        <f t="shared" si="109"/>
        <v>0</v>
      </c>
      <c r="BN95" s="890">
        <f t="shared" si="109"/>
        <v>0</v>
      </c>
      <c r="BO95" s="890">
        <f t="shared" si="109"/>
        <v>0</v>
      </c>
      <c r="BP95" s="890">
        <f t="shared" si="109"/>
        <v>0</v>
      </c>
      <c r="BQ95" s="890">
        <f t="shared" si="142"/>
        <v>2185290.5680799996</v>
      </c>
      <c r="BR95" s="890">
        <f t="shared" si="143"/>
        <v>2185290.5680799996</v>
      </c>
      <c r="BS95" s="890">
        <f t="shared" si="110"/>
        <v>1438779.8303999999</v>
      </c>
      <c r="BT95" s="890">
        <f t="shared" si="110"/>
        <v>0</v>
      </c>
      <c r="BU95" s="890">
        <f t="shared" si="110"/>
        <v>0</v>
      </c>
      <c r="BV95" s="890">
        <f t="shared" si="144"/>
        <v>0</v>
      </c>
      <c r="BW95" s="890">
        <f t="shared" si="115"/>
        <v>0</v>
      </c>
      <c r="BX95" s="890">
        <f t="shared" si="145"/>
        <v>1438779.8303999999</v>
      </c>
      <c r="BY95" s="890">
        <f t="shared" si="146"/>
        <v>1438779.8303999999</v>
      </c>
      <c r="BZ95" s="945">
        <f t="shared" si="111"/>
        <v>0</v>
      </c>
      <c r="CA95" s="945">
        <f t="shared" si="111"/>
        <v>0</v>
      </c>
      <c r="CB95" s="945">
        <f t="shared" si="147"/>
        <v>0</v>
      </c>
      <c r="CC95" s="976" t="e">
        <f t="shared" si="112"/>
        <v>#DIV/0!</v>
      </c>
      <c r="CD95" s="976" t="e">
        <f t="shared" si="112"/>
        <v>#DIV/0!</v>
      </c>
      <c r="CE95" s="976" t="e">
        <f t="shared" si="133"/>
        <v>#DIV/0!</v>
      </c>
      <c r="CF95" s="945" t="e">
        <f t="shared" si="116"/>
        <v>#DIV/0!</v>
      </c>
      <c r="CG95" s="977">
        <f t="shared" si="117"/>
        <v>0</v>
      </c>
      <c r="CH95" s="977" t="e">
        <f t="shared" si="134"/>
        <v>#DIV/0!</v>
      </c>
      <c r="CI95" s="945"/>
      <c r="CJ95" s="1405">
        <f t="shared" si="106"/>
        <v>2185.2905680799995</v>
      </c>
      <c r="CK95" s="1405">
        <f t="shared" si="102"/>
        <v>1438.7798303999998</v>
      </c>
      <c r="CL95" s="1405">
        <f t="shared" si="107"/>
        <v>3624.0703984799993</v>
      </c>
      <c r="CM95" s="890">
        <f t="shared" si="135"/>
        <v>3916.5030273599996</v>
      </c>
      <c r="CN95" s="890">
        <f t="shared" si="136"/>
        <v>292.43262888000027</v>
      </c>
      <c r="CO95" s="890">
        <f t="shared" si="118"/>
        <v>3624070.3984799995</v>
      </c>
      <c r="CP95" s="890">
        <f t="shared" si="119"/>
        <v>3454258.7872799993</v>
      </c>
      <c r="CQ95" s="890">
        <f t="shared" si="120"/>
        <v>3454258.7872799993</v>
      </c>
      <c r="CR95" s="890">
        <f t="shared" si="121"/>
        <v>2185290.5680799996</v>
      </c>
      <c r="CS95" s="890">
        <f t="shared" si="122"/>
        <v>3916503.0273599997</v>
      </c>
      <c r="CT95" s="890">
        <f t="shared" si="123"/>
        <v>3916503.0273599997</v>
      </c>
      <c r="CU95" s="890">
        <f t="shared" si="124"/>
        <v>1438779.8303999999</v>
      </c>
      <c r="CV95" s="890">
        <f t="shared" si="137"/>
        <v>7370761.8146399986</v>
      </c>
      <c r="CW95" s="978">
        <f t="shared" si="138"/>
        <v>7073.5319999999983</v>
      </c>
      <c r="CX95" s="890">
        <f t="shared" si="125"/>
        <v>0</v>
      </c>
      <c r="CY95" s="890">
        <f t="shared" si="126"/>
        <v>0</v>
      </c>
      <c r="CZ95" s="890"/>
      <c r="DA95" s="890">
        <f t="shared" si="127"/>
        <v>3454258.7872799993</v>
      </c>
      <c r="DB95" s="890">
        <f t="shared" si="128"/>
        <v>3916503.0273599997</v>
      </c>
      <c r="DC95" s="840"/>
      <c r="DD95" s="841" t="e">
        <f t="shared" si="139"/>
        <v>#DIV/0!</v>
      </c>
      <c r="DE95" s="840"/>
      <c r="DF95" s="840"/>
      <c r="DG95" s="840"/>
      <c r="DH95" s="1050"/>
      <c r="DI95" s="1050"/>
      <c r="DJ95" s="1050"/>
      <c r="DK95" s="945"/>
      <c r="DL95" s="975">
        <f t="shared" si="129"/>
        <v>0</v>
      </c>
      <c r="DM95" s="975">
        <f t="shared" si="130"/>
        <v>0</v>
      </c>
      <c r="DN95" s="975">
        <f t="shared" si="131"/>
        <v>0</v>
      </c>
      <c r="DO95" s="816"/>
      <c r="DP95" s="871"/>
      <c r="DQ95" s="871"/>
      <c r="DR95" s="871"/>
      <c r="DS95" s="871"/>
      <c r="DT95" s="871"/>
      <c r="DU95" s="871"/>
      <c r="DV95" s="871"/>
      <c r="DW95" s="871"/>
      <c r="DX95" s="871"/>
      <c r="DY95" s="871"/>
      <c r="DZ95" s="871"/>
      <c r="EA95" s="871"/>
      <c r="EB95" s="871"/>
      <c r="EC95" s="871"/>
      <c r="ED95" s="871"/>
      <c r="EE95" s="871"/>
      <c r="EF95" s="871"/>
      <c r="EG95" s="871"/>
      <c r="EH95" s="871"/>
      <c r="EI95" s="871"/>
      <c r="EJ95" s="871"/>
      <c r="EK95" s="871"/>
      <c r="EL95" s="871"/>
    </row>
    <row r="96" spans="1:191" s="50" customFormat="1" ht="78" customHeight="1">
      <c r="A96" s="6" t="e">
        <f t="shared" si="140"/>
        <v>#REF!</v>
      </c>
      <c r="B96" s="909" t="s">
        <v>169</v>
      </c>
      <c r="C96" s="886" t="s">
        <v>118</v>
      </c>
      <c r="D96" s="1225" t="s">
        <v>140</v>
      </c>
      <c r="E96" s="886">
        <v>4622005001</v>
      </c>
      <c r="F96" s="886" t="s">
        <v>8</v>
      </c>
      <c r="G96" s="888" t="s">
        <v>967</v>
      </c>
      <c r="H96" s="1249">
        <v>3727.67</v>
      </c>
      <c r="I96" s="1250">
        <v>3727.67</v>
      </c>
      <c r="J96" s="891">
        <v>3727.67</v>
      </c>
      <c r="K96" s="891">
        <v>0</v>
      </c>
      <c r="L96" s="891">
        <v>0</v>
      </c>
      <c r="M96" s="892">
        <v>0</v>
      </c>
      <c r="N96" s="1223">
        <v>4263.22</v>
      </c>
      <c r="O96" s="984">
        <v>4263.22</v>
      </c>
      <c r="P96" s="984">
        <v>4263.22</v>
      </c>
      <c r="Q96" s="895">
        <v>0</v>
      </c>
      <c r="R96" s="891">
        <v>0</v>
      </c>
      <c r="S96" s="892">
        <v>0</v>
      </c>
      <c r="T96" s="960">
        <v>726</v>
      </c>
      <c r="U96" s="919">
        <v>82.8</v>
      </c>
      <c r="V96" s="897">
        <v>0</v>
      </c>
      <c r="W96" s="897">
        <v>0</v>
      </c>
      <c r="X96" s="897">
        <v>0</v>
      </c>
      <c r="Y96" s="897">
        <v>0</v>
      </c>
      <c r="Z96" s="920">
        <f>SUM(T96:W96)</f>
        <v>808.8</v>
      </c>
      <c r="AA96" s="961">
        <v>484</v>
      </c>
      <c r="AB96" s="919">
        <v>55.2</v>
      </c>
      <c r="AC96" s="897">
        <v>0</v>
      </c>
      <c r="AD96" s="897">
        <v>0</v>
      </c>
      <c r="AE96" s="897">
        <v>0</v>
      </c>
      <c r="AF96" s="897">
        <v>0</v>
      </c>
      <c r="AG96" s="1014">
        <f t="shared" si="114"/>
        <v>539.20000000000005</v>
      </c>
      <c r="AH96" s="960">
        <f t="shared" si="141"/>
        <v>1348</v>
      </c>
      <c r="AI96" s="919">
        <f t="shared" si="148"/>
        <v>1210</v>
      </c>
      <c r="AJ96" s="919">
        <f t="shared" si="148"/>
        <v>138</v>
      </c>
      <c r="AK96" s="897">
        <f t="shared" si="148"/>
        <v>0</v>
      </c>
      <c r="AL96" s="897">
        <f t="shared" si="148"/>
        <v>0</v>
      </c>
      <c r="AM96" s="897">
        <f t="shared" si="148"/>
        <v>0</v>
      </c>
      <c r="AN96" s="897"/>
      <c r="AO96" s="919">
        <f t="shared" si="152"/>
        <v>1348</v>
      </c>
      <c r="AP96" s="919">
        <f t="shared" si="153"/>
        <v>1348</v>
      </c>
      <c r="AQ96" s="920">
        <f t="shared" si="97"/>
        <v>1348</v>
      </c>
      <c r="AR96" s="902">
        <f t="shared" si="132"/>
        <v>0</v>
      </c>
      <c r="AS96" s="960">
        <f t="shared" si="149"/>
        <v>4510480.7</v>
      </c>
      <c r="AT96" s="897">
        <f t="shared" si="149"/>
        <v>514418.46</v>
      </c>
      <c r="AU96" s="897">
        <f t="shared" si="149"/>
        <v>0</v>
      </c>
      <c r="AV96" s="897">
        <f t="shared" si="149"/>
        <v>0</v>
      </c>
      <c r="AW96" s="897">
        <f t="shared" si="149"/>
        <v>0</v>
      </c>
      <c r="AX96" s="897">
        <f t="shared" si="98"/>
        <v>5024899.16</v>
      </c>
      <c r="AY96" s="897">
        <f t="shared" si="99"/>
        <v>5024899.16</v>
      </c>
      <c r="AZ96" s="919">
        <f t="shared" si="150"/>
        <v>5158496.2</v>
      </c>
      <c r="BA96" s="897">
        <f t="shared" si="150"/>
        <v>588324.36</v>
      </c>
      <c r="BB96" s="897">
        <f t="shared" si="150"/>
        <v>0</v>
      </c>
      <c r="BC96" s="897">
        <f t="shared" si="150"/>
        <v>0</v>
      </c>
      <c r="BD96" s="897">
        <f t="shared" si="150"/>
        <v>0</v>
      </c>
      <c r="BE96" s="897">
        <f t="shared" si="100"/>
        <v>5746820.5600000005</v>
      </c>
      <c r="BF96" s="901">
        <f t="shared" si="101"/>
        <v>5746820.5600000005</v>
      </c>
      <c r="BG96" s="904">
        <v>0</v>
      </c>
      <c r="BH96" s="897">
        <v>0</v>
      </c>
      <c r="BI96" s="897">
        <f t="shared" si="151"/>
        <v>0</v>
      </c>
      <c r="BJ96" s="897">
        <v>5313.67</v>
      </c>
      <c r="BK96" s="1194"/>
      <c r="BL96" s="897">
        <f t="shared" si="109"/>
        <v>2706288.42</v>
      </c>
      <c r="BM96" s="897">
        <f t="shared" si="109"/>
        <v>308651.076</v>
      </c>
      <c r="BN96" s="897">
        <f t="shared" si="109"/>
        <v>0</v>
      </c>
      <c r="BO96" s="897">
        <f t="shared" si="109"/>
        <v>0</v>
      </c>
      <c r="BP96" s="897">
        <f t="shared" si="109"/>
        <v>0</v>
      </c>
      <c r="BQ96" s="897">
        <f t="shared" si="142"/>
        <v>3014939.4959999998</v>
      </c>
      <c r="BR96" s="897">
        <f t="shared" si="143"/>
        <v>3014939.4959999998</v>
      </c>
      <c r="BS96" s="897">
        <f t="shared" si="110"/>
        <v>2063398.4800000002</v>
      </c>
      <c r="BT96" s="897">
        <f t="shared" si="110"/>
        <v>235329.74400000004</v>
      </c>
      <c r="BU96" s="897">
        <f t="shared" si="110"/>
        <v>0</v>
      </c>
      <c r="BV96" s="897">
        <f t="shared" si="144"/>
        <v>0</v>
      </c>
      <c r="BW96" s="897">
        <f t="shared" si="115"/>
        <v>0</v>
      </c>
      <c r="BX96" s="897">
        <f t="shared" si="145"/>
        <v>2298728.2240000004</v>
      </c>
      <c r="BY96" s="897">
        <f t="shared" si="146"/>
        <v>2298728.2240000004</v>
      </c>
      <c r="BZ96" s="905">
        <f t="shared" si="111"/>
        <v>543980.82000000007</v>
      </c>
      <c r="CA96" s="905">
        <f t="shared" si="111"/>
        <v>0</v>
      </c>
      <c r="CB96" s="905">
        <f t="shared" si="147"/>
        <v>543980.82000000007</v>
      </c>
      <c r="CC96" s="907">
        <f t="shared" si="112"/>
        <v>3941.8900000000003</v>
      </c>
      <c r="CD96" s="907" t="e">
        <f t="shared" si="112"/>
        <v>#DIV/0!</v>
      </c>
      <c r="CE96" s="907">
        <f t="shared" si="133"/>
        <v>3941.8900000000003</v>
      </c>
      <c r="CF96" s="905">
        <f t="shared" si="116"/>
        <v>3941.8900000000003</v>
      </c>
      <c r="CG96" s="923">
        <f t="shared" si="117"/>
        <v>543980.82000000007</v>
      </c>
      <c r="CH96" s="923">
        <f t="shared" si="134"/>
        <v>3941.8900000000003</v>
      </c>
      <c r="CI96" s="905"/>
      <c r="CJ96" s="1405">
        <f t="shared" si="106"/>
        <v>3014.939496</v>
      </c>
      <c r="CK96" s="1405">
        <f t="shared" si="102"/>
        <v>2298.7282240000004</v>
      </c>
      <c r="CL96" s="1405">
        <f t="shared" si="107"/>
        <v>5313.6677200000004</v>
      </c>
      <c r="CM96" s="897">
        <f t="shared" si="135"/>
        <v>5746.8205600000001</v>
      </c>
      <c r="CN96" s="897">
        <f t="shared" si="136"/>
        <v>433.15283999999974</v>
      </c>
      <c r="CO96" s="897">
        <f t="shared" si="118"/>
        <v>5313667.7200000007</v>
      </c>
      <c r="CP96" s="897">
        <f t="shared" si="119"/>
        <v>5024899.16</v>
      </c>
      <c r="CQ96" s="897">
        <f t="shared" si="120"/>
        <v>5024899.16</v>
      </c>
      <c r="CR96" s="897">
        <f t="shared" si="121"/>
        <v>3014939.4959999998</v>
      </c>
      <c r="CS96" s="897">
        <f t="shared" si="122"/>
        <v>5746820.5600000005</v>
      </c>
      <c r="CT96" s="897">
        <f t="shared" si="123"/>
        <v>5746820.5600000005</v>
      </c>
      <c r="CU96" s="897">
        <f t="shared" si="124"/>
        <v>2298728.2240000004</v>
      </c>
      <c r="CV96" s="897">
        <f t="shared" si="137"/>
        <v>10771719.720000001</v>
      </c>
      <c r="CW96" s="906">
        <f t="shared" si="138"/>
        <v>7990.89</v>
      </c>
      <c r="CX96" s="897">
        <f t="shared" si="125"/>
        <v>514418.46</v>
      </c>
      <c r="CY96" s="897">
        <f t="shared" si="126"/>
        <v>588324.36</v>
      </c>
      <c r="CZ96" s="897"/>
      <c r="DA96" s="897">
        <f t="shared" si="127"/>
        <v>5024899.16</v>
      </c>
      <c r="DB96" s="897">
        <f t="shared" si="128"/>
        <v>5746820.5600000005</v>
      </c>
      <c r="DC96" s="27"/>
      <c r="DD96" s="40">
        <f t="shared" si="139"/>
        <v>114.36688333462995</v>
      </c>
      <c r="DE96" s="27"/>
      <c r="DF96" s="27"/>
      <c r="DG96" s="27"/>
      <c r="DH96" s="1043">
        <v>1348</v>
      </c>
      <c r="DI96" s="1043">
        <v>138</v>
      </c>
      <c r="DJ96" s="1043">
        <f t="shared" si="108"/>
        <v>1210</v>
      </c>
      <c r="DK96" s="905"/>
      <c r="DL96" s="908">
        <f t="shared" si="129"/>
        <v>0</v>
      </c>
      <c r="DM96" s="908">
        <f t="shared" si="130"/>
        <v>0</v>
      </c>
      <c r="DN96" s="908">
        <f t="shared" si="131"/>
        <v>0</v>
      </c>
      <c r="DO96" s="6"/>
      <c r="DP96" s="81"/>
      <c r="DQ96" s="81"/>
      <c r="DR96" s="81"/>
      <c r="DS96" s="81"/>
      <c r="DT96" s="81"/>
      <c r="DU96" s="81"/>
      <c r="DV96" s="81"/>
      <c r="DW96" s="81"/>
      <c r="DX96" s="81"/>
      <c r="DY96" s="81"/>
      <c r="DZ96" s="81"/>
      <c r="EA96" s="81"/>
      <c r="EB96" s="81"/>
      <c r="EC96" s="81"/>
      <c r="ED96" s="81"/>
      <c r="EE96" s="81"/>
      <c r="EF96" s="81"/>
      <c r="EG96" s="81"/>
      <c r="EH96" s="81"/>
      <c r="EI96" s="81"/>
      <c r="EJ96" s="81"/>
      <c r="EK96" s="81"/>
      <c r="EL96" s="81"/>
    </row>
    <row r="97" spans="1:142" s="50" customFormat="1" ht="78.75" customHeight="1">
      <c r="A97" s="6" t="e">
        <f t="shared" si="140"/>
        <v>#REF!</v>
      </c>
      <c r="B97" s="956" t="s">
        <v>34</v>
      </c>
      <c r="C97" s="956" t="s">
        <v>66</v>
      </c>
      <c r="D97" s="1225" t="s">
        <v>35</v>
      </c>
      <c r="E97" s="886">
        <v>4623002116</v>
      </c>
      <c r="F97" s="886" t="s">
        <v>8</v>
      </c>
      <c r="G97" s="888" t="s">
        <v>952</v>
      </c>
      <c r="H97" s="925">
        <v>3470.07</v>
      </c>
      <c r="I97" s="891">
        <v>3470.07</v>
      </c>
      <c r="J97" s="891">
        <v>3470.07</v>
      </c>
      <c r="K97" s="891">
        <v>0</v>
      </c>
      <c r="L97" s="891">
        <v>3470.07</v>
      </c>
      <c r="M97" s="946">
        <v>0</v>
      </c>
      <c r="N97" s="959">
        <v>3700.05</v>
      </c>
      <c r="O97" s="891">
        <v>3700.05</v>
      </c>
      <c r="P97" s="891">
        <v>3700.05</v>
      </c>
      <c r="Q97" s="891">
        <v>0</v>
      </c>
      <c r="R97" s="891">
        <v>3700.05</v>
      </c>
      <c r="S97" s="946">
        <v>0</v>
      </c>
      <c r="T97" s="960">
        <v>2741.6</v>
      </c>
      <c r="U97" s="897">
        <v>0</v>
      </c>
      <c r="V97" s="897">
        <v>0</v>
      </c>
      <c r="W97" s="919">
        <v>46.1</v>
      </c>
      <c r="X97" s="897"/>
      <c r="Y97" s="897"/>
      <c r="Z97" s="920">
        <f>SUM(T97:W97)</f>
        <v>2787.7</v>
      </c>
      <c r="AA97" s="960">
        <v>2179.8000000000002</v>
      </c>
      <c r="AB97" s="897">
        <v>0</v>
      </c>
      <c r="AC97" s="897">
        <v>0</v>
      </c>
      <c r="AD97" s="919">
        <v>41.7</v>
      </c>
      <c r="AE97" s="897"/>
      <c r="AF97" s="897">
        <v>0</v>
      </c>
      <c r="AG97" s="1014">
        <f t="shared" si="114"/>
        <v>2221.5</v>
      </c>
      <c r="AH97" s="960">
        <f t="shared" si="141"/>
        <v>5009.2</v>
      </c>
      <c r="AI97" s="919">
        <f t="shared" si="148"/>
        <v>4921.3999999999996</v>
      </c>
      <c r="AJ97" s="897">
        <f t="shared" si="148"/>
        <v>0</v>
      </c>
      <c r="AK97" s="897">
        <f t="shared" si="148"/>
        <v>0</v>
      </c>
      <c r="AL97" s="919">
        <f t="shared" si="148"/>
        <v>87.800000000000011</v>
      </c>
      <c r="AM97" s="897">
        <f t="shared" si="148"/>
        <v>0</v>
      </c>
      <c r="AN97" s="897"/>
      <c r="AO97" s="919">
        <f t="shared" si="152"/>
        <v>5009.2</v>
      </c>
      <c r="AP97" s="919">
        <f t="shared" si="153"/>
        <v>5009.2</v>
      </c>
      <c r="AQ97" s="920">
        <f t="shared" si="97"/>
        <v>5009.2</v>
      </c>
      <c r="AR97" s="902">
        <f t="shared" si="132"/>
        <v>0</v>
      </c>
      <c r="AS97" s="903">
        <f t="shared" si="149"/>
        <v>17077602.498</v>
      </c>
      <c r="AT97" s="897">
        <f t="shared" si="149"/>
        <v>0</v>
      </c>
      <c r="AU97" s="897">
        <f t="shared" si="149"/>
        <v>0</v>
      </c>
      <c r="AV97" s="897">
        <f t="shared" si="149"/>
        <v>304672.14600000007</v>
      </c>
      <c r="AW97" s="897">
        <f t="shared" si="149"/>
        <v>0</v>
      </c>
      <c r="AX97" s="897">
        <f t="shared" si="98"/>
        <v>17382274.644000001</v>
      </c>
      <c r="AY97" s="897">
        <f t="shared" si="99"/>
        <v>17382274.644000001</v>
      </c>
      <c r="AZ97" s="897">
        <f t="shared" si="150"/>
        <v>18209426.07</v>
      </c>
      <c r="BA97" s="897">
        <f t="shared" si="150"/>
        <v>0</v>
      </c>
      <c r="BB97" s="897">
        <f t="shared" si="150"/>
        <v>0</v>
      </c>
      <c r="BC97" s="897">
        <f t="shared" si="150"/>
        <v>324864.39000000007</v>
      </c>
      <c r="BD97" s="897">
        <f t="shared" si="150"/>
        <v>0</v>
      </c>
      <c r="BE97" s="897">
        <f t="shared" si="100"/>
        <v>18534290.460000001</v>
      </c>
      <c r="BF97" s="901">
        <f t="shared" si="101"/>
        <v>18534290.460000001</v>
      </c>
      <c r="BG97" s="904">
        <v>0</v>
      </c>
      <c r="BH97" s="897">
        <v>0</v>
      </c>
      <c r="BI97" s="897">
        <f t="shared" si="151"/>
        <v>0</v>
      </c>
      <c r="BJ97" s="897">
        <v>35083.42</v>
      </c>
      <c r="BK97" s="1194"/>
      <c r="BL97" s="897">
        <f t="shared" si="109"/>
        <v>9513543.9120000005</v>
      </c>
      <c r="BM97" s="897">
        <f t="shared" si="109"/>
        <v>0</v>
      </c>
      <c r="BN97" s="897">
        <f t="shared" si="109"/>
        <v>0</v>
      </c>
      <c r="BO97" s="897">
        <f t="shared" si="109"/>
        <v>159970.22700000001</v>
      </c>
      <c r="BP97" s="897">
        <f t="shared" si="109"/>
        <v>0</v>
      </c>
      <c r="BQ97" s="897">
        <f t="shared" si="142"/>
        <v>9673514.1390000004</v>
      </c>
      <c r="BR97" s="897">
        <f t="shared" si="143"/>
        <v>9673514.1390000004</v>
      </c>
      <c r="BS97" s="897">
        <f t="shared" si="110"/>
        <v>8065368.9900000012</v>
      </c>
      <c r="BT97" s="897">
        <f t="shared" si="110"/>
        <v>0</v>
      </c>
      <c r="BU97" s="897">
        <f t="shared" si="110"/>
        <v>0</v>
      </c>
      <c r="BV97" s="897">
        <f t="shared" si="144"/>
        <v>170572.30500000002</v>
      </c>
      <c r="BW97" s="897">
        <f t="shared" si="115"/>
        <v>0</v>
      </c>
      <c r="BX97" s="897">
        <f t="shared" si="145"/>
        <v>8235941.2950000009</v>
      </c>
      <c r="BY97" s="897">
        <f t="shared" si="146"/>
        <v>8235941.2950000009</v>
      </c>
      <c r="BZ97" s="905">
        <f t="shared" si="111"/>
        <v>0</v>
      </c>
      <c r="CA97" s="905">
        <f t="shared" si="111"/>
        <v>0</v>
      </c>
      <c r="CB97" s="905">
        <f t="shared" si="147"/>
        <v>0</v>
      </c>
      <c r="CC97" s="907" t="e">
        <f t="shared" si="112"/>
        <v>#DIV/0!</v>
      </c>
      <c r="CD97" s="907" t="e">
        <f t="shared" si="112"/>
        <v>#DIV/0!</v>
      </c>
      <c r="CE97" s="907" t="e">
        <f t="shared" si="133"/>
        <v>#DIV/0!</v>
      </c>
      <c r="CF97" s="907" t="e">
        <f t="shared" si="116"/>
        <v>#DIV/0!</v>
      </c>
      <c r="CG97" s="923">
        <f t="shared" si="117"/>
        <v>0</v>
      </c>
      <c r="CH97" s="923" t="e">
        <f t="shared" si="134"/>
        <v>#DIV/0!</v>
      </c>
      <c r="CI97" s="979"/>
      <c r="CJ97" s="1405">
        <f t="shared" si="106"/>
        <v>9673.5141390000008</v>
      </c>
      <c r="CK97" s="1405">
        <f t="shared" si="102"/>
        <v>8219.661075</v>
      </c>
      <c r="CL97" s="1405">
        <f t="shared" si="107"/>
        <v>17893.175214000003</v>
      </c>
      <c r="CM97" s="897">
        <f t="shared" si="135"/>
        <v>18534.29046</v>
      </c>
      <c r="CN97" s="897">
        <f t="shared" si="136"/>
        <v>641.11524599999757</v>
      </c>
      <c r="CO97" s="897">
        <f t="shared" si="118"/>
        <v>17893175.214000002</v>
      </c>
      <c r="CP97" s="897">
        <f t="shared" si="119"/>
        <v>17382274.644000001</v>
      </c>
      <c r="CQ97" s="897">
        <f t="shared" si="120"/>
        <v>17382274.644000001</v>
      </c>
      <c r="CR97" s="897">
        <f t="shared" si="121"/>
        <v>9673514.1390000004</v>
      </c>
      <c r="CS97" s="897">
        <f t="shared" si="122"/>
        <v>18534290.460000001</v>
      </c>
      <c r="CT97" s="897">
        <f t="shared" si="123"/>
        <v>18534290.460000001</v>
      </c>
      <c r="CU97" s="897">
        <f t="shared" si="124"/>
        <v>8219661.0750000011</v>
      </c>
      <c r="CV97" s="897">
        <f t="shared" si="137"/>
        <v>35916565.104000002</v>
      </c>
      <c r="CW97" s="906">
        <f t="shared" si="138"/>
        <v>7170.1200000000008</v>
      </c>
      <c r="CX97" s="897">
        <f t="shared" si="125"/>
        <v>0</v>
      </c>
      <c r="CY97" s="897">
        <f t="shared" si="126"/>
        <v>0</v>
      </c>
      <c r="CZ97" s="897"/>
      <c r="DA97" s="922">
        <f t="shared" si="127"/>
        <v>17382274.644000001</v>
      </c>
      <c r="DB97" s="922">
        <f t="shared" si="128"/>
        <v>18534290.460000001</v>
      </c>
      <c r="DC97" s="1131"/>
      <c r="DD97" s="40">
        <f t="shared" si="139"/>
        <v>106.62753200944073</v>
      </c>
      <c r="DE97" s="1131"/>
      <c r="DF97" s="1131"/>
      <c r="DG97" s="1131"/>
      <c r="DH97" s="1135">
        <v>9835.7999999999993</v>
      </c>
      <c r="DI97" s="1043">
        <v>0</v>
      </c>
      <c r="DJ97" s="1135">
        <f t="shared" si="108"/>
        <v>9835.7999999999993</v>
      </c>
      <c r="DK97" s="979"/>
      <c r="DL97" s="908">
        <f t="shared" si="129"/>
        <v>0</v>
      </c>
      <c r="DM97" s="908">
        <f t="shared" si="130"/>
        <v>0</v>
      </c>
      <c r="DN97" s="908">
        <f t="shared" si="131"/>
        <v>0</v>
      </c>
      <c r="DO97" s="81"/>
      <c r="DP97" s="81"/>
      <c r="DQ97" s="81"/>
      <c r="DR97" s="81"/>
      <c r="DS97" s="81"/>
      <c r="DT97" s="81"/>
      <c r="DU97" s="81"/>
      <c r="DV97" s="81"/>
      <c r="DW97" s="81"/>
      <c r="DX97" s="81"/>
      <c r="DY97" s="81"/>
      <c r="DZ97" s="81"/>
      <c r="EA97" s="81"/>
      <c r="EB97" s="81"/>
      <c r="EC97" s="81"/>
      <c r="ED97" s="81"/>
      <c r="EE97" s="81"/>
      <c r="EF97" s="81"/>
      <c r="EG97" s="81"/>
      <c r="EH97" s="81"/>
      <c r="EI97" s="81"/>
      <c r="EJ97" s="81"/>
      <c r="EK97" s="81"/>
      <c r="EL97" s="81"/>
    </row>
    <row r="98" spans="1:142" s="50" customFormat="1" ht="78" customHeight="1">
      <c r="A98" s="6" t="e">
        <f t="shared" si="140"/>
        <v>#REF!</v>
      </c>
      <c r="B98" s="956" t="s">
        <v>34</v>
      </c>
      <c r="C98" s="956" t="s">
        <v>913</v>
      </c>
      <c r="D98" s="1225" t="s">
        <v>35</v>
      </c>
      <c r="E98" s="886">
        <v>4623002116</v>
      </c>
      <c r="F98" s="886" t="s">
        <v>8</v>
      </c>
      <c r="G98" s="888" t="s">
        <v>952</v>
      </c>
      <c r="H98" s="1004">
        <v>3470.07</v>
      </c>
      <c r="I98" s="894">
        <v>3470.07</v>
      </c>
      <c r="J98" s="894">
        <v>0</v>
      </c>
      <c r="K98" s="894">
        <v>0</v>
      </c>
      <c r="L98" s="894">
        <v>0</v>
      </c>
      <c r="M98" s="972">
        <v>0</v>
      </c>
      <c r="N98" s="959">
        <v>3700.05</v>
      </c>
      <c r="O98" s="959">
        <v>3700.05</v>
      </c>
      <c r="P98" s="894">
        <v>0</v>
      </c>
      <c r="Q98" s="894">
        <v>0</v>
      </c>
      <c r="R98" s="891">
        <v>0</v>
      </c>
      <c r="S98" s="972">
        <v>0</v>
      </c>
      <c r="T98" s="903">
        <v>2268.8000000000002</v>
      </c>
      <c r="U98" s="897">
        <v>0</v>
      </c>
      <c r="V98" s="897">
        <v>0</v>
      </c>
      <c r="W98" s="897">
        <v>0</v>
      </c>
      <c r="X98" s="897"/>
      <c r="Y98" s="897"/>
      <c r="Z98" s="898">
        <f t="shared" si="113"/>
        <v>2268.8000000000002</v>
      </c>
      <c r="AA98" s="904">
        <v>1282.5</v>
      </c>
      <c r="AB98" s="897">
        <v>0</v>
      </c>
      <c r="AC98" s="897">
        <v>0</v>
      </c>
      <c r="AD98" s="897">
        <v>0</v>
      </c>
      <c r="AE98" s="897">
        <v>0</v>
      </c>
      <c r="AF98" s="897"/>
      <c r="AG98" s="900">
        <f t="shared" si="114"/>
        <v>1282.5</v>
      </c>
      <c r="AH98" s="960">
        <f t="shared" si="141"/>
        <v>3551.3</v>
      </c>
      <c r="AI98" s="897">
        <f t="shared" si="148"/>
        <v>3551.3</v>
      </c>
      <c r="AJ98" s="897">
        <f t="shared" si="148"/>
        <v>0</v>
      </c>
      <c r="AK98" s="897">
        <f t="shared" si="148"/>
        <v>0</v>
      </c>
      <c r="AL98" s="897">
        <f t="shared" si="148"/>
        <v>0</v>
      </c>
      <c r="AM98" s="897">
        <f t="shared" si="148"/>
        <v>0</v>
      </c>
      <c r="AN98" s="897"/>
      <c r="AO98" s="897">
        <f>SUM(AI98:AN98)</f>
        <v>3551.3</v>
      </c>
      <c r="AP98" s="897">
        <f t="shared" si="153"/>
        <v>3551.3</v>
      </c>
      <c r="AQ98" s="1011">
        <f>SUM(AI98:AL98)</f>
        <v>3551.3</v>
      </c>
      <c r="AR98" s="902"/>
      <c r="AS98" s="903">
        <f t="shared" si="149"/>
        <v>12323259.591000002</v>
      </c>
      <c r="AT98" s="897"/>
      <c r="AU98" s="897"/>
      <c r="AV98" s="897"/>
      <c r="AW98" s="897"/>
      <c r="AX98" s="897"/>
      <c r="AY98" s="897"/>
      <c r="AZ98" s="897">
        <f t="shared" si="150"/>
        <v>13139987.565000001</v>
      </c>
      <c r="BA98" s="897"/>
      <c r="BB98" s="897"/>
      <c r="BC98" s="897"/>
      <c r="BD98" s="897"/>
      <c r="BE98" s="897"/>
      <c r="BF98" s="901"/>
      <c r="BG98" s="904"/>
      <c r="BH98" s="897"/>
      <c r="BI98" s="897"/>
      <c r="BJ98" s="897"/>
      <c r="BK98" s="1194"/>
      <c r="BL98" s="897">
        <f t="shared" si="109"/>
        <v>7872894.8160000006</v>
      </c>
      <c r="BM98" s="897"/>
      <c r="BN98" s="897"/>
      <c r="BO98" s="897"/>
      <c r="BP98" s="897"/>
      <c r="BQ98" s="897"/>
      <c r="BR98" s="897"/>
      <c r="BS98" s="897">
        <f t="shared" si="110"/>
        <v>4745314.125</v>
      </c>
      <c r="BT98" s="897"/>
      <c r="BU98" s="897"/>
      <c r="BV98" s="897"/>
      <c r="BW98" s="897"/>
      <c r="BX98" s="897"/>
      <c r="BY98" s="897"/>
      <c r="BZ98" s="905"/>
      <c r="CA98" s="905"/>
      <c r="CB98" s="905"/>
      <c r="CC98" s="907"/>
      <c r="CD98" s="907"/>
      <c r="CE98" s="907"/>
      <c r="CF98" s="907"/>
      <c r="CG98" s="923"/>
      <c r="CH98" s="923"/>
      <c r="CI98" s="979"/>
      <c r="CJ98" s="1405">
        <f t="shared" si="106"/>
        <v>7872.8948160000009</v>
      </c>
      <c r="CK98" s="1405">
        <f t="shared" si="102"/>
        <v>4745.3141249999999</v>
      </c>
      <c r="CL98" s="1405">
        <f t="shared" si="107"/>
        <v>12618.208941000001</v>
      </c>
      <c r="CM98" s="897">
        <f t="shared" si="135"/>
        <v>13139.987565000001</v>
      </c>
      <c r="CN98" s="897">
        <f t="shared" si="136"/>
        <v>521.77862400000049</v>
      </c>
      <c r="CO98" s="897"/>
      <c r="CP98" s="897"/>
      <c r="CQ98" s="897"/>
      <c r="CR98" s="897"/>
      <c r="CS98" s="897"/>
      <c r="CT98" s="897"/>
      <c r="CU98" s="897"/>
      <c r="CV98" s="897"/>
      <c r="CW98" s="906">
        <f t="shared" si="138"/>
        <v>0</v>
      </c>
      <c r="CX98" s="897"/>
      <c r="CY98" s="897"/>
      <c r="CZ98" s="897"/>
      <c r="DA98" s="897"/>
      <c r="DB98" s="897"/>
      <c r="DC98" s="1131"/>
      <c r="DD98" s="40"/>
      <c r="DE98" s="1131"/>
      <c r="DF98" s="1131"/>
      <c r="DG98" s="1131"/>
      <c r="DH98" s="1043">
        <v>2901.7</v>
      </c>
      <c r="DI98" s="1043">
        <v>0</v>
      </c>
      <c r="DJ98" s="1043">
        <f t="shared" si="108"/>
        <v>2901.7</v>
      </c>
      <c r="DK98" s="979"/>
      <c r="DL98" s="908"/>
      <c r="DM98" s="908"/>
      <c r="DN98" s="908"/>
      <c r="DO98" s="81"/>
      <c r="DP98" s="81"/>
      <c r="DQ98" s="81"/>
      <c r="DR98" s="81"/>
      <c r="DS98" s="81"/>
      <c r="DT98" s="81"/>
      <c r="DU98" s="81"/>
      <c r="DV98" s="81"/>
      <c r="DW98" s="81"/>
      <c r="DX98" s="81"/>
      <c r="DY98" s="81"/>
      <c r="DZ98" s="81"/>
      <c r="EA98" s="81"/>
      <c r="EB98" s="81"/>
      <c r="EC98" s="81"/>
      <c r="ED98" s="81"/>
      <c r="EE98" s="81"/>
      <c r="EF98" s="81"/>
      <c r="EG98" s="81"/>
      <c r="EH98" s="81"/>
      <c r="EI98" s="81"/>
      <c r="EJ98" s="81"/>
      <c r="EK98" s="81"/>
      <c r="EL98" s="81"/>
    </row>
    <row r="99" spans="1:142" s="50" customFormat="1" ht="75.75" customHeight="1">
      <c r="A99" s="6" t="e">
        <f t="shared" si="140"/>
        <v>#REF!</v>
      </c>
      <c r="B99" s="956" t="s">
        <v>34</v>
      </c>
      <c r="C99" s="956" t="s">
        <v>912</v>
      </c>
      <c r="D99" s="1225" t="s">
        <v>35</v>
      </c>
      <c r="E99" s="886">
        <v>4623002116</v>
      </c>
      <c r="F99" s="886" t="s">
        <v>8</v>
      </c>
      <c r="G99" s="888" t="s">
        <v>952</v>
      </c>
      <c r="H99" s="1243">
        <v>3470.07</v>
      </c>
      <c r="I99" s="1244">
        <v>3470.07</v>
      </c>
      <c r="J99" s="894">
        <v>0</v>
      </c>
      <c r="K99" s="894">
        <v>0</v>
      </c>
      <c r="L99" s="894">
        <v>0</v>
      </c>
      <c r="M99" s="972">
        <v>0</v>
      </c>
      <c r="N99" s="959">
        <v>3700.05</v>
      </c>
      <c r="O99" s="959">
        <v>3700.05</v>
      </c>
      <c r="P99" s="894">
        <v>0</v>
      </c>
      <c r="Q99" s="894">
        <v>0</v>
      </c>
      <c r="R99" s="891">
        <v>0</v>
      </c>
      <c r="S99" s="972">
        <v>0</v>
      </c>
      <c r="T99" s="903">
        <v>637.6</v>
      </c>
      <c r="U99" s="897">
        <v>0</v>
      </c>
      <c r="V99" s="897">
        <v>0</v>
      </c>
      <c r="W99" s="897">
        <v>0</v>
      </c>
      <c r="X99" s="897"/>
      <c r="Y99" s="897"/>
      <c r="Z99" s="898">
        <f t="shared" si="113"/>
        <v>637.6</v>
      </c>
      <c r="AA99" s="904">
        <v>637.70000000000005</v>
      </c>
      <c r="AB99" s="897">
        <v>0</v>
      </c>
      <c r="AC99" s="897">
        <v>0</v>
      </c>
      <c r="AD99" s="897">
        <v>0</v>
      </c>
      <c r="AE99" s="897"/>
      <c r="AF99" s="897"/>
      <c r="AG99" s="900">
        <f t="shared" si="114"/>
        <v>637.70000000000005</v>
      </c>
      <c r="AH99" s="960">
        <f t="shared" si="141"/>
        <v>1275.3000000000002</v>
      </c>
      <c r="AI99" s="897">
        <f t="shared" si="148"/>
        <v>1275.3000000000002</v>
      </c>
      <c r="AJ99" s="897">
        <f t="shared" si="148"/>
        <v>0</v>
      </c>
      <c r="AK99" s="897">
        <f t="shared" si="148"/>
        <v>0</v>
      </c>
      <c r="AL99" s="897">
        <f t="shared" si="148"/>
        <v>0</v>
      </c>
      <c r="AM99" s="897">
        <f t="shared" si="148"/>
        <v>0</v>
      </c>
      <c r="AN99" s="897"/>
      <c r="AO99" s="897">
        <f>SUM(AI99:AN99)</f>
        <v>1275.3000000000002</v>
      </c>
      <c r="AP99" s="897">
        <f t="shared" si="153"/>
        <v>1275.3000000000002</v>
      </c>
      <c r="AQ99" s="1011">
        <f>SUM(AI99:AL99)</f>
        <v>1275.3000000000002</v>
      </c>
      <c r="AR99" s="902"/>
      <c r="AS99" s="903"/>
      <c r="AT99" s="897"/>
      <c r="AU99" s="897"/>
      <c r="AV99" s="897"/>
      <c r="AW99" s="897"/>
      <c r="AX99" s="897"/>
      <c r="AY99" s="897"/>
      <c r="AZ99" s="897"/>
      <c r="BA99" s="897"/>
      <c r="BB99" s="897"/>
      <c r="BC99" s="897"/>
      <c r="BD99" s="897"/>
      <c r="BE99" s="897"/>
      <c r="BF99" s="901"/>
      <c r="BG99" s="904"/>
      <c r="BH99" s="897"/>
      <c r="BI99" s="897"/>
      <c r="BJ99" s="897"/>
      <c r="BK99" s="1194"/>
      <c r="BL99" s="897"/>
      <c r="BM99" s="897"/>
      <c r="BN99" s="897"/>
      <c r="BO99" s="897"/>
      <c r="BP99" s="897"/>
      <c r="BQ99" s="897"/>
      <c r="BR99" s="897"/>
      <c r="BS99" s="897"/>
      <c r="BT99" s="897"/>
      <c r="BU99" s="897"/>
      <c r="BV99" s="897"/>
      <c r="BW99" s="897"/>
      <c r="BX99" s="897"/>
      <c r="BY99" s="897"/>
      <c r="BZ99" s="905"/>
      <c r="CA99" s="905"/>
      <c r="CB99" s="905"/>
      <c r="CC99" s="907"/>
      <c r="CD99" s="907"/>
      <c r="CE99" s="907"/>
      <c r="CF99" s="907"/>
      <c r="CG99" s="923"/>
      <c r="CH99" s="923"/>
      <c r="CI99" s="979"/>
      <c r="CJ99" s="1405">
        <f t="shared" si="106"/>
        <v>2212.5166320000003</v>
      </c>
      <c r="CK99" s="1405">
        <f t="shared" si="102"/>
        <v>2359.5218850000001</v>
      </c>
      <c r="CL99" s="1405">
        <f t="shared" si="107"/>
        <v>4572.0385170000009</v>
      </c>
      <c r="CM99" s="897">
        <f t="shared" si="135"/>
        <v>4718.6737650000005</v>
      </c>
      <c r="CN99" s="897">
        <f t="shared" si="136"/>
        <v>146.63524799999959</v>
      </c>
      <c r="CO99" s="897"/>
      <c r="CP99" s="897"/>
      <c r="CQ99" s="897"/>
      <c r="CR99" s="897"/>
      <c r="CS99" s="897"/>
      <c r="CT99" s="897"/>
      <c r="CU99" s="897"/>
      <c r="CV99" s="897"/>
      <c r="CW99" s="906">
        <f t="shared" si="138"/>
        <v>0</v>
      </c>
      <c r="CX99" s="897"/>
      <c r="CY99" s="897"/>
      <c r="CZ99" s="897"/>
      <c r="DA99" s="897"/>
      <c r="DB99" s="897"/>
      <c r="DC99" s="1131"/>
      <c r="DD99" s="40"/>
      <c r="DE99" s="1131"/>
      <c r="DF99" s="1131"/>
      <c r="DG99" s="1131"/>
      <c r="DH99" s="1043">
        <v>1278.5999999999999</v>
      </c>
      <c r="DI99" s="1043">
        <v>0</v>
      </c>
      <c r="DJ99" s="1043">
        <f t="shared" si="108"/>
        <v>1278.5999999999999</v>
      </c>
      <c r="DK99" s="979"/>
      <c r="DL99" s="908"/>
      <c r="DM99" s="908"/>
      <c r="DN99" s="908"/>
      <c r="DO99" s="81"/>
      <c r="DP99" s="81"/>
      <c r="DQ99" s="81"/>
      <c r="DR99" s="81"/>
      <c r="DS99" s="81"/>
      <c r="DT99" s="81"/>
      <c r="DU99" s="81"/>
      <c r="DV99" s="81"/>
      <c r="DW99" s="81"/>
      <c r="DX99" s="81"/>
      <c r="DY99" s="81"/>
      <c r="DZ99" s="81"/>
      <c r="EA99" s="81"/>
      <c r="EB99" s="81"/>
      <c r="EC99" s="81"/>
      <c r="ED99" s="81"/>
      <c r="EE99" s="81"/>
      <c r="EF99" s="81"/>
      <c r="EG99" s="81"/>
      <c r="EH99" s="81"/>
      <c r="EI99" s="81"/>
      <c r="EJ99" s="81"/>
      <c r="EK99" s="81"/>
      <c r="EL99" s="81"/>
    </row>
    <row r="100" spans="1:142" s="869" customFormat="1" ht="75.75" customHeight="1">
      <c r="A100" s="6" t="e">
        <f t="shared" si="140"/>
        <v>#REF!</v>
      </c>
      <c r="B100" s="956" t="s">
        <v>36</v>
      </c>
      <c r="C100" s="1309" t="s">
        <v>119</v>
      </c>
      <c r="D100" s="1262" t="s">
        <v>146</v>
      </c>
      <c r="E100" s="887">
        <v>4632024035</v>
      </c>
      <c r="F100" s="886" t="s">
        <v>8</v>
      </c>
      <c r="G100" s="1238" t="s">
        <v>983</v>
      </c>
      <c r="H100" s="1256">
        <v>3314.9639999999995</v>
      </c>
      <c r="I100" s="1257">
        <f>H100</f>
        <v>3314.9639999999995</v>
      </c>
      <c r="J100" s="1263">
        <v>2484</v>
      </c>
      <c r="K100" s="891"/>
      <c r="L100" s="1256">
        <v>3314.9639999999995</v>
      </c>
      <c r="M100" s="946"/>
      <c r="N100" s="1259">
        <f>3132.14*1.2</f>
        <v>3758.5679999999998</v>
      </c>
      <c r="O100" s="1260">
        <f>N100</f>
        <v>3758.5679999999998</v>
      </c>
      <c r="P100" s="1264">
        <v>2719.98</v>
      </c>
      <c r="Q100" s="891"/>
      <c r="R100" s="891">
        <f>O100</f>
        <v>3758.5679999999998</v>
      </c>
      <c r="S100" s="946"/>
      <c r="T100" s="1378">
        <v>2289.1999999999998</v>
      </c>
      <c r="U100" s="1297">
        <v>35.302999999999997</v>
      </c>
      <c r="V100" s="1292"/>
      <c r="W100" s="948"/>
      <c r="X100" s="948"/>
      <c r="Y100" s="948"/>
      <c r="Z100" s="949">
        <f t="shared" si="113"/>
        <v>2324.5029999999997</v>
      </c>
      <c r="AA100" s="1308">
        <v>1329.3</v>
      </c>
      <c r="AB100" s="1292">
        <v>46.8</v>
      </c>
      <c r="AC100" s="1366"/>
      <c r="AD100" s="890"/>
      <c r="AE100" s="890"/>
      <c r="AF100" s="890"/>
      <c r="AG100" s="951">
        <f t="shared" si="114"/>
        <v>1376.1</v>
      </c>
      <c r="AH100" s="947">
        <f t="shared" si="141"/>
        <v>3700.6029999999996</v>
      </c>
      <c r="AI100" s="890">
        <f t="shared" si="148"/>
        <v>3618.5</v>
      </c>
      <c r="AJ100" s="890">
        <f t="shared" si="148"/>
        <v>82.102999999999994</v>
      </c>
      <c r="AK100" s="890">
        <f t="shared" si="148"/>
        <v>0</v>
      </c>
      <c r="AL100" s="890">
        <f t="shared" si="148"/>
        <v>0</v>
      </c>
      <c r="AM100" s="890">
        <f t="shared" si="148"/>
        <v>0</v>
      </c>
      <c r="AN100" s="890"/>
      <c r="AO100" s="890">
        <f t="shared" si="152"/>
        <v>3700.6030000000001</v>
      </c>
      <c r="AP100" s="890">
        <f t="shared" si="153"/>
        <v>3700.6030000000001</v>
      </c>
      <c r="AQ100" s="952">
        <f t="shared" si="97"/>
        <v>3700.6030000000001</v>
      </c>
      <c r="AR100" s="973">
        <f t="shared" si="132"/>
        <v>0</v>
      </c>
      <c r="AS100" s="889">
        <f t="shared" ref="AS100:AW118" si="154">I100*AI100</f>
        <v>11995197.233999997</v>
      </c>
      <c r="AT100" s="890">
        <f t="shared" si="149"/>
        <v>203943.85199999998</v>
      </c>
      <c r="AU100" s="890">
        <f t="shared" si="149"/>
        <v>0</v>
      </c>
      <c r="AV100" s="890">
        <f t="shared" si="149"/>
        <v>0</v>
      </c>
      <c r="AW100" s="890">
        <f t="shared" si="149"/>
        <v>0</v>
      </c>
      <c r="AX100" s="890">
        <f t="shared" si="98"/>
        <v>12199141.085999997</v>
      </c>
      <c r="AY100" s="890">
        <f t="shared" si="99"/>
        <v>12199141.085999997</v>
      </c>
      <c r="AZ100" s="890">
        <f t="shared" si="150"/>
        <v>13600378.307999998</v>
      </c>
      <c r="BA100" s="890">
        <f t="shared" si="150"/>
        <v>223318.51793999999</v>
      </c>
      <c r="BB100" s="890">
        <f t="shared" si="150"/>
        <v>0</v>
      </c>
      <c r="BC100" s="890">
        <f t="shared" si="150"/>
        <v>0</v>
      </c>
      <c r="BD100" s="890">
        <f t="shared" si="150"/>
        <v>0</v>
      </c>
      <c r="BE100" s="890">
        <f t="shared" si="100"/>
        <v>13823696.825939998</v>
      </c>
      <c r="BF100" s="952">
        <f t="shared" si="101"/>
        <v>13823696.825939998</v>
      </c>
      <c r="BG100" s="953">
        <f>(H100-J100)/1.2*U100/1000+(H100-K100)/1.2*V100/1000</f>
        <v>24.446268409999984</v>
      </c>
      <c r="BH100" s="954">
        <f>(O100-P100)*AB100/1000/1.2+(O100-Q100)/1.2*AC100/1000</f>
        <v>40.50493199999999</v>
      </c>
      <c r="BI100" s="955">
        <f>BG100+BH100</f>
        <v>64.95120040999997</v>
      </c>
      <c r="BJ100" s="955"/>
      <c r="BK100" s="1197"/>
      <c r="BL100" s="890">
        <f t="shared" si="109"/>
        <v>7588615.5887999982</v>
      </c>
      <c r="BM100" s="890">
        <f t="shared" si="109"/>
        <v>87692.651999999987</v>
      </c>
      <c r="BN100" s="890">
        <f t="shared" si="109"/>
        <v>0</v>
      </c>
      <c r="BO100" s="890">
        <f t="shared" si="109"/>
        <v>0</v>
      </c>
      <c r="BP100" s="890">
        <f t="shared" si="109"/>
        <v>0</v>
      </c>
      <c r="BQ100" s="890">
        <f t="shared" si="142"/>
        <v>7676308.2407999979</v>
      </c>
      <c r="BR100" s="890">
        <f t="shared" si="143"/>
        <v>7676308.2407999979</v>
      </c>
      <c r="BS100" s="890">
        <f t="shared" si="110"/>
        <v>4996264.4423999991</v>
      </c>
      <c r="BT100" s="890">
        <f t="shared" si="110"/>
        <v>127295.064</v>
      </c>
      <c r="BU100" s="890">
        <f t="shared" si="110"/>
        <v>0</v>
      </c>
      <c r="BV100" s="890">
        <f t="shared" si="144"/>
        <v>0</v>
      </c>
      <c r="BW100" s="890">
        <f t="shared" si="115"/>
        <v>0</v>
      </c>
      <c r="BX100" s="890">
        <f t="shared" si="145"/>
        <v>5123559.5063999994</v>
      </c>
      <c r="BY100" s="890">
        <f t="shared" si="146"/>
        <v>5123559.5063999994</v>
      </c>
      <c r="BZ100" s="945">
        <f t="shared" si="111"/>
        <v>214987.71599999999</v>
      </c>
      <c r="CA100" s="945">
        <f t="shared" si="111"/>
        <v>0</v>
      </c>
      <c r="CB100" s="945">
        <f t="shared" si="147"/>
        <v>214987.71599999999</v>
      </c>
      <c r="CC100" s="976">
        <f t="shared" si="112"/>
        <v>2618.5123077110461</v>
      </c>
      <c r="CD100" s="976" t="e">
        <f t="shared" si="112"/>
        <v>#DIV/0!</v>
      </c>
      <c r="CE100" s="976">
        <f t="shared" si="133"/>
        <v>2618.5123077110461</v>
      </c>
      <c r="CF100" s="976">
        <f t="shared" si="116"/>
        <v>2618.5123077110461</v>
      </c>
      <c r="CG100" s="977">
        <f t="shared" si="117"/>
        <v>292929.15649199998</v>
      </c>
      <c r="CH100" s="977">
        <f t="shared" si="134"/>
        <v>3567.8252498934266</v>
      </c>
      <c r="CI100" s="945"/>
      <c r="CJ100" s="1405">
        <f t="shared" si="106"/>
        <v>7705.6437628919975</v>
      </c>
      <c r="CK100" s="1405">
        <f t="shared" si="102"/>
        <v>5172.1654247999995</v>
      </c>
      <c r="CL100" s="1405">
        <f t="shared" si="107"/>
        <v>12877.809187691997</v>
      </c>
      <c r="CM100" s="890">
        <f t="shared" si="135"/>
        <v>13908.968016503997</v>
      </c>
      <c r="CN100" s="890">
        <f t="shared" si="136"/>
        <v>1031.1588288120001</v>
      </c>
      <c r="CO100" s="890">
        <f t="shared" si="118"/>
        <v>12877809.187691998</v>
      </c>
      <c r="CP100" s="890">
        <f t="shared" si="119"/>
        <v>12199141.085999997</v>
      </c>
      <c r="CQ100" s="890">
        <f t="shared" si="120"/>
        <v>12199141.085999997</v>
      </c>
      <c r="CR100" s="890">
        <f t="shared" si="121"/>
        <v>7676308.2407999979</v>
      </c>
      <c r="CS100" s="890">
        <f t="shared" si="122"/>
        <v>13823696.825939998</v>
      </c>
      <c r="CT100" s="890">
        <f t="shared" si="123"/>
        <v>13823696.825939998</v>
      </c>
      <c r="CU100" s="890">
        <f t="shared" si="124"/>
        <v>5123559.5063999994</v>
      </c>
      <c r="CV100" s="890">
        <f t="shared" si="137"/>
        <v>26022837.911939994</v>
      </c>
      <c r="CW100" s="978">
        <f t="shared" si="138"/>
        <v>7032.0534010105912</v>
      </c>
      <c r="CX100" s="890">
        <f t="shared" si="125"/>
        <v>203943.85199999998</v>
      </c>
      <c r="CY100" s="890">
        <f t="shared" si="126"/>
        <v>223318.51793999999</v>
      </c>
      <c r="CZ100" s="890"/>
      <c r="DA100" s="890">
        <f t="shared" si="127"/>
        <v>12267365.723291997</v>
      </c>
      <c r="DB100" s="890">
        <f t="shared" si="128"/>
        <v>13908968.016503999</v>
      </c>
      <c r="DC100" s="840"/>
      <c r="DD100" s="841">
        <f t="shared" si="139"/>
        <v>151.3111111111111</v>
      </c>
      <c r="DE100" s="840"/>
      <c r="DF100" s="840"/>
      <c r="DG100" s="840"/>
      <c r="DH100" s="1050"/>
      <c r="DI100" s="1050"/>
      <c r="DJ100" s="1050"/>
      <c r="DK100" s="945"/>
      <c r="DL100" s="975">
        <f t="shared" si="129"/>
        <v>0</v>
      </c>
      <c r="DM100" s="975">
        <f t="shared" si="130"/>
        <v>0</v>
      </c>
      <c r="DN100" s="975">
        <f t="shared" si="131"/>
        <v>0</v>
      </c>
      <c r="DO100" s="816"/>
      <c r="DP100" s="871"/>
      <c r="DQ100" s="871"/>
      <c r="DR100" s="871"/>
      <c r="DS100" s="871"/>
      <c r="DT100" s="871"/>
      <c r="DU100" s="871"/>
      <c r="DV100" s="871"/>
      <c r="DW100" s="871"/>
      <c r="DX100" s="871"/>
      <c r="DY100" s="871"/>
      <c r="DZ100" s="871"/>
      <c r="EA100" s="871"/>
      <c r="EB100" s="871"/>
      <c r="EC100" s="871"/>
      <c r="ED100" s="871"/>
      <c r="EE100" s="871"/>
      <c r="EF100" s="871"/>
      <c r="EG100" s="871"/>
      <c r="EH100" s="871"/>
      <c r="EI100" s="871"/>
      <c r="EJ100" s="871"/>
      <c r="EK100" s="871"/>
      <c r="EL100" s="871"/>
    </row>
    <row r="101" spans="1:142" s="869" customFormat="1" ht="100.5" customHeight="1">
      <c r="A101" s="6" t="e">
        <f t="shared" si="140"/>
        <v>#REF!</v>
      </c>
      <c r="B101" s="886" t="s">
        <v>37</v>
      </c>
      <c r="C101" s="1309" t="s">
        <v>61</v>
      </c>
      <c r="D101" s="1262" t="s">
        <v>146</v>
      </c>
      <c r="E101" s="887">
        <v>4632024035</v>
      </c>
      <c r="F101" s="886" t="s">
        <v>8</v>
      </c>
      <c r="G101" s="1238" t="s">
        <v>983</v>
      </c>
      <c r="H101" s="1256">
        <v>3314.9639999999995</v>
      </c>
      <c r="I101" s="1257">
        <f>H101</f>
        <v>3314.9639999999995</v>
      </c>
      <c r="J101" s="891"/>
      <c r="K101" s="891"/>
      <c r="L101" s="1256">
        <v>3314.9639999999995</v>
      </c>
      <c r="M101" s="946"/>
      <c r="N101" s="1259">
        <f>3132.14*1.2</f>
        <v>3758.5679999999998</v>
      </c>
      <c r="O101" s="1260">
        <f>N101</f>
        <v>3758.5679999999998</v>
      </c>
      <c r="P101" s="891"/>
      <c r="Q101" s="891"/>
      <c r="R101" s="891">
        <f>O101</f>
        <v>3758.5679999999998</v>
      </c>
      <c r="S101" s="946"/>
      <c r="T101" s="1307">
        <v>612.97599999999989</v>
      </c>
      <c r="U101" s="1389"/>
      <c r="V101" s="1366"/>
      <c r="W101" s="890"/>
      <c r="X101" s="890"/>
      <c r="Y101" s="890"/>
      <c r="Z101" s="949">
        <f t="shared" si="113"/>
        <v>612.97599999999989</v>
      </c>
      <c r="AA101" s="1308">
        <v>222.73400000000001</v>
      </c>
      <c r="AB101" s="1366"/>
      <c r="AC101" s="1366"/>
      <c r="AD101" s="890"/>
      <c r="AE101" s="890"/>
      <c r="AF101" s="890"/>
      <c r="AG101" s="951">
        <f t="shared" si="114"/>
        <v>222.73400000000001</v>
      </c>
      <c r="AH101" s="947">
        <f t="shared" si="141"/>
        <v>835.70999999999992</v>
      </c>
      <c r="AI101" s="890">
        <f t="shared" si="148"/>
        <v>835.70999999999992</v>
      </c>
      <c r="AJ101" s="890">
        <f t="shared" si="148"/>
        <v>0</v>
      </c>
      <c r="AK101" s="890">
        <f t="shared" si="148"/>
        <v>0</v>
      </c>
      <c r="AL101" s="890">
        <f t="shared" si="148"/>
        <v>0</v>
      </c>
      <c r="AM101" s="890">
        <f t="shared" si="148"/>
        <v>0</v>
      </c>
      <c r="AN101" s="890"/>
      <c r="AO101" s="890">
        <f t="shared" si="152"/>
        <v>835.70999999999992</v>
      </c>
      <c r="AP101" s="890">
        <f t="shared" si="153"/>
        <v>835.70999999999992</v>
      </c>
      <c r="AQ101" s="952">
        <f>SUM(AI101:AL101)</f>
        <v>835.70999999999992</v>
      </c>
      <c r="AR101" s="973">
        <f t="shared" si="132"/>
        <v>0</v>
      </c>
      <c r="AS101" s="889">
        <f t="shared" si="154"/>
        <v>2770348.5644399994</v>
      </c>
      <c r="AT101" s="890">
        <f t="shared" si="149"/>
        <v>0</v>
      </c>
      <c r="AU101" s="890">
        <f t="shared" si="149"/>
        <v>0</v>
      </c>
      <c r="AV101" s="890">
        <f t="shared" si="149"/>
        <v>0</v>
      </c>
      <c r="AW101" s="890">
        <f t="shared" si="149"/>
        <v>0</v>
      </c>
      <c r="AX101" s="890">
        <f t="shared" si="98"/>
        <v>2770348.5644399994</v>
      </c>
      <c r="AY101" s="890">
        <f t="shared" si="99"/>
        <v>2770348.5644399994</v>
      </c>
      <c r="AZ101" s="890">
        <f t="shared" si="150"/>
        <v>3141072.8632799997</v>
      </c>
      <c r="BA101" s="890">
        <f t="shared" si="150"/>
        <v>0</v>
      </c>
      <c r="BB101" s="890">
        <f t="shared" si="150"/>
        <v>0</v>
      </c>
      <c r="BC101" s="890">
        <f t="shared" si="150"/>
        <v>0</v>
      </c>
      <c r="BD101" s="890">
        <f t="shared" si="150"/>
        <v>0</v>
      </c>
      <c r="BE101" s="890">
        <f t="shared" si="100"/>
        <v>3141072.8632799997</v>
      </c>
      <c r="BF101" s="952">
        <f t="shared" si="101"/>
        <v>3141072.8632799997</v>
      </c>
      <c r="BG101" s="953">
        <f>(H101-J101)/1.2*U101/1000+(H101-K101)/1.2*V101/1000</f>
        <v>0</v>
      </c>
      <c r="BH101" s="954">
        <f>(O101-P101)*AB101/1000/1.2+(O101-Q101)/1.2*AC101/1000</f>
        <v>0</v>
      </c>
      <c r="BI101" s="955">
        <f>BG101+BH101</f>
        <v>0</v>
      </c>
      <c r="BJ101" s="955"/>
      <c r="BK101" s="1197"/>
      <c r="BL101" s="890">
        <f t="shared" si="109"/>
        <v>2031993.3728639993</v>
      </c>
      <c r="BM101" s="890">
        <f t="shared" si="109"/>
        <v>0</v>
      </c>
      <c r="BN101" s="890">
        <f t="shared" si="109"/>
        <v>0</v>
      </c>
      <c r="BO101" s="890">
        <f t="shared" si="109"/>
        <v>0</v>
      </c>
      <c r="BP101" s="890">
        <f t="shared" si="109"/>
        <v>0</v>
      </c>
      <c r="BQ101" s="890">
        <f t="shared" si="142"/>
        <v>2031993.3728639993</v>
      </c>
      <c r="BR101" s="890">
        <f t="shared" si="143"/>
        <v>2031993.3728639993</v>
      </c>
      <c r="BS101" s="890">
        <f t="shared" si="110"/>
        <v>837160.88491199992</v>
      </c>
      <c r="BT101" s="890">
        <f t="shared" si="110"/>
        <v>0</v>
      </c>
      <c r="BU101" s="890">
        <f t="shared" si="110"/>
        <v>0</v>
      </c>
      <c r="BV101" s="890">
        <f t="shared" si="144"/>
        <v>0</v>
      </c>
      <c r="BW101" s="890">
        <f t="shared" si="115"/>
        <v>0</v>
      </c>
      <c r="BX101" s="890">
        <f t="shared" si="145"/>
        <v>837160.88491199992</v>
      </c>
      <c r="BY101" s="890">
        <f t="shared" si="146"/>
        <v>837160.88491199992</v>
      </c>
      <c r="BZ101" s="945">
        <f t="shared" si="111"/>
        <v>0</v>
      </c>
      <c r="CA101" s="945">
        <f t="shared" si="111"/>
        <v>0</v>
      </c>
      <c r="CB101" s="945">
        <f t="shared" si="147"/>
        <v>0</v>
      </c>
      <c r="CC101" s="976" t="e">
        <f t="shared" si="112"/>
        <v>#DIV/0!</v>
      </c>
      <c r="CD101" s="976" t="e">
        <f t="shared" si="112"/>
        <v>#DIV/0!</v>
      </c>
      <c r="CE101" s="976" t="e">
        <f t="shared" si="133"/>
        <v>#DIV/0!</v>
      </c>
      <c r="CF101" s="945" t="e">
        <f t="shared" si="116"/>
        <v>#DIV/0!</v>
      </c>
      <c r="CG101" s="977">
        <f t="shared" si="117"/>
        <v>0</v>
      </c>
      <c r="CH101" s="977" t="e">
        <f t="shared" si="134"/>
        <v>#DIV/0!</v>
      </c>
      <c r="CI101" s="945"/>
      <c r="CJ101" s="1405">
        <f t="shared" si="106"/>
        <v>2031.9933728639994</v>
      </c>
      <c r="CK101" s="1405">
        <f t="shared" si="102"/>
        <v>837.16088491199991</v>
      </c>
      <c r="CL101" s="1405">
        <f t="shared" si="107"/>
        <v>2869.1542577759992</v>
      </c>
      <c r="CM101" s="890">
        <f t="shared" si="135"/>
        <v>3141.0728632799996</v>
      </c>
      <c r="CN101" s="890">
        <f t="shared" si="136"/>
        <v>271.91860550400042</v>
      </c>
      <c r="CO101" s="890">
        <f t="shared" si="118"/>
        <v>2869154.2577759991</v>
      </c>
      <c r="CP101" s="890">
        <f t="shared" si="119"/>
        <v>2770348.5644399994</v>
      </c>
      <c r="CQ101" s="890">
        <f t="shared" si="120"/>
        <v>2770348.5644399994</v>
      </c>
      <c r="CR101" s="890">
        <f t="shared" si="121"/>
        <v>2031993.3728639993</v>
      </c>
      <c r="CS101" s="890">
        <f t="shared" si="122"/>
        <v>3141072.8632799997</v>
      </c>
      <c r="CT101" s="890">
        <f t="shared" si="123"/>
        <v>3141072.8632799997</v>
      </c>
      <c r="CU101" s="890">
        <f t="shared" si="124"/>
        <v>837160.88491199992</v>
      </c>
      <c r="CV101" s="890">
        <f t="shared" si="137"/>
        <v>5911421.4277199991</v>
      </c>
      <c r="CW101" s="978">
        <f t="shared" si="138"/>
        <v>7073.5319999999992</v>
      </c>
      <c r="CX101" s="890">
        <f t="shared" si="125"/>
        <v>0</v>
      </c>
      <c r="CY101" s="890">
        <f t="shared" si="126"/>
        <v>0</v>
      </c>
      <c r="CZ101" s="890"/>
      <c r="DA101" s="890">
        <f t="shared" si="127"/>
        <v>2770348.5644399994</v>
      </c>
      <c r="DB101" s="890">
        <f t="shared" si="128"/>
        <v>3141072.8632799997</v>
      </c>
      <c r="DC101" s="840"/>
      <c r="DD101" s="841" t="e">
        <f t="shared" si="139"/>
        <v>#DIV/0!</v>
      </c>
      <c r="DE101" s="840"/>
      <c r="DF101" s="840"/>
      <c r="DG101" s="840"/>
      <c r="DH101" s="1050"/>
      <c r="DI101" s="1050"/>
      <c r="DJ101" s="1050"/>
      <c r="DK101" s="945"/>
      <c r="DL101" s="975">
        <f t="shared" si="129"/>
        <v>0</v>
      </c>
      <c r="DM101" s="975">
        <f t="shared" si="130"/>
        <v>0</v>
      </c>
      <c r="DN101" s="975">
        <f t="shared" si="131"/>
        <v>0</v>
      </c>
      <c r="DO101" s="816"/>
      <c r="DP101" s="871"/>
      <c r="DQ101" s="871"/>
      <c r="DR101" s="871"/>
      <c r="DS101" s="871"/>
      <c r="DT101" s="871"/>
      <c r="DU101" s="871"/>
      <c r="DV101" s="871"/>
      <c r="DW101" s="871"/>
      <c r="DX101" s="871"/>
      <c r="DY101" s="871"/>
      <c r="DZ101" s="871"/>
      <c r="EA101" s="871"/>
      <c r="EB101" s="871"/>
      <c r="EC101" s="871"/>
      <c r="ED101" s="871"/>
      <c r="EE101" s="871"/>
      <c r="EF101" s="871"/>
      <c r="EG101" s="871"/>
      <c r="EH101" s="871"/>
      <c r="EI101" s="871"/>
      <c r="EJ101" s="871"/>
      <c r="EK101" s="871"/>
      <c r="EL101" s="871"/>
    </row>
    <row r="102" spans="1:142" s="50" customFormat="1" ht="72.75" customHeight="1">
      <c r="A102" s="6" t="e">
        <f t="shared" si="140"/>
        <v>#REF!</v>
      </c>
      <c r="B102" s="886" t="s">
        <v>37</v>
      </c>
      <c r="C102" s="886" t="s">
        <v>926</v>
      </c>
      <c r="D102" s="1206" t="s">
        <v>38</v>
      </c>
      <c r="E102" s="886">
        <v>4625004944</v>
      </c>
      <c r="F102" s="886" t="s">
        <v>8</v>
      </c>
      <c r="G102" s="888" t="s">
        <v>958</v>
      </c>
      <c r="H102" s="1249">
        <v>2951.0829318332949</v>
      </c>
      <c r="I102" s="1250">
        <v>2951.0829318332949</v>
      </c>
      <c r="J102" s="891">
        <v>2951.0829318332949</v>
      </c>
      <c r="K102" s="891">
        <v>0</v>
      </c>
      <c r="L102" s="891">
        <v>2951.0829318332949</v>
      </c>
      <c r="M102" s="946">
        <v>0</v>
      </c>
      <c r="N102" s="959">
        <v>3285.23</v>
      </c>
      <c r="O102" s="959">
        <v>3285.23</v>
      </c>
      <c r="P102" s="959">
        <v>3285.23</v>
      </c>
      <c r="Q102" s="891">
        <v>0</v>
      </c>
      <c r="R102" s="891">
        <v>3285.23</v>
      </c>
      <c r="S102" s="946">
        <v>0</v>
      </c>
      <c r="T102" s="935">
        <v>1125.7</v>
      </c>
      <c r="U102" s="928">
        <v>17.37</v>
      </c>
      <c r="V102" s="928">
        <v>0</v>
      </c>
      <c r="W102" s="928">
        <v>0</v>
      </c>
      <c r="X102" s="928">
        <v>0</v>
      </c>
      <c r="Y102" s="928">
        <v>0</v>
      </c>
      <c r="Z102" s="926">
        <f>T102+U102+V102+W102</f>
        <v>1143.07</v>
      </c>
      <c r="AA102" s="927">
        <v>813.96</v>
      </c>
      <c r="AB102" s="928">
        <v>13.02</v>
      </c>
      <c r="AC102" s="928">
        <v>0</v>
      </c>
      <c r="AD102" s="928">
        <v>0</v>
      </c>
      <c r="AE102" s="928">
        <v>0</v>
      </c>
      <c r="AF102" s="928">
        <v>0</v>
      </c>
      <c r="AG102" s="934">
        <f>AA102+AB102+AC102+AD102</f>
        <v>826.98</v>
      </c>
      <c r="AH102" s="947">
        <f t="shared" si="141"/>
        <v>1970.05</v>
      </c>
      <c r="AI102" s="890">
        <f t="shared" si="148"/>
        <v>1939.66</v>
      </c>
      <c r="AJ102" s="890">
        <f t="shared" si="148"/>
        <v>30.39</v>
      </c>
      <c r="AK102" s="890">
        <f t="shared" si="148"/>
        <v>0</v>
      </c>
      <c r="AL102" s="894">
        <f t="shared" si="148"/>
        <v>0</v>
      </c>
      <c r="AM102" s="890">
        <f t="shared" si="148"/>
        <v>0</v>
      </c>
      <c r="AN102" s="890">
        <v>0</v>
      </c>
      <c r="AO102" s="890">
        <f t="shared" si="152"/>
        <v>1970.0500000000002</v>
      </c>
      <c r="AP102" s="890">
        <f t="shared" si="153"/>
        <v>1970.0500000000002</v>
      </c>
      <c r="AQ102" s="952">
        <f t="shared" si="97"/>
        <v>1970.0500000000002</v>
      </c>
      <c r="AR102" s="973">
        <f t="shared" si="132"/>
        <v>0</v>
      </c>
      <c r="AS102" s="889">
        <f t="shared" si="154"/>
        <v>5724097.519559769</v>
      </c>
      <c r="AT102" s="890">
        <f t="shared" si="154"/>
        <v>89683.41029841383</v>
      </c>
      <c r="AU102" s="890">
        <f t="shared" si="154"/>
        <v>0</v>
      </c>
      <c r="AV102" s="890">
        <f t="shared" si="154"/>
        <v>0</v>
      </c>
      <c r="AW102" s="890">
        <f t="shared" si="154"/>
        <v>0</v>
      </c>
      <c r="AX102" s="890">
        <f>SUM(AS102:AW102)</f>
        <v>5813780.9298581826</v>
      </c>
      <c r="AY102" s="890">
        <f>SUM(AS102:AV102)</f>
        <v>5813780.9298581826</v>
      </c>
      <c r="AZ102" s="890">
        <f t="shared" ref="AZ102:BD117" si="155">O102*AI102</f>
        <v>6372229.2218000004</v>
      </c>
      <c r="BA102" s="890">
        <f t="shared" si="155"/>
        <v>99838.1397</v>
      </c>
      <c r="BB102" s="890">
        <f t="shared" si="155"/>
        <v>0</v>
      </c>
      <c r="BC102" s="890">
        <f t="shared" si="155"/>
        <v>0</v>
      </c>
      <c r="BD102" s="890">
        <f t="shared" si="155"/>
        <v>0</v>
      </c>
      <c r="BE102" s="890">
        <f>SUM(AZ102:BD102)</f>
        <v>6472067.3615000006</v>
      </c>
      <c r="BF102" s="952">
        <f>SUM(AZ102:BC102)</f>
        <v>6472067.3615000006</v>
      </c>
      <c r="BG102" s="974">
        <v>0</v>
      </c>
      <c r="BH102" s="890">
        <v>0</v>
      </c>
      <c r="BI102" s="890">
        <v>0</v>
      </c>
      <c r="BJ102" s="894">
        <v>6090.12</v>
      </c>
      <c r="BK102" s="1199">
        <v>6189.41</v>
      </c>
      <c r="BL102" s="897">
        <f t="shared" si="109"/>
        <v>3322034.0563647402</v>
      </c>
      <c r="BM102" s="897">
        <f t="shared" si="109"/>
        <v>51260.310525944333</v>
      </c>
      <c r="BN102" s="897">
        <f t="shared" si="109"/>
        <v>0</v>
      </c>
      <c r="BO102" s="897">
        <f t="shared" si="109"/>
        <v>0</v>
      </c>
      <c r="BP102" s="897">
        <f t="shared" si="109"/>
        <v>0</v>
      </c>
      <c r="BQ102" s="897">
        <f t="shared" si="142"/>
        <v>3373294.3668906847</v>
      </c>
      <c r="BR102" s="897">
        <f t="shared" si="143"/>
        <v>3373294.3668906847</v>
      </c>
      <c r="BS102" s="897">
        <f t="shared" si="110"/>
        <v>2674045.8108000001</v>
      </c>
      <c r="BT102" s="897">
        <f t="shared" si="110"/>
        <v>42773.694599999995</v>
      </c>
      <c r="BU102" s="897">
        <f t="shared" si="110"/>
        <v>0</v>
      </c>
      <c r="BV102" s="897">
        <f t="shared" si="144"/>
        <v>0</v>
      </c>
      <c r="BW102" s="897">
        <f t="shared" si="115"/>
        <v>0</v>
      </c>
      <c r="BX102" s="897">
        <f t="shared" si="145"/>
        <v>2716819.5054000001</v>
      </c>
      <c r="BY102" s="897">
        <f t="shared" si="146"/>
        <v>2716819.5054000001</v>
      </c>
      <c r="BZ102" s="905">
        <f t="shared" si="111"/>
        <v>94034.005125944328</v>
      </c>
      <c r="CA102" s="905">
        <f t="shared" si="111"/>
        <v>0</v>
      </c>
      <c r="CB102" s="905">
        <f t="shared" si="147"/>
        <v>94034.005125944328</v>
      </c>
      <c r="CC102" s="907">
        <f t="shared" si="112"/>
        <v>3094.2416954901059</v>
      </c>
      <c r="CD102" s="907" t="e">
        <f t="shared" si="112"/>
        <v>#DIV/0!</v>
      </c>
      <c r="CE102" s="907">
        <f t="shared" si="133"/>
        <v>3094.2416954901059</v>
      </c>
      <c r="CF102" s="907">
        <f t="shared" si="116"/>
        <v>3094.2416954901059</v>
      </c>
      <c r="CG102" s="923">
        <f t="shared" si="117"/>
        <v>94034.005125944328</v>
      </c>
      <c r="CH102" s="923">
        <f t="shared" si="134"/>
        <v>3094.2416954901059</v>
      </c>
      <c r="CI102" s="905"/>
      <c r="CJ102" s="1405">
        <f t="shared" si="106"/>
        <v>3373.2943668906842</v>
      </c>
      <c r="CK102" s="1405">
        <f t="shared" si="102"/>
        <v>2716.8195054000003</v>
      </c>
      <c r="CL102" s="1405">
        <f t="shared" si="107"/>
        <v>6090.1138722906844</v>
      </c>
      <c r="CM102" s="897">
        <f t="shared" si="135"/>
        <v>6472.0673614999996</v>
      </c>
      <c r="CN102" s="897">
        <f t="shared" si="136"/>
        <v>381.95348920931519</v>
      </c>
      <c r="CO102" s="897">
        <f t="shared" si="118"/>
        <v>6090113.8722906839</v>
      </c>
      <c r="CP102" s="897">
        <f t="shared" si="119"/>
        <v>5813780.9298581826</v>
      </c>
      <c r="CQ102" s="897">
        <f t="shared" si="120"/>
        <v>5813780.9298581826</v>
      </c>
      <c r="CR102" s="897">
        <f t="shared" si="121"/>
        <v>3373294.3668906847</v>
      </c>
      <c r="CS102" s="897">
        <f t="shared" si="122"/>
        <v>6472067.3615000006</v>
      </c>
      <c r="CT102" s="897">
        <f t="shared" si="123"/>
        <v>6472067.3615000006</v>
      </c>
      <c r="CU102" s="897">
        <f t="shared" si="124"/>
        <v>2716819.5054000001</v>
      </c>
      <c r="CV102" s="897">
        <f t="shared" si="137"/>
        <v>12285848.291358184</v>
      </c>
      <c r="CW102" s="906">
        <f t="shared" si="138"/>
        <v>6236.3129318332958</v>
      </c>
      <c r="CX102" s="897">
        <f t="shared" si="125"/>
        <v>89683.41029841383</v>
      </c>
      <c r="CY102" s="897">
        <f t="shared" si="126"/>
        <v>99838.1397</v>
      </c>
      <c r="CZ102" s="897"/>
      <c r="DA102" s="897">
        <f t="shared" si="127"/>
        <v>5813780.9298581826</v>
      </c>
      <c r="DB102" s="897">
        <f t="shared" si="128"/>
        <v>6472067.3615000006</v>
      </c>
      <c r="DC102" s="27"/>
      <c r="DD102" s="40">
        <f t="shared" si="139"/>
        <v>111.32286268753293</v>
      </c>
      <c r="DE102" s="27"/>
      <c r="DF102" s="27"/>
      <c r="DG102" s="27"/>
      <c r="DH102" s="1043">
        <v>10850.630000000001</v>
      </c>
      <c r="DI102" s="1043">
        <v>3967.25</v>
      </c>
      <c r="DJ102" s="1043">
        <f t="shared" si="108"/>
        <v>6883.380000000001</v>
      </c>
      <c r="DK102" s="945"/>
      <c r="DL102" s="908">
        <f t="shared" si="129"/>
        <v>0</v>
      </c>
      <c r="DM102" s="908">
        <f t="shared" si="130"/>
        <v>0</v>
      </c>
      <c r="DN102" s="908">
        <f t="shared" si="131"/>
        <v>0</v>
      </c>
      <c r="DO102" s="816"/>
      <c r="DP102" s="81"/>
      <c r="DQ102" s="81"/>
      <c r="DR102" s="81"/>
      <c r="DS102" s="81"/>
      <c r="DT102" s="81"/>
      <c r="DU102" s="81"/>
      <c r="DV102" s="81"/>
      <c r="DW102" s="81"/>
      <c r="DX102" s="81"/>
      <c r="DY102" s="81"/>
      <c r="DZ102" s="81"/>
      <c r="EA102" s="81"/>
      <c r="EB102" s="81"/>
      <c r="EC102" s="81"/>
      <c r="ED102" s="81"/>
      <c r="EE102" s="81"/>
      <c r="EF102" s="81"/>
      <c r="EG102" s="81"/>
      <c r="EH102" s="81"/>
      <c r="EI102" s="81"/>
      <c r="EJ102" s="81"/>
      <c r="EK102" s="81"/>
      <c r="EL102" s="81"/>
    </row>
    <row r="103" spans="1:142" s="50" customFormat="1" ht="70.5" customHeight="1">
      <c r="A103" s="6" t="e">
        <f t="shared" si="140"/>
        <v>#REF!</v>
      </c>
      <c r="B103" s="886" t="s">
        <v>37</v>
      </c>
      <c r="C103" s="886" t="s">
        <v>61</v>
      </c>
      <c r="D103" s="1206" t="s">
        <v>38</v>
      </c>
      <c r="E103" s="886">
        <v>4625004944</v>
      </c>
      <c r="F103" s="886" t="s">
        <v>8</v>
      </c>
      <c r="G103" s="888" t="s">
        <v>958</v>
      </c>
      <c r="H103" s="925">
        <v>2951.0829318332949</v>
      </c>
      <c r="I103" s="891">
        <v>2951.0829318332949</v>
      </c>
      <c r="J103" s="891">
        <v>2951.0829318332949</v>
      </c>
      <c r="K103" s="891">
        <v>0</v>
      </c>
      <c r="L103" s="891">
        <v>2951.0829318332949</v>
      </c>
      <c r="M103" s="946">
        <v>0</v>
      </c>
      <c r="N103" s="959">
        <v>3285.23</v>
      </c>
      <c r="O103" s="959">
        <v>3285.23</v>
      </c>
      <c r="P103" s="959">
        <v>3285.23</v>
      </c>
      <c r="Q103" s="891">
        <v>0</v>
      </c>
      <c r="R103" s="891">
        <v>3285.23</v>
      </c>
      <c r="S103" s="946">
        <v>0</v>
      </c>
      <c r="T103" s="935">
        <v>2369.37</v>
      </c>
      <c r="U103" s="928">
        <v>2281.73</v>
      </c>
      <c r="V103" s="928">
        <v>0</v>
      </c>
      <c r="W103" s="928">
        <v>510.7</v>
      </c>
      <c r="X103" s="928">
        <v>0</v>
      </c>
      <c r="Y103" s="928">
        <v>0</v>
      </c>
      <c r="Z103" s="926">
        <f>SUM(T103:W103)</f>
        <v>5161.8</v>
      </c>
      <c r="AA103" s="927">
        <v>1646.66</v>
      </c>
      <c r="AB103" s="928">
        <v>1655.13</v>
      </c>
      <c r="AC103" s="928">
        <v>0</v>
      </c>
      <c r="AD103" s="928">
        <v>416.99</v>
      </c>
      <c r="AE103" s="928">
        <v>0</v>
      </c>
      <c r="AF103" s="928">
        <v>0</v>
      </c>
      <c r="AG103" s="934">
        <f t="shared" si="114"/>
        <v>3718.7799999999997</v>
      </c>
      <c r="AH103" s="947">
        <f t="shared" si="141"/>
        <v>8880.58</v>
      </c>
      <c r="AI103" s="890">
        <f t="shared" si="148"/>
        <v>4016.0299999999997</v>
      </c>
      <c r="AJ103" s="890">
        <f t="shared" si="148"/>
        <v>3936.86</v>
      </c>
      <c r="AK103" s="890">
        <f t="shared" si="148"/>
        <v>0</v>
      </c>
      <c r="AL103" s="894">
        <f t="shared" si="148"/>
        <v>927.69</v>
      </c>
      <c r="AM103" s="890">
        <f t="shared" si="148"/>
        <v>0</v>
      </c>
      <c r="AN103" s="890">
        <v>0</v>
      </c>
      <c r="AO103" s="890">
        <f t="shared" si="152"/>
        <v>8880.58</v>
      </c>
      <c r="AP103" s="890">
        <f t="shared" si="153"/>
        <v>8880.58</v>
      </c>
      <c r="AQ103" s="952">
        <f t="shared" si="97"/>
        <v>8880.58</v>
      </c>
      <c r="AR103" s="973">
        <f t="shared" si="132"/>
        <v>0</v>
      </c>
      <c r="AS103" s="889">
        <f t="shared" si="154"/>
        <v>11851637.586730467</v>
      </c>
      <c r="AT103" s="890">
        <f t="shared" si="154"/>
        <v>11618000.351017226</v>
      </c>
      <c r="AU103" s="890">
        <f t="shared" si="154"/>
        <v>0</v>
      </c>
      <c r="AV103" s="890">
        <f t="shared" si="154"/>
        <v>2737690.1250324296</v>
      </c>
      <c r="AW103" s="890">
        <f t="shared" si="154"/>
        <v>0</v>
      </c>
      <c r="AX103" s="890">
        <f t="shared" si="98"/>
        <v>26207328.062780123</v>
      </c>
      <c r="AY103" s="890">
        <f t="shared" si="99"/>
        <v>26207328.062780123</v>
      </c>
      <c r="AZ103" s="890">
        <f t="shared" si="155"/>
        <v>13193582.2369</v>
      </c>
      <c r="BA103" s="890">
        <f t="shared" si="155"/>
        <v>12933490.5778</v>
      </c>
      <c r="BB103" s="890">
        <f t="shared" si="155"/>
        <v>0</v>
      </c>
      <c r="BC103" s="890">
        <f t="shared" si="155"/>
        <v>3047675.0187000004</v>
      </c>
      <c r="BD103" s="890">
        <f t="shared" si="155"/>
        <v>0</v>
      </c>
      <c r="BE103" s="890">
        <f t="shared" si="100"/>
        <v>29174747.8334</v>
      </c>
      <c r="BF103" s="952">
        <f t="shared" si="101"/>
        <v>29174747.8334</v>
      </c>
      <c r="BG103" s="974">
        <v>0</v>
      </c>
      <c r="BH103" s="890">
        <v>0</v>
      </c>
      <c r="BI103" s="890">
        <v>0</v>
      </c>
      <c r="BJ103" s="894">
        <v>27449.95</v>
      </c>
      <c r="BK103" s="1199">
        <v>28248.61</v>
      </c>
      <c r="BL103" s="897">
        <f t="shared" si="109"/>
        <v>6992207.3661978533</v>
      </c>
      <c r="BM103" s="897">
        <f t="shared" si="109"/>
        <v>6733574.4580519842</v>
      </c>
      <c r="BN103" s="897">
        <f t="shared" si="109"/>
        <v>0</v>
      </c>
      <c r="BO103" s="897">
        <f t="shared" si="109"/>
        <v>1507118.0532872637</v>
      </c>
      <c r="BP103" s="897">
        <f t="shared" si="109"/>
        <v>0</v>
      </c>
      <c r="BQ103" s="897">
        <f t="shared" si="142"/>
        <v>15232899.877537102</v>
      </c>
      <c r="BR103" s="897">
        <f t="shared" si="143"/>
        <v>15232899.877537102</v>
      </c>
      <c r="BS103" s="897">
        <f t="shared" si="110"/>
        <v>5409656.8318000007</v>
      </c>
      <c r="BT103" s="897">
        <f t="shared" si="110"/>
        <v>5437482.7299000006</v>
      </c>
      <c r="BU103" s="897">
        <f t="shared" si="110"/>
        <v>0</v>
      </c>
      <c r="BV103" s="897">
        <f t="shared" si="144"/>
        <v>1677766.9609999999</v>
      </c>
      <c r="BW103" s="897">
        <f t="shared" si="115"/>
        <v>0</v>
      </c>
      <c r="BX103" s="897">
        <f t="shared" si="145"/>
        <v>12524906.522700001</v>
      </c>
      <c r="BY103" s="897">
        <f t="shared" si="146"/>
        <v>12524906.522700001</v>
      </c>
      <c r="BZ103" s="905">
        <f t="shared" si="111"/>
        <v>12171057.187951986</v>
      </c>
      <c r="CA103" s="905">
        <f t="shared" si="111"/>
        <v>0</v>
      </c>
      <c r="CB103" s="905">
        <f t="shared" si="147"/>
        <v>12171057.187951986</v>
      </c>
      <c r="CC103" s="907">
        <f t="shared" si="112"/>
        <v>3091.5646449078672</v>
      </c>
      <c r="CD103" s="907" t="e">
        <f t="shared" si="112"/>
        <v>#DIV/0!</v>
      </c>
      <c r="CE103" s="907">
        <f t="shared" si="133"/>
        <v>3091.5646449078672</v>
      </c>
      <c r="CF103" s="907">
        <f t="shared" si="116"/>
        <v>3091.5646449078672</v>
      </c>
      <c r="CG103" s="923">
        <f t="shared" si="117"/>
        <v>12171057.187951986</v>
      </c>
      <c r="CH103" s="923">
        <f t="shared" si="134"/>
        <v>3091.5646449078672</v>
      </c>
      <c r="CI103" s="979"/>
      <c r="CJ103" s="1405">
        <f t="shared" si="106"/>
        <v>15232.899877537102</v>
      </c>
      <c r="CK103" s="1405">
        <f t="shared" si="102"/>
        <v>12217.047619399998</v>
      </c>
      <c r="CL103" s="1405">
        <f t="shared" si="107"/>
        <v>27449.9474969371</v>
      </c>
      <c r="CM103" s="897">
        <f t="shared" si="135"/>
        <v>29174.747833400001</v>
      </c>
      <c r="CN103" s="897">
        <f t="shared" si="136"/>
        <v>1724.8003364629003</v>
      </c>
      <c r="CO103" s="897">
        <f t="shared" si="118"/>
        <v>27449947.4969371</v>
      </c>
      <c r="CP103" s="897">
        <f t="shared" si="119"/>
        <v>26207328.062780123</v>
      </c>
      <c r="CQ103" s="897">
        <f t="shared" si="120"/>
        <v>26207328.062780123</v>
      </c>
      <c r="CR103" s="897">
        <f t="shared" si="121"/>
        <v>15232899.877537102</v>
      </c>
      <c r="CS103" s="897">
        <f t="shared" si="122"/>
        <v>29174747.8334</v>
      </c>
      <c r="CT103" s="897">
        <f t="shared" si="123"/>
        <v>29174747.8334</v>
      </c>
      <c r="CU103" s="897">
        <f t="shared" si="124"/>
        <v>12217047.619400002</v>
      </c>
      <c r="CV103" s="897">
        <f t="shared" si="137"/>
        <v>55382075.896180123</v>
      </c>
      <c r="CW103" s="906">
        <f t="shared" si="138"/>
        <v>6236.3129318332949</v>
      </c>
      <c r="CX103" s="897">
        <f t="shared" si="125"/>
        <v>11618000.351017226</v>
      </c>
      <c r="CY103" s="897">
        <f t="shared" si="126"/>
        <v>12933490.5778</v>
      </c>
      <c r="CZ103" s="897"/>
      <c r="DA103" s="897">
        <f t="shared" si="127"/>
        <v>26207328.062780123</v>
      </c>
      <c r="DB103" s="897">
        <f t="shared" si="128"/>
        <v>29174747.8334</v>
      </c>
      <c r="DC103" s="1131"/>
      <c r="DD103" s="40">
        <f t="shared" si="139"/>
        <v>111.32286268753293</v>
      </c>
      <c r="DE103" s="1131"/>
      <c r="DF103" s="1131"/>
      <c r="DG103" s="1131"/>
      <c r="DH103" s="1043">
        <v>10850.630000000001</v>
      </c>
      <c r="DI103" s="1043">
        <v>3967.25</v>
      </c>
      <c r="DJ103" s="1043">
        <f t="shared" si="108"/>
        <v>6883.380000000001</v>
      </c>
      <c r="DK103" s="979"/>
      <c r="DL103" s="908">
        <f t="shared" si="129"/>
        <v>0</v>
      </c>
      <c r="DM103" s="908">
        <f t="shared" si="130"/>
        <v>0</v>
      </c>
      <c r="DN103" s="908">
        <f t="shared" si="131"/>
        <v>0</v>
      </c>
      <c r="DO103" s="81"/>
      <c r="DP103" s="81"/>
      <c r="DQ103" s="81"/>
      <c r="DR103" s="81"/>
      <c r="DS103" s="81"/>
      <c r="DT103" s="81"/>
      <c r="DU103" s="81"/>
      <c r="DV103" s="81"/>
      <c r="DW103" s="81"/>
      <c r="DX103" s="81"/>
      <c r="DY103" s="81"/>
      <c r="DZ103" s="81"/>
      <c r="EA103" s="81"/>
      <c r="EB103" s="81"/>
      <c r="EC103" s="81"/>
      <c r="ED103" s="81"/>
      <c r="EE103" s="81"/>
      <c r="EF103" s="81"/>
      <c r="EG103" s="81"/>
      <c r="EH103" s="81"/>
      <c r="EI103" s="81"/>
      <c r="EJ103" s="81"/>
      <c r="EK103" s="81"/>
      <c r="EL103" s="81"/>
    </row>
    <row r="104" spans="1:142" s="50" customFormat="1" ht="77.25" customHeight="1">
      <c r="A104" s="6" t="e">
        <f t="shared" si="140"/>
        <v>#REF!</v>
      </c>
      <c r="B104" s="886" t="s">
        <v>39</v>
      </c>
      <c r="C104" s="886" t="s">
        <v>133</v>
      </c>
      <c r="D104" s="886" t="s">
        <v>920</v>
      </c>
      <c r="E104" s="886">
        <v>4626006422</v>
      </c>
      <c r="F104" s="886" t="s">
        <v>8</v>
      </c>
      <c r="G104" s="888" t="s">
        <v>954</v>
      </c>
      <c r="H104" s="925">
        <v>2928.96</v>
      </c>
      <c r="I104" s="891">
        <v>2928.96</v>
      </c>
      <c r="J104" s="891">
        <v>2550.9499999999998</v>
      </c>
      <c r="K104" s="891">
        <v>0</v>
      </c>
      <c r="L104" s="891">
        <v>2928.96</v>
      </c>
      <c r="M104" s="946">
        <v>0</v>
      </c>
      <c r="N104" s="959">
        <v>3288.7</v>
      </c>
      <c r="O104" s="891">
        <v>3288.7</v>
      </c>
      <c r="P104" s="891">
        <v>2918.29</v>
      </c>
      <c r="Q104" s="891"/>
      <c r="R104" s="891">
        <v>3288.7</v>
      </c>
      <c r="S104" s="946"/>
      <c r="T104" s="1012">
        <v>1470.7</v>
      </c>
      <c r="U104" s="1003">
        <v>641.79999999999995</v>
      </c>
      <c r="V104" s="1003">
        <v>0</v>
      </c>
      <c r="W104" s="1003">
        <v>5.5</v>
      </c>
      <c r="X104" s="1003">
        <v>0</v>
      </c>
      <c r="Y104" s="1003">
        <v>0</v>
      </c>
      <c r="Z104" s="898">
        <v>2118</v>
      </c>
      <c r="AA104" s="1013">
        <v>950.75</v>
      </c>
      <c r="AB104" s="1003">
        <v>481.4</v>
      </c>
      <c r="AC104" s="1003">
        <v>0</v>
      </c>
      <c r="AD104" s="1003">
        <v>3.85</v>
      </c>
      <c r="AE104" s="1003">
        <v>0</v>
      </c>
      <c r="AF104" s="1003">
        <v>0</v>
      </c>
      <c r="AG104" s="1014">
        <v>1436</v>
      </c>
      <c r="AH104" s="896">
        <f t="shared" si="141"/>
        <v>3554</v>
      </c>
      <c r="AI104" s="919">
        <f>T104+AA104</f>
        <v>2421.4499999999998</v>
      </c>
      <c r="AJ104" s="897">
        <f t="shared" si="148"/>
        <v>1123.1999999999998</v>
      </c>
      <c r="AK104" s="897">
        <f t="shared" si="148"/>
        <v>0</v>
      </c>
      <c r="AL104" s="1003">
        <f t="shared" si="148"/>
        <v>9.35</v>
      </c>
      <c r="AM104" s="897">
        <f t="shared" si="148"/>
        <v>0</v>
      </c>
      <c r="AN104" s="897">
        <v>0</v>
      </c>
      <c r="AO104" s="897">
        <f t="shared" si="152"/>
        <v>3553.9999999999995</v>
      </c>
      <c r="AP104" s="897">
        <f t="shared" si="153"/>
        <v>3553.9999999999995</v>
      </c>
      <c r="AQ104" s="1011">
        <f t="shared" si="97"/>
        <v>3553.9999999999995</v>
      </c>
      <c r="AR104" s="902">
        <f t="shared" si="132"/>
        <v>0</v>
      </c>
      <c r="AS104" s="903">
        <f t="shared" si="154"/>
        <v>7092330.1919999998</v>
      </c>
      <c r="AT104" s="897">
        <f t="shared" si="154"/>
        <v>2865227.0399999991</v>
      </c>
      <c r="AU104" s="897">
        <f t="shared" si="154"/>
        <v>0</v>
      </c>
      <c r="AV104" s="897">
        <f t="shared" si="154"/>
        <v>27385.775999999998</v>
      </c>
      <c r="AW104" s="897">
        <f t="shared" si="154"/>
        <v>0</v>
      </c>
      <c r="AX104" s="897">
        <f t="shared" si="98"/>
        <v>9984943.0079999994</v>
      </c>
      <c r="AY104" s="897">
        <f t="shared" si="99"/>
        <v>9984943.0079999994</v>
      </c>
      <c r="AZ104" s="897">
        <f>O104*AI104</f>
        <v>7963422.6149999993</v>
      </c>
      <c r="BA104" s="897">
        <f>P104*AJ104</f>
        <v>3277823.3279999993</v>
      </c>
      <c r="BB104" s="897">
        <f t="shared" si="155"/>
        <v>0</v>
      </c>
      <c r="BC104" s="897">
        <f>R104*AL104</f>
        <v>30749.344999999998</v>
      </c>
      <c r="BD104" s="897">
        <f t="shared" si="155"/>
        <v>0</v>
      </c>
      <c r="BE104" s="897">
        <f>SUM(AZ104:BD104)</f>
        <v>11271995.287999999</v>
      </c>
      <c r="BF104" s="901">
        <f>SUM(AZ104:BC104)</f>
        <v>11271995.287999999</v>
      </c>
      <c r="BG104" s="950">
        <v>242.607</v>
      </c>
      <c r="BH104" s="948">
        <v>178.297</v>
      </c>
      <c r="BI104" s="948">
        <f>BG104+BH104</f>
        <v>420.904</v>
      </c>
      <c r="BJ104" s="919">
        <v>10926.106689012175</v>
      </c>
      <c r="BK104" s="1194">
        <v>11252.25</v>
      </c>
      <c r="BL104" s="897">
        <f t="shared" si="109"/>
        <v>4307621.4720000001</v>
      </c>
      <c r="BM104" s="897">
        <f t="shared" si="109"/>
        <v>1637199.7099999997</v>
      </c>
      <c r="BN104" s="897">
        <f t="shared" si="109"/>
        <v>0</v>
      </c>
      <c r="BO104" s="897">
        <f t="shared" si="109"/>
        <v>16109.28</v>
      </c>
      <c r="BP104" s="897">
        <f t="shared" si="109"/>
        <v>0</v>
      </c>
      <c r="BQ104" s="897">
        <f t="shared" si="142"/>
        <v>5960930.4620000003</v>
      </c>
      <c r="BR104" s="897">
        <f t="shared" si="143"/>
        <v>5960930.4620000003</v>
      </c>
      <c r="BS104" s="897">
        <f t="shared" si="110"/>
        <v>3126731.5249999999</v>
      </c>
      <c r="BT104" s="897">
        <f>P104*AB104</f>
        <v>1404864.8059999999</v>
      </c>
      <c r="BU104" s="897">
        <f t="shared" si="110"/>
        <v>0</v>
      </c>
      <c r="BV104" s="897">
        <f t="shared" si="144"/>
        <v>18087.849999999999</v>
      </c>
      <c r="BW104" s="897">
        <f t="shared" si="115"/>
        <v>0</v>
      </c>
      <c r="BX104" s="897">
        <f t="shared" si="145"/>
        <v>4549684.1809999999</v>
      </c>
      <c r="BY104" s="897">
        <f t="shared" si="146"/>
        <v>4549684.1809999999</v>
      </c>
      <c r="BZ104" s="905">
        <f>BM104+BT104</f>
        <v>3042064.5159999998</v>
      </c>
      <c r="CA104" s="905">
        <f t="shared" si="111"/>
        <v>0</v>
      </c>
      <c r="CB104" s="905">
        <f t="shared" si="147"/>
        <v>3042064.5159999998</v>
      </c>
      <c r="CC104" s="907">
        <f t="shared" si="112"/>
        <v>2708.3907727920232</v>
      </c>
      <c r="CD104" s="907" t="e">
        <f t="shared" si="112"/>
        <v>#DIV/0!</v>
      </c>
      <c r="CE104" s="907">
        <f t="shared" si="133"/>
        <v>2708.3907727920232</v>
      </c>
      <c r="CF104" s="907">
        <f t="shared" si="116"/>
        <v>2708.3907727920232</v>
      </c>
      <c r="CG104" s="923">
        <f t="shared" si="117"/>
        <v>3462986.7079999996</v>
      </c>
      <c r="CH104" s="923">
        <f t="shared" si="134"/>
        <v>3083.1434366096869</v>
      </c>
      <c r="CI104" s="979"/>
      <c r="CJ104" s="1405">
        <f t="shared" si="106"/>
        <v>6203.5372800000005</v>
      </c>
      <c r="CK104" s="1405">
        <f t="shared" si="102"/>
        <v>4722.5731999999998</v>
      </c>
      <c r="CL104" s="1405">
        <f t="shared" si="107"/>
        <v>10926.110479999999</v>
      </c>
      <c r="CM104" s="897">
        <f t="shared" si="135"/>
        <v>11688.039799999999</v>
      </c>
      <c r="CN104" s="897">
        <f t="shared" si="136"/>
        <v>761.92931999999928</v>
      </c>
      <c r="CO104" s="897">
        <f t="shared" si="118"/>
        <v>10926110.48</v>
      </c>
      <c r="CP104" s="897">
        <f t="shared" si="119"/>
        <v>9984943.0079999994</v>
      </c>
      <c r="CQ104" s="897">
        <f t="shared" si="120"/>
        <v>9984943.0079999994</v>
      </c>
      <c r="CR104" s="897">
        <f t="shared" si="121"/>
        <v>5960930.4620000003</v>
      </c>
      <c r="CS104" s="897">
        <f t="shared" si="122"/>
        <v>11271995.287999999</v>
      </c>
      <c r="CT104" s="897">
        <f t="shared" si="123"/>
        <v>11271995.287999999</v>
      </c>
      <c r="CU104" s="897">
        <f t="shared" si="124"/>
        <v>4544257.8260000004</v>
      </c>
      <c r="CV104" s="897">
        <f t="shared" si="137"/>
        <v>21256938.295999996</v>
      </c>
      <c r="CW104" s="906">
        <f t="shared" si="138"/>
        <v>5981.1306404051766</v>
      </c>
      <c r="CX104" s="897">
        <f t="shared" si="125"/>
        <v>2865227.0399999991</v>
      </c>
      <c r="CY104" s="897">
        <f t="shared" si="126"/>
        <v>3277823.3279999993</v>
      </c>
      <c r="CZ104" s="897"/>
      <c r="DA104" s="897">
        <f t="shared" si="127"/>
        <v>10409523.84</v>
      </c>
      <c r="DB104" s="897">
        <f t="shared" si="128"/>
        <v>11688039.799999999</v>
      </c>
      <c r="DC104" s="1131"/>
      <c r="DD104" s="40">
        <f t="shared" si="139"/>
        <v>128.92059820851057</v>
      </c>
      <c r="DE104" s="1131"/>
      <c r="DF104" s="1131"/>
      <c r="DG104" s="1131"/>
      <c r="DH104" s="1043">
        <v>3554</v>
      </c>
      <c r="DI104" s="1043">
        <v>1123.1999999999998</v>
      </c>
      <c r="DJ104" s="1043">
        <f t="shared" si="108"/>
        <v>2430.8000000000002</v>
      </c>
      <c r="DK104" s="979"/>
      <c r="DL104" s="908">
        <f t="shared" si="129"/>
        <v>0</v>
      </c>
      <c r="DM104" s="908">
        <f t="shared" si="130"/>
        <v>0</v>
      </c>
      <c r="DN104" s="908">
        <f t="shared" si="131"/>
        <v>0</v>
      </c>
      <c r="DO104" s="81"/>
      <c r="DP104" s="81"/>
      <c r="DQ104" s="81"/>
      <c r="DR104" s="81"/>
      <c r="DS104" s="81"/>
      <c r="DT104" s="81"/>
      <c r="DU104" s="81"/>
      <c r="DV104" s="81"/>
      <c r="DW104" s="81"/>
      <c r="DX104" s="81"/>
      <c r="DY104" s="81"/>
      <c r="DZ104" s="81"/>
      <c r="EA104" s="81"/>
      <c r="EB104" s="81"/>
      <c r="EC104" s="81"/>
      <c r="ED104" s="81"/>
      <c r="EE104" s="81"/>
      <c r="EF104" s="81"/>
      <c r="EG104" s="81"/>
      <c r="EH104" s="81"/>
      <c r="EI104" s="81"/>
      <c r="EJ104" s="81"/>
      <c r="EK104" s="81"/>
      <c r="EL104" s="81"/>
    </row>
    <row r="105" spans="1:142" s="50" customFormat="1" ht="84.75" customHeight="1">
      <c r="A105" s="6" t="e">
        <f t="shared" si="140"/>
        <v>#REF!</v>
      </c>
      <c r="B105" s="886" t="s">
        <v>39</v>
      </c>
      <c r="C105" s="956" t="s">
        <v>64</v>
      </c>
      <c r="D105" s="886" t="s">
        <v>866</v>
      </c>
      <c r="E105" s="887">
        <v>4626006380</v>
      </c>
      <c r="F105" s="886" t="s">
        <v>8</v>
      </c>
      <c r="G105" s="888" t="s">
        <v>972</v>
      </c>
      <c r="H105" s="1241">
        <v>2975.83</v>
      </c>
      <c r="I105" s="1242">
        <v>2975.83</v>
      </c>
      <c r="J105" s="891">
        <v>2975.83</v>
      </c>
      <c r="K105" s="891"/>
      <c r="L105" s="891">
        <v>2975.83</v>
      </c>
      <c r="M105" s="892"/>
      <c r="N105" s="984">
        <v>3252.8</v>
      </c>
      <c r="O105" s="895">
        <v>3252.8</v>
      </c>
      <c r="P105" s="895">
        <v>3252.8</v>
      </c>
      <c r="Q105" s="895"/>
      <c r="R105" s="891">
        <v>3252.8</v>
      </c>
      <c r="S105" s="892"/>
      <c r="T105" s="1012">
        <v>1510.4</v>
      </c>
      <c r="U105" s="1003">
        <v>2410.41</v>
      </c>
      <c r="V105" s="1003">
        <v>0</v>
      </c>
      <c r="W105" s="1003">
        <v>430.67</v>
      </c>
      <c r="X105" s="1003">
        <v>0</v>
      </c>
      <c r="Y105" s="1003"/>
      <c r="Z105" s="898">
        <f t="shared" si="113"/>
        <v>4351.4799999999996</v>
      </c>
      <c r="AA105" s="1013">
        <v>988.01</v>
      </c>
      <c r="AB105" s="1003">
        <v>1742.21</v>
      </c>
      <c r="AC105" s="1003">
        <v>0</v>
      </c>
      <c r="AD105" s="1003">
        <v>269.8</v>
      </c>
      <c r="AE105" s="1003">
        <v>0</v>
      </c>
      <c r="AF105" s="1003">
        <v>0</v>
      </c>
      <c r="AG105" s="900">
        <f t="shared" si="114"/>
        <v>3000.0200000000004</v>
      </c>
      <c r="AH105" s="896">
        <f t="shared" si="141"/>
        <v>7351.5</v>
      </c>
      <c r="AI105" s="897">
        <f t="shared" si="148"/>
        <v>2498.41</v>
      </c>
      <c r="AJ105" s="897">
        <f t="shared" si="148"/>
        <v>4152.62</v>
      </c>
      <c r="AK105" s="897">
        <f t="shared" si="148"/>
        <v>0</v>
      </c>
      <c r="AL105" s="897">
        <f t="shared" si="148"/>
        <v>700.47</v>
      </c>
      <c r="AM105" s="897">
        <f t="shared" si="148"/>
        <v>0</v>
      </c>
      <c r="AN105" s="897"/>
      <c r="AO105" s="897">
        <f t="shared" si="152"/>
        <v>7351.5</v>
      </c>
      <c r="AP105" s="897">
        <f t="shared" si="153"/>
        <v>7351.5</v>
      </c>
      <c r="AQ105" s="1011">
        <f t="shared" si="97"/>
        <v>7351.5</v>
      </c>
      <c r="AR105" s="902">
        <f t="shared" si="132"/>
        <v>0</v>
      </c>
      <c r="AS105" s="903">
        <f t="shared" si="154"/>
        <v>7434843.4302999992</v>
      </c>
      <c r="AT105" s="897">
        <f t="shared" si="154"/>
        <v>12357491.1746</v>
      </c>
      <c r="AU105" s="897">
        <f t="shared" si="154"/>
        <v>0</v>
      </c>
      <c r="AV105" s="897">
        <f t="shared" si="154"/>
        <v>2084479.6401</v>
      </c>
      <c r="AW105" s="897">
        <f t="shared" si="154"/>
        <v>0</v>
      </c>
      <c r="AX105" s="897">
        <f t="shared" si="98"/>
        <v>21876814.244999997</v>
      </c>
      <c r="AY105" s="897">
        <f t="shared" si="99"/>
        <v>21876814.244999997</v>
      </c>
      <c r="AZ105" s="897">
        <f t="shared" ref="AZ105:BD138" si="156">O105*AI105</f>
        <v>8126828.0480000004</v>
      </c>
      <c r="BA105" s="897">
        <f t="shared" si="156"/>
        <v>13507642.336000001</v>
      </c>
      <c r="BB105" s="897">
        <f t="shared" si="155"/>
        <v>0</v>
      </c>
      <c r="BC105" s="897">
        <f t="shared" si="155"/>
        <v>2278488.8160000001</v>
      </c>
      <c r="BD105" s="897">
        <f t="shared" si="155"/>
        <v>0</v>
      </c>
      <c r="BE105" s="897">
        <f t="shared" si="100"/>
        <v>23912959.200000003</v>
      </c>
      <c r="BF105" s="901">
        <f t="shared" si="101"/>
        <v>23912959.200000003</v>
      </c>
      <c r="BG105" s="904"/>
      <c r="BH105" s="897"/>
      <c r="BI105" s="922"/>
      <c r="BJ105" s="919">
        <v>22707.73</v>
      </c>
      <c r="BK105" s="1203">
        <v>24292.35</v>
      </c>
      <c r="BL105" s="897">
        <f>I105*T105</f>
        <v>4494693.6320000002</v>
      </c>
      <c r="BM105" s="897">
        <f>J105*U105</f>
        <v>7172970.3902999992</v>
      </c>
      <c r="BN105" s="897">
        <f t="shared" si="109"/>
        <v>0</v>
      </c>
      <c r="BO105" s="897">
        <f>L105*W105</f>
        <v>1281600.7061000001</v>
      </c>
      <c r="BP105" s="897">
        <f t="shared" si="109"/>
        <v>0</v>
      </c>
      <c r="BQ105" s="897">
        <f>BL105+BM105+BN105+BO105+BP105</f>
        <v>12949264.728399999</v>
      </c>
      <c r="BR105" s="897">
        <f>BQ105-BP105</f>
        <v>12949264.728399999</v>
      </c>
      <c r="BS105" s="897">
        <f>O105*AA105</f>
        <v>3213798.9280000003</v>
      </c>
      <c r="BT105" s="897">
        <f>P105*AB105</f>
        <v>5667060.6880000001</v>
      </c>
      <c r="BU105" s="897">
        <f t="shared" si="110"/>
        <v>0</v>
      </c>
      <c r="BV105" s="897">
        <f>R105*W105</f>
        <v>1400883.3760000002</v>
      </c>
      <c r="BW105" s="897">
        <f t="shared" si="115"/>
        <v>0</v>
      </c>
      <c r="BX105" s="897">
        <f>BS105+BT105+BU105+BV105+BW105</f>
        <v>10281742.992000001</v>
      </c>
      <c r="BY105" s="897">
        <f>BX105-BW105</f>
        <v>10281742.992000001</v>
      </c>
      <c r="BZ105" s="905">
        <f>BM105+BT105</f>
        <v>12840031.078299999</v>
      </c>
      <c r="CA105" s="905">
        <f t="shared" si="111"/>
        <v>0</v>
      </c>
      <c r="CB105" s="905">
        <f t="shared" si="147"/>
        <v>12840031.078299999</v>
      </c>
      <c r="CC105" s="907">
        <f t="shared" si="112"/>
        <v>3092.0313147603197</v>
      </c>
      <c r="CD105" s="907" t="e">
        <f t="shared" si="112"/>
        <v>#DIV/0!</v>
      </c>
      <c r="CE105" s="907">
        <f t="shared" si="133"/>
        <v>3092.0313147603197</v>
      </c>
      <c r="CF105" s="907">
        <f t="shared" si="116"/>
        <v>3092.0313147603197</v>
      </c>
      <c r="CG105" s="923">
        <f t="shared" si="117"/>
        <v>12840031.078299999</v>
      </c>
      <c r="CH105" s="923">
        <f t="shared" si="134"/>
        <v>3092.0313147603197</v>
      </c>
      <c r="CI105" s="905"/>
      <c r="CJ105" s="1405">
        <f t="shared" si="106"/>
        <v>12949.264728399998</v>
      </c>
      <c r="CK105" s="1405">
        <f t="shared" si="102"/>
        <v>9758.4650560000009</v>
      </c>
      <c r="CL105" s="1405">
        <f t="shared" si="107"/>
        <v>22707.729784399999</v>
      </c>
      <c r="CM105" s="897">
        <f t="shared" si="135"/>
        <v>23912.959200000005</v>
      </c>
      <c r="CN105" s="897">
        <f t="shared" si="136"/>
        <v>1205.2294156000062</v>
      </c>
      <c r="CO105" s="897">
        <f t="shared" si="118"/>
        <v>22707729.784400001</v>
      </c>
      <c r="CP105" s="897">
        <f t="shared" si="119"/>
        <v>21876814.244999997</v>
      </c>
      <c r="CQ105" s="897">
        <f t="shared" si="120"/>
        <v>21876814.244999997</v>
      </c>
      <c r="CR105" s="897">
        <f t="shared" si="121"/>
        <v>12949264.728399999</v>
      </c>
      <c r="CS105" s="897">
        <f t="shared" si="122"/>
        <v>23912959.200000003</v>
      </c>
      <c r="CT105" s="897">
        <f t="shared" si="123"/>
        <v>23912959.200000003</v>
      </c>
      <c r="CU105" s="897">
        <f t="shared" si="124"/>
        <v>9758465.0559999999</v>
      </c>
      <c r="CV105" s="897">
        <f t="shared" si="137"/>
        <v>45789773.445</v>
      </c>
      <c r="CW105" s="906">
        <f t="shared" si="138"/>
        <v>6228.63</v>
      </c>
      <c r="CX105" s="897">
        <f t="shared" si="125"/>
        <v>12357491.1746</v>
      </c>
      <c r="CY105" s="897">
        <f t="shared" si="126"/>
        <v>13507642.336000001</v>
      </c>
      <c r="CZ105" s="897"/>
      <c r="DA105" s="897">
        <f t="shared" si="127"/>
        <v>21876814.244999997</v>
      </c>
      <c r="DB105" s="897">
        <f t="shared" si="128"/>
        <v>23912959.200000003</v>
      </c>
      <c r="DC105" s="27"/>
      <c r="DD105" s="40">
        <f t="shared" si="139"/>
        <v>109.30731930251395</v>
      </c>
      <c r="DE105" s="27"/>
      <c r="DF105" s="27"/>
      <c r="DG105" s="27"/>
      <c r="DH105" s="1226">
        <v>7351.48</v>
      </c>
      <c r="DI105" s="1226">
        <v>4152.6099999999997</v>
      </c>
      <c r="DJ105" s="1043">
        <f t="shared" si="108"/>
        <v>3198.87</v>
      </c>
      <c r="DK105" s="905"/>
      <c r="DL105" s="908">
        <f t="shared" si="129"/>
        <v>0</v>
      </c>
      <c r="DM105" s="908">
        <f t="shared" si="130"/>
        <v>0</v>
      </c>
      <c r="DN105" s="908">
        <f t="shared" si="131"/>
        <v>0</v>
      </c>
      <c r="DO105" s="6"/>
      <c r="DP105" s="81"/>
      <c r="DQ105" s="81"/>
      <c r="DR105" s="81"/>
      <c r="DS105" s="81"/>
      <c r="DT105" s="81"/>
      <c r="DU105" s="81"/>
      <c r="DV105" s="81"/>
      <c r="DW105" s="81"/>
      <c r="DX105" s="81"/>
      <c r="DY105" s="81"/>
      <c r="DZ105" s="81"/>
      <c r="EA105" s="81"/>
      <c r="EB105" s="81"/>
      <c r="EC105" s="81"/>
      <c r="ED105" s="81"/>
      <c r="EE105" s="81"/>
      <c r="EF105" s="81"/>
      <c r="EG105" s="81"/>
      <c r="EH105" s="81"/>
      <c r="EI105" s="81"/>
      <c r="EJ105" s="81"/>
      <c r="EK105" s="81"/>
      <c r="EL105" s="81"/>
    </row>
    <row r="106" spans="1:142" s="869" customFormat="1" ht="77.25" customHeight="1">
      <c r="A106" s="6" t="e">
        <f t="shared" si="140"/>
        <v>#REF!</v>
      </c>
      <c r="B106" s="886" t="s">
        <v>39</v>
      </c>
      <c r="C106" s="1309" t="s">
        <v>120</v>
      </c>
      <c r="D106" s="1262" t="s">
        <v>141</v>
      </c>
      <c r="E106" s="887">
        <v>4632024035</v>
      </c>
      <c r="F106" s="886" t="s">
        <v>8</v>
      </c>
      <c r="G106" s="1238" t="s">
        <v>983</v>
      </c>
      <c r="H106" s="1256">
        <v>3314.9639999999995</v>
      </c>
      <c r="I106" s="1257">
        <f t="shared" ref="I106:I118" si="157">H106</f>
        <v>3314.9639999999995</v>
      </c>
      <c r="J106" s="891"/>
      <c r="K106" s="891"/>
      <c r="L106" s="1256">
        <v>3314.9639999999995</v>
      </c>
      <c r="M106" s="946"/>
      <c r="N106" s="1259">
        <f t="shared" ref="N106:N118" si="158">3132.14*1.2</f>
        <v>3758.5679999999998</v>
      </c>
      <c r="O106" s="1260">
        <f t="shared" ref="O106:O118" si="159">N106</f>
        <v>3758.5679999999998</v>
      </c>
      <c r="P106" s="891"/>
      <c r="Q106" s="891"/>
      <c r="R106" s="891">
        <f t="shared" ref="R106:R118" si="160">O106</f>
        <v>3758.5679999999998</v>
      </c>
      <c r="S106" s="946"/>
      <c r="T106" s="1390">
        <v>86.298000000000002</v>
      </c>
      <c r="U106" s="1380"/>
      <c r="V106" s="1380"/>
      <c r="W106" s="931"/>
      <c r="X106" s="931"/>
      <c r="Y106" s="931"/>
      <c r="Z106" s="932">
        <f t="shared" si="113"/>
        <v>86.298000000000002</v>
      </c>
      <c r="AA106" s="1381">
        <v>50.112000000000002</v>
      </c>
      <c r="AB106" s="1366"/>
      <c r="AC106" s="1366"/>
      <c r="AD106" s="890"/>
      <c r="AE106" s="890"/>
      <c r="AF106" s="890"/>
      <c r="AG106" s="951">
        <f t="shared" si="114"/>
        <v>50.112000000000002</v>
      </c>
      <c r="AH106" s="947">
        <f t="shared" si="141"/>
        <v>136.41</v>
      </c>
      <c r="AI106" s="890">
        <f t="shared" si="148"/>
        <v>136.41</v>
      </c>
      <c r="AJ106" s="890">
        <f t="shared" si="148"/>
        <v>0</v>
      </c>
      <c r="AK106" s="890">
        <f t="shared" si="148"/>
        <v>0</v>
      </c>
      <c r="AL106" s="890">
        <f t="shared" si="148"/>
        <v>0</v>
      </c>
      <c r="AM106" s="890">
        <f t="shared" si="148"/>
        <v>0</v>
      </c>
      <c r="AN106" s="890"/>
      <c r="AO106" s="890">
        <f t="shared" si="152"/>
        <v>136.41</v>
      </c>
      <c r="AP106" s="890">
        <f t="shared" si="153"/>
        <v>136.41</v>
      </c>
      <c r="AQ106" s="952">
        <f t="shared" si="97"/>
        <v>136.41</v>
      </c>
      <c r="AR106" s="973">
        <f t="shared" si="132"/>
        <v>0</v>
      </c>
      <c r="AS106" s="889">
        <f t="shared" si="154"/>
        <v>452194.23923999991</v>
      </c>
      <c r="AT106" s="890">
        <f t="shared" si="154"/>
        <v>0</v>
      </c>
      <c r="AU106" s="890">
        <f t="shared" si="154"/>
        <v>0</v>
      </c>
      <c r="AV106" s="890">
        <f t="shared" si="154"/>
        <v>0</v>
      </c>
      <c r="AW106" s="890">
        <f t="shared" si="154"/>
        <v>0</v>
      </c>
      <c r="AX106" s="890">
        <f t="shared" si="98"/>
        <v>452194.23923999991</v>
      </c>
      <c r="AY106" s="890">
        <f t="shared" si="99"/>
        <v>452194.23923999991</v>
      </c>
      <c r="AZ106" s="890">
        <f t="shared" si="156"/>
        <v>512706.26087999996</v>
      </c>
      <c r="BA106" s="890">
        <f t="shared" si="156"/>
        <v>0</v>
      </c>
      <c r="BB106" s="890">
        <f t="shared" si="155"/>
        <v>0</v>
      </c>
      <c r="BC106" s="890">
        <f t="shared" si="155"/>
        <v>0</v>
      </c>
      <c r="BD106" s="890">
        <f t="shared" si="155"/>
        <v>0</v>
      </c>
      <c r="BE106" s="890">
        <f t="shared" si="100"/>
        <v>512706.26087999996</v>
      </c>
      <c r="BF106" s="952">
        <f t="shared" si="101"/>
        <v>512706.26087999996</v>
      </c>
      <c r="BG106" s="953">
        <f t="shared" ref="BG106:BG117" si="161">(H106-J106)/1.2*U106/1000+(H106-K106)/1.2*V106/1000</f>
        <v>0</v>
      </c>
      <c r="BH106" s="954">
        <f t="shared" ref="BH106:BH117" si="162">(O106-P106)*AB106/1000/1.2+(O106-Q106)/1.2*AC106/1000</f>
        <v>0</v>
      </c>
      <c r="BI106" s="955">
        <f t="shared" ref="BI106:BI141" si="163">BG106+BH106</f>
        <v>0</v>
      </c>
      <c r="BJ106" s="890"/>
      <c r="BK106" s="1199"/>
      <c r="BL106" s="890">
        <f t="shared" si="109"/>
        <v>286074.76327199995</v>
      </c>
      <c r="BM106" s="890">
        <f t="shared" si="109"/>
        <v>0</v>
      </c>
      <c r="BN106" s="890">
        <f t="shared" si="109"/>
        <v>0</v>
      </c>
      <c r="BO106" s="890">
        <f t="shared" si="109"/>
        <v>0</v>
      </c>
      <c r="BP106" s="890">
        <f t="shared" si="109"/>
        <v>0</v>
      </c>
      <c r="BQ106" s="890">
        <f t="shared" si="142"/>
        <v>286074.76327199995</v>
      </c>
      <c r="BR106" s="890">
        <f t="shared" si="143"/>
        <v>286074.76327199995</v>
      </c>
      <c r="BS106" s="890">
        <f t="shared" si="110"/>
        <v>188349.359616</v>
      </c>
      <c r="BT106" s="890">
        <f t="shared" si="110"/>
        <v>0</v>
      </c>
      <c r="BU106" s="890">
        <f t="shared" si="110"/>
        <v>0</v>
      </c>
      <c r="BV106" s="890">
        <f t="shared" si="144"/>
        <v>0</v>
      </c>
      <c r="BW106" s="890">
        <f t="shared" si="115"/>
        <v>0</v>
      </c>
      <c r="BX106" s="890">
        <f t="shared" si="145"/>
        <v>188349.359616</v>
      </c>
      <c r="BY106" s="890">
        <f t="shared" si="146"/>
        <v>188349.359616</v>
      </c>
      <c r="BZ106" s="945">
        <f t="shared" si="111"/>
        <v>0</v>
      </c>
      <c r="CA106" s="945">
        <f t="shared" si="111"/>
        <v>0</v>
      </c>
      <c r="CB106" s="945">
        <f t="shared" si="147"/>
        <v>0</v>
      </c>
      <c r="CC106" s="976" t="e">
        <f t="shared" si="112"/>
        <v>#DIV/0!</v>
      </c>
      <c r="CD106" s="976" t="e">
        <f t="shared" si="112"/>
        <v>#DIV/0!</v>
      </c>
      <c r="CE106" s="976" t="e">
        <f t="shared" si="133"/>
        <v>#DIV/0!</v>
      </c>
      <c r="CF106" s="945" t="e">
        <f t="shared" si="116"/>
        <v>#DIV/0!</v>
      </c>
      <c r="CG106" s="977">
        <f t="shared" si="117"/>
        <v>0</v>
      </c>
      <c r="CH106" s="977" t="e">
        <f t="shared" si="134"/>
        <v>#DIV/0!</v>
      </c>
      <c r="CI106" s="945"/>
      <c r="CJ106" s="1405">
        <f t="shared" si="106"/>
        <v>286.07476327199993</v>
      </c>
      <c r="CK106" s="1405">
        <f t="shared" si="102"/>
        <v>188.34935961600002</v>
      </c>
      <c r="CL106" s="1405">
        <f t="shared" si="107"/>
        <v>474.42412288799994</v>
      </c>
      <c r="CM106" s="890">
        <f t="shared" si="135"/>
        <v>512.70626087999995</v>
      </c>
      <c r="CN106" s="890">
        <f t="shared" si="136"/>
        <v>38.282137992000003</v>
      </c>
      <c r="CO106" s="890">
        <f t="shared" si="118"/>
        <v>474424.12288799998</v>
      </c>
      <c r="CP106" s="890">
        <f t="shared" si="119"/>
        <v>452194.23923999991</v>
      </c>
      <c r="CQ106" s="890">
        <f t="shared" si="120"/>
        <v>452194.23923999991</v>
      </c>
      <c r="CR106" s="890">
        <f t="shared" si="121"/>
        <v>286074.76327199995</v>
      </c>
      <c r="CS106" s="890">
        <f t="shared" si="122"/>
        <v>512706.26087999996</v>
      </c>
      <c r="CT106" s="890">
        <f t="shared" si="123"/>
        <v>512706.26087999996</v>
      </c>
      <c r="CU106" s="890">
        <f t="shared" si="124"/>
        <v>188349.359616</v>
      </c>
      <c r="CV106" s="890">
        <f t="shared" si="137"/>
        <v>964900.50011999987</v>
      </c>
      <c r="CW106" s="978">
        <f t="shared" si="138"/>
        <v>7073.5319999999992</v>
      </c>
      <c r="CX106" s="890">
        <f t="shared" si="125"/>
        <v>0</v>
      </c>
      <c r="CY106" s="890">
        <f t="shared" si="126"/>
        <v>0</v>
      </c>
      <c r="CZ106" s="890"/>
      <c r="DA106" s="890">
        <f t="shared" si="127"/>
        <v>452194.23923999991</v>
      </c>
      <c r="DB106" s="890">
        <f t="shared" si="128"/>
        <v>512706.26087999996</v>
      </c>
      <c r="DC106" s="840"/>
      <c r="DD106" s="841" t="e">
        <f t="shared" si="139"/>
        <v>#DIV/0!</v>
      </c>
      <c r="DE106" s="840"/>
      <c r="DF106" s="840"/>
      <c r="DG106" s="840"/>
      <c r="DH106" s="1050"/>
      <c r="DI106" s="1050"/>
      <c r="DJ106" s="1050"/>
      <c r="DK106" s="945"/>
      <c r="DL106" s="975">
        <f t="shared" si="129"/>
        <v>0</v>
      </c>
      <c r="DM106" s="975">
        <f t="shared" si="130"/>
        <v>0</v>
      </c>
      <c r="DN106" s="975">
        <f t="shared" si="131"/>
        <v>0</v>
      </c>
      <c r="DO106" s="816"/>
      <c r="DP106" s="871"/>
      <c r="DQ106" s="871"/>
      <c r="DR106" s="871"/>
      <c r="DS106" s="871"/>
      <c r="DT106" s="871"/>
      <c r="DU106" s="871"/>
      <c r="DV106" s="871"/>
      <c r="DW106" s="871"/>
      <c r="DX106" s="871"/>
      <c r="DY106" s="871"/>
      <c r="DZ106" s="871"/>
      <c r="EA106" s="871"/>
      <c r="EB106" s="871"/>
      <c r="EC106" s="871"/>
      <c r="ED106" s="871"/>
      <c r="EE106" s="871"/>
      <c r="EF106" s="871"/>
      <c r="EG106" s="871"/>
      <c r="EH106" s="871"/>
      <c r="EI106" s="871"/>
      <c r="EJ106" s="871"/>
      <c r="EK106" s="871"/>
      <c r="EL106" s="871"/>
    </row>
    <row r="107" spans="1:142" s="869" customFormat="1" ht="76.5" customHeight="1">
      <c r="A107" s="6" t="e">
        <f t="shared" si="140"/>
        <v>#REF!</v>
      </c>
      <c r="B107" s="886" t="s">
        <v>39</v>
      </c>
      <c r="C107" s="1309" t="s">
        <v>121</v>
      </c>
      <c r="D107" s="1262" t="s">
        <v>141</v>
      </c>
      <c r="E107" s="887">
        <v>4632024035</v>
      </c>
      <c r="F107" s="886" t="s">
        <v>8</v>
      </c>
      <c r="G107" s="1238" t="s">
        <v>983</v>
      </c>
      <c r="H107" s="1256">
        <v>3314.9639999999995</v>
      </c>
      <c r="I107" s="1257">
        <f t="shared" si="157"/>
        <v>3314.9639999999995</v>
      </c>
      <c r="J107" s="891"/>
      <c r="K107" s="891"/>
      <c r="L107" s="1256">
        <v>3314.9639999999995</v>
      </c>
      <c r="M107" s="946"/>
      <c r="N107" s="1259">
        <f t="shared" si="158"/>
        <v>3758.5679999999998</v>
      </c>
      <c r="O107" s="1260">
        <f t="shared" si="159"/>
        <v>3758.5679999999998</v>
      </c>
      <c r="P107" s="891"/>
      <c r="Q107" s="891"/>
      <c r="R107" s="891">
        <f t="shared" si="160"/>
        <v>3758.5679999999998</v>
      </c>
      <c r="S107" s="946"/>
      <c r="T107" s="1390">
        <v>64.724000000000004</v>
      </c>
      <c r="U107" s="1380"/>
      <c r="V107" s="1380"/>
      <c r="W107" s="931"/>
      <c r="X107" s="931"/>
      <c r="Y107" s="931"/>
      <c r="Z107" s="932">
        <f t="shared" si="113"/>
        <v>64.724000000000004</v>
      </c>
      <c r="AA107" s="1381">
        <v>37.584000000000003</v>
      </c>
      <c r="AB107" s="1387"/>
      <c r="AC107" s="1387"/>
      <c r="AD107" s="890"/>
      <c r="AE107" s="890"/>
      <c r="AF107" s="890"/>
      <c r="AG107" s="951">
        <f t="shared" si="114"/>
        <v>37.584000000000003</v>
      </c>
      <c r="AH107" s="947">
        <f t="shared" si="141"/>
        <v>102.30800000000001</v>
      </c>
      <c r="AI107" s="890">
        <f t="shared" si="148"/>
        <v>102.30800000000001</v>
      </c>
      <c r="AJ107" s="890">
        <f t="shared" si="148"/>
        <v>0</v>
      </c>
      <c r="AK107" s="890">
        <f t="shared" si="148"/>
        <v>0</v>
      </c>
      <c r="AL107" s="890">
        <f t="shared" si="148"/>
        <v>0</v>
      </c>
      <c r="AM107" s="890">
        <f t="shared" si="148"/>
        <v>0</v>
      </c>
      <c r="AN107" s="890"/>
      <c r="AO107" s="890">
        <f t="shared" si="152"/>
        <v>102.30800000000001</v>
      </c>
      <c r="AP107" s="890">
        <f t="shared" si="153"/>
        <v>102.30800000000001</v>
      </c>
      <c r="AQ107" s="952">
        <f t="shared" si="97"/>
        <v>102.30800000000001</v>
      </c>
      <c r="AR107" s="973">
        <f t="shared" si="132"/>
        <v>0</v>
      </c>
      <c r="AS107" s="889">
        <f t="shared" si="154"/>
        <v>339147.33691199997</v>
      </c>
      <c r="AT107" s="890">
        <f t="shared" si="154"/>
        <v>0</v>
      </c>
      <c r="AU107" s="890">
        <f t="shared" si="154"/>
        <v>0</v>
      </c>
      <c r="AV107" s="890">
        <f t="shared" si="154"/>
        <v>0</v>
      </c>
      <c r="AW107" s="890">
        <f t="shared" si="154"/>
        <v>0</v>
      </c>
      <c r="AX107" s="890">
        <f t="shared" si="98"/>
        <v>339147.33691199997</v>
      </c>
      <c r="AY107" s="890">
        <f t="shared" si="99"/>
        <v>339147.33691199997</v>
      </c>
      <c r="AZ107" s="890">
        <f t="shared" si="156"/>
        <v>384531.57494399999</v>
      </c>
      <c r="BA107" s="890">
        <f t="shared" si="156"/>
        <v>0</v>
      </c>
      <c r="BB107" s="890">
        <f t="shared" si="155"/>
        <v>0</v>
      </c>
      <c r="BC107" s="890">
        <f t="shared" si="155"/>
        <v>0</v>
      </c>
      <c r="BD107" s="890">
        <f t="shared" si="155"/>
        <v>0</v>
      </c>
      <c r="BE107" s="890">
        <f t="shared" si="100"/>
        <v>384531.57494399999</v>
      </c>
      <c r="BF107" s="952">
        <f t="shared" si="101"/>
        <v>384531.57494399999</v>
      </c>
      <c r="BG107" s="953">
        <f t="shared" si="161"/>
        <v>0</v>
      </c>
      <c r="BH107" s="954">
        <f t="shared" si="162"/>
        <v>0</v>
      </c>
      <c r="BI107" s="955">
        <f t="shared" si="163"/>
        <v>0</v>
      </c>
      <c r="BJ107" s="890"/>
      <c r="BK107" s="1199"/>
      <c r="BL107" s="890">
        <f t="shared" si="109"/>
        <v>214557.72993599999</v>
      </c>
      <c r="BM107" s="890">
        <f t="shared" si="109"/>
        <v>0</v>
      </c>
      <c r="BN107" s="890">
        <f t="shared" si="109"/>
        <v>0</v>
      </c>
      <c r="BO107" s="890">
        <f t="shared" si="109"/>
        <v>0</v>
      </c>
      <c r="BP107" s="890">
        <f t="shared" si="109"/>
        <v>0</v>
      </c>
      <c r="BQ107" s="890">
        <f t="shared" si="142"/>
        <v>214557.72993599999</v>
      </c>
      <c r="BR107" s="890">
        <f t="shared" si="143"/>
        <v>214557.72993599999</v>
      </c>
      <c r="BS107" s="890">
        <f t="shared" si="110"/>
        <v>141262.01971200001</v>
      </c>
      <c r="BT107" s="890">
        <f t="shared" si="110"/>
        <v>0</v>
      </c>
      <c r="BU107" s="890">
        <f t="shared" si="110"/>
        <v>0</v>
      </c>
      <c r="BV107" s="890">
        <f t="shared" si="144"/>
        <v>0</v>
      </c>
      <c r="BW107" s="890">
        <f t="shared" si="115"/>
        <v>0</v>
      </c>
      <c r="BX107" s="890">
        <f t="shared" si="145"/>
        <v>141262.01971200001</v>
      </c>
      <c r="BY107" s="890">
        <f t="shared" si="146"/>
        <v>141262.01971200001</v>
      </c>
      <c r="BZ107" s="945">
        <f t="shared" si="111"/>
        <v>0</v>
      </c>
      <c r="CA107" s="945">
        <f t="shared" si="111"/>
        <v>0</v>
      </c>
      <c r="CB107" s="945">
        <f t="shared" si="147"/>
        <v>0</v>
      </c>
      <c r="CC107" s="976" t="e">
        <f t="shared" si="112"/>
        <v>#DIV/0!</v>
      </c>
      <c r="CD107" s="976" t="e">
        <f t="shared" si="112"/>
        <v>#DIV/0!</v>
      </c>
      <c r="CE107" s="976" t="e">
        <f t="shared" si="133"/>
        <v>#DIV/0!</v>
      </c>
      <c r="CF107" s="945" t="e">
        <f t="shared" si="116"/>
        <v>#DIV/0!</v>
      </c>
      <c r="CG107" s="977">
        <f t="shared" si="117"/>
        <v>0</v>
      </c>
      <c r="CH107" s="977" t="e">
        <f t="shared" si="134"/>
        <v>#DIV/0!</v>
      </c>
      <c r="CI107" s="945"/>
      <c r="CJ107" s="1405">
        <f t="shared" si="106"/>
        <v>214.55772993599999</v>
      </c>
      <c r="CK107" s="1405">
        <f t="shared" si="102"/>
        <v>141.26201971200001</v>
      </c>
      <c r="CL107" s="1405">
        <f t="shared" si="107"/>
        <v>355.81974964799997</v>
      </c>
      <c r="CM107" s="890">
        <f t="shared" si="135"/>
        <v>384.531574944</v>
      </c>
      <c r="CN107" s="890">
        <f t="shared" si="136"/>
        <v>28.711825296000029</v>
      </c>
      <c r="CO107" s="890">
        <f t="shared" si="118"/>
        <v>355819.749648</v>
      </c>
      <c r="CP107" s="890">
        <f t="shared" si="119"/>
        <v>339147.33691199997</v>
      </c>
      <c r="CQ107" s="890">
        <f t="shared" si="120"/>
        <v>339147.33691199997</v>
      </c>
      <c r="CR107" s="890">
        <f t="shared" si="121"/>
        <v>214557.72993599999</v>
      </c>
      <c r="CS107" s="890">
        <f t="shared" si="122"/>
        <v>384531.57494399999</v>
      </c>
      <c r="CT107" s="890">
        <f t="shared" si="123"/>
        <v>384531.57494399999</v>
      </c>
      <c r="CU107" s="890">
        <f t="shared" si="124"/>
        <v>141262.01971200001</v>
      </c>
      <c r="CV107" s="890">
        <f t="shared" si="137"/>
        <v>723678.91185599996</v>
      </c>
      <c r="CW107" s="978">
        <f t="shared" si="138"/>
        <v>7073.5319999999992</v>
      </c>
      <c r="CX107" s="890">
        <f t="shared" si="125"/>
        <v>0</v>
      </c>
      <c r="CY107" s="890">
        <f t="shared" si="126"/>
        <v>0</v>
      </c>
      <c r="CZ107" s="890"/>
      <c r="DA107" s="890">
        <f t="shared" si="127"/>
        <v>339147.33691199997</v>
      </c>
      <c r="DB107" s="890">
        <f t="shared" si="128"/>
        <v>384531.57494399999</v>
      </c>
      <c r="DC107" s="840"/>
      <c r="DD107" s="841" t="e">
        <f t="shared" si="139"/>
        <v>#DIV/0!</v>
      </c>
      <c r="DE107" s="840"/>
      <c r="DF107" s="840"/>
      <c r="DG107" s="840"/>
      <c r="DH107" s="1050"/>
      <c r="DI107" s="1050"/>
      <c r="DJ107" s="1050"/>
      <c r="DK107" s="945"/>
      <c r="DL107" s="975">
        <f t="shared" si="129"/>
        <v>0</v>
      </c>
      <c r="DM107" s="975">
        <f t="shared" si="130"/>
        <v>0</v>
      </c>
      <c r="DN107" s="975">
        <f t="shared" si="131"/>
        <v>0</v>
      </c>
      <c r="DO107" s="816"/>
      <c r="DP107" s="871"/>
      <c r="DQ107" s="871"/>
      <c r="DR107" s="871"/>
      <c r="DS107" s="871"/>
      <c r="DT107" s="871"/>
      <c r="DU107" s="871"/>
      <c r="DV107" s="871"/>
      <c r="DW107" s="871"/>
      <c r="DX107" s="871"/>
      <c r="DY107" s="871"/>
      <c r="DZ107" s="871"/>
      <c r="EA107" s="871"/>
      <c r="EB107" s="871"/>
      <c r="EC107" s="871"/>
      <c r="ED107" s="871"/>
      <c r="EE107" s="871"/>
      <c r="EF107" s="871"/>
      <c r="EG107" s="871"/>
      <c r="EH107" s="871"/>
      <c r="EI107" s="871"/>
      <c r="EJ107" s="871"/>
      <c r="EK107" s="871"/>
      <c r="EL107" s="871"/>
    </row>
    <row r="108" spans="1:142" s="869" customFormat="1" ht="80.25" customHeight="1">
      <c r="A108" s="6" t="e">
        <f t="shared" si="140"/>
        <v>#REF!</v>
      </c>
      <c r="B108" s="886" t="s">
        <v>41</v>
      </c>
      <c r="C108" s="1309" t="s">
        <v>122</v>
      </c>
      <c r="D108" s="1262" t="s">
        <v>147</v>
      </c>
      <c r="E108" s="887">
        <v>4632024035</v>
      </c>
      <c r="F108" s="886" t="s">
        <v>8</v>
      </c>
      <c r="G108" s="1238" t="s">
        <v>983</v>
      </c>
      <c r="H108" s="1256">
        <v>3314.9639999999995</v>
      </c>
      <c r="I108" s="1257">
        <f t="shared" si="157"/>
        <v>3314.9639999999995</v>
      </c>
      <c r="J108" s="1263">
        <v>2484</v>
      </c>
      <c r="K108" s="891"/>
      <c r="L108" s="1256">
        <v>3314.9639999999995</v>
      </c>
      <c r="M108" s="946"/>
      <c r="N108" s="1259">
        <f t="shared" si="158"/>
        <v>3758.5679999999998</v>
      </c>
      <c r="O108" s="1260">
        <f t="shared" si="159"/>
        <v>3758.5679999999998</v>
      </c>
      <c r="P108" s="1264">
        <v>2719.98</v>
      </c>
      <c r="Q108" s="891"/>
      <c r="R108" s="891">
        <f t="shared" si="160"/>
        <v>3758.5679999999998</v>
      </c>
      <c r="S108" s="946"/>
      <c r="T108" s="1378">
        <v>1953.9</v>
      </c>
      <c r="U108" s="1297">
        <v>1154.6129999999998</v>
      </c>
      <c r="V108" s="1366"/>
      <c r="W108" s="890"/>
      <c r="X108" s="890"/>
      <c r="Y108" s="890"/>
      <c r="Z108" s="949">
        <f t="shared" si="113"/>
        <v>3108.5129999999999</v>
      </c>
      <c r="AA108" s="1308">
        <v>1034.5999999999999</v>
      </c>
      <c r="AB108" s="1292">
        <v>970</v>
      </c>
      <c r="AC108" s="1387"/>
      <c r="AD108" s="890"/>
      <c r="AE108" s="890"/>
      <c r="AF108" s="890"/>
      <c r="AG108" s="951">
        <f t="shared" si="114"/>
        <v>2004.6</v>
      </c>
      <c r="AH108" s="947">
        <f t="shared" si="141"/>
        <v>5113.1129999999994</v>
      </c>
      <c r="AI108" s="890">
        <f t="shared" si="148"/>
        <v>2988.5</v>
      </c>
      <c r="AJ108" s="890">
        <f t="shared" si="148"/>
        <v>2124.6129999999998</v>
      </c>
      <c r="AK108" s="890">
        <f t="shared" si="148"/>
        <v>0</v>
      </c>
      <c r="AL108" s="890">
        <f t="shared" si="148"/>
        <v>0</v>
      </c>
      <c r="AM108" s="890">
        <f t="shared" si="148"/>
        <v>0</v>
      </c>
      <c r="AN108" s="890"/>
      <c r="AO108" s="890">
        <f t="shared" si="152"/>
        <v>5113.1129999999994</v>
      </c>
      <c r="AP108" s="890">
        <f t="shared" si="153"/>
        <v>5113.1129999999994</v>
      </c>
      <c r="AQ108" s="952">
        <f t="shared" si="97"/>
        <v>5113.1129999999994</v>
      </c>
      <c r="AR108" s="973">
        <f t="shared" si="132"/>
        <v>0</v>
      </c>
      <c r="AS108" s="889">
        <f t="shared" si="154"/>
        <v>9906769.9139999989</v>
      </c>
      <c r="AT108" s="890">
        <f t="shared" si="154"/>
        <v>5277538.6919999998</v>
      </c>
      <c r="AU108" s="890">
        <f t="shared" si="154"/>
        <v>0</v>
      </c>
      <c r="AV108" s="890">
        <f t="shared" si="154"/>
        <v>0</v>
      </c>
      <c r="AW108" s="890">
        <f t="shared" si="154"/>
        <v>0</v>
      </c>
      <c r="AX108" s="890">
        <f t="shared" si="98"/>
        <v>15184308.605999999</v>
      </c>
      <c r="AY108" s="890">
        <f t="shared" si="99"/>
        <v>15184308.605999999</v>
      </c>
      <c r="AZ108" s="890">
        <f t="shared" si="156"/>
        <v>11232480.467999998</v>
      </c>
      <c r="BA108" s="890">
        <f t="shared" si="156"/>
        <v>5778904.8677399997</v>
      </c>
      <c r="BB108" s="890">
        <f t="shared" si="155"/>
        <v>0</v>
      </c>
      <c r="BC108" s="890">
        <f t="shared" si="155"/>
        <v>0</v>
      </c>
      <c r="BD108" s="890">
        <f t="shared" si="155"/>
        <v>0</v>
      </c>
      <c r="BE108" s="890">
        <f t="shared" si="100"/>
        <v>17011385.33574</v>
      </c>
      <c r="BF108" s="952">
        <f t="shared" si="101"/>
        <v>17011385.33574</v>
      </c>
      <c r="BG108" s="953">
        <f t="shared" si="161"/>
        <v>799.53486410999938</v>
      </c>
      <c r="BH108" s="954">
        <f t="shared" si="162"/>
        <v>839.52529999999979</v>
      </c>
      <c r="BI108" s="955">
        <f t="shared" si="163"/>
        <v>1639.0601641099993</v>
      </c>
      <c r="BJ108" s="955"/>
      <c r="BK108" s="1197"/>
      <c r="BL108" s="890">
        <f t="shared" ref="BL108:BP130" si="164">I108*T108</f>
        <v>6477108.159599999</v>
      </c>
      <c r="BM108" s="890">
        <f t="shared" si="164"/>
        <v>2868058.6919999998</v>
      </c>
      <c r="BN108" s="890">
        <f t="shared" si="164"/>
        <v>0</v>
      </c>
      <c r="BO108" s="890">
        <f t="shared" si="164"/>
        <v>0</v>
      </c>
      <c r="BP108" s="890">
        <f t="shared" si="164"/>
        <v>0</v>
      </c>
      <c r="BQ108" s="890">
        <f t="shared" si="142"/>
        <v>9345166.8515999988</v>
      </c>
      <c r="BR108" s="890">
        <f t="shared" si="143"/>
        <v>9345166.8515999988</v>
      </c>
      <c r="BS108" s="890">
        <f t="shared" ref="BS108:BU141" si="165">O108*AA108</f>
        <v>3888614.4527999996</v>
      </c>
      <c r="BT108" s="890">
        <f t="shared" si="165"/>
        <v>2638380.6</v>
      </c>
      <c r="BU108" s="890">
        <f t="shared" si="165"/>
        <v>0</v>
      </c>
      <c r="BV108" s="890">
        <f t="shared" si="144"/>
        <v>0</v>
      </c>
      <c r="BW108" s="890">
        <f t="shared" si="115"/>
        <v>0</v>
      </c>
      <c r="BX108" s="890">
        <f t="shared" si="145"/>
        <v>6526995.0527999997</v>
      </c>
      <c r="BY108" s="890">
        <f t="shared" si="146"/>
        <v>6526995.0527999997</v>
      </c>
      <c r="BZ108" s="945">
        <f t="shared" si="111"/>
        <v>5506439.2919999994</v>
      </c>
      <c r="CA108" s="945">
        <f t="shared" si="111"/>
        <v>0</v>
      </c>
      <c r="CB108" s="945">
        <f t="shared" si="147"/>
        <v>5506439.2919999994</v>
      </c>
      <c r="CC108" s="976">
        <f t="shared" si="112"/>
        <v>2591.7375503209291</v>
      </c>
      <c r="CD108" s="976" t="e">
        <f t="shared" si="112"/>
        <v>#DIV/0!</v>
      </c>
      <c r="CE108" s="976">
        <f t="shared" si="133"/>
        <v>2591.7375503209291</v>
      </c>
      <c r="CF108" s="976">
        <f t="shared" si="116"/>
        <v>2591.7375503209291</v>
      </c>
      <c r="CG108" s="977">
        <f t="shared" si="117"/>
        <v>7473311.4889319986</v>
      </c>
      <c r="CH108" s="977">
        <f t="shared" si="134"/>
        <v>3517.4930629399328</v>
      </c>
      <c r="CI108" s="945"/>
      <c r="CJ108" s="1405">
        <f t="shared" si="106"/>
        <v>10304.608688531998</v>
      </c>
      <c r="CK108" s="1405">
        <f t="shared" si="102"/>
        <v>7534.4254127999993</v>
      </c>
      <c r="CL108" s="1405">
        <f t="shared" si="107"/>
        <v>17839.034101331999</v>
      </c>
      <c r="CM108" s="890">
        <f t="shared" si="135"/>
        <v>19217.982902183994</v>
      </c>
      <c r="CN108" s="890">
        <f t="shared" si="136"/>
        <v>1378.9488008519947</v>
      </c>
      <c r="CO108" s="890">
        <f t="shared" si="118"/>
        <v>17839034.101331998</v>
      </c>
      <c r="CP108" s="890">
        <f t="shared" si="119"/>
        <v>15184308.605999999</v>
      </c>
      <c r="CQ108" s="890">
        <f t="shared" si="120"/>
        <v>15184308.605999999</v>
      </c>
      <c r="CR108" s="890">
        <f t="shared" si="121"/>
        <v>9345166.8515999988</v>
      </c>
      <c r="CS108" s="890">
        <f t="shared" si="122"/>
        <v>17011385.33574</v>
      </c>
      <c r="CT108" s="890">
        <f t="shared" si="123"/>
        <v>17011385.33574</v>
      </c>
      <c r="CU108" s="890">
        <f t="shared" si="124"/>
        <v>6526995.0527999997</v>
      </c>
      <c r="CV108" s="890">
        <f t="shared" si="137"/>
        <v>32195693.941739999</v>
      </c>
      <c r="CW108" s="978">
        <f t="shared" si="138"/>
        <v>6296.6912606351552</v>
      </c>
      <c r="CX108" s="890">
        <f t="shared" si="125"/>
        <v>5277538.6919999998</v>
      </c>
      <c r="CY108" s="890">
        <f t="shared" si="126"/>
        <v>5778904.8677399997</v>
      </c>
      <c r="CZ108" s="890"/>
      <c r="DA108" s="890">
        <f t="shared" si="127"/>
        <v>16949785.522931997</v>
      </c>
      <c r="DB108" s="890">
        <f t="shared" si="128"/>
        <v>19217982.902183998</v>
      </c>
      <c r="DC108" s="840"/>
      <c r="DD108" s="841">
        <f t="shared" si="139"/>
        <v>151.3111111111111</v>
      </c>
      <c r="DE108" s="840"/>
      <c r="DF108" s="840"/>
      <c r="DG108" s="840"/>
      <c r="DH108" s="1050"/>
      <c r="DI108" s="1050"/>
      <c r="DJ108" s="1050"/>
      <c r="DK108" s="945"/>
      <c r="DL108" s="975">
        <f t="shared" si="129"/>
        <v>0</v>
      </c>
      <c r="DM108" s="975">
        <f t="shared" si="130"/>
        <v>0</v>
      </c>
      <c r="DN108" s="975">
        <f t="shared" si="131"/>
        <v>0</v>
      </c>
      <c r="DO108" s="816"/>
      <c r="DP108" s="871"/>
      <c r="DQ108" s="871"/>
      <c r="DR108" s="871"/>
      <c r="DS108" s="871"/>
      <c r="DT108" s="871"/>
      <c r="DU108" s="871"/>
      <c r="DV108" s="871"/>
      <c r="DW108" s="871"/>
      <c r="DX108" s="871"/>
      <c r="DY108" s="871"/>
      <c r="DZ108" s="871"/>
      <c r="EA108" s="871"/>
      <c r="EB108" s="871"/>
      <c r="EC108" s="871"/>
      <c r="ED108" s="871"/>
      <c r="EE108" s="871"/>
      <c r="EF108" s="871"/>
      <c r="EG108" s="871"/>
      <c r="EH108" s="871"/>
      <c r="EI108" s="871"/>
      <c r="EJ108" s="871"/>
      <c r="EK108" s="871"/>
      <c r="EL108" s="871"/>
    </row>
    <row r="109" spans="1:142" s="869" customFormat="1" ht="79.5" customHeight="1">
      <c r="A109" s="6" t="e">
        <f t="shared" si="140"/>
        <v>#REF!</v>
      </c>
      <c r="B109" s="886" t="s">
        <v>41</v>
      </c>
      <c r="C109" s="1309" t="s">
        <v>123</v>
      </c>
      <c r="D109" s="1262" t="s">
        <v>141</v>
      </c>
      <c r="E109" s="887">
        <v>4632024035</v>
      </c>
      <c r="F109" s="886" t="s">
        <v>8</v>
      </c>
      <c r="G109" s="1238" t="s">
        <v>983</v>
      </c>
      <c r="H109" s="1256">
        <v>3314.9639999999995</v>
      </c>
      <c r="I109" s="1257">
        <f t="shared" si="157"/>
        <v>3314.9639999999995</v>
      </c>
      <c r="J109" s="891"/>
      <c r="K109" s="891"/>
      <c r="L109" s="1256">
        <v>3314.9639999999995</v>
      </c>
      <c r="M109" s="946"/>
      <c r="N109" s="1259">
        <f t="shared" si="158"/>
        <v>3758.5679999999998</v>
      </c>
      <c r="O109" s="1260">
        <f t="shared" si="159"/>
        <v>3758.5679999999998</v>
      </c>
      <c r="P109" s="891"/>
      <c r="Q109" s="891"/>
      <c r="R109" s="891">
        <f t="shared" si="160"/>
        <v>3758.5679999999998</v>
      </c>
      <c r="S109" s="946"/>
      <c r="T109" s="1307">
        <v>316.47300000000001</v>
      </c>
      <c r="U109" s="1366"/>
      <c r="V109" s="1366"/>
      <c r="W109" s="890"/>
      <c r="X109" s="890"/>
      <c r="Y109" s="890"/>
      <c r="Z109" s="949">
        <f t="shared" si="113"/>
        <v>316.47300000000001</v>
      </c>
      <c r="AA109" s="1308">
        <v>187.00200000000001</v>
      </c>
      <c r="AB109" s="1366"/>
      <c r="AC109" s="1366"/>
      <c r="AD109" s="890"/>
      <c r="AE109" s="890"/>
      <c r="AF109" s="890"/>
      <c r="AG109" s="951">
        <f t="shared" si="114"/>
        <v>187.00200000000001</v>
      </c>
      <c r="AH109" s="947">
        <f t="shared" si="141"/>
        <v>503.47500000000002</v>
      </c>
      <c r="AI109" s="890">
        <f t="shared" si="148"/>
        <v>503.47500000000002</v>
      </c>
      <c r="AJ109" s="890">
        <f t="shared" si="148"/>
        <v>0</v>
      </c>
      <c r="AK109" s="890">
        <f t="shared" si="148"/>
        <v>0</v>
      </c>
      <c r="AL109" s="890">
        <f t="shared" si="148"/>
        <v>0</v>
      </c>
      <c r="AM109" s="890">
        <f t="shared" si="148"/>
        <v>0</v>
      </c>
      <c r="AN109" s="890"/>
      <c r="AO109" s="890">
        <f t="shared" si="152"/>
        <v>503.47500000000002</v>
      </c>
      <c r="AP109" s="890">
        <f t="shared" si="153"/>
        <v>503.47500000000002</v>
      </c>
      <c r="AQ109" s="952">
        <f t="shared" si="97"/>
        <v>503.47500000000002</v>
      </c>
      <c r="AR109" s="973">
        <f t="shared" si="132"/>
        <v>0</v>
      </c>
      <c r="AS109" s="889">
        <f t="shared" si="154"/>
        <v>1669001.4998999997</v>
      </c>
      <c r="AT109" s="890">
        <f t="shared" si="154"/>
        <v>0</v>
      </c>
      <c r="AU109" s="890">
        <f t="shared" si="154"/>
        <v>0</v>
      </c>
      <c r="AV109" s="890">
        <f t="shared" si="154"/>
        <v>0</v>
      </c>
      <c r="AW109" s="890">
        <f t="shared" si="154"/>
        <v>0</v>
      </c>
      <c r="AX109" s="890">
        <f t="shared" si="98"/>
        <v>1669001.4998999997</v>
      </c>
      <c r="AY109" s="890">
        <f t="shared" si="99"/>
        <v>1669001.4998999997</v>
      </c>
      <c r="AZ109" s="890">
        <f t="shared" si="156"/>
        <v>1892345.0237999998</v>
      </c>
      <c r="BA109" s="890">
        <f t="shared" si="156"/>
        <v>0</v>
      </c>
      <c r="BB109" s="890">
        <f t="shared" si="155"/>
        <v>0</v>
      </c>
      <c r="BC109" s="890">
        <f t="shared" si="155"/>
        <v>0</v>
      </c>
      <c r="BD109" s="890">
        <f t="shared" si="155"/>
        <v>0</v>
      </c>
      <c r="BE109" s="890">
        <f t="shared" si="100"/>
        <v>1892345.0237999998</v>
      </c>
      <c r="BF109" s="952">
        <f t="shared" si="101"/>
        <v>1892345.0237999998</v>
      </c>
      <c r="BG109" s="953">
        <f t="shared" si="161"/>
        <v>0</v>
      </c>
      <c r="BH109" s="954">
        <f t="shared" si="162"/>
        <v>0</v>
      </c>
      <c r="BI109" s="955">
        <f t="shared" si="163"/>
        <v>0</v>
      </c>
      <c r="BJ109" s="890"/>
      <c r="BK109" s="1199"/>
      <c r="BL109" s="890">
        <f t="shared" si="164"/>
        <v>1049096.601972</v>
      </c>
      <c r="BM109" s="890">
        <f t="shared" si="164"/>
        <v>0</v>
      </c>
      <c r="BN109" s="890">
        <f t="shared" si="164"/>
        <v>0</v>
      </c>
      <c r="BO109" s="890">
        <f t="shared" si="164"/>
        <v>0</v>
      </c>
      <c r="BP109" s="890">
        <f t="shared" si="164"/>
        <v>0</v>
      </c>
      <c r="BQ109" s="890">
        <f t="shared" si="142"/>
        <v>1049096.601972</v>
      </c>
      <c r="BR109" s="890">
        <f t="shared" si="143"/>
        <v>1049096.601972</v>
      </c>
      <c r="BS109" s="890">
        <f t="shared" si="165"/>
        <v>702859.733136</v>
      </c>
      <c r="BT109" s="890">
        <f t="shared" si="165"/>
        <v>0</v>
      </c>
      <c r="BU109" s="890">
        <f t="shared" si="165"/>
        <v>0</v>
      </c>
      <c r="BV109" s="890">
        <f t="shared" si="144"/>
        <v>0</v>
      </c>
      <c r="BW109" s="890">
        <f t="shared" si="115"/>
        <v>0</v>
      </c>
      <c r="BX109" s="890">
        <f t="shared" si="145"/>
        <v>702859.733136</v>
      </c>
      <c r="BY109" s="890">
        <f t="shared" si="146"/>
        <v>702859.733136</v>
      </c>
      <c r="BZ109" s="945">
        <f t="shared" si="111"/>
        <v>0</v>
      </c>
      <c r="CA109" s="945">
        <f t="shared" si="111"/>
        <v>0</v>
      </c>
      <c r="CB109" s="945">
        <f t="shared" si="147"/>
        <v>0</v>
      </c>
      <c r="CC109" s="976" t="e">
        <f t="shared" si="112"/>
        <v>#DIV/0!</v>
      </c>
      <c r="CD109" s="976" t="e">
        <f t="shared" si="112"/>
        <v>#DIV/0!</v>
      </c>
      <c r="CE109" s="976" t="e">
        <f t="shared" si="133"/>
        <v>#DIV/0!</v>
      </c>
      <c r="CF109" s="945" t="e">
        <f t="shared" si="116"/>
        <v>#DIV/0!</v>
      </c>
      <c r="CG109" s="977">
        <f t="shared" si="117"/>
        <v>0</v>
      </c>
      <c r="CH109" s="977" t="e">
        <f t="shared" si="134"/>
        <v>#DIV/0!</v>
      </c>
      <c r="CI109" s="945"/>
      <c r="CJ109" s="1405">
        <f t="shared" si="106"/>
        <v>1049.0966019719999</v>
      </c>
      <c r="CK109" s="1405">
        <f t="shared" si="102"/>
        <v>702.85973313600005</v>
      </c>
      <c r="CL109" s="1405">
        <f t="shared" si="107"/>
        <v>1751.9563351080001</v>
      </c>
      <c r="CM109" s="890">
        <f t="shared" si="135"/>
        <v>1892.3450237999998</v>
      </c>
      <c r="CN109" s="890">
        <f t="shared" si="136"/>
        <v>140.38868869199973</v>
      </c>
      <c r="CO109" s="890">
        <f t="shared" si="118"/>
        <v>1751956.3351079999</v>
      </c>
      <c r="CP109" s="890">
        <f t="shared" si="119"/>
        <v>1669001.4998999997</v>
      </c>
      <c r="CQ109" s="890">
        <f t="shared" si="120"/>
        <v>1669001.4998999997</v>
      </c>
      <c r="CR109" s="890">
        <f t="shared" si="121"/>
        <v>1049096.601972</v>
      </c>
      <c r="CS109" s="890">
        <f t="shared" si="122"/>
        <v>1892345.0237999998</v>
      </c>
      <c r="CT109" s="890">
        <f t="shared" si="123"/>
        <v>1892345.0237999998</v>
      </c>
      <c r="CU109" s="890">
        <f t="shared" si="124"/>
        <v>702859.733136</v>
      </c>
      <c r="CV109" s="890">
        <f t="shared" si="137"/>
        <v>3561346.5236999998</v>
      </c>
      <c r="CW109" s="978">
        <f t="shared" si="138"/>
        <v>7073.5319999999992</v>
      </c>
      <c r="CX109" s="890">
        <f t="shared" si="125"/>
        <v>0</v>
      </c>
      <c r="CY109" s="890">
        <f t="shared" si="126"/>
        <v>0</v>
      </c>
      <c r="CZ109" s="890"/>
      <c r="DA109" s="890">
        <f t="shared" si="127"/>
        <v>1669001.4998999997</v>
      </c>
      <c r="DB109" s="890">
        <f t="shared" si="128"/>
        <v>1892345.0237999998</v>
      </c>
      <c r="DC109" s="840"/>
      <c r="DD109" s="841" t="e">
        <f t="shared" si="139"/>
        <v>#DIV/0!</v>
      </c>
      <c r="DE109" s="840"/>
      <c r="DF109" s="840"/>
      <c r="DG109" s="840"/>
      <c r="DH109" s="1050"/>
      <c r="DI109" s="1050"/>
      <c r="DJ109" s="1050"/>
      <c r="DK109" s="945"/>
      <c r="DL109" s="975">
        <f t="shared" si="129"/>
        <v>0</v>
      </c>
      <c r="DM109" s="975">
        <f t="shared" si="130"/>
        <v>0</v>
      </c>
      <c r="DN109" s="975">
        <f t="shared" si="131"/>
        <v>0</v>
      </c>
      <c r="DO109" s="816"/>
      <c r="DP109" s="871"/>
      <c r="DQ109" s="871"/>
      <c r="DR109" s="871"/>
      <c r="DS109" s="871"/>
      <c r="DT109" s="871"/>
      <c r="DU109" s="871"/>
      <c r="DV109" s="871"/>
      <c r="DW109" s="871"/>
      <c r="DX109" s="871"/>
      <c r="DY109" s="871"/>
      <c r="DZ109" s="871"/>
      <c r="EA109" s="871"/>
      <c r="EB109" s="871"/>
      <c r="EC109" s="871"/>
      <c r="ED109" s="871"/>
      <c r="EE109" s="871"/>
      <c r="EF109" s="871"/>
      <c r="EG109" s="871"/>
      <c r="EH109" s="871"/>
      <c r="EI109" s="871"/>
      <c r="EJ109" s="871"/>
      <c r="EK109" s="871"/>
      <c r="EL109" s="871"/>
    </row>
    <row r="110" spans="1:142" s="869" customFormat="1" ht="76.5" customHeight="1">
      <c r="A110" s="6" t="e">
        <f t="shared" si="140"/>
        <v>#REF!</v>
      </c>
      <c r="B110" s="886" t="s">
        <v>42</v>
      </c>
      <c r="C110" s="1309" t="s">
        <v>170</v>
      </c>
      <c r="D110" s="1262" t="s">
        <v>145</v>
      </c>
      <c r="E110" s="887">
        <v>4632024035</v>
      </c>
      <c r="F110" s="886" t="s">
        <v>8</v>
      </c>
      <c r="G110" s="1238" t="s">
        <v>983</v>
      </c>
      <c r="H110" s="1256">
        <v>3314.9639999999995</v>
      </c>
      <c r="I110" s="1257">
        <f t="shared" si="157"/>
        <v>3314.9639999999995</v>
      </c>
      <c r="J110" s="1263">
        <v>2484</v>
      </c>
      <c r="K110" s="1263">
        <v>1822.33</v>
      </c>
      <c r="L110" s="1256">
        <v>3314.9639999999995</v>
      </c>
      <c r="M110" s="946"/>
      <c r="N110" s="1259">
        <f t="shared" si="158"/>
        <v>3758.5679999999998</v>
      </c>
      <c r="O110" s="1260">
        <f t="shared" si="159"/>
        <v>3758.5679999999998</v>
      </c>
      <c r="P110" s="1264">
        <v>2719.98</v>
      </c>
      <c r="Q110" s="1264">
        <v>2084.56</v>
      </c>
      <c r="R110" s="891">
        <f t="shared" si="160"/>
        <v>3758.5679999999998</v>
      </c>
      <c r="S110" s="946"/>
      <c r="T110" s="1301">
        <f>8759.94+11926.79*0.4</f>
        <v>13530.656000000001</v>
      </c>
      <c r="U110" s="1302">
        <v>13016.704000000002</v>
      </c>
      <c r="V110" s="1303">
        <v>433.197</v>
      </c>
      <c r="W110" s="931"/>
      <c r="X110" s="931"/>
      <c r="Y110" s="931"/>
      <c r="Z110" s="1298">
        <f t="shared" si="113"/>
        <v>26980.557000000001</v>
      </c>
      <c r="AA110" s="1381">
        <f>4300.39+8702.1*0.4</f>
        <v>7781.2300000000005</v>
      </c>
      <c r="AB110" s="1380">
        <v>8150.3069999999998</v>
      </c>
      <c r="AC110" s="1391">
        <v>780.34699999999998</v>
      </c>
      <c r="AD110" s="931"/>
      <c r="AE110" s="931"/>
      <c r="AF110" s="931"/>
      <c r="AG110" s="951">
        <f t="shared" si="114"/>
        <v>16711.884000000002</v>
      </c>
      <c r="AH110" s="947">
        <f t="shared" si="141"/>
        <v>43692.441000000006</v>
      </c>
      <c r="AI110" s="890">
        <f t="shared" si="148"/>
        <v>21311.886000000002</v>
      </c>
      <c r="AJ110" s="890">
        <f t="shared" si="148"/>
        <v>21167.011000000002</v>
      </c>
      <c r="AK110" s="890">
        <f t="shared" si="148"/>
        <v>1213.5439999999999</v>
      </c>
      <c r="AL110" s="890">
        <f t="shared" si="148"/>
        <v>0</v>
      </c>
      <c r="AM110" s="890">
        <f t="shared" si="148"/>
        <v>0</v>
      </c>
      <c r="AN110" s="890"/>
      <c r="AO110" s="890">
        <f t="shared" si="152"/>
        <v>43692.441000000006</v>
      </c>
      <c r="AP110" s="890">
        <f t="shared" si="153"/>
        <v>43692.441000000006</v>
      </c>
      <c r="AQ110" s="952">
        <f t="shared" si="97"/>
        <v>43692.441000000006</v>
      </c>
      <c r="AR110" s="973">
        <f t="shared" si="132"/>
        <v>0</v>
      </c>
      <c r="AS110" s="889">
        <f t="shared" si="154"/>
        <v>70648134.862103999</v>
      </c>
      <c r="AT110" s="890">
        <f t="shared" si="154"/>
        <v>52578855.324000008</v>
      </c>
      <c r="AU110" s="890">
        <f t="shared" si="154"/>
        <v>2211477.6375199999</v>
      </c>
      <c r="AV110" s="890">
        <f t="shared" si="154"/>
        <v>0</v>
      </c>
      <c r="AW110" s="890">
        <f t="shared" si="154"/>
        <v>0</v>
      </c>
      <c r="AX110" s="890">
        <f t="shared" si="98"/>
        <v>125438467.823624</v>
      </c>
      <c r="AY110" s="890">
        <f t="shared" si="99"/>
        <v>125438467.823624</v>
      </c>
      <c r="AZ110" s="890">
        <f t="shared" si="156"/>
        <v>80102172.739248008</v>
      </c>
      <c r="BA110" s="890">
        <f t="shared" si="156"/>
        <v>57573846.579780005</v>
      </c>
      <c r="BB110" s="890">
        <f t="shared" si="155"/>
        <v>2529705.2806399995</v>
      </c>
      <c r="BC110" s="890">
        <f t="shared" si="155"/>
        <v>0</v>
      </c>
      <c r="BD110" s="890">
        <f t="shared" si="155"/>
        <v>0</v>
      </c>
      <c r="BE110" s="890">
        <f t="shared" si="100"/>
        <v>140205724.59966803</v>
      </c>
      <c r="BF110" s="952">
        <f t="shared" si="101"/>
        <v>140205724.59966803</v>
      </c>
      <c r="BG110" s="953">
        <f t="shared" si="161"/>
        <v>9552.5141612949938</v>
      </c>
      <c r="BH110" s="954">
        <f t="shared" si="162"/>
        <v>8142.5984727433306</v>
      </c>
      <c r="BI110" s="955">
        <f t="shared" si="163"/>
        <v>17695.112634038323</v>
      </c>
      <c r="BJ110" s="955"/>
      <c r="BK110" s="1197"/>
      <c r="BL110" s="890">
        <f t="shared" si="164"/>
        <v>44853637.536383994</v>
      </c>
      <c r="BM110" s="890">
        <f t="shared" si="164"/>
        <v>32333492.736000005</v>
      </c>
      <c r="BN110" s="890">
        <f t="shared" si="164"/>
        <v>789427.88900999993</v>
      </c>
      <c r="BO110" s="890">
        <f t="shared" si="164"/>
        <v>0</v>
      </c>
      <c r="BP110" s="890">
        <f t="shared" si="164"/>
        <v>0</v>
      </c>
      <c r="BQ110" s="890">
        <f t="shared" si="142"/>
        <v>77976558.161394</v>
      </c>
      <c r="BR110" s="890">
        <f t="shared" si="143"/>
        <v>77976558.161394</v>
      </c>
      <c r="BS110" s="890">
        <f t="shared" si="165"/>
        <v>29246282.078639999</v>
      </c>
      <c r="BT110" s="890">
        <f t="shared" si="165"/>
        <v>22168672.033859998</v>
      </c>
      <c r="BU110" s="890">
        <f t="shared" si="165"/>
        <v>1626680.1423199999</v>
      </c>
      <c r="BV110" s="890">
        <f t="shared" si="144"/>
        <v>0</v>
      </c>
      <c r="BW110" s="890">
        <f t="shared" si="115"/>
        <v>0</v>
      </c>
      <c r="BX110" s="890">
        <f t="shared" si="145"/>
        <v>53041634.254819997</v>
      </c>
      <c r="BY110" s="890">
        <f t="shared" si="146"/>
        <v>53041634.254819997</v>
      </c>
      <c r="BZ110" s="945">
        <f t="shared" si="111"/>
        <v>54502164.769859999</v>
      </c>
      <c r="CA110" s="945">
        <f t="shared" si="111"/>
        <v>2416108.0313299997</v>
      </c>
      <c r="CB110" s="945">
        <f t="shared" si="147"/>
        <v>56918272.801189996</v>
      </c>
      <c r="CC110" s="976">
        <f t="shared" si="112"/>
        <v>2574.8635350480045</v>
      </c>
      <c r="CD110" s="976">
        <f t="shared" si="112"/>
        <v>1990.9521462180192</v>
      </c>
      <c r="CE110" s="976">
        <f t="shared" si="133"/>
        <v>2543.202025204022</v>
      </c>
      <c r="CF110" s="976">
        <f t="shared" si="116"/>
        <v>2543.2020252040215</v>
      </c>
      <c r="CG110" s="977">
        <f t="shared" si="117"/>
        <v>78152407.962035999</v>
      </c>
      <c r="CH110" s="977">
        <f t="shared" si="134"/>
        <v>3491.9781016170509</v>
      </c>
      <c r="CI110" s="941"/>
      <c r="CJ110" s="1405">
        <f t="shared" si="106"/>
        <v>89439.575154947976</v>
      </c>
      <c r="CK110" s="1405">
        <f t="shared" si="102"/>
        <v>62812.752422112004</v>
      </c>
      <c r="CL110" s="1405">
        <f t="shared" si="107"/>
        <v>152252.32757705997</v>
      </c>
      <c r="CM110" s="890">
        <f t="shared" si="135"/>
        <v>164221.01058448802</v>
      </c>
      <c r="CN110" s="890">
        <f t="shared" si="136"/>
        <v>11968.683007428044</v>
      </c>
      <c r="CO110" s="890">
        <f t="shared" si="118"/>
        <v>152252327.57705998</v>
      </c>
      <c r="CP110" s="890">
        <f t="shared" si="119"/>
        <v>125438467.823624</v>
      </c>
      <c r="CQ110" s="890">
        <f t="shared" si="120"/>
        <v>126241433.482104</v>
      </c>
      <c r="CR110" s="890">
        <f t="shared" si="121"/>
        <v>77976558.161394</v>
      </c>
      <c r="CS110" s="890">
        <f t="shared" si="122"/>
        <v>140205724.59966803</v>
      </c>
      <c r="CT110" s="890">
        <f t="shared" si="123"/>
        <v>140976834.72814801</v>
      </c>
      <c r="CU110" s="890">
        <f t="shared" si="124"/>
        <v>53041634.254819997</v>
      </c>
      <c r="CV110" s="890">
        <f t="shared" si="137"/>
        <v>265644192.42329204</v>
      </c>
      <c r="CW110" s="978">
        <f t="shared" si="138"/>
        <v>6079.8661357302517</v>
      </c>
      <c r="CX110" s="890">
        <f t="shared" si="125"/>
        <v>54790332.961520009</v>
      </c>
      <c r="CY110" s="890">
        <f t="shared" si="126"/>
        <v>60103551.860420004</v>
      </c>
      <c r="CZ110" s="890"/>
      <c r="DA110" s="890">
        <f t="shared" si="127"/>
        <v>144838868.987124</v>
      </c>
      <c r="DB110" s="890">
        <f t="shared" si="128"/>
        <v>164221010.584488</v>
      </c>
      <c r="DC110" s="870"/>
      <c r="DD110" s="841">
        <f t="shared" si="139"/>
        <v>151.3111111111111</v>
      </c>
      <c r="DE110" s="870"/>
      <c r="DF110" s="870"/>
      <c r="DG110" s="870"/>
      <c r="DH110" s="1050"/>
      <c r="DI110" s="1050"/>
      <c r="DJ110" s="1050"/>
      <c r="DK110" s="941"/>
      <c r="DL110" s="975">
        <f t="shared" si="129"/>
        <v>0</v>
      </c>
      <c r="DM110" s="975">
        <f t="shared" si="130"/>
        <v>0</v>
      </c>
      <c r="DN110" s="975">
        <f t="shared" si="131"/>
        <v>0</v>
      </c>
      <c r="DO110" s="799"/>
      <c r="DP110" s="871"/>
      <c r="DQ110" s="871"/>
      <c r="DR110" s="871"/>
      <c r="DS110" s="871"/>
      <c r="DT110" s="871"/>
      <c r="DU110" s="871"/>
      <c r="DV110" s="871"/>
      <c r="DW110" s="871"/>
      <c r="DX110" s="871"/>
      <c r="DY110" s="871"/>
      <c r="DZ110" s="871"/>
      <c r="EA110" s="871"/>
      <c r="EB110" s="871"/>
      <c r="EC110" s="871"/>
      <c r="ED110" s="871"/>
      <c r="EE110" s="871"/>
      <c r="EF110" s="871"/>
      <c r="EG110" s="871"/>
      <c r="EH110" s="871"/>
      <c r="EI110" s="871"/>
      <c r="EJ110" s="871"/>
      <c r="EK110" s="871"/>
      <c r="EL110" s="871"/>
    </row>
    <row r="111" spans="1:142" s="869" customFormat="1" ht="76.5" customHeight="1">
      <c r="A111" s="6" t="e">
        <f t="shared" si="140"/>
        <v>#REF!</v>
      </c>
      <c r="B111" s="886" t="s">
        <v>42</v>
      </c>
      <c r="C111" s="1309" t="s">
        <v>124</v>
      </c>
      <c r="D111" s="1262" t="s">
        <v>141</v>
      </c>
      <c r="E111" s="887">
        <v>4632024035</v>
      </c>
      <c r="F111" s="886" t="s">
        <v>8</v>
      </c>
      <c r="G111" s="1238" t="s">
        <v>983</v>
      </c>
      <c r="H111" s="1256">
        <v>3314.9639999999995</v>
      </c>
      <c r="I111" s="1257">
        <f t="shared" si="157"/>
        <v>3314.9639999999995</v>
      </c>
      <c r="J111" s="891"/>
      <c r="K111" s="891"/>
      <c r="L111" s="1256">
        <v>3314.9639999999995</v>
      </c>
      <c r="M111" s="946"/>
      <c r="N111" s="1259">
        <f t="shared" si="158"/>
        <v>3758.5679999999998</v>
      </c>
      <c r="O111" s="1260">
        <f t="shared" si="159"/>
        <v>3758.5679999999998</v>
      </c>
      <c r="P111" s="891"/>
      <c r="Q111" s="891"/>
      <c r="R111" s="891">
        <f t="shared" si="160"/>
        <v>3758.5679999999998</v>
      </c>
      <c r="S111" s="946"/>
      <c r="T111" s="1307">
        <v>442.27800000000002</v>
      </c>
      <c r="U111" s="1366"/>
      <c r="V111" s="1366"/>
      <c r="W111" s="890"/>
      <c r="X111" s="890"/>
      <c r="Y111" s="890"/>
      <c r="Z111" s="949">
        <f>SUM(T111:W111)</f>
        <v>442.27800000000002</v>
      </c>
      <c r="AA111" s="1388">
        <v>256.82400000000001</v>
      </c>
      <c r="AB111" s="1387"/>
      <c r="AC111" s="1387"/>
      <c r="AD111" s="890"/>
      <c r="AE111" s="890"/>
      <c r="AF111" s="890"/>
      <c r="AG111" s="951">
        <f t="shared" si="114"/>
        <v>256.82400000000001</v>
      </c>
      <c r="AH111" s="947">
        <f t="shared" si="141"/>
        <v>699.10200000000009</v>
      </c>
      <c r="AI111" s="890">
        <f>T111+AA111</f>
        <v>699.10200000000009</v>
      </c>
      <c r="AJ111" s="890">
        <f t="shared" si="148"/>
        <v>0</v>
      </c>
      <c r="AK111" s="890">
        <f t="shared" si="148"/>
        <v>0</v>
      </c>
      <c r="AL111" s="890">
        <f t="shared" si="148"/>
        <v>0</v>
      </c>
      <c r="AM111" s="890">
        <f t="shared" si="148"/>
        <v>0</v>
      </c>
      <c r="AN111" s="890"/>
      <c r="AO111" s="890">
        <f t="shared" si="152"/>
        <v>699.10200000000009</v>
      </c>
      <c r="AP111" s="890">
        <f t="shared" si="153"/>
        <v>699.10200000000009</v>
      </c>
      <c r="AQ111" s="952">
        <f t="shared" si="97"/>
        <v>699.10200000000009</v>
      </c>
      <c r="AR111" s="973">
        <f t="shared" si="132"/>
        <v>0</v>
      </c>
      <c r="AS111" s="889">
        <f t="shared" si="154"/>
        <v>2317497.962328</v>
      </c>
      <c r="AT111" s="890">
        <f t="shared" si="154"/>
        <v>0</v>
      </c>
      <c r="AU111" s="890">
        <f t="shared" si="154"/>
        <v>0</v>
      </c>
      <c r="AV111" s="890">
        <f t="shared" si="154"/>
        <v>0</v>
      </c>
      <c r="AW111" s="890">
        <f t="shared" si="154"/>
        <v>0</v>
      </c>
      <c r="AX111" s="890">
        <f t="shared" si="98"/>
        <v>2317497.962328</v>
      </c>
      <c r="AY111" s="890">
        <f t="shared" si="99"/>
        <v>2317497.962328</v>
      </c>
      <c r="AZ111" s="890">
        <f t="shared" si="156"/>
        <v>2627622.4059359999</v>
      </c>
      <c r="BA111" s="890">
        <f t="shared" si="156"/>
        <v>0</v>
      </c>
      <c r="BB111" s="890">
        <f t="shared" si="155"/>
        <v>0</v>
      </c>
      <c r="BC111" s="890">
        <f t="shared" si="155"/>
        <v>0</v>
      </c>
      <c r="BD111" s="890">
        <f t="shared" si="155"/>
        <v>0</v>
      </c>
      <c r="BE111" s="890">
        <f t="shared" si="100"/>
        <v>2627622.4059359999</v>
      </c>
      <c r="BF111" s="952">
        <f t="shared" si="101"/>
        <v>2627622.4059359999</v>
      </c>
      <c r="BG111" s="953">
        <f t="shared" si="161"/>
        <v>0</v>
      </c>
      <c r="BH111" s="954">
        <f t="shared" si="162"/>
        <v>0</v>
      </c>
      <c r="BI111" s="955">
        <f t="shared" si="163"/>
        <v>0</v>
      </c>
      <c r="BJ111" s="890"/>
      <c r="BK111" s="1199"/>
      <c r="BL111" s="890">
        <f>I111*T111</f>
        <v>1466135.6479919998</v>
      </c>
      <c r="BM111" s="890">
        <f t="shared" si="164"/>
        <v>0</v>
      </c>
      <c r="BN111" s="890">
        <f t="shared" si="164"/>
        <v>0</v>
      </c>
      <c r="BO111" s="890">
        <f t="shared" si="164"/>
        <v>0</v>
      </c>
      <c r="BP111" s="890">
        <f t="shared" si="164"/>
        <v>0</v>
      </c>
      <c r="BQ111" s="890">
        <f t="shared" si="142"/>
        <v>1466135.6479919998</v>
      </c>
      <c r="BR111" s="890">
        <f t="shared" si="143"/>
        <v>1466135.6479919998</v>
      </c>
      <c r="BS111" s="890">
        <f t="shared" si="165"/>
        <v>965290.468032</v>
      </c>
      <c r="BT111" s="890">
        <f t="shared" si="165"/>
        <v>0</v>
      </c>
      <c r="BU111" s="890">
        <f t="shared" si="165"/>
        <v>0</v>
      </c>
      <c r="BV111" s="890">
        <f t="shared" si="144"/>
        <v>0</v>
      </c>
      <c r="BW111" s="890">
        <f t="shared" si="115"/>
        <v>0</v>
      </c>
      <c r="BX111" s="890">
        <f t="shared" si="145"/>
        <v>965290.468032</v>
      </c>
      <c r="BY111" s="890">
        <f t="shared" si="146"/>
        <v>965290.468032</v>
      </c>
      <c r="BZ111" s="945">
        <f t="shared" si="111"/>
        <v>0</v>
      </c>
      <c r="CA111" s="945">
        <f t="shared" si="111"/>
        <v>0</v>
      </c>
      <c r="CB111" s="945">
        <f t="shared" si="147"/>
        <v>0</v>
      </c>
      <c r="CC111" s="976" t="e">
        <f t="shared" si="112"/>
        <v>#DIV/0!</v>
      </c>
      <c r="CD111" s="976" t="e">
        <f t="shared" si="112"/>
        <v>#DIV/0!</v>
      </c>
      <c r="CE111" s="976" t="e">
        <f t="shared" si="133"/>
        <v>#DIV/0!</v>
      </c>
      <c r="CF111" s="945" t="e">
        <f t="shared" si="116"/>
        <v>#DIV/0!</v>
      </c>
      <c r="CG111" s="977">
        <f t="shared" si="117"/>
        <v>0</v>
      </c>
      <c r="CH111" s="977" t="e">
        <f t="shared" si="134"/>
        <v>#DIV/0!</v>
      </c>
      <c r="CI111" s="945"/>
      <c r="CJ111" s="1405">
        <f t="shared" si="106"/>
        <v>1466.1356479919998</v>
      </c>
      <c r="CK111" s="1405">
        <f t="shared" si="102"/>
        <v>965.29046803200004</v>
      </c>
      <c r="CL111" s="1405">
        <f t="shared" si="107"/>
        <v>2431.4261160239998</v>
      </c>
      <c r="CM111" s="890">
        <f t="shared" si="135"/>
        <v>2627.6224059359997</v>
      </c>
      <c r="CN111" s="890">
        <f t="shared" si="136"/>
        <v>196.19628991199988</v>
      </c>
      <c r="CO111" s="890">
        <f t="shared" si="118"/>
        <v>2431426.1160239996</v>
      </c>
      <c r="CP111" s="890">
        <f t="shared" si="119"/>
        <v>2317497.962328</v>
      </c>
      <c r="CQ111" s="890">
        <f t="shared" si="120"/>
        <v>2317497.962328</v>
      </c>
      <c r="CR111" s="890">
        <f>I111*T111+J111*U111+K111*V111+L111*W111</f>
        <v>1466135.6479919998</v>
      </c>
      <c r="CS111" s="890">
        <f t="shared" si="122"/>
        <v>2627622.4059359999</v>
      </c>
      <c r="CT111" s="890">
        <f t="shared" si="123"/>
        <v>2627622.4059359999</v>
      </c>
      <c r="CU111" s="890">
        <f t="shared" si="124"/>
        <v>965290.468032</v>
      </c>
      <c r="CV111" s="890">
        <f t="shared" si="137"/>
        <v>4945120.3682639999</v>
      </c>
      <c r="CW111" s="978">
        <f t="shared" si="138"/>
        <v>7073.5319999999992</v>
      </c>
      <c r="CX111" s="890">
        <f t="shared" si="125"/>
        <v>0</v>
      </c>
      <c r="CY111" s="890">
        <f t="shared" si="126"/>
        <v>0</v>
      </c>
      <c r="CZ111" s="890"/>
      <c r="DA111" s="890">
        <f t="shared" si="127"/>
        <v>2317497.962328</v>
      </c>
      <c r="DB111" s="890">
        <f t="shared" si="128"/>
        <v>2627622.4059359999</v>
      </c>
      <c r="DC111" s="840"/>
      <c r="DD111" s="841" t="e">
        <f t="shared" si="139"/>
        <v>#DIV/0!</v>
      </c>
      <c r="DE111" s="840"/>
      <c r="DF111" s="840"/>
      <c r="DG111" s="840"/>
      <c r="DH111" s="1050"/>
      <c r="DI111" s="1050"/>
      <c r="DJ111" s="1050"/>
      <c r="DK111" s="945"/>
      <c r="DL111" s="975">
        <f t="shared" si="129"/>
        <v>0</v>
      </c>
      <c r="DM111" s="975">
        <f t="shared" si="130"/>
        <v>0</v>
      </c>
      <c r="DN111" s="975">
        <f t="shared" si="131"/>
        <v>0</v>
      </c>
      <c r="DO111" s="816"/>
      <c r="DP111" s="871"/>
      <c r="DQ111" s="871"/>
      <c r="DR111" s="871"/>
      <c r="DS111" s="871"/>
      <c r="DT111" s="871"/>
      <c r="DU111" s="871"/>
      <c r="DV111" s="871"/>
      <c r="DW111" s="871"/>
      <c r="DX111" s="871"/>
      <c r="DY111" s="871"/>
      <c r="DZ111" s="871"/>
      <c r="EA111" s="871"/>
      <c r="EB111" s="871"/>
      <c r="EC111" s="871"/>
      <c r="ED111" s="871"/>
      <c r="EE111" s="871"/>
      <c r="EF111" s="871"/>
      <c r="EG111" s="871"/>
      <c r="EH111" s="871"/>
      <c r="EI111" s="871"/>
      <c r="EJ111" s="871"/>
      <c r="EK111" s="871"/>
      <c r="EL111" s="871"/>
    </row>
    <row r="112" spans="1:142" s="869" customFormat="1" ht="77.25" customHeight="1">
      <c r="A112" s="6" t="e">
        <f t="shared" si="140"/>
        <v>#REF!</v>
      </c>
      <c r="B112" s="886" t="s">
        <v>42</v>
      </c>
      <c r="C112" s="1309" t="s">
        <v>125</v>
      </c>
      <c r="D112" s="1262" t="s">
        <v>141</v>
      </c>
      <c r="E112" s="887">
        <v>4632024035</v>
      </c>
      <c r="F112" s="886" t="s">
        <v>8</v>
      </c>
      <c r="G112" s="1238" t="s">
        <v>983</v>
      </c>
      <c r="H112" s="1256">
        <v>3314.9639999999995</v>
      </c>
      <c r="I112" s="1257">
        <f t="shared" si="157"/>
        <v>3314.9639999999995</v>
      </c>
      <c r="J112" s="891"/>
      <c r="K112" s="891"/>
      <c r="L112" s="1256">
        <v>3314.9639999999995</v>
      </c>
      <c r="M112" s="946"/>
      <c r="N112" s="1259">
        <f t="shared" si="158"/>
        <v>3758.5679999999998</v>
      </c>
      <c r="O112" s="1260">
        <f t="shared" si="159"/>
        <v>3758.5679999999998</v>
      </c>
      <c r="P112" s="891"/>
      <c r="Q112" s="891"/>
      <c r="R112" s="891">
        <f t="shared" si="160"/>
        <v>3758.5679999999998</v>
      </c>
      <c r="S112" s="946"/>
      <c r="T112" s="1307">
        <v>134.24199999999999</v>
      </c>
      <c r="U112" s="1366"/>
      <c r="V112" s="1366"/>
      <c r="W112" s="890"/>
      <c r="X112" s="890"/>
      <c r="Y112" s="890"/>
      <c r="Z112" s="949">
        <f t="shared" si="113"/>
        <v>134.24199999999999</v>
      </c>
      <c r="AA112" s="1308">
        <v>77.951999999999998</v>
      </c>
      <c r="AB112" s="1366"/>
      <c r="AC112" s="1366"/>
      <c r="AD112" s="890"/>
      <c r="AE112" s="890"/>
      <c r="AF112" s="890"/>
      <c r="AG112" s="951">
        <f t="shared" si="114"/>
        <v>77.951999999999998</v>
      </c>
      <c r="AH112" s="947">
        <f t="shared" si="141"/>
        <v>212.19399999999999</v>
      </c>
      <c r="AI112" s="890">
        <f t="shared" si="148"/>
        <v>212.19399999999999</v>
      </c>
      <c r="AJ112" s="890">
        <f t="shared" si="148"/>
        <v>0</v>
      </c>
      <c r="AK112" s="890">
        <f t="shared" si="148"/>
        <v>0</v>
      </c>
      <c r="AL112" s="890">
        <f t="shared" si="148"/>
        <v>0</v>
      </c>
      <c r="AM112" s="890">
        <f t="shared" si="148"/>
        <v>0</v>
      </c>
      <c r="AN112" s="890"/>
      <c r="AO112" s="890">
        <f t="shared" si="152"/>
        <v>212.19399999999999</v>
      </c>
      <c r="AP112" s="890">
        <f t="shared" si="153"/>
        <v>212.19399999999999</v>
      </c>
      <c r="AQ112" s="952">
        <f t="shared" si="97"/>
        <v>212.19399999999999</v>
      </c>
      <c r="AR112" s="973">
        <f t="shared" si="132"/>
        <v>0</v>
      </c>
      <c r="AS112" s="889">
        <f t="shared" si="154"/>
        <v>703415.47101599991</v>
      </c>
      <c r="AT112" s="890">
        <f t="shared" si="154"/>
        <v>0</v>
      </c>
      <c r="AU112" s="890">
        <f t="shared" si="154"/>
        <v>0</v>
      </c>
      <c r="AV112" s="890">
        <f t="shared" si="154"/>
        <v>0</v>
      </c>
      <c r="AW112" s="890">
        <f t="shared" si="154"/>
        <v>0</v>
      </c>
      <c r="AX112" s="890">
        <f t="shared" si="98"/>
        <v>703415.47101599991</v>
      </c>
      <c r="AY112" s="890">
        <f t="shared" si="99"/>
        <v>703415.47101599991</v>
      </c>
      <c r="AZ112" s="890">
        <f t="shared" si="156"/>
        <v>797545.57819199993</v>
      </c>
      <c r="BA112" s="890">
        <f t="shared" si="156"/>
        <v>0</v>
      </c>
      <c r="BB112" s="890">
        <f t="shared" si="155"/>
        <v>0</v>
      </c>
      <c r="BC112" s="890">
        <f t="shared" si="155"/>
        <v>0</v>
      </c>
      <c r="BD112" s="890">
        <f t="shared" si="155"/>
        <v>0</v>
      </c>
      <c r="BE112" s="890">
        <f t="shared" si="100"/>
        <v>797545.57819199993</v>
      </c>
      <c r="BF112" s="952">
        <f t="shared" si="101"/>
        <v>797545.57819199993</v>
      </c>
      <c r="BG112" s="953">
        <f t="shared" si="161"/>
        <v>0</v>
      </c>
      <c r="BH112" s="954">
        <f t="shared" si="162"/>
        <v>0</v>
      </c>
      <c r="BI112" s="955">
        <f t="shared" si="163"/>
        <v>0</v>
      </c>
      <c r="BJ112" s="890"/>
      <c r="BK112" s="1199"/>
      <c r="BL112" s="890">
        <f t="shared" si="164"/>
        <v>445007.39728799992</v>
      </c>
      <c r="BM112" s="890">
        <f t="shared" si="164"/>
        <v>0</v>
      </c>
      <c r="BN112" s="890">
        <f t="shared" si="164"/>
        <v>0</v>
      </c>
      <c r="BO112" s="890">
        <f t="shared" si="164"/>
        <v>0</v>
      </c>
      <c r="BP112" s="890">
        <f t="shared" si="164"/>
        <v>0</v>
      </c>
      <c r="BQ112" s="890">
        <f t="shared" si="142"/>
        <v>445007.39728799992</v>
      </c>
      <c r="BR112" s="890">
        <f t="shared" si="143"/>
        <v>445007.39728799992</v>
      </c>
      <c r="BS112" s="890">
        <f t="shared" si="165"/>
        <v>292987.89273599995</v>
      </c>
      <c r="BT112" s="890">
        <f t="shared" si="165"/>
        <v>0</v>
      </c>
      <c r="BU112" s="890">
        <f t="shared" si="165"/>
        <v>0</v>
      </c>
      <c r="BV112" s="890">
        <f t="shared" si="144"/>
        <v>0</v>
      </c>
      <c r="BW112" s="890">
        <f t="shared" si="115"/>
        <v>0</v>
      </c>
      <c r="BX112" s="890">
        <f t="shared" si="145"/>
        <v>292987.89273599995</v>
      </c>
      <c r="BY112" s="890">
        <f t="shared" si="146"/>
        <v>292987.89273599995</v>
      </c>
      <c r="BZ112" s="945">
        <f t="shared" si="111"/>
        <v>0</v>
      </c>
      <c r="CA112" s="945">
        <f t="shared" si="111"/>
        <v>0</v>
      </c>
      <c r="CB112" s="945">
        <f t="shared" si="147"/>
        <v>0</v>
      </c>
      <c r="CC112" s="976" t="e">
        <f t="shared" si="112"/>
        <v>#DIV/0!</v>
      </c>
      <c r="CD112" s="976" t="e">
        <f t="shared" si="112"/>
        <v>#DIV/0!</v>
      </c>
      <c r="CE112" s="976" t="e">
        <f t="shared" si="133"/>
        <v>#DIV/0!</v>
      </c>
      <c r="CF112" s="945" t="e">
        <f t="shared" si="116"/>
        <v>#DIV/0!</v>
      </c>
      <c r="CG112" s="977">
        <f t="shared" si="117"/>
        <v>0</v>
      </c>
      <c r="CH112" s="977" t="e">
        <f t="shared" si="134"/>
        <v>#DIV/0!</v>
      </c>
      <c r="CI112" s="945"/>
      <c r="CJ112" s="1405">
        <f t="shared" si="106"/>
        <v>445.00739728799994</v>
      </c>
      <c r="CK112" s="1405">
        <f t="shared" si="102"/>
        <v>292.98789273599994</v>
      </c>
      <c r="CL112" s="1405">
        <f t="shared" si="107"/>
        <v>737.99529002399981</v>
      </c>
      <c r="CM112" s="890">
        <f t="shared" si="135"/>
        <v>797.54557819199988</v>
      </c>
      <c r="CN112" s="890">
        <f t="shared" si="136"/>
        <v>59.550288168000066</v>
      </c>
      <c r="CO112" s="890">
        <f t="shared" si="118"/>
        <v>737995.29002399987</v>
      </c>
      <c r="CP112" s="890">
        <f t="shared" si="119"/>
        <v>703415.47101599991</v>
      </c>
      <c r="CQ112" s="890">
        <f t="shared" si="120"/>
        <v>703415.47101599991</v>
      </c>
      <c r="CR112" s="890">
        <f t="shared" si="121"/>
        <v>445007.39728799992</v>
      </c>
      <c r="CS112" s="890">
        <f t="shared" si="122"/>
        <v>797545.57819199993</v>
      </c>
      <c r="CT112" s="890">
        <f t="shared" si="123"/>
        <v>797545.57819199993</v>
      </c>
      <c r="CU112" s="890">
        <f t="shared" si="124"/>
        <v>292987.89273599995</v>
      </c>
      <c r="CV112" s="890">
        <f t="shared" si="137"/>
        <v>1500961.0492079998</v>
      </c>
      <c r="CW112" s="978">
        <f t="shared" si="138"/>
        <v>7073.5319999999992</v>
      </c>
      <c r="CX112" s="890">
        <f t="shared" si="125"/>
        <v>0</v>
      </c>
      <c r="CY112" s="890">
        <f t="shared" si="126"/>
        <v>0</v>
      </c>
      <c r="CZ112" s="890"/>
      <c r="DA112" s="890">
        <f t="shared" si="127"/>
        <v>703415.47101599991</v>
      </c>
      <c r="DB112" s="890">
        <f t="shared" si="128"/>
        <v>797545.57819199993</v>
      </c>
      <c r="DC112" s="840"/>
      <c r="DD112" s="841" t="e">
        <f t="shared" si="139"/>
        <v>#DIV/0!</v>
      </c>
      <c r="DE112" s="840"/>
      <c r="DF112" s="840"/>
      <c r="DG112" s="840"/>
      <c r="DH112" s="1050"/>
      <c r="DI112" s="1050"/>
      <c r="DJ112" s="1050"/>
      <c r="DK112" s="945"/>
      <c r="DL112" s="975">
        <f t="shared" si="129"/>
        <v>0</v>
      </c>
      <c r="DM112" s="975">
        <f t="shared" si="130"/>
        <v>0</v>
      </c>
      <c r="DN112" s="975">
        <f t="shared" si="131"/>
        <v>0</v>
      </c>
      <c r="DO112" s="816"/>
      <c r="DP112" s="871"/>
      <c r="DQ112" s="871"/>
      <c r="DR112" s="871"/>
      <c r="DS112" s="871"/>
      <c r="DT112" s="871"/>
      <c r="DU112" s="871"/>
      <c r="DV112" s="871"/>
      <c r="DW112" s="871"/>
      <c r="DX112" s="871"/>
      <c r="DY112" s="871"/>
      <c r="DZ112" s="871"/>
      <c r="EA112" s="871"/>
      <c r="EB112" s="871"/>
      <c r="EC112" s="871"/>
      <c r="ED112" s="871"/>
      <c r="EE112" s="871"/>
      <c r="EF112" s="871"/>
      <c r="EG112" s="871"/>
      <c r="EH112" s="871"/>
      <c r="EI112" s="871"/>
      <c r="EJ112" s="871"/>
      <c r="EK112" s="871"/>
      <c r="EL112" s="871"/>
    </row>
    <row r="113" spans="1:142" s="869" customFormat="1" ht="67.5" customHeight="1">
      <c r="A113" s="6" t="e">
        <f t="shared" si="140"/>
        <v>#REF!</v>
      </c>
      <c r="B113" s="886" t="s">
        <v>42</v>
      </c>
      <c r="C113" s="1309" t="s">
        <v>126</v>
      </c>
      <c r="D113" s="1262" t="s">
        <v>141</v>
      </c>
      <c r="E113" s="887">
        <v>4632024035</v>
      </c>
      <c r="F113" s="886" t="s">
        <v>8</v>
      </c>
      <c r="G113" s="1238" t="s">
        <v>983</v>
      </c>
      <c r="H113" s="1256">
        <v>3314.9639999999995</v>
      </c>
      <c r="I113" s="1257">
        <f t="shared" si="157"/>
        <v>3314.9639999999995</v>
      </c>
      <c r="J113" s="891"/>
      <c r="K113" s="891"/>
      <c r="L113" s="1256">
        <v>3314.9639999999995</v>
      </c>
      <c r="M113" s="946"/>
      <c r="N113" s="1259">
        <f t="shared" si="158"/>
        <v>3758.5679999999998</v>
      </c>
      <c r="O113" s="1260">
        <f t="shared" si="159"/>
        <v>3758.5679999999998</v>
      </c>
      <c r="P113" s="891"/>
      <c r="Q113" s="891"/>
      <c r="R113" s="891">
        <f t="shared" si="160"/>
        <v>3758.5679999999998</v>
      </c>
      <c r="S113" s="946"/>
      <c r="T113" s="1307">
        <v>170</v>
      </c>
      <c r="U113" s="1366"/>
      <c r="V113" s="1366"/>
      <c r="W113" s="890"/>
      <c r="X113" s="890"/>
      <c r="Y113" s="890"/>
      <c r="Z113" s="949">
        <f t="shared" si="113"/>
        <v>170</v>
      </c>
      <c r="AA113" s="1308">
        <v>121</v>
      </c>
      <c r="AB113" s="1366"/>
      <c r="AC113" s="1366"/>
      <c r="AD113" s="890"/>
      <c r="AE113" s="890"/>
      <c r="AF113" s="890"/>
      <c r="AG113" s="951">
        <f t="shared" si="114"/>
        <v>121</v>
      </c>
      <c r="AH113" s="947">
        <f t="shared" si="141"/>
        <v>291</v>
      </c>
      <c r="AI113" s="890">
        <f t="shared" si="148"/>
        <v>291</v>
      </c>
      <c r="AJ113" s="890">
        <f t="shared" si="148"/>
        <v>0</v>
      </c>
      <c r="AK113" s="890">
        <f>V113+AC113</f>
        <v>0</v>
      </c>
      <c r="AL113" s="890">
        <f t="shared" si="148"/>
        <v>0</v>
      </c>
      <c r="AM113" s="890">
        <f t="shared" si="148"/>
        <v>0</v>
      </c>
      <c r="AN113" s="890"/>
      <c r="AO113" s="890">
        <f t="shared" si="152"/>
        <v>291</v>
      </c>
      <c r="AP113" s="890">
        <f t="shared" si="153"/>
        <v>291</v>
      </c>
      <c r="AQ113" s="952">
        <f t="shared" si="97"/>
        <v>291</v>
      </c>
      <c r="AR113" s="973">
        <f t="shared" si="132"/>
        <v>0</v>
      </c>
      <c r="AS113" s="889">
        <f t="shared" si="154"/>
        <v>964654.52399999986</v>
      </c>
      <c r="AT113" s="890">
        <f t="shared" si="154"/>
        <v>0</v>
      </c>
      <c r="AU113" s="890">
        <f t="shared" si="154"/>
        <v>0</v>
      </c>
      <c r="AV113" s="890">
        <f t="shared" si="154"/>
        <v>0</v>
      </c>
      <c r="AW113" s="890">
        <f t="shared" si="154"/>
        <v>0</v>
      </c>
      <c r="AX113" s="890">
        <f t="shared" si="98"/>
        <v>964654.52399999986</v>
      </c>
      <c r="AY113" s="890">
        <f t="shared" si="99"/>
        <v>964654.52399999986</v>
      </c>
      <c r="AZ113" s="890">
        <f t="shared" si="156"/>
        <v>1093743.2879999999</v>
      </c>
      <c r="BA113" s="890">
        <f t="shared" si="156"/>
        <v>0</v>
      </c>
      <c r="BB113" s="890">
        <f t="shared" si="155"/>
        <v>0</v>
      </c>
      <c r="BC113" s="890">
        <f t="shared" si="155"/>
        <v>0</v>
      </c>
      <c r="BD113" s="890">
        <f t="shared" si="155"/>
        <v>0</v>
      </c>
      <c r="BE113" s="890">
        <f t="shared" si="100"/>
        <v>1093743.2879999999</v>
      </c>
      <c r="BF113" s="952">
        <f t="shared" si="101"/>
        <v>1093743.2879999999</v>
      </c>
      <c r="BG113" s="953">
        <f t="shared" si="161"/>
        <v>0</v>
      </c>
      <c r="BH113" s="954">
        <f t="shared" si="162"/>
        <v>0</v>
      </c>
      <c r="BI113" s="955">
        <f t="shared" si="163"/>
        <v>0</v>
      </c>
      <c r="BJ113" s="890"/>
      <c r="BK113" s="1199"/>
      <c r="BL113" s="890">
        <f t="shared" si="164"/>
        <v>563543.87999999989</v>
      </c>
      <c r="BM113" s="890">
        <f t="shared" si="164"/>
        <v>0</v>
      </c>
      <c r="BN113" s="890">
        <f t="shared" si="164"/>
        <v>0</v>
      </c>
      <c r="BO113" s="890">
        <f t="shared" si="164"/>
        <v>0</v>
      </c>
      <c r="BP113" s="890">
        <f t="shared" si="164"/>
        <v>0</v>
      </c>
      <c r="BQ113" s="890">
        <f t="shared" si="142"/>
        <v>563543.87999999989</v>
      </c>
      <c r="BR113" s="890">
        <f t="shared" si="143"/>
        <v>563543.87999999989</v>
      </c>
      <c r="BS113" s="890">
        <f t="shared" si="165"/>
        <v>454786.72799999994</v>
      </c>
      <c r="BT113" s="890">
        <f t="shared" si="165"/>
        <v>0</v>
      </c>
      <c r="BU113" s="890">
        <f t="shared" si="165"/>
        <v>0</v>
      </c>
      <c r="BV113" s="890">
        <f t="shared" si="144"/>
        <v>0</v>
      </c>
      <c r="BW113" s="890">
        <f t="shared" si="115"/>
        <v>0</v>
      </c>
      <c r="BX113" s="890">
        <f t="shared" si="145"/>
        <v>454786.72799999994</v>
      </c>
      <c r="BY113" s="890">
        <f t="shared" si="146"/>
        <v>454786.72799999994</v>
      </c>
      <c r="BZ113" s="945">
        <f t="shared" si="111"/>
        <v>0</v>
      </c>
      <c r="CA113" s="945">
        <f t="shared" si="111"/>
        <v>0</v>
      </c>
      <c r="CB113" s="945">
        <f t="shared" si="147"/>
        <v>0</v>
      </c>
      <c r="CC113" s="976" t="e">
        <f t="shared" si="112"/>
        <v>#DIV/0!</v>
      </c>
      <c r="CD113" s="976" t="e">
        <f t="shared" si="112"/>
        <v>#DIV/0!</v>
      </c>
      <c r="CE113" s="976" t="e">
        <f t="shared" si="133"/>
        <v>#DIV/0!</v>
      </c>
      <c r="CF113" s="945" t="e">
        <f t="shared" si="116"/>
        <v>#DIV/0!</v>
      </c>
      <c r="CG113" s="977">
        <f t="shared" si="117"/>
        <v>0</v>
      </c>
      <c r="CH113" s="977" t="e">
        <f t="shared" si="134"/>
        <v>#DIV/0!</v>
      </c>
      <c r="CI113" s="945"/>
      <c r="CJ113" s="1405">
        <f t="shared" si="106"/>
        <v>563.54387999999994</v>
      </c>
      <c r="CK113" s="1405">
        <f t="shared" si="102"/>
        <v>454.78672799999993</v>
      </c>
      <c r="CL113" s="1405">
        <f t="shared" si="107"/>
        <v>1018.3306079999999</v>
      </c>
      <c r="CM113" s="890">
        <f t="shared" si="135"/>
        <v>1093.7432879999999</v>
      </c>
      <c r="CN113" s="890">
        <f t="shared" si="136"/>
        <v>75.412680000000023</v>
      </c>
      <c r="CO113" s="890">
        <f t="shared" si="118"/>
        <v>1018330.6079999998</v>
      </c>
      <c r="CP113" s="890">
        <f t="shared" si="119"/>
        <v>964654.52399999986</v>
      </c>
      <c r="CQ113" s="890">
        <f t="shared" si="120"/>
        <v>964654.52399999986</v>
      </c>
      <c r="CR113" s="890">
        <f t="shared" si="121"/>
        <v>563543.87999999989</v>
      </c>
      <c r="CS113" s="890">
        <f t="shared" si="122"/>
        <v>1093743.2879999999</v>
      </c>
      <c r="CT113" s="890">
        <f t="shared" si="123"/>
        <v>1093743.2879999999</v>
      </c>
      <c r="CU113" s="890">
        <f t="shared" si="124"/>
        <v>454786.72799999994</v>
      </c>
      <c r="CV113" s="890">
        <f t="shared" si="137"/>
        <v>2058397.8119999999</v>
      </c>
      <c r="CW113" s="978">
        <f t="shared" si="138"/>
        <v>7073.5320000000002</v>
      </c>
      <c r="CX113" s="890">
        <f t="shared" si="125"/>
        <v>0</v>
      </c>
      <c r="CY113" s="890">
        <f t="shared" si="126"/>
        <v>0</v>
      </c>
      <c r="CZ113" s="890"/>
      <c r="DA113" s="890">
        <f t="shared" si="127"/>
        <v>964654.52399999986</v>
      </c>
      <c r="DB113" s="890">
        <f t="shared" si="128"/>
        <v>1093743.2879999999</v>
      </c>
      <c r="DC113" s="840"/>
      <c r="DD113" s="841" t="e">
        <f t="shared" si="139"/>
        <v>#DIV/0!</v>
      </c>
      <c r="DE113" s="840"/>
      <c r="DF113" s="840"/>
      <c r="DG113" s="840"/>
      <c r="DH113" s="1050"/>
      <c r="DI113" s="1050"/>
      <c r="DJ113" s="1050"/>
      <c r="DK113" s="945"/>
      <c r="DL113" s="975">
        <f t="shared" si="129"/>
        <v>0</v>
      </c>
      <c r="DM113" s="975">
        <f t="shared" si="130"/>
        <v>0</v>
      </c>
      <c r="DN113" s="975">
        <f t="shared" si="131"/>
        <v>0</v>
      </c>
      <c r="DO113" s="816"/>
      <c r="DP113" s="871"/>
      <c r="DQ113" s="871"/>
      <c r="DR113" s="871"/>
      <c r="DS113" s="871"/>
      <c r="DT113" s="871"/>
      <c r="DU113" s="871"/>
      <c r="DV113" s="871"/>
      <c r="DW113" s="871"/>
      <c r="DX113" s="871"/>
      <c r="DY113" s="871"/>
      <c r="DZ113" s="871"/>
      <c r="EA113" s="871"/>
      <c r="EB113" s="871"/>
      <c r="EC113" s="871"/>
      <c r="ED113" s="871"/>
      <c r="EE113" s="871"/>
      <c r="EF113" s="871"/>
      <c r="EG113" s="871"/>
      <c r="EH113" s="871"/>
      <c r="EI113" s="871"/>
      <c r="EJ113" s="871"/>
      <c r="EK113" s="871"/>
      <c r="EL113" s="871"/>
    </row>
    <row r="114" spans="1:142" s="869" customFormat="1" ht="77.25" customHeight="1">
      <c r="A114" s="6" t="e">
        <f t="shared" si="140"/>
        <v>#REF!</v>
      </c>
      <c r="B114" s="886" t="s">
        <v>42</v>
      </c>
      <c r="C114" s="1309" t="s">
        <v>127</v>
      </c>
      <c r="D114" s="1262" t="s">
        <v>142</v>
      </c>
      <c r="E114" s="887">
        <v>4632024035</v>
      </c>
      <c r="F114" s="886" t="s">
        <v>8</v>
      </c>
      <c r="G114" s="1238" t="s">
        <v>983</v>
      </c>
      <c r="H114" s="1256">
        <v>3314.9639999999995</v>
      </c>
      <c r="I114" s="1257">
        <f t="shared" si="157"/>
        <v>3314.9639999999995</v>
      </c>
      <c r="J114" s="891"/>
      <c r="K114" s="891"/>
      <c r="L114" s="1256">
        <v>3314.9639999999995</v>
      </c>
      <c r="M114" s="946"/>
      <c r="N114" s="1259">
        <f t="shared" si="158"/>
        <v>3758.5679999999998</v>
      </c>
      <c r="O114" s="1260">
        <f t="shared" si="159"/>
        <v>3758.5679999999998</v>
      </c>
      <c r="P114" s="891"/>
      <c r="Q114" s="891"/>
      <c r="R114" s="891">
        <f t="shared" si="160"/>
        <v>3758.5679999999998</v>
      </c>
      <c r="S114" s="946"/>
      <c r="T114" s="1307">
        <v>226.53200000000001</v>
      </c>
      <c r="U114" s="1366"/>
      <c r="V114" s="1366"/>
      <c r="W114" s="890"/>
      <c r="X114" s="890"/>
      <c r="Y114" s="890"/>
      <c r="Z114" s="949">
        <f t="shared" si="113"/>
        <v>226.53200000000001</v>
      </c>
      <c r="AA114" s="1308">
        <v>131.54400000000001</v>
      </c>
      <c r="AB114" s="1366"/>
      <c r="AC114" s="1366"/>
      <c r="AD114" s="890"/>
      <c r="AE114" s="890"/>
      <c r="AF114" s="890"/>
      <c r="AG114" s="951">
        <f t="shared" si="114"/>
        <v>131.54400000000001</v>
      </c>
      <c r="AH114" s="947">
        <f t="shared" si="141"/>
        <v>358.07600000000002</v>
      </c>
      <c r="AI114" s="890">
        <f t="shared" si="148"/>
        <v>358.07600000000002</v>
      </c>
      <c r="AJ114" s="890">
        <f t="shared" si="148"/>
        <v>0</v>
      </c>
      <c r="AK114" s="890">
        <f t="shared" si="148"/>
        <v>0</v>
      </c>
      <c r="AL114" s="890">
        <f t="shared" si="148"/>
        <v>0</v>
      </c>
      <c r="AM114" s="890">
        <f t="shared" si="148"/>
        <v>0</v>
      </c>
      <c r="AN114" s="890"/>
      <c r="AO114" s="890">
        <f t="shared" si="152"/>
        <v>358.07600000000002</v>
      </c>
      <c r="AP114" s="890">
        <f t="shared" si="153"/>
        <v>358.07600000000002</v>
      </c>
      <c r="AQ114" s="952">
        <f t="shared" si="97"/>
        <v>358.07600000000002</v>
      </c>
      <c r="AR114" s="973">
        <f t="shared" si="132"/>
        <v>0</v>
      </c>
      <c r="AS114" s="889">
        <f t="shared" si="154"/>
        <v>1187009.0492639998</v>
      </c>
      <c r="AT114" s="890">
        <f t="shared" si="154"/>
        <v>0</v>
      </c>
      <c r="AU114" s="890">
        <f t="shared" si="154"/>
        <v>0</v>
      </c>
      <c r="AV114" s="890">
        <f t="shared" si="154"/>
        <v>0</v>
      </c>
      <c r="AW114" s="890">
        <f t="shared" si="154"/>
        <v>0</v>
      </c>
      <c r="AX114" s="890">
        <f t="shared" si="98"/>
        <v>1187009.0492639998</v>
      </c>
      <c r="AY114" s="890">
        <f t="shared" si="99"/>
        <v>1187009.0492639998</v>
      </c>
      <c r="AZ114" s="890">
        <f t="shared" si="156"/>
        <v>1345852.995168</v>
      </c>
      <c r="BA114" s="890">
        <f t="shared" si="156"/>
        <v>0</v>
      </c>
      <c r="BB114" s="890">
        <f t="shared" si="155"/>
        <v>0</v>
      </c>
      <c r="BC114" s="890">
        <f t="shared" si="155"/>
        <v>0</v>
      </c>
      <c r="BD114" s="890">
        <f t="shared" si="155"/>
        <v>0</v>
      </c>
      <c r="BE114" s="890">
        <f t="shared" si="100"/>
        <v>1345852.995168</v>
      </c>
      <c r="BF114" s="952">
        <f t="shared" si="101"/>
        <v>1345852.995168</v>
      </c>
      <c r="BG114" s="953">
        <f t="shared" si="161"/>
        <v>0</v>
      </c>
      <c r="BH114" s="954">
        <f t="shared" si="162"/>
        <v>0</v>
      </c>
      <c r="BI114" s="955">
        <f t="shared" si="163"/>
        <v>0</v>
      </c>
      <c r="BJ114" s="890"/>
      <c r="BK114" s="1199"/>
      <c r="BL114" s="890">
        <f t="shared" si="164"/>
        <v>750945.42484799994</v>
      </c>
      <c r="BM114" s="890">
        <f t="shared" si="164"/>
        <v>0</v>
      </c>
      <c r="BN114" s="890">
        <f t="shared" si="164"/>
        <v>0</v>
      </c>
      <c r="BO114" s="890">
        <f t="shared" si="164"/>
        <v>0</v>
      </c>
      <c r="BP114" s="890">
        <f t="shared" si="164"/>
        <v>0</v>
      </c>
      <c r="BQ114" s="890">
        <f t="shared" si="142"/>
        <v>750945.42484799994</v>
      </c>
      <c r="BR114" s="890">
        <f t="shared" si="143"/>
        <v>750945.42484799994</v>
      </c>
      <c r="BS114" s="890">
        <f t="shared" si="165"/>
        <v>494417.06899200001</v>
      </c>
      <c r="BT114" s="890">
        <f t="shared" si="165"/>
        <v>0</v>
      </c>
      <c r="BU114" s="890">
        <f t="shared" si="165"/>
        <v>0</v>
      </c>
      <c r="BV114" s="890">
        <f t="shared" si="144"/>
        <v>0</v>
      </c>
      <c r="BW114" s="890">
        <f t="shared" si="115"/>
        <v>0</v>
      </c>
      <c r="BX114" s="890">
        <f t="shared" si="145"/>
        <v>494417.06899200001</v>
      </c>
      <c r="BY114" s="890">
        <f t="shared" si="146"/>
        <v>494417.06899200001</v>
      </c>
      <c r="BZ114" s="945">
        <f t="shared" si="111"/>
        <v>0</v>
      </c>
      <c r="CA114" s="945">
        <f t="shared" si="111"/>
        <v>0</v>
      </c>
      <c r="CB114" s="945">
        <f t="shared" si="147"/>
        <v>0</v>
      </c>
      <c r="CC114" s="976" t="e">
        <f t="shared" si="112"/>
        <v>#DIV/0!</v>
      </c>
      <c r="CD114" s="976" t="e">
        <f t="shared" si="112"/>
        <v>#DIV/0!</v>
      </c>
      <c r="CE114" s="976" t="e">
        <f t="shared" si="133"/>
        <v>#DIV/0!</v>
      </c>
      <c r="CF114" s="945" t="e">
        <f t="shared" si="116"/>
        <v>#DIV/0!</v>
      </c>
      <c r="CG114" s="977">
        <f t="shared" si="117"/>
        <v>0</v>
      </c>
      <c r="CH114" s="977" t="e">
        <f t="shared" si="134"/>
        <v>#DIV/0!</v>
      </c>
      <c r="CI114" s="945"/>
      <c r="CJ114" s="1405">
        <f t="shared" si="106"/>
        <v>750.9454248479999</v>
      </c>
      <c r="CK114" s="1405">
        <f t="shared" si="102"/>
        <v>494.417068992</v>
      </c>
      <c r="CL114" s="1405">
        <f t="shared" si="107"/>
        <v>1245.3624938399998</v>
      </c>
      <c r="CM114" s="890">
        <f t="shared" si="135"/>
        <v>1345.852995168</v>
      </c>
      <c r="CN114" s="890">
        <f t="shared" si="136"/>
        <v>100.49050132800016</v>
      </c>
      <c r="CO114" s="890">
        <f t="shared" si="118"/>
        <v>1245362.4938399999</v>
      </c>
      <c r="CP114" s="890">
        <f t="shared" si="119"/>
        <v>1187009.0492639998</v>
      </c>
      <c r="CQ114" s="890">
        <f t="shared" si="120"/>
        <v>1187009.0492639998</v>
      </c>
      <c r="CR114" s="890">
        <f t="shared" si="121"/>
        <v>750945.42484799994</v>
      </c>
      <c r="CS114" s="890">
        <f t="shared" si="122"/>
        <v>1345852.995168</v>
      </c>
      <c r="CT114" s="890">
        <f t="shared" si="123"/>
        <v>1345852.995168</v>
      </c>
      <c r="CU114" s="890">
        <f t="shared" si="124"/>
        <v>494417.06899200001</v>
      </c>
      <c r="CV114" s="890">
        <f t="shared" si="137"/>
        <v>2532862.0444319998</v>
      </c>
      <c r="CW114" s="978">
        <f t="shared" si="138"/>
        <v>7073.5319999999992</v>
      </c>
      <c r="CX114" s="890">
        <f t="shared" si="125"/>
        <v>0</v>
      </c>
      <c r="CY114" s="890">
        <f t="shared" si="126"/>
        <v>0</v>
      </c>
      <c r="CZ114" s="890"/>
      <c r="DA114" s="890">
        <f t="shared" si="127"/>
        <v>1187009.0492639998</v>
      </c>
      <c r="DB114" s="890">
        <f t="shared" si="128"/>
        <v>1345852.995168</v>
      </c>
      <c r="DC114" s="840"/>
      <c r="DD114" s="841" t="e">
        <f t="shared" si="139"/>
        <v>#DIV/0!</v>
      </c>
      <c r="DE114" s="840"/>
      <c r="DF114" s="840"/>
      <c r="DG114" s="840"/>
      <c r="DH114" s="1050"/>
      <c r="DI114" s="1050"/>
      <c r="DJ114" s="1050"/>
      <c r="DK114" s="945"/>
      <c r="DL114" s="975">
        <f t="shared" si="129"/>
        <v>0</v>
      </c>
      <c r="DM114" s="975">
        <f t="shared" si="130"/>
        <v>0</v>
      </c>
      <c r="DN114" s="975">
        <f t="shared" si="131"/>
        <v>0</v>
      </c>
      <c r="DO114" s="816"/>
      <c r="DP114" s="871"/>
      <c r="DQ114" s="871"/>
      <c r="DR114" s="871"/>
      <c r="DS114" s="871"/>
      <c r="DT114" s="871"/>
      <c r="DU114" s="871"/>
      <c r="DV114" s="871"/>
      <c r="DW114" s="871"/>
      <c r="DX114" s="871"/>
      <c r="DY114" s="871"/>
      <c r="DZ114" s="871"/>
      <c r="EA114" s="871"/>
      <c r="EB114" s="871"/>
      <c r="EC114" s="871"/>
      <c r="ED114" s="871"/>
      <c r="EE114" s="871"/>
      <c r="EF114" s="871"/>
      <c r="EG114" s="871"/>
      <c r="EH114" s="871"/>
      <c r="EI114" s="871"/>
      <c r="EJ114" s="871"/>
      <c r="EK114" s="871"/>
      <c r="EL114" s="871"/>
    </row>
    <row r="115" spans="1:142" s="869" customFormat="1" ht="71.25" customHeight="1">
      <c r="A115" s="6" t="e">
        <f t="shared" si="140"/>
        <v>#REF!</v>
      </c>
      <c r="B115" s="886" t="s">
        <v>42</v>
      </c>
      <c r="C115" s="1309" t="s">
        <v>128</v>
      </c>
      <c r="D115" s="1262" t="s">
        <v>141</v>
      </c>
      <c r="E115" s="887">
        <v>4632024035</v>
      </c>
      <c r="F115" s="886" t="s">
        <v>8</v>
      </c>
      <c r="G115" s="1238" t="s">
        <v>983</v>
      </c>
      <c r="H115" s="1256">
        <v>3314.9639999999995</v>
      </c>
      <c r="I115" s="1257">
        <f t="shared" si="157"/>
        <v>3314.9639999999995</v>
      </c>
      <c r="J115" s="891"/>
      <c r="K115" s="891"/>
      <c r="L115" s="1256">
        <v>3314.9639999999995</v>
      </c>
      <c r="M115" s="946"/>
      <c r="N115" s="1259">
        <f t="shared" si="158"/>
        <v>3758.5679999999998</v>
      </c>
      <c r="O115" s="1260">
        <f t="shared" si="159"/>
        <v>3758.5679999999998</v>
      </c>
      <c r="P115" s="891"/>
      <c r="Q115" s="891"/>
      <c r="R115" s="891">
        <f t="shared" si="160"/>
        <v>3758.5679999999998</v>
      </c>
      <c r="S115" s="946"/>
      <c r="T115" s="1307">
        <v>67.12</v>
      </c>
      <c r="U115" s="1292"/>
      <c r="V115" s="1292"/>
      <c r="W115" s="948"/>
      <c r="X115" s="948"/>
      <c r="Y115" s="948"/>
      <c r="Z115" s="949">
        <f t="shared" si="113"/>
        <v>67.12</v>
      </c>
      <c r="AA115" s="1308">
        <v>38.975999999999999</v>
      </c>
      <c r="AB115" s="1366"/>
      <c r="AC115" s="1366"/>
      <c r="AD115" s="890"/>
      <c r="AE115" s="890"/>
      <c r="AF115" s="890"/>
      <c r="AG115" s="951">
        <f t="shared" si="114"/>
        <v>38.975999999999999</v>
      </c>
      <c r="AH115" s="947">
        <f t="shared" si="141"/>
        <v>106.096</v>
      </c>
      <c r="AI115" s="890">
        <f t="shared" si="148"/>
        <v>106.096</v>
      </c>
      <c r="AJ115" s="890">
        <f t="shared" si="148"/>
        <v>0</v>
      </c>
      <c r="AK115" s="890">
        <f t="shared" si="148"/>
        <v>0</v>
      </c>
      <c r="AL115" s="890">
        <f t="shared" si="148"/>
        <v>0</v>
      </c>
      <c r="AM115" s="890">
        <f t="shared" si="148"/>
        <v>0</v>
      </c>
      <c r="AN115" s="890"/>
      <c r="AO115" s="890">
        <f t="shared" si="152"/>
        <v>106.096</v>
      </c>
      <c r="AP115" s="890">
        <f t="shared" si="153"/>
        <v>106.096</v>
      </c>
      <c r="AQ115" s="952">
        <f t="shared" si="97"/>
        <v>106.096</v>
      </c>
      <c r="AR115" s="973">
        <f t="shared" si="132"/>
        <v>0</v>
      </c>
      <c r="AS115" s="889">
        <f t="shared" si="154"/>
        <v>351704.42054399994</v>
      </c>
      <c r="AT115" s="890">
        <f t="shared" si="154"/>
        <v>0</v>
      </c>
      <c r="AU115" s="890">
        <f t="shared" si="154"/>
        <v>0</v>
      </c>
      <c r="AV115" s="890">
        <f t="shared" si="154"/>
        <v>0</v>
      </c>
      <c r="AW115" s="890">
        <f t="shared" si="154"/>
        <v>0</v>
      </c>
      <c r="AX115" s="890">
        <f t="shared" si="98"/>
        <v>351704.42054399994</v>
      </c>
      <c r="AY115" s="890">
        <f t="shared" si="99"/>
        <v>351704.42054399994</v>
      </c>
      <c r="AZ115" s="890">
        <f t="shared" si="156"/>
        <v>398769.03052799997</v>
      </c>
      <c r="BA115" s="890">
        <f t="shared" si="156"/>
        <v>0</v>
      </c>
      <c r="BB115" s="890">
        <f t="shared" si="155"/>
        <v>0</v>
      </c>
      <c r="BC115" s="890">
        <f t="shared" si="155"/>
        <v>0</v>
      </c>
      <c r="BD115" s="890">
        <f t="shared" si="155"/>
        <v>0</v>
      </c>
      <c r="BE115" s="890">
        <f t="shared" si="100"/>
        <v>398769.03052799997</v>
      </c>
      <c r="BF115" s="952">
        <f t="shared" si="101"/>
        <v>398769.03052799997</v>
      </c>
      <c r="BG115" s="953">
        <f t="shared" si="161"/>
        <v>0</v>
      </c>
      <c r="BH115" s="954">
        <f t="shared" si="162"/>
        <v>0</v>
      </c>
      <c r="BI115" s="955">
        <f t="shared" si="163"/>
        <v>0</v>
      </c>
      <c r="BJ115" s="890"/>
      <c r="BK115" s="1199"/>
      <c r="BL115" s="890">
        <f t="shared" si="164"/>
        <v>222500.38367999997</v>
      </c>
      <c r="BM115" s="890">
        <f t="shared" si="164"/>
        <v>0</v>
      </c>
      <c r="BN115" s="890">
        <f t="shared" si="164"/>
        <v>0</v>
      </c>
      <c r="BO115" s="890">
        <f t="shared" si="164"/>
        <v>0</v>
      </c>
      <c r="BP115" s="890">
        <f t="shared" si="164"/>
        <v>0</v>
      </c>
      <c r="BQ115" s="890">
        <f t="shared" si="142"/>
        <v>222500.38367999997</v>
      </c>
      <c r="BR115" s="890">
        <f t="shared" si="143"/>
        <v>222500.38367999997</v>
      </c>
      <c r="BS115" s="890">
        <f t="shared" si="165"/>
        <v>146493.94636799998</v>
      </c>
      <c r="BT115" s="890">
        <f t="shared" si="165"/>
        <v>0</v>
      </c>
      <c r="BU115" s="890">
        <f t="shared" si="165"/>
        <v>0</v>
      </c>
      <c r="BV115" s="890">
        <f t="shared" si="144"/>
        <v>0</v>
      </c>
      <c r="BW115" s="890">
        <f t="shared" si="115"/>
        <v>0</v>
      </c>
      <c r="BX115" s="890">
        <f t="shared" si="145"/>
        <v>146493.94636799998</v>
      </c>
      <c r="BY115" s="890">
        <f t="shared" si="146"/>
        <v>146493.94636799998</v>
      </c>
      <c r="BZ115" s="945">
        <f t="shared" si="111"/>
        <v>0</v>
      </c>
      <c r="CA115" s="945">
        <f t="shared" si="111"/>
        <v>0</v>
      </c>
      <c r="CB115" s="945">
        <f t="shared" si="147"/>
        <v>0</v>
      </c>
      <c r="CC115" s="976" t="e">
        <f t="shared" si="112"/>
        <v>#DIV/0!</v>
      </c>
      <c r="CD115" s="976" t="e">
        <f t="shared" si="112"/>
        <v>#DIV/0!</v>
      </c>
      <c r="CE115" s="976" t="e">
        <f t="shared" si="133"/>
        <v>#DIV/0!</v>
      </c>
      <c r="CF115" s="945" t="e">
        <f t="shared" si="116"/>
        <v>#DIV/0!</v>
      </c>
      <c r="CG115" s="977">
        <f t="shared" si="117"/>
        <v>0</v>
      </c>
      <c r="CH115" s="977" t="e">
        <f t="shared" si="134"/>
        <v>#DIV/0!</v>
      </c>
      <c r="CI115" s="945"/>
      <c r="CJ115" s="1405">
        <f t="shared" si="106"/>
        <v>222.50038367999997</v>
      </c>
      <c r="CK115" s="1405">
        <f t="shared" si="102"/>
        <v>146.49394636799997</v>
      </c>
      <c r="CL115" s="1405">
        <f t="shared" si="107"/>
        <v>368.99433004799994</v>
      </c>
      <c r="CM115" s="890">
        <f t="shared" si="135"/>
        <v>398.76903052799997</v>
      </c>
      <c r="CN115" s="890">
        <f t="shared" si="136"/>
        <v>29.774700480000035</v>
      </c>
      <c r="CO115" s="890">
        <f t="shared" si="118"/>
        <v>368994.33004799997</v>
      </c>
      <c r="CP115" s="890">
        <f t="shared" si="119"/>
        <v>351704.42054399994</v>
      </c>
      <c r="CQ115" s="890">
        <f t="shared" si="120"/>
        <v>351704.42054399994</v>
      </c>
      <c r="CR115" s="890">
        <f t="shared" si="121"/>
        <v>222500.38367999997</v>
      </c>
      <c r="CS115" s="890">
        <f t="shared" si="122"/>
        <v>398769.03052799997</v>
      </c>
      <c r="CT115" s="890">
        <f t="shared" si="123"/>
        <v>398769.03052799997</v>
      </c>
      <c r="CU115" s="890">
        <f t="shared" si="124"/>
        <v>146493.94636799998</v>
      </c>
      <c r="CV115" s="890">
        <f t="shared" si="137"/>
        <v>750473.45107199997</v>
      </c>
      <c r="CW115" s="978">
        <f t="shared" si="138"/>
        <v>7073.5319999999992</v>
      </c>
      <c r="CX115" s="890">
        <f t="shared" si="125"/>
        <v>0</v>
      </c>
      <c r="CY115" s="890">
        <f t="shared" si="126"/>
        <v>0</v>
      </c>
      <c r="CZ115" s="890"/>
      <c r="DA115" s="890">
        <f t="shared" si="127"/>
        <v>351704.42054399994</v>
      </c>
      <c r="DB115" s="890">
        <f t="shared" si="128"/>
        <v>398769.03052799997</v>
      </c>
      <c r="DC115" s="840"/>
      <c r="DD115" s="841" t="e">
        <f t="shared" si="139"/>
        <v>#DIV/0!</v>
      </c>
      <c r="DE115" s="840"/>
      <c r="DF115" s="840"/>
      <c r="DG115" s="840"/>
      <c r="DH115" s="1050"/>
      <c r="DI115" s="1050"/>
      <c r="DJ115" s="1050"/>
      <c r="DK115" s="945"/>
      <c r="DL115" s="975">
        <f t="shared" si="129"/>
        <v>0</v>
      </c>
      <c r="DM115" s="975">
        <f t="shared" si="130"/>
        <v>0</v>
      </c>
      <c r="DN115" s="975">
        <f t="shared" si="131"/>
        <v>0</v>
      </c>
      <c r="DO115" s="816"/>
      <c r="DP115" s="871"/>
      <c r="DQ115" s="871"/>
      <c r="DR115" s="871"/>
      <c r="DS115" s="871"/>
      <c r="DT115" s="871"/>
      <c r="DU115" s="871"/>
      <c r="DV115" s="871"/>
      <c r="DW115" s="871"/>
      <c r="DX115" s="871"/>
      <c r="DY115" s="871"/>
      <c r="DZ115" s="871"/>
      <c r="EA115" s="871"/>
      <c r="EB115" s="871"/>
      <c r="EC115" s="871"/>
      <c r="ED115" s="871"/>
      <c r="EE115" s="871"/>
      <c r="EF115" s="871"/>
      <c r="EG115" s="871"/>
      <c r="EH115" s="871"/>
      <c r="EI115" s="871"/>
      <c r="EJ115" s="871"/>
      <c r="EK115" s="871"/>
      <c r="EL115" s="871"/>
    </row>
    <row r="116" spans="1:142" s="869" customFormat="1" ht="75.75" customHeight="1">
      <c r="A116" s="6" t="e">
        <f t="shared" si="140"/>
        <v>#REF!</v>
      </c>
      <c r="B116" s="886" t="s">
        <v>42</v>
      </c>
      <c r="C116" s="1309" t="s">
        <v>129</v>
      </c>
      <c r="D116" s="1262" t="s">
        <v>141</v>
      </c>
      <c r="E116" s="887">
        <v>4632024035</v>
      </c>
      <c r="F116" s="886" t="s">
        <v>8</v>
      </c>
      <c r="G116" s="1238" t="s">
        <v>983</v>
      </c>
      <c r="H116" s="1256">
        <v>3314.9639999999995</v>
      </c>
      <c r="I116" s="1257">
        <f t="shared" si="157"/>
        <v>3314.9639999999995</v>
      </c>
      <c r="J116" s="891"/>
      <c r="K116" s="891"/>
      <c r="L116" s="1256">
        <v>3314.9639999999995</v>
      </c>
      <c r="M116" s="946"/>
      <c r="N116" s="1259">
        <f t="shared" si="158"/>
        <v>3758.5679999999998</v>
      </c>
      <c r="O116" s="1260">
        <f t="shared" si="159"/>
        <v>3758.5679999999998</v>
      </c>
      <c r="P116" s="891"/>
      <c r="Q116" s="891"/>
      <c r="R116" s="891">
        <f t="shared" si="160"/>
        <v>3758.5679999999998</v>
      </c>
      <c r="S116" s="946"/>
      <c r="T116" s="1307">
        <v>117.99499999999999</v>
      </c>
      <c r="U116" s="1292"/>
      <c r="V116" s="1292"/>
      <c r="W116" s="948"/>
      <c r="X116" s="948"/>
      <c r="Y116" s="948"/>
      <c r="Z116" s="949">
        <f t="shared" si="113"/>
        <v>117.99499999999999</v>
      </c>
      <c r="AA116" s="1308">
        <v>70.992000000000004</v>
      </c>
      <c r="AB116" s="1366"/>
      <c r="AC116" s="1366"/>
      <c r="AD116" s="890"/>
      <c r="AE116" s="890"/>
      <c r="AF116" s="890"/>
      <c r="AG116" s="951">
        <f t="shared" si="114"/>
        <v>70.992000000000004</v>
      </c>
      <c r="AH116" s="947">
        <f t="shared" si="141"/>
        <v>188.98699999999999</v>
      </c>
      <c r="AI116" s="890">
        <f t="shared" si="148"/>
        <v>188.98699999999999</v>
      </c>
      <c r="AJ116" s="890">
        <f t="shared" si="148"/>
        <v>0</v>
      </c>
      <c r="AK116" s="890">
        <f t="shared" si="148"/>
        <v>0</v>
      </c>
      <c r="AL116" s="890">
        <f t="shared" si="148"/>
        <v>0</v>
      </c>
      <c r="AM116" s="890">
        <f t="shared" si="148"/>
        <v>0</v>
      </c>
      <c r="AN116" s="890"/>
      <c r="AO116" s="890">
        <f t="shared" si="152"/>
        <v>188.98699999999999</v>
      </c>
      <c r="AP116" s="890">
        <f t="shared" si="153"/>
        <v>188.98699999999999</v>
      </c>
      <c r="AQ116" s="952">
        <f t="shared" si="97"/>
        <v>188.98699999999999</v>
      </c>
      <c r="AR116" s="973">
        <f t="shared" si="132"/>
        <v>0</v>
      </c>
      <c r="AS116" s="889">
        <f t="shared" si="154"/>
        <v>626485.10146799986</v>
      </c>
      <c r="AT116" s="890">
        <f t="shared" si="154"/>
        <v>0</v>
      </c>
      <c r="AU116" s="890">
        <f t="shared" si="154"/>
        <v>0</v>
      </c>
      <c r="AV116" s="890">
        <f t="shared" si="154"/>
        <v>0</v>
      </c>
      <c r="AW116" s="890">
        <f t="shared" si="154"/>
        <v>0</v>
      </c>
      <c r="AX116" s="890">
        <f t="shared" si="98"/>
        <v>626485.10146799986</v>
      </c>
      <c r="AY116" s="890">
        <f t="shared" si="99"/>
        <v>626485.10146799986</v>
      </c>
      <c r="AZ116" s="890">
        <f t="shared" si="156"/>
        <v>710320.49061599991</v>
      </c>
      <c r="BA116" s="890">
        <f t="shared" si="156"/>
        <v>0</v>
      </c>
      <c r="BB116" s="890">
        <f t="shared" si="155"/>
        <v>0</v>
      </c>
      <c r="BC116" s="890">
        <f t="shared" si="155"/>
        <v>0</v>
      </c>
      <c r="BD116" s="890">
        <f t="shared" si="155"/>
        <v>0</v>
      </c>
      <c r="BE116" s="890">
        <f t="shared" si="100"/>
        <v>710320.49061599991</v>
      </c>
      <c r="BF116" s="952">
        <f t="shared" si="101"/>
        <v>710320.49061599991</v>
      </c>
      <c r="BG116" s="953">
        <f t="shared" si="161"/>
        <v>0</v>
      </c>
      <c r="BH116" s="954">
        <f t="shared" si="162"/>
        <v>0</v>
      </c>
      <c r="BI116" s="955">
        <f t="shared" si="163"/>
        <v>0</v>
      </c>
      <c r="BJ116" s="890"/>
      <c r="BK116" s="1199"/>
      <c r="BL116" s="890">
        <f t="shared" si="164"/>
        <v>391149.17717999988</v>
      </c>
      <c r="BM116" s="890">
        <f t="shared" si="164"/>
        <v>0</v>
      </c>
      <c r="BN116" s="890">
        <f t="shared" si="164"/>
        <v>0</v>
      </c>
      <c r="BO116" s="890">
        <f t="shared" si="164"/>
        <v>0</v>
      </c>
      <c r="BP116" s="890">
        <f t="shared" si="164"/>
        <v>0</v>
      </c>
      <c r="BQ116" s="890">
        <f t="shared" si="142"/>
        <v>391149.17717999988</v>
      </c>
      <c r="BR116" s="890">
        <f t="shared" si="143"/>
        <v>391149.17717999988</v>
      </c>
      <c r="BS116" s="890">
        <f t="shared" si="165"/>
        <v>266828.259456</v>
      </c>
      <c r="BT116" s="890">
        <f t="shared" si="165"/>
        <v>0</v>
      </c>
      <c r="BU116" s="890">
        <f t="shared" si="165"/>
        <v>0</v>
      </c>
      <c r="BV116" s="890">
        <f t="shared" si="144"/>
        <v>0</v>
      </c>
      <c r="BW116" s="890">
        <f t="shared" si="115"/>
        <v>0</v>
      </c>
      <c r="BX116" s="890">
        <f t="shared" si="145"/>
        <v>266828.259456</v>
      </c>
      <c r="BY116" s="890">
        <f t="shared" si="146"/>
        <v>266828.259456</v>
      </c>
      <c r="BZ116" s="945">
        <f t="shared" si="111"/>
        <v>0</v>
      </c>
      <c r="CA116" s="945">
        <f t="shared" si="111"/>
        <v>0</v>
      </c>
      <c r="CB116" s="945">
        <f t="shared" si="147"/>
        <v>0</v>
      </c>
      <c r="CC116" s="976" t="e">
        <f t="shared" si="112"/>
        <v>#DIV/0!</v>
      </c>
      <c r="CD116" s="976" t="e">
        <f t="shared" si="112"/>
        <v>#DIV/0!</v>
      </c>
      <c r="CE116" s="976" t="e">
        <f t="shared" si="133"/>
        <v>#DIV/0!</v>
      </c>
      <c r="CF116" s="945" t="e">
        <f t="shared" si="116"/>
        <v>#DIV/0!</v>
      </c>
      <c r="CG116" s="977">
        <f t="shared" si="117"/>
        <v>0</v>
      </c>
      <c r="CH116" s="977" t="e">
        <f t="shared" si="134"/>
        <v>#DIV/0!</v>
      </c>
      <c r="CI116" s="945"/>
      <c r="CJ116" s="1405">
        <f t="shared" si="106"/>
        <v>391.14917717999987</v>
      </c>
      <c r="CK116" s="1405">
        <f t="shared" si="102"/>
        <v>266.82825945600001</v>
      </c>
      <c r="CL116" s="1405">
        <f t="shared" si="107"/>
        <v>657.97743663599988</v>
      </c>
      <c r="CM116" s="890">
        <f t="shared" si="135"/>
        <v>710.32049061599992</v>
      </c>
      <c r="CN116" s="890">
        <f t="shared" si="136"/>
        <v>52.343053980000036</v>
      </c>
      <c r="CO116" s="890">
        <f t="shared" si="118"/>
        <v>657977.43663599994</v>
      </c>
      <c r="CP116" s="890">
        <f t="shared" si="119"/>
        <v>626485.10146799986</v>
      </c>
      <c r="CQ116" s="890">
        <f t="shared" si="120"/>
        <v>626485.10146799986</v>
      </c>
      <c r="CR116" s="890">
        <f t="shared" si="121"/>
        <v>391149.17717999988</v>
      </c>
      <c r="CS116" s="890">
        <f t="shared" si="122"/>
        <v>710320.49061599991</v>
      </c>
      <c r="CT116" s="890">
        <f t="shared" si="123"/>
        <v>710320.49061599991</v>
      </c>
      <c r="CU116" s="890">
        <f t="shared" si="124"/>
        <v>266828.259456</v>
      </c>
      <c r="CV116" s="890">
        <f t="shared" si="137"/>
        <v>1336805.5920839999</v>
      </c>
      <c r="CW116" s="978">
        <f t="shared" si="138"/>
        <v>7073.5319999999992</v>
      </c>
      <c r="CX116" s="890">
        <f t="shared" si="125"/>
        <v>0</v>
      </c>
      <c r="CY116" s="890">
        <f t="shared" si="126"/>
        <v>0</v>
      </c>
      <c r="CZ116" s="890"/>
      <c r="DA116" s="890">
        <f t="shared" si="127"/>
        <v>626485.10146799986</v>
      </c>
      <c r="DB116" s="890">
        <f t="shared" si="128"/>
        <v>710320.49061599991</v>
      </c>
      <c r="DC116" s="840"/>
      <c r="DD116" s="841" t="e">
        <f t="shared" si="139"/>
        <v>#DIV/0!</v>
      </c>
      <c r="DE116" s="840"/>
      <c r="DF116" s="840"/>
      <c r="DG116" s="840"/>
      <c r="DH116" s="1050"/>
      <c r="DI116" s="1050"/>
      <c r="DJ116" s="1050"/>
      <c r="DK116" s="945"/>
      <c r="DL116" s="975">
        <f t="shared" si="129"/>
        <v>0</v>
      </c>
      <c r="DM116" s="975">
        <f t="shared" si="130"/>
        <v>0</v>
      </c>
      <c r="DN116" s="975">
        <f t="shared" si="131"/>
        <v>0</v>
      </c>
      <c r="DO116" s="816"/>
      <c r="DP116" s="871"/>
      <c r="DQ116" s="871"/>
      <c r="DR116" s="871"/>
      <c r="DS116" s="871"/>
      <c r="DT116" s="871"/>
      <c r="DU116" s="871"/>
      <c r="DV116" s="871"/>
      <c r="DW116" s="871"/>
      <c r="DX116" s="871"/>
      <c r="DY116" s="871"/>
      <c r="DZ116" s="871"/>
      <c r="EA116" s="871"/>
      <c r="EB116" s="871"/>
      <c r="EC116" s="871"/>
      <c r="ED116" s="871"/>
      <c r="EE116" s="871"/>
      <c r="EF116" s="871"/>
      <c r="EG116" s="871"/>
      <c r="EH116" s="871"/>
      <c r="EI116" s="871"/>
      <c r="EJ116" s="871"/>
      <c r="EK116" s="871"/>
      <c r="EL116" s="871"/>
    </row>
    <row r="117" spans="1:142" s="869" customFormat="1" ht="72.75" customHeight="1">
      <c r="A117" s="6" t="e">
        <f t="shared" si="140"/>
        <v>#REF!</v>
      </c>
      <c r="B117" s="886" t="s">
        <v>42</v>
      </c>
      <c r="C117" s="1309" t="s">
        <v>130</v>
      </c>
      <c r="D117" s="1262" t="s">
        <v>141</v>
      </c>
      <c r="E117" s="887">
        <v>4632024035</v>
      </c>
      <c r="F117" s="886" t="s">
        <v>8</v>
      </c>
      <c r="G117" s="1238" t="s">
        <v>983</v>
      </c>
      <c r="H117" s="1256">
        <v>3314.9639999999995</v>
      </c>
      <c r="I117" s="1257">
        <f t="shared" si="157"/>
        <v>3314.9639999999995</v>
      </c>
      <c r="J117" s="891"/>
      <c r="K117" s="891"/>
      <c r="L117" s="1256">
        <v>3314.9639999999995</v>
      </c>
      <c r="M117" s="946"/>
      <c r="N117" s="1259">
        <f t="shared" si="158"/>
        <v>3758.5679999999998</v>
      </c>
      <c r="O117" s="1260">
        <f t="shared" si="159"/>
        <v>3758.5679999999998</v>
      </c>
      <c r="P117" s="891"/>
      <c r="Q117" s="891"/>
      <c r="R117" s="891">
        <f t="shared" si="160"/>
        <v>3758.5679999999998</v>
      </c>
      <c r="S117" s="946"/>
      <c r="T117" s="1307">
        <v>152.22</v>
      </c>
      <c r="U117" s="1292"/>
      <c r="V117" s="1292"/>
      <c r="W117" s="948"/>
      <c r="X117" s="948"/>
      <c r="Y117" s="948"/>
      <c r="Z117" s="949">
        <f t="shared" si="113"/>
        <v>152.22</v>
      </c>
      <c r="AA117" s="1308">
        <v>88.391999999999996</v>
      </c>
      <c r="AB117" s="1366"/>
      <c r="AC117" s="1366"/>
      <c r="AD117" s="890"/>
      <c r="AE117" s="890"/>
      <c r="AF117" s="890"/>
      <c r="AG117" s="951">
        <f t="shared" si="114"/>
        <v>88.391999999999996</v>
      </c>
      <c r="AH117" s="947">
        <f t="shared" si="141"/>
        <v>240.61199999999999</v>
      </c>
      <c r="AI117" s="890">
        <f t="shared" si="148"/>
        <v>240.61199999999999</v>
      </c>
      <c r="AJ117" s="890">
        <f t="shared" si="148"/>
        <v>0</v>
      </c>
      <c r="AK117" s="890">
        <f t="shared" si="148"/>
        <v>0</v>
      </c>
      <c r="AL117" s="890">
        <f t="shared" si="148"/>
        <v>0</v>
      </c>
      <c r="AM117" s="890">
        <f t="shared" si="148"/>
        <v>0</v>
      </c>
      <c r="AN117" s="890"/>
      <c r="AO117" s="890">
        <f t="shared" si="152"/>
        <v>240.61199999999999</v>
      </c>
      <c r="AP117" s="890">
        <f t="shared" si="153"/>
        <v>240.61199999999999</v>
      </c>
      <c r="AQ117" s="952">
        <f t="shared" si="97"/>
        <v>240.61199999999999</v>
      </c>
      <c r="AR117" s="973">
        <f t="shared" si="132"/>
        <v>0</v>
      </c>
      <c r="AS117" s="889">
        <f t="shared" si="154"/>
        <v>797620.11796799989</v>
      </c>
      <c r="AT117" s="890">
        <f t="shared" si="154"/>
        <v>0</v>
      </c>
      <c r="AU117" s="890">
        <f t="shared" si="154"/>
        <v>0</v>
      </c>
      <c r="AV117" s="890">
        <f t="shared" si="154"/>
        <v>0</v>
      </c>
      <c r="AW117" s="890">
        <f t="shared" si="154"/>
        <v>0</v>
      </c>
      <c r="AX117" s="890">
        <f t="shared" si="98"/>
        <v>797620.11796799989</v>
      </c>
      <c r="AY117" s="890">
        <f t="shared" si="99"/>
        <v>797620.11796799989</v>
      </c>
      <c r="AZ117" s="890">
        <f t="shared" si="156"/>
        <v>904356.56361599988</v>
      </c>
      <c r="BA117" s="890">
        <f t="shared" si="156"/>
        <v>0</v>
      </c>
      <c r="BB117" s="890">
        <f t="shared" si="155"/>
        <v>0</v>
      </c>
      <c r="BC117" s="890">
        <f t="shared" si="155"/>
        <v>0</v>
      </c>
      <c r="BD117" s="890">
        <f t="shared" si="155"/>
        <v>0</v>
      </c>
      <c r="BE117" s="890">
        <f t="shared" si="100"/>
        <v>904356.56361599988</v>
      </c>
      <c r="BF117" s="952">
        <f t="shared" si="101"/>
        <v>904356.56361599988</v>
      </c>
      <c r="BG117" s="953">
        <f t="shared" si="161"/>
        <v>0</v>
      </c>
      <c r="BH117" s="954">
        <f t="shared" si="162"/>
        <v>0</v>
      </c>
      <c r="BI117" s="955">
        <f t="shared" si="163"/>
        <v>0</v>
      </c>
      <c r="BJ117" s="890"/>
      <c r="BK117" s="1199"/>
      <c r="BL117" s="890">
        <f t="shared" si="164"/>
        <v>504603.82007999992</v>
      </c>
      <c r="BM117" s="890">
        <f t="shared" si="164"/>
        <v>0</v>
      </c>
      <c r="BN117" s="890">
        <f t="shared" si="164"/>
        <v>0</v>
      </c>
      <c r="BO117" s="890">
        <f t="shared" si="164"/>
        <v>0</v>
      </c>
      <c r="BP117" s="890">
        <f t="shared" si="164"/>
        <v>0</v>
      </c>
      <c r="BQ117" s="890">
        <f t="shared" si="142"/>
        <v>504603.82007999992</v>
      </c>
      <c r="BR117" s="890">
        <f t="shared" si="143"/>
        <v>504603.82007999992</v>
      </c>
      <c r="BS117" s="890">
        <f t="shared" si="165"/>
        <v>332227.34265599994</v>
      </c>
      <c r="BT117" s="890">
        <f t="shared" si="165"/>
        <v>0</v>
      </c>
      <c r="BU117" s="890">
        <f t="shared" si="165"/>
        <v>0</v>
      </c>
      <c r="BV117" s="890">
        <f t="shared" si="144"/>
        <v>0</v>
      </c>
      <c r="BW117" s="890">
        <f t="shared" si="115"/>
        <v>0</v>
      </c>
      <c r="BX117" s="890">
        <f t="shared" si="145"/>
        <v>332227.34265599994</v>
      </c>
      <c r="BY117" s="890">
        <f t="shared" si="146"/>
        <v>332227.34265599994</v>
      </c>
      <c r="BZ117" s="945">
        <f t="shared" si="111"/>
        <v>0</v>
      </c>
      <c r="CA117" s="945">
        <f t="shared" si="111"/>
        <v>0</v>
      </c>
      <c r="CB117" s="945">
        <f t="shared" si="147"/>
        <v>0</v>
      </c>
      <c r="CC117" s="976" t="e">
        <f t="shared" si="112"/>
        <v>#DIV/0!</v>
      </c>
      <c r="CD117" s="976" t="e">
        <f t="shared" si="112"/>
        <v>#DIV/0!</v>
      </c>
      <c r="CE117" s="976" t="e">
        <f t="shared" si="133"/>
        <v>#DIV/0!</v>
      </c>
      <c r="CF117" s="945" t="e">
        <f t="shared" si="116"/>
        <v>#DIV/0!</v>
      </c>
      <c r="CG117" s="977">
        <f t="shared" si="117"/>
        <v>0</v>
      </c>
      <c r="CH117" s="977" t="e">
        <f t="shared" si="134"/>
        <v>#DIV/0!</v>
      </c>
      <c r="CI117" s="945"/>
      <c r="CJ117" s="1405">
        <f t="shared" si="106"/>
        <v>504.60382007999993</v>
      </c>
      <c r="CK117" s="1405">
        <f t="shared" si="102"/>
        <v>332.22734265599996</v>
      </c>
      <c r="CL117" s="1405">
        <f t="shared" si="107"/>
        <v>836.8311627359999</v>
      </c>
      <c r="CM117" s="890">
        <f t="shared" si="135"/>
        <v>904.3565636159999</v>
      </c>
      <c r="CN117" s="890">
        <f t="shared" si="136"/>
        <v>67.525400880000007</v>
      </c>
      <c r="CO117" s="890">
        <f t="shared" si="118"/>
        <v>836831.16273599979</v>
      </c>
      <c r="CP117" s="890">
        <f t="shared" si="119"/>
        <v>797620.11796799989</v>
      </c>
      <c r="CQ117" s="890">
        <f t="shared" si="120"/>
        <v>797620.11796799989</v>
      </c>
      <c r="CR117" s="890">
        <f t="shared" si="121"/>
        <v>504603.82007999992</v>
      </c>
      <c r="CS117" s="890">
        <f t="shared" si="122"/>
        <v>904356.56361599988</v>
      </c>
      <c r="CT117" s="890">
        <f t="shared" si="123"/>
        <v>904356.56361599988</v>
      </c>
      <c r="CU117" s="890">
        <f t="shared" si="124"/>
        <v>332227.34265599994</v>
      </c>
      <c r="CV117" s="890">
        <f t="shared" si="137"/>
        <v>1701976.6815839997</v>
      </c>
      <c r="CW117" s="978">
        <f t="shared" si="138"/>
        <v>7073.5319999999983</v>
      </c>
      <c r="CX117" s="890">
        <f t="shared" si="125"/>
        <v>0</v>
      </c>
      <c r="CY117" s="890">
        <f t="shared" si="126"/>
        <v>0</v>
      </c>
      <c r="CZ117" s="890"/>
      <c r="DA117" s="890">
        <f t="shared" si="127"/>
        <v>797620.11796799989</v>
      </c>
      <c r="DB117" s="890">
        <f t="shared" si="128"/>
        <v>904356.56361599988</v>
      </c>
      <c r="DC117" s="840"/>
      <c r="DD117" s="841" t="e">
        <f t="shared" si="139"/>
        <v>#DIV/0!</v>
      </c>
      <c r="DE117" s="840"/>
      <c r="DF117" s="840"/>
      <c r="DG117" s="840"/>
      <c r="DH117" s="1050"/>
      <c r="DI117" s="1050"/>
      <c r="DJ117" s="1050"/>
      <c r="DK117" s="945"/>
      <c r="DL117" s="975">
        <f t="shared" si="129"/>
        <v>0</v>
      </c>
      <c r="DM117" s="975">
        <f t="shared" si="130"/>
        <v>0</v>
      </c>
      <c r="DN117" s="975">
        <f t="shared" si="131"/>
        <v>0</v>
      </c>
      <c r="DO117" s="816"/>
      <c r="DP117" s="871"/>
      <c r="DQ117" s="871"/>
      <c r="DR117" s="871"/>
      <c r="DS117" s="871"/>
      <c r="DT117" s="871"/>
      <c r="DU117" s="871"/>
      <c r="DV117" s="871"/>
      <c r="DW117" s="871"/>
      <c r="DX117" s="871"/>
      <c r="DY117" s="871"/>
      <c r="DZ117" s="871"/>
      <c r="EA117" s="871"/>
      <c r="EB117" s="871"/>
      <c r="EC117" s="871"/>
      <c r="ED117" s="871"/>
      <c r="EE117" s="871"/>
      <c r="EF117" s="871"/>
      <c r="EG117" s="871"/>
      <c r="EH117" s="871"/>
      <c r="EI117" s="871"/>
      <c r="EJ117" s="871"/>
      <c r="EK117" s="871"/>
      <c r="EL117" s="871"/>
    </row>
    <row r="118" spans="1:142" s="869" customFormat="1" ht="72.75" customHeight="1">
      <c r="A118" s="6" t="e">
        <f t="shared" si="140"/>
        <v>#REF!</v>
      </c>
      <c r="B118" s="886" t="s">
        <v>42</v>
      </c>
      <c r="C118" s="1309" t="s">
        <v>131</v>
      </c>
      <c r="D118" s="1262" t="s">
        <v>141</v>
      </c>
      <c r="E118" s="887">
        <v>4632024035</v>
      </c>
      <c r="F118" s="886" t="s">
        <v>8</v>
      </c>
      <c r="G118" s="1238" t="s">
        <v>983</v>
      </c>
      <c r="H118" s="1256">
        <v>3314.9639999999995</v>
      </c>
      <c r="I118" s="1257">
        <f t="shared" si="157"/>
        <v>3314.9639999999995</v>
      </c>
      <c r="J118" s="891"/>
      <c r="K118" s="891"/>
      <c r="L118" s="1256">
        <v>3314.9639999999995</v>
      </c>
      <c r="M118" s="946"/>
      <c r="N118" s="1259">
        <f t="shared" si="158"/>
        <v>3758.5679999999998</v>
      </c>
      <c r="O118" s="1260">
        <f t="shared" si="159"/>
        <v>3758.5679999999998</v>
      </c>
      <c r="P118" s="891"/>
      <c r="Q118" s="891"/>
      <c r="R118" s="891">
        <f t="shared" si="160"/>
        <v>3758.5679999999998</v>
      </c>
      <c r="S118" s="946"/>
      <c r="T118" s="1307">
        <v>149.82300000000001</v>
      </c>
      <c r="U118" s="1292"/>
      <c r="V118" s="1292"/>
      <c r="W118" s="948"/>
      <c r="X118" s="948"/>
      <c r="Y118" s="948"/>
      <c r="Z118" s="949">
        <f t="shared" si="113"/>
        <v>149.82300000000001</v>
      </c>
      <c r="AA118" s="1308">
        <v>87</v>
      </c>
      <c r="AB118" s="1366"/>
      <c r="AC118" s="1366"/>
      <c r="AD118" s="890"/>
      <c r="AE118" s="890"/>
      <c r="AF118" s="890"/>
      <c r="AG118" s="951">
        <f t="shared" si="114"/>
        <v>87</v>
      </c>
      <c r="AH118" s="947">
        <f t="shared" si="141"/>
        <v>236.82300000000001</v>
      </c>
      <c r="AI118" s="890">
        <f t="shared" si="148"/>
        <v>236.82300000000001</v>
      </c>
      <c r="AJ118" s="890">
        <f t="shared" si="148"/>
        <v>0</v>
      </c>
      <c r="AK118" s="890">
        <f t="shared" si="148"/>
        <v>0</v>
      </c>
      <c r="AL118" s="890">
        <f t="shared" si="148"/>
        <v>0</v>
      </c>
      <c r="AM118" s="890">
        <f t="shared" si="148"/>
        <v>0</v>
      </c>
      <c r="AN118" s="890"/>
      <c r="AO118" s="890">
        <f t="shared" si="152"/>
        <v>236.82300000000001</v>
      </c>
      <c r="AP118" s="890">
        <f t="shared" si="153"/>
        <v>236.82300000000001</v>
      </c>
      <c r="AQ118" s="952">
        <f t="shared" si="97"/>
        <v>236.82300000000001</v>
      </c>
      <c r="AR118" s="973">
        <f t="shared" si="132"/>
        <v>0</v>
      </c>
      <c r="AS118" s="889">
        <f t="shared" si="154"/>
        <v>785059.71937199985</v>
      </c>
      <c r="AT118" s="890">
        <f t="shared" si="154"/>
        <v>0</v>
      </c>
      <c r="AU118" s="890">
        <f t="shared" si="154"/>
        <v>0</v>
      </c>
      <c r="AV118" s="890">
        <f t="shared" si="154"/>
        <v>0</v>
      </c>
      <c r="AW118" s="890">
        <f t="shared" si="154"/>
        <v>0</v>
      </c>
      <c r="AX118" s="890">
        <f t="shared" si="98"/>
        <v>785059.71937199985</v>
      </c>
      <c r="AY118" s="890">
        <f t="shared" si="99"/>
        <v>785059.71937199985</v>
      </c>
      <c r="AZ118" s="890">
        <f t="shared" si="156"/>
        <v>890115.34946399997</v>
      </c>
      <c r="BA118" s="890">
        <f t="shared" si="156"/>
        <v>0</v>
      </c>
      <c r="BB118" s="890">
        <f t="shared" si="156"/>
        <v>0</v>
      </c>
      <c r="BC118" s="890">
        <f t="shared" si="156"/>
        <v>0</v>
      </c>
      <c r="BD118" s="890">
        <f t="shared" si="156"/>
        <v>0</v>
      </c>
      <c r="BE118" s="890">
        <f t="shared" si="100"/>
        <v>890115.34946399997</v>
      </c>
      <c r="BF118" s="952">
        <f t="shared" si="101"/>
        <v>890115.34946399997</v>
      </c>
      <c r="BG118" s="953">
        <f>(H118-J118)/1.2*U118/1000+(H118-K118)/1.2*V118/1000</f>
        <v>0</v>
      </c>
      <c r="BH118" s="954">
        <f>(O118-P118)*AB118/1000/1.2+(O118-Q118)/1.2*AC118/1000</f>
        <v>0</v>
      </c>
      <c r="BI118" s="955">
        <f t="shared" si="163"/>
        <v>0</v>
      </c>
      <c r="BJ118" s="890"/>
      <c r="BK118" s="1199"/>
      <c r="BL118" s="890">
        <f t="shared" si="164"/>
        <v>496657.85137199995</v>
      </c>
      <c r="BM118" s="890">
        <f t="shared" si="164"/>
        <v>0</v>
      </c>
      <c r="BN118" s="890">
        <f t="shared" si="164"/>
        <v>0</v>
      </c>
      <c r="BO118" s="890">
        <f t="shared" si="164"/>
        <v>0</v>
      </c>
      <c r="BP118" s="890">
        <f t="shared" si="164"/>
        <v>0</v>
      </c>
      <c r="BQ118" s="890">
        <f t="shared" si="142"/>
        <v>496657.85137199995</v>
      </c>
      <c r="BR118" s="890">
        <f t="shared" si="143"/>
        <v>496657.85137199995</v>
      </c>
      <c r="BS118" s="890">
        <f t="shared" si="165"/>
        <v>326995.41599999997</v>
      </c>
      <c r="BT118" s="890">
        <f t="shared" si="165"/>
        <v>0</v>
      </c>
      <c r="BU118" s="890">
        <f t="shared" si="165"/>
        <v>0</v>
      </c>
      <c r="BV118" s="890">
        <f t="shared" si="144"/>
        <v>0</v>
      </c>
      <c r="BW118" s="890">
        <f t="shared" si="115"/>
        <v>0</v>
      </c>
      <c r="BX118" s="890">
        <f t="shared" si="145"/>
        <v>326995.41599999997</v>
      </c>
      <c r="BY118" s="890">
        <f t="shared" si="146"/>
        <v>326995.41599999997</v>
      </c>
      <c r="BZ118" s="945">
        <f t="shared" si="111"/>
        <v>0</v>
      </c>
      <c r="CA118" s="945">
        <f t="shared" si="111"/>
        <v>0</v>
      </c>
      <c r="CB118" s="945">
        <f t="shared" si="147"/>
        <v>0</v>
      </c>
      <c r="CC118" s="976" t="e">
        <f t="shared" si="112"/>
        <v>#DIV/0!</v>
      </c>
      <c r="CD118" s="976" t="e">
        <f t="shared" si="112"/>
        <v>#DIV/0!</v>
      </c>
      <c r="CE118" s="976" t="e">
        <f t="shared" si="133"/>
        <v>#DIV/0!</v>
      </c>
      <c r="CF118" s="945" t="e">
        <f t="shared" si="116"/>
        <v>#DIV/0!</v>
      </c>
      <c r="CG118" s="977">
        <f t="shared" si="117"/>
        <v>0</v>
      </c>
      <c r="CH118" s="977" t="e">
        <f t="shared" si="134"/>
        <v>#DIV/0!</v>
      </c>
      <c r="CI118" s="945"/>
      <c r="CJ118" s="1405">
        <f t="shared" si="106"/>
        <v>496.65785137199993</v>
      </c>
      <c r="CK118" s="1405">
        <f t="shared" si="102"/>
        <v>326.99541599999998</v>
      </c>
      <c r="CL118" s="1405">
        <f t="shared" si="107"/>
        <v>823.65326737199985</v>
      </c>
      <c r="CM118" s="890">
        <f t="shared" si="135"/>
        <v>890.11534946400002</v>
      </c>
      <c r="CN118" s="890">
        <f t="shared" si="136"/>
        <v>66.462082092000173</v>
      </c>
      <c r="CO118" s="890">
        <f t="shared" si="118"/>
        <v>823653.26737199991</v>
      </c>
      <c r="CP118" s="890">
        <f t="shared" si="119"/>
        <v>785059.71937199985</v>
      </c>
      <c r="CQ118" s="890">
        <f t="shared" si="120"/>
        <v>785059.71937199985</v>
      </c>
      <c r="CR118" s="890">
        <f t="shared" si="121"/>
        <v>496657.85137199995</v>
      </c>
      <c r="CS118" s="890">
        <f t="shared" si="122"/>
        <v>890115.34946399997</v>
      </c>
      <c r="CT118" s="890">
        <f t="shared" si="123"/>
        <v>890115.34946399997</v>
      </c>
      <c r="CU118" s="890">
        <f t="shared" si="124"/>
        <v>326995.41599999997</v>
      </c>
      <c r="CV118" s="890">
        <f t="shared" si="137"/>
        <v>1675175.0688359998</v>
      </c>
      <c r="CW118" s="978">
        <f t="shared" si="138"/>
        <v>7073.5319999999992</v>
      </c>
      <c r="CX118" s="890">
        <f t="shared" si="125"/>
        <v>0</v>
      </c>
      <c r="CY118" s="890">
        <f t="shared" si="126"/>
        <v>0</v>
      </c>
      <c r="CZ118" s="890"/>
      <c r="DA118" s="890">
        <f t="shared" si="127"/>
        <v>785059.71937199985</v>
      </c>
      <c r="DB118" s="890">
        <f t="shared" si="128"/>
        <v>890115.34946399997</v>
      </c>
      <c r="DC118" s="840"/>
      <c r="DD118" s="841" t="e">
        <f t="shared" si="139"/>
        <v>#DIV/0!</v>
      </c>
      <c r="DE118" s="840"/>
      <c r="DF118" s="840"/>
      <c r="DG118" s="840"/>
      <c r="DH118" s="1050"/>
      <c r="DI118" s="1050"/>
      <c r="DJ118" s="1050"/>
      <c r="DK118" s="945"/>
      <c r="DL118" s="975">
        <f t="shared" si="129"/>
        <v>0</v>
      </c>
      <c r="DM118" s="975">
        <f t="shared" si="130"/>
        <v>0</v>
      </c>
      <c r="DN118" s="975">
        <f t="shared" si="131"/>
        <v>0</v>
      </c>
      <c r="DO118" s="816"/>
      <c r="DP118" s="871"/>
      <c r="DQ118" s="871"/>
      <c r="DR118" s="871"/>
      <c r="DS118" s="871"/>
      <c r="DT118" s="871"/>
      <c r="DU118" s="871"/>
      <c r="DV118" s="871"/>
      <c r="DW118" s="871"/>
      <c r="DX118" s="871"/>
      <c r="DY118" s="871"/>
      <c r="DZ118" s="871"/>
      <c r="EA118" s="871"/>
      <c r="EB118" s="871"/>
      <c r="EC118" s="871"/>
      <c r="ED118" s="871"/>
      <c r="EE118" s="871"/>
      <c r="EF118" s="871"/>
      <c r="EG118" s="871"/>
      <c r="EH118" s="871"/>
      <c r="EI118" s="871"/>
      <c r="EJ118" s="871"/>
      <c r="EK118" s="871"/>
      <c r="EL118" s="871"/>
    </row>
    <row r="119" spans="1:142" s="50" customFormat="1" ht="75.75" customHeight="1">
      <c r="A119" s="6" t="e">
        <f t="shared" si="140"/>
        <v>#REF!</v>
      </c>
      <c r="B119" s="1338" t="s">
        <v>43</v>
      </c>
      <c r="C119" s="1338" t="s">
        <v>53</v>
      </c>
      <c r="D119" s="1338" t="s">
        <v>256</v>
      </c>
      <c r="E119" s="886">
        <v>4633002394</v>
      </c>
      <c r="F119" s="886" t="s">
        <v>8</v>
      </c>
      <c r="G119" s="888" t="s">
        <v>923</v>
      </c>
      <c r="H119" s="1313">
        <f>1743.52*1.2</f>
        <v>2092.2239999999997</v>
      </c>
      <c r="I119" s="1316">
        <f>1743.52*1.2</f>
        <v>2092.2239999999997</v>
      </c>
      <c r="J119" s="1264">
        <f>1743.52*1.2</f>
        <v>2092.2239999999997</v>
      </c>
      <c r="K119" s="1264">
        <v>2036.22</v>
      </c>
      <c r="L119" s="1264">
        <f>1743.52*1.2</f>
        <v>2092.2239999999997</v>
      </c>
      <c r="M119" s="946"/>
      <c r="N119" s="959">
        <f>1939.09*1.2</f>
        <v>2326.9079999999999</v>
      </c>
      <c r="O119" s="891">
        <f>1939.09*1.2</f>
        <v>2326.9079999999999</v>
      </c>
      <c r="P119" s="891">
        <v>2326.91</v>
      </c>
      <c r="Q119" s="891">
        <v>2326.91</v>
      </c>
      <c r="R119" s="891">
        <f>1939.09*1.2</f>
        <v>2326.9079999999999</v>
      </c>
      <c r="S119" s="946"/>
      <c r="T119" s="1015">
        <v>35138</v>
      </c>
      <c r="U119" s="890">
        <v>200562.57699999999</v>
      </c>
      <c r="V119" s="890">
        <v>48177.97100000007</v>
      </c>
      <c r="W119" s="894">
        <v>24527</v>
      </c>
      <c r="X119" s="890"/>
      <c r="Y119" s="890"/>
      <c r="Z119" s="949">
        <v>308405.54800000007</v>
      </c>
      <c r="AA119" s="974">
        <v>26552</v>
      </c>
      <c r="AB119" s="890">
        <v>144060.519</v>
      </c>
      <c r="AC119" s="890">
        <v>47934.513999999996</v>
      </c>
      <c r="AD119" s="890">
        <v>16363</v>
      </c>
      <c r="AE119" s="890"/>
      <c r="AF119" s="890"/>
      <c r="AG119" s="951">
        <v>234910.033</v>
      </c>
      <c r="AH119" s="947">
        <v>543315.58100000001</v>
      </c>
      <c r="AI119" s="890">
        <v>61690</v>
      </c>
      <c r="AJ119" s="890">
        <v>344623.09600000002</v>
      </c>
      <c r="AK119" s="890">
        <v>96112.485000000073</v>
      </c>
      <c r="AL119" s="890">
        <v>40890</v>
      </c>
      <c r="AM119" s="890">
        <v>0</v>
      </c>
      <c r="AN119" s="890"/>
      <c r="AO119" s="890">
        <v>543315.58100000012</v>
      </c>
      <c r="AP119" s="890">
        <v>543315.58100000012</v>
      </c>
      <c r="AQ119" s="952">
        <v>543315.58100000012</v>
      </c>
      <c r="AR119" s="1016">
        <v>2248.3053133333274</v>
      </c>
      <c r="AS119" s="993">
        <v>2236.9439866666576</v>
      </c>
      <c r="AT119" s="955">
        <v>4485.2492999999849</v>
      </c>
      <c r="AU119" s="1017"/>
      <c r="AV119" s="1017"/>
      <c r="AW119" s="890">
        <v>645252.25563656003</v>
      </c>
      <c r="AX119" s="890">
        <v>491483.46924325998</v>
      </c>
      <c r="AY119" s="975">
        <v>1136735.7248798199</v>
      </c>
      <c r="AZ119" s="890">
        <v>1101349272.3023002</v>
      </c>
      <c r="BA119" s="890">
        <v>1060647765.2614802</v>
      </c>
      <c r="BB119" s="890">
        <v>1074395695.1158803</v>
      </c>
      <c r="BC119" s="890">
        <v>602974426.08720016</v>
      </c>
      <c r="BD119" s="890">
        <v>1131353425.71982</v>
      </c>
      <c r="BE119" s="890">
        <v>1136735724.8798201</v>
      </c>
      <c r="BF119" s="952">
        <v>488799136.45925999</v>
      </c>
      <c r="BG119" s="1293">
        <f>(H119-J119)*U119/1000/1.2+(H119-K119)*V119/1000/1.2</f>
        <v>2248.4659065699902</v>
      </c>
      <c r="BH119" s="1294">
        <v>0</v>
      </c>
      <c r="BI119" s="1296">
        <f t="shared" si="163"/>
        <v>2248.4659065699902</v>
      </c>
      <c r="BJ119" s="1341">
        <v>993223.06107581651</v>
      </c>
      <c r="BK119" s="1426">
        <v>1097553.0799999998</v>
      </c>
      <c r="BL119" s="890">
        <v>1074395695.1158803</v>
      </c>
      <c r="BM119" s="890">
        <v>1136735724.8798201</v>
      </c>
      <c r="BN119" s="945"/>
      <c r="BO119" s="976">
        <v>105.80233428403827</v>
      </c>
      <c r="BP119" s="945"/>
      <c r="BQ119" s="945"/>
      <c r="BR119" s="945"/>
      <c r="BS119" s="975">
        <v>531967.75699999998</v>
      </c>
      <c r="BT119" s="890">
        <v>432453.34099999996</v>
      </c>
      <c r="BU119" s="890">
        <v>99514.416000000027</v>
      </c>
      <c r="BV119" s="945"/>
      <c r="BW119" s="975">
        <v>0</v>
      </c>
      <c r="BX119" s="975">
        <v>0</v>
      </c>
      <c r="BY119" s="975">
        <v>0</v>
      </c>
      <c r="BZ119" s="945"/>
      <c r="CA119" s="945"/>
      <c r="CB119" s="945"/>
      <c r="CC119" s="945"/>
      <c r="CD119" s="907">
        <f t="shared" si="112"/>
        <v>0</v>
      </c>
      <c r="CE119" s="907">
        <f t="shared" si="133"/>
        <v>0</v>
      </c>
      <c r="CF119" s="907">
        <f t="shared" si="116"/>
        <v>0</v>
      </c>
      <c r="CG119" s="923">
        <f t="shared" si="117"/>
        <v>967175722.54671597</v>
      </c>
      <c r="CH119" s="923">
        <f t="shared" si="134"/>
        <v>2194.458002125124</v>
      </c>
      <c r="CI119" s="905"/>
      <c r="CJ119" s="1405">
        <f>H119*Z119/1000+0.148964263731614/2</f>
        <v>645253.56374088395</v>
      </c>
      <c r="CK119" s="1405">
        <f>N119*AG119/1000+0.148964263731614/2</f>
        <v>546614.10955009586</v>
      </c>
      <c r="CL119" s="1405">
        <f t="shared" si="107"/>
        <v>1191867.6732909798</v>
      </c>
      <c r="CM119" s="897">
        <f t="shared" si="135"/>
        <v>1264245.3719535479</v>
      </c>
      <c r="CN119" s="897">
        <f t="shared" si="136"/>
        <v>72377.698662568117</v>
      </c>
      <c r="CO119" s="890">
        <f t="shared" si="118"/>
        <v>1191867524.3267159</v>
      </c>
      <c r="CP119" s="890">
        <f t="shared" si="119"/>
        <v>1131355214.5322039</v>
      </c>
      <c r="CQ119" s="890">
        <f t="shared" si="120"/>
        <v>1136737898.142144</v>
      </c>
      <c r="CR119" s="890">
        <f t="shared" si="121"/>
        <v>642555330.17086804</v>
      </c>
      <c r="CS119" s="890">
        <f t="shared" si="122"/>
        <v>1264246253.42471</v>
      </c>
      <c r="CT119" s="890">
        <f t="shared" si="123"/>
        <v>1264246253.42471</v>
      </c>
      <c r="CU119" s="890">
        <f t="shared" si="124"/>
        <v>546614419.05803001</v>
      </c>
      <c r="CV119" s="890">
        <f t="shared" si="137"/>
        <v>2395601467.9569139</v>
      </c>
      <c r="CW119" s="906">
        <f t="shared" si="138"/>
        <v>4409.2265190475255</v>
      </c>
      <c r="CX119" s="890">
        <f t="shared" si="125"/>
        <v>916734876.61220407</v>
      </c>
      <c r="CY119" s="890">
        <f t="shared" si="126"/>
        <v>1025552030.7847102</v>
      </c>
      <c r="CZ119" s="890"/>
      <c r="DA119" s="890">
        <f t="shared" si="127"/>
        <v>1136737898.142144</v>
      </c>
      <c r="DB119" s="890">
        <f t="shared" si="128"/>
        <v>1264245371.953548</v>
      </c>
      <c r="DC119" s="27"/>
      <c r="DD119" s="40">
        <f t="shared" si="139"/>
        <v>111.21696338441774</v>
      </c>
      <c r="DE119" s="27"/>
      <c r="DF119" s="27"/>
      <c r="DG119" s="27"/>
      <c r="DH119" s="1137">
        <v>531967.75699999998</v>
      </c>
      <c r="DI119" s="1043">
        <v>432453.34099999996</v>
      </c>
      <c r="DJ119" s="1043">
        <f t="shared" si="108"/>
        <v>99514.416000000027</v>
      </c>
      <c r="DK119" s="905"/>
      <c r="DL119" s="908">
        <f t="shared" si="129"/>
        <v>0</v>
      </c>
      <c r="DM119" s="908">
        <f t="shared" si="130"/>
        <v>0</v>
      </c>
      <c r="DN119" s="908">
        <f t="shared" si="131"/>
        <v>0</v>
      </c>
      <c r="DO119" s="6"/>
      <c r="DP119" s="81"/>
      <c r="DQ119" s="81"/>
      <c r="DR119" s="81"/>
      <c r="DS119" s="81"/>
      <c r="DT119" s="81"/>
      <c r="DU119" s="81"/>
      <c r="DV119" s="81"/>
      <c r="DW119" s="81"/>
      <c r="DX119" s="81"/>
      <c r="DY119" s="81"/>
      <c r="DZ119" s="81"/>
      <c r="EA119" s="81"/>
      <c r="EB119" s="81"/>
      <c r="EC119" s="81"/>
      <c r="ED119" s="81"/>
      <c r="EE119" s="81"/>
      <c r="EF119" s="81"/>
      <c r="EG119" s="81"/>
      <c r="EH119" s="81"/>
      <c r="EI119" s="81"/>
      <c r="EJ119" s="81"/>
      <c r="EK119" s="81"/>
      <c r="EL119" s="81"/>
    </row>
    <row r="120" spans="1:142" s="81" customFormat="1" ht="70.5" customHeight="1">
      <c r="A120" s="6" t="e">
        <f t="shared" si="140"/>
        <v>#REF!</v>
      </c>
      <c r="B120" s="886" t="s">
        <v>43</v>
      </c>
      <c r="C120" s="886" t="s">
        <v>53</v>
      </c>
      <c r="D120" s="886" t="s">
        <v>276</v>
      </c>
      <c r="E120" s="886">
        <v>4633001577</v>
      </c>
      <c r="F120" s="886" t="s">
        <v>8</v>
      </c>
      <c r="G120" s="888" t="s">
        <v>947</v>
      </c>
      <c r="H120" s="925">
        <v>2140.0319999999997</v>
      </c>
      <c r="I120" s="891">
        <v>0</v>
      </c>
      <c r="J120" s="891">
        <v>0</v>
      </c>
      <c r="K120" s="891">
        <v>0</v>
      </c>
      <c r="L120" s="1010">
        <v>2140.0319999999997</v>
      </c>
      <c r="M120" s="946">
        <v>0</v>
      </c>
      <c r="N120" s="959">
        <f>2111.87*1.2</f>
        <v>2534.2439999999997</v>
      </c>
      <c r="O120" s="891"/>
      <c r="P120" s="891"/>
      <c r="Q120" s="891"/>
      <c r="R120" s="891">
        <v>2534.2439999999997</v>
      </c>
      <c r="S120" s="946"/>
      <c r="T120" s="903">
        <v>0</v>
      </c>
      <c r="U120" s="897">
        <v>0</v>
      </c>
      <c r="V120" s="897">
        <v>0</v>
      </c>
      <c r="W120" s="897">
        <v>9617</v>
      </c>
      <c r="X120" s="897">
        <v>0</v>
      </c>
      <c r="Y120" s="897">
        <v>0</v>
      </c>
      <c r="Z120" s="898">
        <f t="shared" si="113"/>
        <v>9617</v>
      </c>
      <c r="AA120" s="904">
        <v>0</v>
      </c>
      <c r="AB120" s="897">
        <v>0</v>
      </c>
      <c r="AC120" s="897">
        <v>0</v>
      </c>
      <c r="AD120" s="897">
        <v>6551</v>
      </c>
      <c r="AE120" s="897">
        <v>0</v>
      </c>
      <c r="AF120" s="897">
        <v>0</v>
      </c>
      <c r="AG120" s="900">
        <f>SUM(AA120:AF120)</f>
        <v>6551</v>
      </c>
      <c r="AH120" s="896">
        <f t="shared" si="141"/>
        <v>16168</v>
      </c>
      <c r="AI120" s="897">
        <f t="shared" si="148"/>
        <v>0</v>
      </c>
      <c r="AJ120" s="897">
        <f t="shared" si="148"/>
        <v>0</v>
      </c>
      <c r="AK120" s="897">
        <f t="shared" si="148"/>
        <v>0</v>
      </c>
      <c r="AL120" s="897">
        <f t="shared" si="148"/>
        <v>16168</v>
      </c>
      <c r="AM120" s="897">
        <f t="shared" si="148"/>
        <v>0</v>
      </c>
      <c r="AN120" s="897"/>
      <c r="AO120" s="897">
        <f t="shared" si="152"/>
        <v>16168</v>
      </c>
      <c r="AP120" s="897">
        <f t="shared" si="153"/>
        <v>16168</v>
      </c>
      <c r="AQ120" s="901">
        <f t="shared" si="97"/>
        <v>16168</v>
      </c>
      <c r="AR120" s="902">
        <f t="shared" si="132"/>
        <v>0</v>
      </c>
      <c r="AS120" s="903">
        <f>I120*AI120</f>
        <v>0</v>
      </c>
      <c r="AT120" s="897">
        <f t="shared" ref="AT120:AW120" si="166">J120*AJ120</f>
        <v>0</v>
      </c>
      <c r="AU120" s="897">
        <f t="shared" si="166"/>
        <v>0</v>
      </c>
      <c r="AV120" s="897">
        <f>L120*AL120</f>
        <v>34600037.375999995</v>
      </c>
      <c r="AW120" s="897">
        <f t="shared" si="166"/>
        <v>0</v>
      </c>
      <c r="AX120" s="897">
        <f t="shared" si="98"/>
        <v>34600037.375999995</v>
      </c>
      <c r="AY120" s="897">
        <f t="shared" si="99"/>
        <v>34600037.375999995</v>
      </c>
      <c r="AZ120" s="897">
        <f t="shared" si="156"/>
        <v>0</v>
      </c>
      <c r="BA120" s="897">
        <f t="shared" si="156"/>
        <v>0</v>
      </c>
      <c r="BB120" s="897">
        <f t="shared" si="156"/>
        <v>0</v>
      </c>
      <c r="BC120" s="897">
        <f>R120*AL120</f>
        <v>40973656.991999991</v>
      </c>
      <c r="BD120" s="897">
        <f t="shared" si="156"/>
        <v>0</v>
      </c>
      <c r="BE120" s="897">
        <f t="shared" si="100"/>
        <v>40973656.991999991</v>
      </c>
      <c r="BF120" s="901">
        <f t="shared" si="101"/>
        <v>40973656.991999991</v>
      </c>
      <c r="BG120" s="904"/>
      <c r="BH120" s="897"/>
      <c r="BI120" s="897">
        <f t="shared" si="163"/>
        <v>0</v>
      </c>
      <c r="BJ120" s="919">
        <v>31324.843808767346</v>
      </c>
      <c r="BK120" s="1203">
        <v>31793.10350650908</v>
      </c>
      <c r="BL120" s="897">
        <f>I120*T120</f>
        <v>0</v>
      </c>
      <c r="BM120" s="897">
        <f>J120*U120</f>
        <v>0</v>
      </c>
      <c r="BN120" s="897">
        <f>K120*V120</f>
        <v>0</v>
      </c>
      <c r="BO120" s="897">
        <f>L120*W120</f>
        <v>20580687.743999995</v>
      </c>
      <c r="BP120" s="897">
        <f t="shared" si="164"/>
        <v>0</v>
      </c>
      <c r="BQ120" s="897">
        <f>BL120+BM120+BN120+BO120+BP120</f>
        <v>20580687.743999995</v>
      </c>
      <c r="BR120" s="897">
        <f>BQ120-BP120</f>
        <v>20580687.743999995</v>
      </c>
      <c r="BS120" s="897">
        <f>O120*AA120</f>
        <v>0</v>
      </c>
      <c r="BT120" s="897">
        <f>P120*AB120</f>
        <v>0</v>
      </c>
      <c r="BU120" s="897">
        <f>Q120*AC120</f>
        <v>0</v>
      </c>
      <c r="BV120" s="897">
        <f>R120*AD120</f>
        <v>16601832.443999998</v>
      </c>
      <c r="BW120" s="897">
        <f>S120*AE120</f>
        <v>0</v>
      </c>
      <c r="BX120" s="897">
        <f>BS120+BT120+BU120+BV120+BW120</f>
        <v>16601832.443999998</v>
      </c>
      <c r="BY120" s="897">
        <f>BX120-BW120</f>
        <v>16601832.443999998</v>
      </c>
      <c r="BZ120" s="905">
        <f>BM120+BT120</f>
        <v>0</v>
      </c>
      <c r="CA120" s="905">
        <f>BN120+BU120</f>
        <v>0</v>
      </c>
      <c r="CB120" s="905">
        <f>BZ120+CA120</f>
        <v>0</v>
      </c>
      <c r="CC120" s="907" t="e">
        <f>BZ120/AJ120</f>
        <v>#DIV/0!</v>
      </c>
      <c r="CD120" s="907" t="e">
        <f t="shared" si="112"/>
        <v>#DIV/0!</v>
      </c>
      <c r="CE120" s="907" t="e">
        <f t="shared" si="133"/>
        <v>#DIV/0!</v>
      </c>
      <c r="CF120" s="905" t="e">
        <f t="shared" si="116"/>
        <v>#DIV/0!</v>
      </c>
      <c r="CG120" s="923">
        <f t="shared" si="117"/>
        <v>0</v>
      </c>
      <c r="CH120" s="923" t="e">
        <f t="shared" si="134"/>
        <v>#DIV/0!</v>
      </c>
      <c r="CI120" s="979"/>
      <c r="CJ120" s="1405">
        <f t="shared" si="106"/>
        <v>20580.687743999995</v>
      </c>
      <c r="CK120" s="1405">
        <f t="shared" si="102"/>
        <v>16601.832444</v>
      </c>
      <c r="CL120" s="1405">
        <f t="shared" si="107"/>
        <v>37182.520187999995</v>
      </c>
      <c r="CM120" s="897">
        <f t="shared" si="135"/>
        <v>40973.656991999989</v>
      </c>
      <c r="CN120" s="897">
        <f t="shared" si="136"/>
        <v>3791.1368039999943</v>
      </c>
      <c r="CO120" s="897">
        <f t="shared" si="118"/>
        <v>37182520.187999994</v>
      </c>
      <c r="CP120" s="897">
        <f t="shared" si="119"/>
        <v>34600037.375999995</v>
      </c>
      <c r="CQ120" s="897">
        <f t="shared" si="120"/>
        <v>34600037.375999995</v>
      </c>
      <c r="CR120" s="897">
        <f t="shared" si="121"/>
        <v>20580687.743999995</v>
      </c>
      <c r="CS120" s="897">
        <f t="shared" si="122"/>
        <v>40973656.991999991</v>
      </c>
      <c r="CT120" s="897">
        <f t="shared" si="123"/>
        <v>40973656.991999991</v>
      </c>
      <c r="CU120" s="897">
        <f t="shared" si="124"/>
        <v>16601832.443999998</v>
      </c>
      <c r="CV120" s="897">
        <f t="shared" si="137"/>
        <v>75573694.367999986</v>
      </c>
      <c r="CW120" s="906">
        <f t="shared" si="138"/>
        <v>4674.2759999999989</v>
      </c>
      <c r="CX120" s="897">
        <f t="shared" si="125"/>
        <v>0</v>
      </c>
      <c r="CY120" s="897">
        <f t="shared" si="126"/>
        <v>0</v>
      </c>
      <c r="CZ120" s="897"/>
      <c r="DA120" s="897">
        <f t="shared" si="127"/>
        <v>34600037.375999995</v>
      </c>
      <c r="DB120" s="897">
        <f t="shared" si="128"/>
        <v>40973656.991999991</v>
      </c>
      <c r="DC120" s="1131"/>
      <c r="DD120" s="40" t="e">
        <f t="shared" si="139"/>
        <v>#DIV/0!</v>
      </c>
      <c r="DE120" s="1131"/>
      <c r="DF120" s="1131"/>
      <c r="DG120" s="1131"/>
      <c r="DH120" s="897">
        <v>20195</v>
      </c>
      <c r="DI120" s="897">
        <v>0</v>
      </c>
      <c r="DJ120" s="897">
        <f t="shared" si="108"/>
        <v>20195</v>
      </c>
      <c r="DK120" s="979"/>
      <c r="DL120" s="908">
        <f t="shared" si="129"/>
        <v>0</v>
      </c>
      <c r="DM120" s="908">
        <f t="shared" si="130"/>
        <v>0</v>
      </c>
      <c r="DN120" s="908">
        <f t="shared" si="131"/>
        <v>0</v>
      </c>
    </row>
    <row r="121" spans="1:142" s="50" customFormat="1" ht="63.75" customHeight="1">
      <c r="A121" s="6" t="e">
        <f t="shared" si="140"/>
        <v>#REF!</v>
      </c>
      <c r="B121" s="886" t="s">
        <v>43</v>
      </c>
      <c r="C121" s="886" t="s">
        <v>53</v>
      </c>
      <c r="D121" s="1018" t="s">
        <v>44</v>
      </c>
      <c r="E121" s="1019">
        <v>4633016372</v>
      </c>
      <c r="F121" s="1020" t="s">
        <v>45</v>
      </c>
      <c r="G121" s="888" t="s">
        <v>949</v>
      </c>
      <c r="H121" s="925">
        <f>1886.11*1.2</f>
        <v>2263.3319999999999</v>
      </c>
      <c r="I121" s="891"/>
      <c r="J121" s="891"/>
      <c r="K121" s="891"/>
      <c r="L121" s="891">
        <v>2263.3319999999999</v>
      </c>
      <c r="M121" s="892"/>
      <c r="N121" s="891">
        <v>2263.3319999999999</v>
      </c>
      <c r="O121" s="895"/>
      <c r="P121" s="895"/>
      <c r="Q121" s="895"/>
      <c r="R121" s="891">
        <v>2263.3319999999999</v>
      </c>
      <c r="S121" s="892"/>
      <c r="T121" s="903">
        <v>0</v>
      </c>
      <c r="U121" s="897">
        <v>0</v>
      </c>
      <c r="V121" s="897">
        <v>0</v>
      </c>
      <c r="W121" s="897">
        <v>330.29</v>
      </c>
      <c r="X121" s="897">
        <v>0</v>
      </c>
      <c r="Y121" s="897">
        <v>0</v>
      </c>
      <c r="Z121" s="898">
        <f t="shared" si="113"/>
        <v>330.29</v>
      </c>
      <c r="AA121" s="904">
        <v>0</v>
      </c>
      <c r="AB121" s="897">
        <v>0</v>
      </c>
      <c r="AC121" s="897">
        <v>0</v>
      </c>
      <c r="AD121" s="897">
        <v>250</v>
      </c>
      <c r="AE121" s="897">
        <v>0</v>
      </c>
      <c r="AF121" s="897">
        <v>0</v>
      </c>
      <c r="AG121" s="900">
        <v>250</v>
      </c>
      <c r="AH121" s="896">
        <f t="shared" si="141"/>
        <v>580.29</v>
      </c>
      <c r="AI121" s="897">
        <f t="shared" si="148"/>
        <v>0</v>
      </c>
      <c r="AJ121" s="897">
        <f t="shared" si="148"/>
        <v>0</v>
      </c>
      <c r="AK121" s="897">
        <f t="shared" si="148"/>
        <v>0</v>
      </c>
      <c r="AL121" s="897">
        <f>W121+AD121</f>
        <v>580.29</v>
      </c>
      <c r="AM121" s="897">
        <f t="shared" si="148"/>
        <v>0</v>
      </c>
      <c r="AN121" s="897"/>
      <c r="AO121" s="897">
        <f t="shared" si="152"/>
        <v>580.29</v>
      </c>
      <c r="AP121" s="897">
        <f t="shared" si="153"/>
        <v>580.29</v>
      </c>
      <c r="AQ121" s="901">
        <f t="shared" si="97"/>
        <v>580.29</v>
      </c>
      <c r="AR121" s="902">
        <f t="shared" si="132"/>
        <v>0</v>
      </c>
      <c r="AS121" s="903">
        <f>I121*AI121</f>
        <v>0</v>
      </c>
      <c r="AT121" s="897">
        <f>J121*AJ121</f>
        <v>0</v>
      </c>
      <c r="AU121" s="897">
        <f>K121*AK121</f>
        <v>0</v>
      </c>
      <c r="AV121" s="897">
        <f>L121*AL121</f>
        <v>1313388.9262799998</v>
      </c>
      <c r="AW121" s="897">
        <f>M121*AM121</f>
        <v>0</v>
      </c>
      <c r="AX121" s="897">
        <f t="shared" si="98"/>
        <v>1313388.9262799998</v>
      </c>
      <c r="AY121" s="897">
        <f t="shared" si="99"/>
        <v>1313388.9262799998</v>
      </c>
      <c r="AZ121" s="897">
        <f t="shared" si="156"/>
        <v>0</v>
      </c>
      <c r="BA121" s="897">
        <f t="shared" si="156"/>
        <v>0</v>
      </c>
      <c r="BB121" s="897">
        <f t="shared" si="156"/>
        <v>0</v>
      </c>
      <c r="BC121" s="897">
        <f t="shared" si="156"/>
        <v>1313388.9262799998</v>
      </c>
      <c r="BD121" s="897">
        <f t="shared" si="156"/>
        <v>0</v>
      </c>
      <c r="BE121" s="897">
        <f t="shared" si="100"/>
        <v>1313388.9262799998</v>
      </c>
      <c r="BF121" s="901">
        <f t="shared" si="101"/>
        <v>1313388.9262799998</v>
      </c>
      <c r="BG121" s="904"/>
      <c r="BH121" s="897"/>
      <c r="BI121" s="897">
        <f t="shared" si="163"/>
        <v>0</v>
      </c>
      <c r="BJ121" s="897">
        <v>1094.4932064136203</v>
      </c>
      <c r="BK121" s="1194"/>
      <c r="BL121" s="897">
        <f t="shared" si="164"/>
        <v>0</v>
      </c>
      <c r="BM121" s="897">
        <f t="shared" si="164"/>
        <v>0</v>
      </c>
      <c r="BN121" s="897">
        <f t="shared" si="164"/>
        <v>0</v>
      </c>
      <c r="BO121" s="897">
        <v>622.96465757871874</v>
      </c>
      <c r="BP121" s="897">
        <f t="shared" si="164"/>
        <v>0</v>
      </c>
      <c r="BQ121" s="897">
        <f t="shared" si="142"/>
        <v>622.96465757871874</v>
      </c>
      <c r="BR121" s="897">
        <f t="shared" si="143"/>
        <v>622.96465757871874</v>
      </c>
      <c r="BS121" s="897">
        <f t="shared" si="165"/>
        <v>0</v>
      </c>
      <c r="BT121" s="897">
        <f t="shared" si="165"/>
        <v>0</v>
      </c>
      <c r="BU121" s="897">
        <f t="shared" si="165"/>
        <v>0</v>
      </c>
      <c r="BV121" s="897">
        <v>471.52854883490158</v>
      </c>
      <c r="BW121" s="897">
        <f t="shared" si="115"/>
        <v>0</v>
      </c>
      <c r="BX121" s="897">
        <f t="shared" si="145"/>
        <v>471.52854883490158</v>
      </c>
      <c r="BY121" s="897">
        <f t="shared" si="146"/>
        <v>471.52854883490158</v>
      </c>
      <c r="BZ121" s="905">
        <f t="shared" si="111"/>
        <v>0</v>
      </c>
      <c r="CA121" s="905">
        <f t="shared" si="111"/>
        <v>0</v>
      </c>
      <c r="CB121" s="905">
        <f t="shared" si="147"/>
        <v>0</v>
      </c>
      <c r="CC121" s="907" t="e">
        <f t="shared" si="112"/>
        <v>#DIV/0!</v>
      </c>
      <c r="CD121" s="907" t="e">
        <f t="shared" si="112"/>
        <v>#DIV/0!</v>
      </c>
      <c r="CE121" s="907" t="e">
        <f t="shared" si="133"/>
        <v>#DIV/0!</v>
      </c>
      <c r="CF121" s="905" t="e">
        <f t="shared" si="116"/>
        <v>#DIV/0!</v>
      </c>
      <c r="CG121" s="923">
        <f t="shared" si="117"/>
        <v>0</v>
      </c>
      <c r="CH121" s="923" t="e">
        <f t="shared" si="134"/>
        <v>#DIV/0!</v>
      </c>
      <c r="CI121" s="979"/>
      <c r="CJ121" s="1405">
        <f t="shared" si="106"/>
        <v>747.55592627999999</v>
      </c>
      <c r="CK121" s="1405">
        <f t="shared" si="102"/>
        <v>565.83299999999997</v>
      </c>
      <c r="CL121" s="1405">
        <f t="shared" si="107"/>
        <v>1313.3889262799999</v>
      </c>
      <c r="CM121" s="897">
        <f t="shared" si="135"/>
        <v>1313.3889262799999</v>
      </c>
      <c r="CN121" s="897">
        <f t="shared" si="136"/>
        <v>0</v>
      </c>
      <c r="CO121" s="897">
        <f t="shared" si="118"/>
        <v>1313388.92628</v>
      </c>
      <c r="CP121" s="897">
        <f t="shared" si="119"/>
        <v>1313388.9262799998</v>
      </c>
      <c r="CQ121" s="897">
        <f t="shared" si="120"/>
        <v>1313388.9262799998</v>
      </c>
      <c r="CR121" s="897">
        <f t="shared" si="121"/>
        <v>747555.92628000001</v>
      </c>
      <c r="CS121" s="897">
        <f t="shared" si="122"/>
        <v>1313388.9262799998</v>
      </c>
      <c r="CT121" s="897">
        <f t="shared" si="123"/>
        <v>1313388.9262799998</v>
      </c>
      <c r="CU121" s="897">
        <f t="shared" si="124"/>
        <v>565833</v>
      </c>
      <c r="CV121" s="897">
        <f t="shared" si="137"/>
        <v>2626777.8525599996</v>
      </c>
      <c r="CW121" s="906">
        <f t="shared" si="138"/>
        <v>4526.6639999999998</v>
      </c>
      <c r="CX121" s="897">
        <f t="shared" si="125"/>
        <v>0</v>
      </c>
      <c r="CY121" s="897">
        <f t="shared" si="126"/>
        <v>0</v>
      </c>
      <c r="CZ121" s="897"/>
      <c r="DA121" s="897">
        <f t="shared" si="127"/>
        <v>1313388.9262799998</v>
      </c>
      <c r="DB121" s="897">
        <f t="shared" si="128"/>
        <v>1313388.9262799998</v>
      </c>
      <c r="DC121" s="1131"/>
      <c r="DD121" s="40" t="e">
        <f t="shared" si="139"/>
        <v>#DIV/0!</v>
      </c>
      <c r="DE121" s="1131"/>
      <c r="DF121" s="1131"/>
      <c r="DG121" s="1131"/>
      <c r="DH121" s="1043">
        <v>580.29</v>
      </c>
      <c r="DI121" s="1043">
        <v>0</v>
      </c>
      <c r="DJ121" s="1043">
        <f t="shared" si="108"/>
        <v>580.29</v>
      </c>
      <c r="DK121" s="979"/>
      <c r="DL121" s="908">
        <f t="shared" si="129"/>
        <v>0</v>
      </c>
      <c r="DM121" s="908">
        <f t="shared" si="130"/>
        <v>0</v>
      </c>
      <c r="DN121" s="908">
        <f t="shared" si="131"/>
        <v>0</v>
      </c>
      <c r="DO121" s="81"/>
      <c r="DP121" s="81"/>
      <c r="DQ121" s="81"/>
      <c r="DR121" s="81"/>
      <c r="DS121" s="81"/>
      <c r="DT121" s="81"/>
      <c r="DU121" s="81"/>
      <c r="DV121" s="81"/>
      <c r="DW121" s="81"/>
      <c r="DX121" s="81"/>
      <c r="DY121" s="81"/>
      <c r="DZ121" s="81"/>
      <c r="EA121" s="81"/>
      <c r="EB121" s="81"/>
      <c r="EC121" s="81"/>
      <c r="ED121" s="81"/>
      <c r="EE121" s="81"/>
      <c r="EF121" s="81"/>
      <c r="EG121" s="81"/>
      <c r="EH121" s="81"/>
      <c r="EI121" s="81"/>
      <c r="EJ121" s="81"/>
      <c r="EK121" s="81"/>
      <c r="EL121" s="81"/>
    </row>
    <row r="122" spans="1:142" s="50" customFormat="1" ht="69.75" customHeight="1">
      <c r="A122" s="6" t="e">
        <f t="shared" si="140"/>
        <v>#REF!</v>
      </c>
      <c r="B122" s="886" t="s">
        <v>43</v>
      </c>
      <c r="C122" s="886" t="s">
        <v>53</v>
      </c>
      <c r="D122" s="1018" t="s">
        <v>44</v>
      </c>
      <c r="E122" s="1019">
        <v>4633016372</v>
      </c>
      <c r="F122" s="886" t="s">
        <v>8</v>
      </c>
      <c r="G122" s="888" t="s">
        <v>949</v>
      </c>
      <c r="H122" s="925">
        <f>2086.64*1.2</f>
        <v>2503.9679999999998</v>
      </c>
      <c r="I122" s="891"/>
      <c r="J122" s="891"/>
      <c r="K122" s="891"/>
      <c r="L122" s="1010">
        <v>2503.9679999999998</v>
      </c>
      <c r="M122" s="1021"/>
      <c r="N122" s="891">
        <f>2249.04871096537*1.2</f>
        <v>2698.8584531584438</v>
      </c>
      <c r="O122" s="895"/>
      <c r="P122" s="895"/>
      <c r="Q122" s="895"/>
      <c r="R122" s="891">
        <v>2698.8584531584438</v>
      </c>
      <c r="S122" s="892"/>
      <c r="T122" s="903">
        <v>0</v>
      </c>
      <c r="U122" s="897">
        <v>0</v>
      </c>
      <c r="V122" s="897">
        <v>0</v>
      </c>
      <c r="W122" s="919">
        <v>6993.4409999999998</v>
      </c>
      <c r="X122" s="897">
        <v>0</v>
      </c>
      <c r="Y122" s="897">
        <v>0</v>
      </c>
      <c r="Z122" s="920">
        <f t="shared" si="113"/>
        <v>6993.4409999999998</v>
      </c>
      <c r="AA122" s="904">
        <v>0</v>
      </c>
      <c r="AB122" s="897">
        <v>0</v>
      </c>
      <c r="AC122" s="897">
        <v>0</v>
      </c>
      <c r="AD122" s="919">
        <v>4742.6549999999997</v>
      </c>
      <c r="AE122" s="897">
        <v>0</v>
      </c>
      <c r="AF122" s="897">
        <v>0</v>
      </c>
      <c r="AG122" s="1014">
        <v>4742.6549999999997</v>
      </c>
      <c r="AH122" s="896">
        <f t="shared" si="141"/>
        <v>11736.096</v>
      </c>
      <c r="AI122" s="897">
        <f t="shared" si="148"/>
        <v>0</v>
      </c>
      <c r="AJ122" s="897">
        <f t="shared" si="148"/>
        <v>0</v>
      </c>
      <c r="AK122" s="897">
        <f t="shared" si="148"/>
        <v>0</v>
      </c>
      <c r="AL122" s="897">
        <f t="shared" si="148"/>
        <v>11736.096</v>
      </c>
      <c r="AM122" s="897">
        <f t="shared" si="148"/>
        <v>0</v>
      </c>
      <c r="AN122" s="897"/>
      <c r="AO122" s="897">
        <f t="shared" si="152"/>
        <v>11736.096</v>
      </c>
      <c r="AP122" s="897">
        <f t="shared" si="153"/>
        <v>11736.096</v>
      </c>
      <c r="AQ122" s="901">
        <f t="shared" si="97"/>
        <v>11736.096</v>
      </c>
      <c r="AR122" s="902">
        <f t="shared" si="132"/>
        <v>0</v>
      </c>
      <c r="AS122" s="903">
        <f t="shared" ref="AS122:AW141" si="167">I122*AI122</f>
        <v>0</v>
      </c>
      <c r="AT122" s="897">
        <f t="shared" si="167"/>
        <v>0</v>
      </c>
      <c r="AU122" s="897">
        <f t="shared" si="167"/>
        <v>0</v>
      </c>
      <c r="AV122" s="897">
        <f t="shared" si="167"/>
        <v>29386808.828927997</v>
      </c>
      <c r="AW122" s="897">
        <f t="shared" si="167"/>
        <v>0</v>
      </c>
      <c r="AX122" s="897">
        <f t="shared" si="98"/>
        <v>29386808.828927997</v>
      </c>
      <c r="AY122" s="897">
        <f t="shared" si="99"/>
        <v>29386808.828927997</v>
      </c>
      <c r="AZ122" s="897">
        <f t="shared" si="156"/>
        <v>0</v>
      </c>
      <c r="BA122" s="897">
        <f t="shared" si="156"/>
        <v>0</v>
      </c>
      <c r="BB122" s="897">
        <f t="shared" si="156"/>
        <v>0</v>
      </c>
      <c r="BC122" s="897">
        <f t="shared" si="156"/>
        <v>31674061.896678999</v>
      </c>
      <c r="BD122" s="897">
        <f t="shared" si="156"/>
        <v>0</v>
      </c>
      <c r="BE122" s="897">
        <f t="shared" si="100"/>
        <v>31674061.896678999</v>
      </c>
      <c r="BF122" s="901">
        <f t="shared" si="101"/>
        <v>31674061.896678999</v>
      </c>
      <c r="BG122" s="904"/>
      <c r="BH122" s="897"/>
      <c r="BI122" s="897">
        <f t="shared" si="163"/>
        <v>0</v>
      </c>
      <c r="BJ122" s="897">
        <v>25259.255842543487</v>
      </c>
      <c r="BK122" s="1194">
        <v>28989.56</v>
      </c>
      <c r="BL122" s="897">
        <f t="shared" si="164"/>
        <v>0</v>
      </c>
      <c r="BM122" s="897">
        <f t="shared" si="164"/>
        <v>0</v>
      </c>
      <c r="BN122" s="897">
        <f t="shared" si="164"/>
        <v>0</v>
      </c>
      <c r="BO122" s="897">
        <f t="shared" si="164"/>
        <v>17511352.473887999</v>
      </c>
      <c r="BP122" s="897">
        <f t="shared" si="164"/>
        <v>0</v>
      </c>
      <c r="BQ122" s="897">
        <f t="shared" si="142"/>
        <v>17511352.473887999</v>
      </c>
      <c r="BR122" s="897">
        <f t="shared" si="143"/>
        <v>17511352.473887999</v>
      </c>
      <c r="BS122" s="897">
        <f t="shared" si="165"/>
        <v>0</v>
      </c>
      <c r="BT122" s="897">
        <f t="shared" si="165"/>
        <v>0</v>
      </c>
      <c r="BU122" s="897">
        <f t="shared" si="165"/>
        <v>0</v>
      </c>
      <c r="BV122" s="897">
        <f t="shared" si="144"/>
        <v>18874307.35951484</v>
      </c>
      <c r="BW122" s="897">
        <f t="shared" si="115"/>
        <v>0</v>
      </c>
      <c r="BX122" s="897">
        <f t="shared" si="145"/>
        <v>18874307.35951484</v>
      </c>
      <c r="BY122" s="897">
        <f t="shared" si="146"/>
        <v>18874307.35951484</v>
      </c>
      <c r="BZ122" s="905">
        <f t="shared" si="111"/>
        <v>0</v>
      </c>
      <c r="CA122" s="905">
        <f t="shared" si="111"/>
        <v>0</v>
      </c>
      <c r="CB122" s="905">
        <f t="shared" si="147"/>
        <v>0</v>
      </c>
      <c r="CC122" s="907" t="e">
        <f t="shared" si="112"/>
        <v>#DIV/0!</v>
      </c>
      <c r="CD122" s="907" t="e">
        <f t="shared" si="112"/>
        <v>#DIV/0!</v>
      </c>
      <c r="CE122" s="907" t="e">
        <f t="shared" si="133"/>
        <v>#DIV/0!</v>
      </c>
      <c r="CF122" s="905" t="e">
        <f t="shared" si="116"/>
        <v>#DIV/0!</v>
      </c>
      <c r="CG122" s="923">
        <f t="shared" si="117"/>
        <v>0</v>
      </c>
      <c r="CH122" s="923" t="e">
        <f t="shared" si="134"/>
        <v>#DIV/0!</v>
      </c>
      <c r="CI122" s="979"/>
      <c r="CJ122" s="1405">
        <f t="shared" si="106"/>
        <v>17511.352473887997</v>
      </c>
      <c r="CK122" s="1405">
        <f t="shared" si="102"/>
        <v>12799.754537164159</v>
      </c>
      <c r="CL122" s="1405">
        <f t="shared" si="107"/>
        <v>30311.107011052154</v>
      </c>
      <c r="CM122" s="897">
        <f t="shared" si="135"/>
        <v>31674.061896678999</v>
      </c>
      <c r="CN122" s="897">
        <f t="shared" si="136"/>
        <v>1362.9548856268448</v>
      </c>
      <c r="CO122" s="897">
        <f t="shared" si="118"/>
        <v>30311107.011052158</v>
      </c>
      <c r="CP122" s="897">
        <f t="shared" si="119"/>
        <v>29386808.828927997</v>
      </c>
      <c r="CQ122" s="897">
        <f t="shared" si="120"/>
        <v>29386808.828927997</v>
      </c>
      <c r="CR122" s="897">
        <f t="shared" si="121"/>
        <v>17511352.473887999</v>
      </c>
      <c r="CS122" s="897">
        <f t="shared" si="122"/>
        <v>31674061.896678999</v>
      </c>
      <c r="CT122" s="897">
        <f t="shared" si="123"/>
        <v>31674061.896678999</v>
      </c>
      <c r="CU122" s="897">
        <f t="shared" si="124"/>
        <v>12799754.537164159</v>
      </c>
      <c r="CV122" s="897">
        <f t="shared" si="137"/>
        <v>61060870.725606993</v>
      </c>
      <c r="CW122" s="906">
        <f t="shared" si="138"/>
        <v>5202.8264531584437</v>
      </c>
      <c r="CX122" s="897">
        <f t="shared" si="125"/>
        <v>0</v>
      </c>
      <c r="CY122" s="897">
        <f t="shared" si="126"/>
        <v>0</v>
      </c>
      <c r="CZ122" s="897"/>
      <c r="DA122" s="897">
        <f t="shared" si="127"/>
        <v>29386808.828927997</v>
      </c>
      <c r="DB122" s="897">
        <f t="shared" si="128"/>
        <v>31674061.896678999</v>
      </c>
      <c r="DC122" s="1131"/>
      <c r="DD122" s="40" t="e">
        <f t="shared" si="139"/>
        <v>#DIV/0!</v>
      </c>
      <c r="DE122" s="1131"/>
      <c r="DF122" s="1131"/>
      <c r="DG122" s="1131"/>
      <c r="DH122" s="1043">
        <v>11736.096</v>
      </c>
      <c r="DI122" s="1043">
        <v>0</v>
      </c>
      <c r="DJ122" s="1043">
        <f t="shared" si="108"/>
        <v>11736.096</v>
      </c>
      <c r="DK122" s="979"/>
      <c r="DL122" s="908">
        <f t="shared" si="129"/>
        <v>0</v>
      </c>
      <c r="DM122" s="908">
        <f t="shared" si="130"/>
        <v>0</v>
      </c>
      <c r="DN122" s="908">
        <f t="shared" si="131"/>
        <v>0</v>
      </c>
      <c r="DO122" s="81"/>
      <c r="DP122" s="81"/>
      <c r="DQ122" s="81"/>
      <c r="DR122" s="81"/>
      <c r="DS122" s="81"/>
      <c r="DT122" s="81"/>
      <c r="DU122" s="81"/>
      <c r="DV122" s="81"/>
      <c r="DW122" s="81"/>
      <c r="DX122" s="81"/>
      <c r="DY122" s="81"/>
      <c r="DZ122" s="81"/>
      <c r="EA122" s="81"/>
      <c r="EB122" s="81"/>
      <c r="EC122" s="81"/>
      <c r="ED122" s="81"/>
      <c r="EE122" s="81"/>
      <c r="EF122" s="81"/>
      <c r="EG122" s="81"/>
      <c r="EH122" s="81"/>
      <c r="EI122" s="81"/>
      <c r="EJ122" s="81"/>
      <c r="EK122" s="81"/>
      <c r="EL122" s="81"/>
    </row>
    <row r="123" spans="1:142" s="50" customFormat="1" ht="73.5" customHeight="1">
      <c r="A123" s="6" t="e">
        <f t="shared" si="140"/>
        <v>#REF!</v>
      </c>
      <c r="B123" s="886" t="s">
        <v>43</v>
      </c>
      <c r="C123" s="886" t="s">
        <v>53</v>
      </c>
      <c r="D123" s="886" t="s">
        <v>46</v>
      </c>
      <c r="E123" s="886">
        <v>4633022993</v>
      </c>
      <c r="F123" s="886" t="s">
        <v>8</v>
      </c>
      <c r="G123" s="888" t="s">
        <v>974</v>
      </c>
      <c r="H123" s="925">
        <v>1701.14</v>
      </c>
      <c r="I123" s="891"/>
      <c r="J123" s="891">
        <v>1701.14</v>
      </c>
      <c r="K123" s="891">
        <v>1701.14</v>
      </c>
      <c r="L123" s="891"/>
      <c r="M123" s="892"/>
      <c r="N123" s="927">
        <v>1837.55</v>
      </c>
      <c r="O123" s="928"/>
      <c r="P123" s="928">
        <v>1837.55</v>
      </c>
      <c r="Q123" s="928">
        <v>1837.55</v>
      </c>
      <c r="R123" s="891"/>
      <c r="S123" s="892"/>
      <c r="T123" s="1012"/>
      <c r="U123" s="919">
        <f>26686.2284-0.168</f>
        <v>26686.060399999998</v>
      </c>
      <c r="V123" s="919">
        <v>6671.5571</v>
      </c>
      <c r="W123" s="1003"/>
      <c r="X123" s="1003"/>
      <c r="Y123" s="1003"/>
      <c r="Z123" s="898">
        <f>SUM(T123:W123)</f>
        <v>33357.6175</v>
      </c>
      <c r="AA123" s="1013"/>
      <c r="AB123" s="919">
        <v>9510.5059119999987</v>
      </c>
      <c r="AC123" s="919">
        <v>2377.6264779999997</v>
      </c>
      <c r="AD123" s="1003"/>
      <c r="AE123" s="1003"/>
      <c r="AF123" s="1003">
        <v>0</v>
      </c>
      <c r="AG123" s="900">
        <f>SUM(AA123:AD123)</f>
        <v>11888.132389999999</v>
      </c>
      <c r="AH123" s="896">
        <f>Z123+AG123</f>
        <v>45245.749889999999</v>
      </c>
      <c r="AI123" s="897">
        <f t="shared" si="148"/>
        <v>0</v>
      </c>
      <c r="AJ123" s="1022">
        <f t="shared" si="148"/>
        <v>36196.566311999995</v>
      </c>
      <c r="AK123" s="897">
        <f t="shared" si="148"/>
        <v>9049.1835780000001</v>
      </c>
      <c r="AL123" s="897">
        <f t="shared" si="148"/>
        <v>0</v>
      </c>
      <c r="AM123" s="897">
        <f t="shared" si="148"/>
        <v>0</v>
      </c>
      <c r="AN123" s="897"/>
      <c r="AO123" s="897">
        <f t="shared" si="152"/>
        <v>45245.749889999992</v>
      </c>
      <c r="AP123" s="897">
        <f t="shared" si="153"/>
        <v>45245.749889999992</v>
      </c>
      <c r="AQ123" s="1011">
        <f t="shared" si="97"/>
        <v>45245.749889999992</v>
      </c>
      <c r="AR123" s="902">
        <f t="shared" si="132"/>
        <v>0</v>
      </c>
      <c r="AS123" s="903">
        <f t="shared" si="167"/>
        <v>0</v>
      </c>
      <c r="AT123" s="897">
        <f t="shared" si="167"/>
        <v>61575426.815995678</v>
      </c>
      <c r="AU123" s="897">
        <f t="shared" si="167"/>
        <v>15393928.151878921</v>
      </c>
      <c r="AV123" s="897">
        <f t="shared" si="167"/>
        <v>0</v>
      </c>
      <c r="AW123" s="897">
        <f t="shared" si="167"/>
        <v>0</v>
      </c>
      <c r="AX123" s="897">
        <f t="shared" si="98"/>
        <v>76969354.967874601</v>
      </c>
      <c r="AY123" s="897">
        <f t="shared" si="99"/>
        <v>76969354.967874601</v>
      </c>
      <c r="AZ123" s="897">
        <f t="shared" si="156"/>
        <v>0</v>
      </c>
      <c r="BA123" s="897">
        <f t="shared" si="156"/>
        <v>66513000.426615588</v>
      </c>
      <c r="BB123" s="897">
        <f t="shared" si="156"/>
        <v>16628327.2837539</v>
      </c>
      <c r="BC123" s="897">
        <f t="shared" si="156"/>
        <v>0</v>
      </c>
      <c r="BD123" s="897">
        <f t="shared" si="156"/>
        <v>0</v>
      </c>
      <c r="BE123" s="897">
        <f t="shared" si="100"/>
        <v>83141327.710369483</v>
      </c>
      <c r="BF123" s="901">
        <f t="shared" si="101"/>
        <v>83141327.710369483</v>
      </c>
      <c r="BG123" s="904"/>
      <c r="BH123" s="897"/>
      <c r="BI123" s="897">
        <f t="shared" si="163"/>
        <v>0</v>
      </c>
      <c r="BJ123" s="987">
        <v>79682.927563749559</v>
      </c>
      <c r="BK123" s="1194">
        <v>89725.693499999994</v>
      </c>
      <c r="BL123" s="897">
        <f t="shared" si="164"/>
        <v>0</v>
      </c>
      <c r="BM123" s="897">
        <f t="shared" si="164"/>
        <v>45396724.788856</v>
      </c>
      <c r="BN123" s="897">
        <f t="shared" si="164"/>
        <v>11349252.645094</v>
      </c>
      <c r="BO123" s="897">
        <f t="shared" si="164"/>
        <v>0</v>
      </c>
      <c r="BP123" s="897">
        <f t="shared" si="164"/>
        <v>0</v>
      </c>
      <c r="BQ123" s="897">
        <f t="shared" si="142"/>
        <v>56745977.43395</v>
      </c>
      <c r="BR123" s="897">
        <f t="shared" si="143"/>
        <v>56745977.43395</v>
      </c>
      <c r="BS123" s="897">
        <f t="shared" si="165"/>
        <v>0</v>
      </c>
      <c r="BT123" s="897">
        <f t="shared" si="165"/>
        <v>17476030.138595596</v>
      </c>
      <c r="BU123" s="897">
        <f t="shared" si="165"/>
        <v>4369007.534648899</v>
      </c>
      <c r="BV123" s="897">
        <f t="shared" si="144"/>
        <v>0</v>
      </c>
      <c r="BW123" s="897">
        <f t="shared" si="115"/>
        <v>0</v>
      </c>
      <c r="BX123" s="897">
        <f t="shared" si="145"/>
        <v>21845037.673244495</v>
      </c>
      <c r="BY123" s="897">
        <f t="shared" si="146"/>
        <v>21845037.673244495</v>
      </c>
      <c r="BZ123" s="905">
        <f t="shared" si="111"/>
        <v>62872754.927451596</v>
      </c>
      <c r="CA123" s="905">
        <f t="shared" si="111"/>
        <v>15718260.179742899</v>
      </c>
      <c r="CB123" s="905">
        <f t="shared" si="147"/>
        <v>78591015.107194498</v>
      </c>
      <c r="CC123" s="907">
        <f t="shared" si="112"/>
        <v>1736.9811927881078</v>
      </c>
      <c r="CD123" s="907">
        <f t="shared" si="112"/>
        <v>1736.9810264382834</v>
      </c>
      <c r="CE123" s="907">
        <f t="shared" si="133"/>
        <v>1736.9811595180197</v>
      </c>
      <c r="CF123" s="907">
        <f t="shared" si="116"/>
        <v>1736.9811595180195</v>
      </c>
      <c r="CG123" s="923">
        <f t="shared" si="117"/>
        <v>0</v>
      </c>
      <c r="CH123" s="923">
        <f t="shared" si="134"/>
        <v>0</v>
      </c>
      <c r="CI123" s="979"/>
      <c r="CJ123" s="1405">
        <f t="shared" si="106"/>
        <v>56745.977433950007</v>
      </c>
      <c r="CK123" s="1405">
        <f t="shared" si="102"/>
        <v>21845.0376732445</v>
      </c>
      <c r="CL123" s="1405">
        <f t="shared" si="107"/>
        <v>78591.015107194515</v>
      </c>
      <c r="CM123" s="897">
        <f t="shared" si="135"/>
        <v>83141.3277103695</v>
      </c>
      <c r="CN123" s="897">
        <f t="shared" si="136"/>
        <v>4550.3126031749853</v>
      </c>
      <c r="CO123" s="897">
        <f t="shared" si="118"/>
        <v>78591015.107194513</v>
      </c>
      <c r="CP123" s="897">
        <f t="shared" si="119"/>
        <v>76969354.967874601</v>
      </c>
      <c r="CQ123" s="897">
        <f t="shared" si="120"/>
        <v>76969354.967874587</v>
      </c>
      <c r="CR123" s="897">
        <f t="shared" si="121"/>
        <v>56745977.43395</v>
      </c>
      <c r="CS123" s="897">
        <f t="shared" si="122"/>
        <v>83141327.710369483</v>
      </c>
      <c r="CT123" s="897">
        <f t="shared" si="123"/>
        <v>83141327.710369483</v>
      </c>
      <c r="CU123" s="897">
        <f t="shared" si="124"/>
        <v>21845037.673244495</v>
      </c>
      <c r="CV123" s="897">
        <f t="shared" si="137"/>
        <v>160110682.67824408</v>
      </c>
      <c r="CW123" s="906">
        <f t="shared" si="138"/>
        <v>3538.6899999999996</v>
      </c>
      <c r="CX123" s="897">
        <f t="shared" si="125"/>
        <v>76969354.967874601</v>
      </c>
      <c r="CY123" s="897">
        <f t="shared" si="126"/>
        <v>83141327.710369483</v>
      </c>
      <c r="CZ123" s="897"/>
      <c r="DA123" s="897">
        <f t="shared" si="127"/>
        <v>76969354.967874601</v>
      </c>
      <c r="DB123" s="897">
        <f t="shared" si="128"/>
        <v>83141327.710369483</v>
      </c>
      <c r="DC123" s="1131"/>
      <c r="DD123" s="40">
        <f t="shared" si="139"/>
        <v>108.01874037410207</v>
      </c>
      <c r="DE123" s="1131"/>
      <c r="DF123" s="1131"/>
      <c r="DG123" s="1131"/>
      <c r="DH123" s="1043">
        <v>45245.752166666702</v>
      </c>
      <c r="DI123" s="1043">
        <v>45245.752166666702</v>
      </c>
      <c r="DJ123" s="1043">
        <f t="shared" si="108"/>
        <v>0</v>
      </c>
      <c r="DK123" s="979"/>
      <c r="DL123" s="908">
        <f t="shared" si="129"/>
        <v>0</v>
      </c>
      <c r="DM123" s="908">
        <f t="shared" si="130"/>
        <v>0</v>
      </c>
      <c r="DN123" s="908">
        <f t="shared" si="131"/>
        <v>0</v>
      </c>
      <c r="DO123" s="81"/>
      <c r="DP123" s="81"/>
      <c r="DQ123" s="81"/>
      <c r="DR123" s="81"/>
      <c r="DS123" s="81"/>
      <c r="DT123" s="81"/>
      <c r="DU123" s="81"/>
      <c r="DV123" s="81"/>
      <c r="DW123" s="81"/>
      <c r="DX123" s="81"/>
      <c r="DY123" s="81"/>
      <c r="DZ123" s="81"/>
      <c r="EA123" s="81"/>
      <c r="EB123" s="81"/>
      <c r="EC123" s="81"/>
      <c r="ED123" s="81"/>
      <c r="EE123" s="81"/>
      <c r="EF123" s="81"/>
      <c r="EG123" s="81"/>
      <c r="EH123" s="81"/>
      <c r="EI123" s="81"/>
      <c r="EJ123" s="81"/>
      <c r="EK123" s="81"/>
      <c r="EL123" s="81"/>
    </row>
    <row r="124" spans="1:142" s="81" customFormat="1" ht="71.25" customHeight="1">
      <c r="A124" s="6" t="e">
        <f t="shared" si="140"/>
        <v>#REF!</v>
      </c>
      <c r="B124" s="886" t="s">
        <v>43</v>
      </c>
      <c r="C124" s="886" t="s">
        <v>53</v>
      </c>
      <c r="D124" s="886" t="s">
        <v>166</v>
      </c>
      <c r="E124" s="886">
        <v>4633039010</v>
      </c>
      <c r="F124" s="886" t="s">
        <v>8</v>
      </c>
      <c r="G124" s="888" t="s">
        <v>955</v>
      </c>
      <c r="H124" s="925">
        <v>1571.285756878892</v>
      </c>
      <c r="I124" s="891">
        <v>0</v>
      </c>
      <c r="J124" s="891">
        <v>1571.285756878892</v>
      </c>
      <c r="K124" s="891">
        <v>1571.285756878892</v>
      </c>
      <c r="L124" s="891">
        <v>1571.285756878892</v>
      </c>
      <c r="M124" s="892">
        <v>0</v>
      </c>
      <c r="N124" s="927">
        <v>1717.71</v>
      </c>
      <c r="O124" s="928"/>
      <c r="P124" s="928">
        <v>1717.71</v>
      </c>
      <c r="Q124" s="928">
        <v>1717.71</v>
      </c>
      <c r="R124" s="891">
        <v>1717.71</v>
      </c>
      <c r="S124" s="926"/>
      <c r="T124" s="903">
        <v>0</v>
      </c>
      <c r="U124" s="919">
        <v>4001.3144500000003</v>
      </c>
      <c r="V124" s="919">
        <v>1700.0879000000002</v>
      </c>
      <c r="W124" s="919">
        <v>180.45496</v>
      </c>
      <c r="X124" s="897">
        <v>0</v>
      </c>
      <c r="Y124" s="897">
        <v>0</v>
      </c>
      <c r="Z124" s="898">
        <f>SUM(T124:W124)</f>
        <v>5881.8573100000003</v>
      </c>
      <c r="AA124" s="904">
        <v>0</v>
      </c>
      <c r="AB124" s="919">
        <v>3234.3355499999998</v>
      </c>
      <c r="AC124" s="919">
        <v>1374.2121000000002</v>
      </c>
      <c r="AD124" s="919">
        <v>145.86503999999999</v>
      </c>
      <c r="AE124" s="919">
        <v>0</v>
      </c>
      <c r="AF124" s="897">
        <v>0</v>
      </c>
      <c r="AG124" s="900">
        <f t="shared" si="114"/>
        <v>4754.4126900000001</v>
      </c>
      <c r="AH124" s="896">
        <f>Z124+AG124</f>
        <v>10636.27</v>
      </c>
      <c r="AI124" s="897">
        <f t="shared" si="148"/>
        <v>0</v>
      </c>
      <c r="AJ124" s="897">
        <f t="shared" si="148"/>
        <v>7235.65</v>
      </c>
      <c r="AK124" s="897">
        <f t="shared" si="148"/>
        <v>3074.3</v>
      </c>
      <c r="AL124" s="897">
        <f t="shared" si="148"/>
        <v>326.32</v>
      </c>
      <c r="AM124" s="897">
        <f t="shared" si="148"/>
        <v>0</v>
      </c>
      <c r="AN124" s="897">
        <v>0</v>
      </c>
      <c r="AO124" s="897">
        <f t="shared" si="152"/>
        <v>10636.27</v>
      </c>
      <c r="AP124" s="897">
        <f t="shared" si="153"/>
        <v>10636.27</v>
      </c>
      <c r="AQ124" s="901">
        <f t="shared" si="97"/>
        <v>10636.27</v>
      </c>
      <c r="AR124" s="902">
        <f t="shared" si="132"/>
        <v>0</v>
      </c>
      <c r="AS124" s="903">
        <f t="shared" si="167"/>
        <v>0</v>
      </c>
      <c r="AT124" s="897">
        <f t="shared" si="167"/>
        <v>11369273.786760755</v>
      </c>
      <c r="AU124" s="897">
        <f t="shared" si="167"/>
        <v>4830603.8023727778</v>
      </c>
      <c r="AV124" s="897">
        <f t="shared" si="167"/>
        <v>512741.96818472003</v>
      </c>
      <c r="AW124" s="897">
        <f t="shared" si="167"/>
        <v>0</v>
      </c>
      <c r="AX124" s="897">
        <f t="shared" si="98"/>
        <v>16712619.557318253</v>
      </c>
      <c r="AY124" s="897">
        <f t="shared" si="99"/>
        <v>16712619.557318253</v>
      </c>
      <c r="AZ124" s="897">
        <f t="shared" si="156"/>
        <v>0</v>
      </c>
      <c r="BA124" s="897">
        <f t="shared" si="156"/>
        <v>12428748.361499999</v>
      </c>
      <c r="BB124" s="897">
        <f t="shared" si="156"/>
        <v>5280755.8530000001</v>
      </c>
      <c r="BC124" s="897">
        <f t="shared" si="156"/>
        <v>560523.12719999999</v>
      </c>
      <c r="BD124" s="897">
        <f t="shared" si="156"/>
        <v>0</v>
      </c>
      <c r="BE124" s="897">
        <f t="shared" si="100"/>
        <v>18270027.341699999</v>
      </c>
      <c r="BF124" s="901">
        <f t="shared" si="101"/>
        <v>18270027.341699999</v>
      </c>
      <c r="BG124" s="904">
        <v>0</v>
      </c>
      <c r="BH124" s="897">
        <v>0</v>
      </c>
      <c r="BI124" s="897">
        <f t="shared" si="163"/>
        <v>0</v>
      </c>
      <c r="BJ124" s="919">
        <v>17408.819379827219</v>
      </c>
      <c r="BK124" s="1203">
        <v>20719.660000000003</v>
      </c>
      <c r="BL124" s="897">
        <f t="shared" si="164"/>
        <v>0</v>
      </c>
      <c r="BM124" s="897">
        <f t="shared" si="164"/>
        <v>6287208.4040786978</v>
      </c>
      <c r="BN124" s="897">
        <f t="shared" si="164"/>
        <v>2671323.9027121463</v>
      </c>
      <c r="BO124" s="897">
        <f t="shared" si="164"/>
        <v>283546.3084061502</v>
      </c>
      <c r="BP124" s="897">
        <f t="shared" si="164"/>
        <v>0</v>
      </c>
      <c r="BQ124" s="897">
        <f>BL124+BM124+BN124+BO124+BP124</f>
        <v>9242078.6151969936</v>
      </c>
      <c r="BR124" s="897">
        <f t="shared" si="143"/>
        <v>9242078.6151969936</v>
      </c>
      <c r="BS124" s="897">
        <f t="shared" si="165"/>
        <v>0</v>
      </c>
      <c r="BT124" s="897">
        <f t="shared" si="165"/>
        <v>5555650.5175904995</v>
      </c>
      <c r="BU124" s="897">
        <f t="shared" si="165"/>
        <v>2360497.8662910005</v>
      </c>
      <c r="BV124" s="897">
        <f t="shared" si="144"/>
        <v>309969.28934160003</v>
      </c>
      <c r="BW124" s="897">
        <f t="shared" si="115"/>
        <v>0</v>
      </c>
      <c r="BX124" s="897">
        <f t="shared" si="145"/>
        <v>8226117.6732230997</v>
      </c>
      <c r="BY124" s="897">
        <f t="shared" si="146"/>
        <v>8226117.6732230997</v>
      </c>
      <c r="BZ124" s="905">
        <f t="shared" si="111"/>
        <v>11842858.921669196</v>
      </c>
      <c r="CA124" s="905">
        <f t="shared" si="111"/>
        <v>5031821.7690031473</v>
      </c>
      <c r="CB124" s="905">
        <f t="shared" si="147"/>
        <v>16874680.690672345</v>
      </c>
      <c r="CC124" s="907">
        <f t="shared" si="112"/>
        <v>1636.7373935540272</v>
      </c>
      <c r="CD124" s="907">
        <f t="shared" si="112"/>
        <v>1636.7373935540277</v>
      </c>
      <c r="CE124" s="907">
        <f t="shared" si="133"/>
        <v>1636.7373935540274</v>
      </c>
      <c r="CF124" s="907">
        <f t="shared" si="116"/>
        <v>1636.7373935540274</v>
      </c>
      <c r="CG124" s="923">
        <f t="shared" si="117"/>
        <v>0</v>
      </c>
      <c r="CH124" s="923">
        <f t="shared" si="134"/>
        <v>0</v>
      </c>
      <c r="CI124" s="979"/>
      <c r="CJ124" s="1405">
        <f t="shared" si="106"/>
        <v>9242.0786151969933</v>
      </c>
      <c r="CK124" s="1405">
        <f t="shared" si="102"/>
        <v>8166.7022217398999</v>
      </c>
      <c r="CL124" s="1405">
        <f t="shared" si="107"/>
        <v>17408.780836936894</v>
      </c>
      <c r="CM124" s="897">
        <f t="shared" si="135"/>
        <v>18270.027341700003</v>
      </c>
      <c r="CN124" s="897">
        <f t="shared" si="136"/>
        <v>861.24650476310853</v>
      </c>
      <c r="CO124" s="897">
        <f t="shared" si="118"/>
        <v>17408780.836936895</v>
      </c>
      <c r="CP124" s="897">
        <f t="shared" si="119"/>
        <v>16712619.557318253</v>
      </c>
      <c r="CQ124" s="897">
        <f t="shared" si="120"/>
        <v>16712619.557318255</v>
      </c>
      <c r="CR124" s="897">
        <f t="shared" si="121"/>
        <v>9242078.6151969936</v>
      </c>
      <c r="CS124" s="897">
        <f t="shared" si="122"/>
        <v>18270027.341699999</v>
      </c>
      <c r="CT124" s="897">
        <f t="shared" si="123"/>
        <v>18270027.341700003</v>
      </c>
      <c r="CU124" s="897">
        <f t="shared" si="124"/>
        <v>8166702.2217399003</v>
      </c>
      <c r="CV124" s="897">
        <f t="shared" si="137"/>
        <v>34982646.89901825</v>
      </c>
      <c r="CW124" s="906">
        <f t="shared" si="138"/>
        <v>3288.9957568788918</v>
      </c>
      <c r="CX124" s="897">
        <f t="shared" si="125"/>
        <v>16199877.589133533</v>
      </c>
      <c r="CY124" s="897">
        <f t="shared" si="126"/>
        <v>17709504.214499999</v>
      </c>
      <c r="CZ124" s="897"/>
      <c r="DA124" s="897">
        <f t="shared" si="127"/>
        <v>16712619.557318253</v>
      </c>
      <c r="DB124" s="897">
        <f t="shared" si="128"/>
        <v>18270027.341699999</v>
      </c>
      <c r="DC124" s="1131"/>
      <c r="DD124" s="40">
        <f t="shared" si="139"/>
        <v>109.31875328724144</v>
      </c>
      <c r="DE124" s="1131"/>
      <c r="DF124" s="1131"/>
      <c r="DG124" s="1131"/>
      <c r="DH124" s="897">
        <v>8204.75</v>
      </c>
      <c r="DI124" s="897">
        <v>7915.04</v>
      </c>
      <c r="DJ124" s="897">
        <f t="shared" si="108"/>
        <v>289.71000000000004</v>
      </c>
      <c r="DK124" s="979"/>
      <c r="DL124" s="908">
        <f t="shared" si="129"/>
        <v>0</v>
      </c>
      <c r="DM124" s="908">
        <f t="shared" si="130"/>
        <v>0</v>
      </c>
      <c r="DN124" s="908">
        <f t="shared" si="131"/>
        <v>0</v>
      </c>
    </row>
    <row r="125" spans="1:142" s="50" customFormat="1" ht="78" customHeight="1">
      <c r="A125" s="6" t="e">
        <f t="shared" si="140"/>
        <v>#REF!</v>
      </c>
      <c r="B125" s="886" t="s">
        <v>47</v>
      </c>
      <c r="C125" s="1414" t="s">
        <v>56</v>
      </c>
      <c r="D125" s="1414" t="s">
        <v>984</v>
      </c>
      <c r="E125" s="1338">
        <v>4632121159</v>
      </c>
      <c r="F125" s="1338" t="s">
        <v>8</v>
      </c>
      <c r="G125" s="1347" t="s">
        <v>985</v>
      </c>
      <c r="H125" s="925">
        <v>2115.6799999999998</v>
      </c>
      <c r="I125" s="891">
        <v>2115.6799999999998</v>
      </c>
      <c r="J125" s="891">
        <v>2115.6799999999998</v>
      </c>
      <c r="K125" s="891"/>
      <c r="L125" s="891">
        <v>2115.6799999999998</v>
      </c>
      <c r="M125" s="946"/>
      <c r="N125" s="959">
        <v>2391.91</v>
      </c>
      <c r="O125" s="891">
        <v>2391.91</v>
      </c>
      <c r="P125" s="891">
        <v>2391.91</v>
      </c>
      <c r="Q125" s="891"/>
      <c r="R125" s="891">
        <v>2391.91</v>
      </c>
      <c r="S125" s="946"/>
      <c r="T125" s="1339">
        <v>2969.9339999999997</v>
      </c>
      <c r="U125" s="1264">
        <v>75174.8</v>
      </c>
      <c r="V125" s="1344">
        <v>0</v>
      </c>
      <c r="W125" s="1264">
        <v>2375.1547921505057</v>
      </c>
      <c r="X125" s="1344">
        <v>0</v>
      </c>
      <c r="Y125" s="1344"/>
      <c r="Z125" s="1345">
        <f>SUM(T125:W125)</f>
        <v>80519.888792150508</v>
      </c>
      <c r="AA125" s="1319">
        <v>2640.0660000000003</v>
      </c>
      <c r="AB125" s="1264">
        <v>66825.2</v>
      </c>
      <c r="AC125" s="1344">
        <v>0</v>
      </c>
      <c r="AD125" s="1264">
        <v>3488.6452078494972</v>
      </c>
      <c r="AE125" s="1344">
        <v>0</v>
      </c>
      <c r="AF125" s="1344">
        <v>0</v>
      </c>
      <c r="AG125" s="1346">
        <f>SUM(AA125:AD125)</f>
        <v>72953.911207849495</v>
      </c>
      <c r="AH125" s="1295">
        <f>Z125+AG125</f>
        <v>153473.79999999999</v>
      </c>
      <c r="AI125" s="1264">
        <f>T125+AA125</f>
        <v>5610</v>
      </c>
      <c r="AJ125" s="1264">
        <f>U125+AB125</f>
        <v>142000</v>
      </c>
      <c r="AK125" s="1344">
        <f>V125+AC125</f>
        <v>0</v>
      </c>
      <c r="AL125" s="1264">
        <f>W125+AD125</f>
        <v>5863.8000000000029</v>
      </c>
      <c r="AM125" s="1344">
        <f t="shared" si="148"/>
        <v>0</v>
      </c>
      <c r="AN125" s="1344"/>
      <c r="AO125" s="1264">
        <f>SUM(AI125:AN125)</f>
        <v>153473.79999999999</v>
      </c>
      <c r="AP125" s="1264">
        <f>SUM(AI125:AM125)</f>
        <v>153473.79999999999</v>
      </c>
      <c r="AQ125" s="1340">
        <f>SUM(AI125:AL125)</f>
        <v>153473.79999999999</v>
      </c>
      <c r="AR125" s="1016">
        <f t="shared" si="132"/>
        <v>0</v>
      </c>
      <c r="AS125" s="1024">
        <f t="shared" si="167"/>
        <v>11868964.799999999</v>
      </c>
      <c r="AT125" s="1023">
        <f t="shared" si="167"/>
        <v>300426560</v>
      </c>
      <c r="AU125" s="1023">
        <f t="shared" si="167"/>
        <v>0</v>
      </c>
      <c r="AV125" s="1023">
        <f t="shared" si="167"/>
        <v>12405924.384000005</v>
      </c>
      <c r="AW125" s="1023">
        <f t="shared" si="167"/>
        <v>0</v>
      </c>
      <c r="AX125" s="1023">
        <f t="shared" si="98"/>
        <v>324701449.18400002</v>
      </c>
      <c r="AY125" s="1023">
        <f t="shared" si="99"/>
        <v>324701449.18400002</v>
      </c>
      <c r="AZ125" s="1023">
        <f t="shared" si="156"/>
        <v>13418615.1</v>
      </c>
      <c r="BA125" s="1023">
        <f t="shared" si="156"/>
        <v>339651220</v>
      </c>
      <c r="BB125" s="1023">
        <f t="shared" si="156"/>
        <v>0</v>
      </c>
      <c r="BC125" s="1023">
        <f t="shared" si="156"/>
        <v>14025681.858000007</v>
      </c>
      <c r="BD125" s="1023">
        <f t="shared" si="156"/>
        <v>0</v>
      </c>
      <c r="BE125" s="1023">
        <f t="shared" si="100"/>
        <v>367095516.958</v>
      </c>
      <c r="BF125" s="1025">
        <f t="shared" si="101"/>
        <v>367095516.958</v>
      </c>
      <c r="BG125" s="1026"/>
      <c r="BH125" s="1023"/>
      <c r="BI125" s="1023">
        <f t="shared" si="163"/>
        <v>0</v>
      </c>
      <c r="BJ125" s="1424">
        <v>287378.5608190262</v>
      </c>
      <c r="BK125" s="1423">
        <v>403248.77103301126</v>
      </c>
      <c r="BL125" s="1023">
        <f>I125*T125</f>
        <v>6283429.9651199989</v>
      </c>
      <c r="BM125" s="1023">
        <f>J125*U125</f>
        <v>159045820.86399999</v>
      </c>
      <c r="BN125" s="1023">
        <f t="shared" si="164"/>
        <v>0</v>
      </c>
      <c r="BO125" s="1023">
        <f>L125*W125</f>
        <v>5025067.4906569812</v>
      </c>
      <c r="BP125" s="1023">
        <f t="shared" si="164"/>
        <v>0</v>
      </c>
      <c r="BQ125" s="1023">
        <f>BL125+BM125+BN125+BO125+BP125</f>
        <v>170354318.31977695</v>
      </c>
      <c r="BR125" s="1023">
        <f>BQ125-BP125</f>
        <v>170354318.31977695</v>
      </c>
      <c r="BS125" s="1023">
        <f>O125*AA125</f>
        <v>6314800.2660600003</v>
      </c>
      <c r="BT125" s="1023">
        <f>P125*AB125</f>
        <v>159839864.13199997</v>
      </c>
      <c r="BU125" s="1023">
        <f t="shared" si="165"/>
        <v>0</v>
      </c>
      <c r="BV125" s="1023">
        <f>R125*W125</f>
        <v>5681156.4988927161</v>
      </c>
      <c r="BW125" s="1023">
        <f t="shared" si="115"/>
        <v>0</v>
      </c>
      <c r="BX125" s="1023">
        <f>BS125+BT125+BU125+BV125+BW125</f>
        <v>171835820.89695269</v>
      </c>
      <c r="BY125" s="1023">
        <f>BX125-BW125</f>
        <v>171835820.89695269</v>
      </c>
      <c r="BZ125" s="1027">
        <f t="shared" si="111"/>
        <v>318885684.99599993</v>
      </c>
      <c r="CA125" s="1027">
        <f t="shared" si="111"/>
        <v>0</v>
      </c>
      <c r="CB125" s="1027">
        <f t="shared" si="147"/>
        <v>318885684.99599993</v>
      </c>
      <c r="CC125" s="1010">
        <f t="shared" si="112"/>
        <v>2245.6738379999997</v>
      </c>
      <c r="CD125" s="1010" t="e">
        <f t="shared" si="112"/>
        <v>#DIV/0!</v>
      </c>
      <c r="CE125" s="1010">
        <f t="shared" si="133"/>
        <v>2245.6738379999997</v>
      </c>
      <c r="CF125" s="1010">
        <f t="shared" si="116"/>
        <v>2245.6738379999997</v>
      </c>
      <c r="CG125" s="1028">
        <f t="shared" si="117"/>
        <v>318885684.99599993</v>
      </c>
      <c r="CH125" s="1028">
        <f t="shared" si="134"/>
        <v>2245.6738379999997</v>
      </c>
      <c r="CI125" s="979"/>
      <c r="CJ125" s="1405">
        <f>H125*Z125/1000+0.764905887132045/2</f>
        <v>170354.70077272053</v>
      </c>
      <c r="CK125" s="1405">
        <f>N125*AG125/1000+0.764905887132045/2</f>
        <v>174499.57221011084</v>
      </c>
      <c r="CL125" s="1405">
        <f t="shared" si="107"/>
        <v>344854.27298283135</v>
      </c>
      <c r="CM125" s="897">
        <f t="shared" si="135"/>
        <v>367095.51695799996</v>
      </c>
      <c r="CN125" s="897">
        <f t="shared" si="136"/>
        <v>22241.243975168618</v>
      </c>
      <c r="CO125" s="1023">
        <f t="shared" si="118"/>
        <v>344853508.07694423</v>
      </c>
      <c r="CP125" s="1023">
        <f t="shared" si="119"/>
        <v>324701449.18400002</v>
      </c>
      <c r="CQ125" s="1023">
        <f t="shared" si="120"/>
        <v>324701449.18400002</v>
      </c>
      <c r="CR125" s="1023">
        <f t="shared" si="121"/>
        <v>170354318.31977695</v>
      </c>
      <c r="CS125" s="1023">
        <f t="shared" si="122"/>
        <v>367095516.958</v>
      </c>
      <c r="CT125" s="1023">
        <f t="shared" si="123"/>
        <v>367095516.958</v>
      </c>
      <c r="CU125" s="1023">
        <f t="shared" si="124"/>
        <v>174499189.75716725</v>
      </c>
      <c r="CV125" s="1023">
        <f t="shared" si="137"/>
        <v>691796966.14199996</v>
      </c>
      <c r="CW125" s="1030">
        <f t="shared" si="138"/>
        <v>4507.59</v>
      </c>
      <c r="CX125" s="1023">
        <f t="shared" si="125"/>
        <v>300426560</v>
      </c>
      <c r="CY125" s="1023">
        <f t="shared" si="126"/>
        <v>339651220</v>
      </c>
      <c r="CZ125" s="1023"/>
      <c r="DA125" s="1023">
        <f t="shared" si="127"/>
        <v>324701449.18400002</v>
      </c>
      <c r="DB125" s="1023">
        <f t="shared" si="128"/>
        <v>367095516.958</v>
      </c>
      <c r="DC125" s="1131"/>
      <c r="DD125" s="872">
        <f t="shared" si="139"/>
        <v>113.05632231717462</v>
      </c>
      <c r="DE125" s="1131"/>
      <c r="DF125" s="1131"/>
      <c r="DG125" s="1131"/>
      <c r="DH125" s="1138">
        <v>154045.54999999999</v>
      </c>
      <c r="DI125" s="1138">
        <v>140500</v>
      </c>
      <c r="DJ125" s="1138">
        <f t="shared" si="108"/>
        <v>13545.549999999988</v>
      </c>
      <c r="DK125" s="979"/>
      <c r="DL125" s="962">
        <f t="shared" si="129"/>
        <v>0</v>
      </c>
      <c r="DM125" s="962">
        <f t="shared" si="130"/>
        <v>0</v>
      </c>
      <c r="DN125" s="962">
        <f t="shared" si="131"/>
        <v>0</v>
      </c>
      <c r="DO125" s="81"/>
      <c r="DP125" s="81"/>
      <c r="DQ125" s="81"/>
      <c r="DR125" s="81"/>
      <c r="DS125" s="81"/>
      <c r="DT125" s="81"/>
      <c r="DU125" s="81"/>
      <c r="DV125" s="81"/>
      <c r="DW125" s="81"/>
      <c r="DX125" s="81"/>
      <c r="DY125" s="81"/>
      <c r="DZ125" s="81"/>
      <c r="EA125" s="81"/>
      <c r="EB125" s="81"/>
      <c r="EC125" s="81"/>
      <c r="ED125" s="81"/>
      <c r="EE125" s="81"/>
      <c r="EF125" s="81"/>
      <c r="EG125" s="81"/>
      <c r="EH125" s="81"/>
      <c r="EI125" s="81"/>
      <c r="EJ125" s="81"/>
      <c r="EK125" s="81"/>
      <c r="EL125" s="81"/>
    </row>
    <row r="126" spans="1:142" s="50" customFormat="1" ht="72" customHeight="1">
      <c r="A126" s="6" t="e">
        <f t="shared" si="140"/>
        <v>#REF!</v>
      </c>
      <c r="B126" s="886" t="s">
        <v>47</v>
      </c>
      <c r="C126" s="886" t="s">
        <v>56</v>
      </c>
      <c r="D126" s="886" t="s">
        <v>224</v>
      </c>
      <c r="E126" s="1031">
        <v>4632113278</v>
      </c>
      <c r="F126" s="957" t="s">
        <v>8</v>
      </c>
      <c r="G126" s="1032" t="s">
        <v>973</v>
      </c>
      <c r="H126" s="925">
        <v>1521.43</v>
      </c>
      <c r="I126" s="891"/>
      <c r="J126" s="891">
        <v>1521.43</v>
      </c>
      <c r="K126" s="891"/>
      <c r="L126" s="891"/>
      <c r="M126" s="892"/>
      <c r="N126" s="984">
        <v>1740.52</v>
      </c>
      <c r="O126" s="895"/>
      <c r="P126" s="895">
        <v>1740.52</v>
      </c>
      <c r="Q126" s="895"/>
      <c r="R126" s="891"/>
      <c r="S126" s="892"/>
      <c r="T126" s="960">
        <v>0</v>
      </c>
      <c r="U126" s="919">
        <v>3227.71</v>
      </c>
      <c r="V126" s="919">
        <v>0</v>
      </c>
      <c r="W126" s="919">
        <v>0</v>
      </c>
      <c r="X126" s="919"/>
      <c r="Y126" s="919"/>
      <c r="Z126" s="898">
        <f t="shared" si="113"/>
        <v>3227.71</v>
      </c>
      <c r="AA126" s="961">
        <v>0</v>
      </c>
      <c r="AB126" s="919">
        <v>2474.79</v>
      </c>
      <c r="AC126" s="919">
        <v>0</v>
      </c>
      <c r="AD126" s="919">
        <v>0</v>
      </c>
      <c r="AE126" s="919"/>
      <c r="AF126" s="919">
        <v>0</v>
      </c>
      <c r="AG126" s="900">
        <f t="shared" si="114"/>
        <v>2474.79</v>
      </c>
      <c r="AH126" s="896">
        <f>Z126+AG126</f>
        <v>5702.5</v>
      </c>
      <c r="AI126" s="897">
        <f t="shared" si="148"/>
        <v>0</v>
      </c>
      <c r="AJ126" s="897">
        <f t="shared" si="148"/>
        <v>5702.5</v>
      </c>
      <c r="AK126" s="897">
        <f t="shared" si="148"/>
        <v>0</v>
      </c>
      <c r="AL126" s="897">
        <f t="shared" si="148"/>
        <v>0</v>
      </c>
      <c r="AM126" s="897">
        <f t="shared" si="148"/>
        <v>0</v>
      </c>
      <c r="AN126" s="897"/>
      <c r="AO126" s="897">
        <f t="shared" si="152"/>
        <v>5702.5</v>
      </c>
      <c r="AP126" s="897">
        <f t="shared" si="153"/>
        <v>5702.5</v>
      </c>
      <c r="AQ126" s="1011">
        <f t="shared" si="97"/>
        <v>5702.5</v>
      </c>
      <c r="AR126" s="902">
        <f t="shared" si="132"/>
        <v>0</v>
      </c>
      <c r="AS126" s="903">
        <f t="shared" si="167"/>
        <v>0</v>
      </c>
      <c r="AT126" s="897">
        <f t="shared" si="167"/>
        <v>8675954.5750000011</v>
      </c>
      <c r="AU126" s="897">
        <f t="shared" si="167"/>
        <v>0</v>
      </c>
      <c r="AV126" s="897">
        <f t="shared" si="167"/>
        <v>0</v>
      </c>
      <c r="AW126" s="897">
        <f t="shared" si="167"/>
        <v>0</v>
      </c>
      <c r="AX126" s="897">
        <f t="shared" si="98"/>
        <v>8675954.5750000011</v>
      </c>
      <c r="AY126" s="897">
        <f t="shared" si="99"/>
        <v>8675954.5750000011</v>
      </c>
      <c r="AZ126" s="897">
        <f t="shared" si="156"/>
        <v>0</v>
      </c>
      <c r="BA126" s="897">
        <f t="shared" si="156"/>
        <v>9925315.3000000007</v>
      </c>
      <c r="BB126" s="897">
        <f t="shared" si="156"/>
        <v>0</v>
      </c>
      <c r="BC126" s="897">
        <f t="shared" si="156"/>
        <v>0</v>
      </c>
      <c r="BD126" s="897">
        <f t="shared" si="156"/>
        <v>0</v>
      </c>
      <c r="BE126" s="897">
        <f t="shared" si="100"/>
        <v>9925315.3000000007</v>
      </c>
      <c r="BF126" s="901">
        <f t="shared" si="101"/>
        <v>9925315.3000000007</v>
      </c>
      <c r="BG126" s="961">
        <v>0</v>
      </c>
      <c r="BH126" s="919">
        <v>0</v>
      </c>
      <c r="BI126" s="897">
        <f t="shared" si="163"/>
        <v>0</v>
      </c>
      <c r="BJ126" s="897">
        <v>10071.76</v>
      </c>
      <c r="BK126" s="1203">
        <v>13008.96</v>
      </c>
      <c r="BL126" s="897">
        <f t="shared" si="164"/>
        <v>0</v>
      </c>
      <c r="BM126" s="897">
        <f t="shared" si="164"/>
        <v>4910734.8253000006</v>
      </c>
      <c r="BN126" s="897">
        <f t="shared" si="164"/>
        <v>0</v>
      </c>
      <c r="BO126" s="897">
        <f t="shared" si="164"/>
        <v>0</v>
      </c>
      <c r="BP126" s="897">
        <f t="shared" si="164"/>
        <v>0</v>
      </c>
      <c r="BQ126" s="897">
        <f t="shared" si="142"/>
        <v>4910734.8253000006</v>
      </c>
      <c r="BR126" s="897">
        <f t="shared" si="143"/>
        <v>4910734.8253000006</v>
      </c>
      <c r="BS126" s="897">
        <f t="shared" si="165"/>
        <v>0</v>
      </c>
      <c r="BT126" s="897">
        <f t="shared" si="165"/>
        <v>4307421.4907999998</v>
      </c>
      <c r="BU126" s="897">
        <f t="shared" si="165"/>
        <v>0</v>
      </c>
      <c r="BV126" s="897">
        <f t="shared" si="144"/>
        <v>0</v>
      </c>
      <c r="BW126" s="897">
        <f t="shared" si="115"/>
        <v>0</v>
      </c>
      <c r="BX126" s="897">
        <f t="shared" si="145"/>
        <v>4307421.4907999998</v>
      </c>
      <c r="BY126" s="897">
        <f t="shared" si="146"/>
        <v>4307421.4907999998</v>
      </c>
      <c r="BZ126" s="905">
        <f t="shared" si="111"/>
        <v>9218156.3161000013</v>
      </c>
      <c r="CA126" s="905">
        <f t="shared" si="111"/>
        <v>0</v>
      </c>
      <c r="CB126" s="905">
        <f t="shared" si="147"/>
        <v>9218156.3161000013</v>
      </c>
      <c r="CC126" s="907">
        <f t="shared" si="112"/>
        <v>1616.5114101008332</v>
      </c>
      <c r="CD126" s="907" t="e">
        <f t="shared" si="112"/>
        <v>#DIV/0!</v>
      </c>
      <c r="CE126" s="907">
        <f t="shared" si="133"/>
        <v>1616.5114101008332</v>
      </c>
      <c r="CF126" s="907">
        <f t="shared" si="116"/>
        <v>1616.5114101008332</v>
      </c>
      <c r="CG126" s="923">
        <f t="shared" si="117"/>
        <v>0</v>
      </c>
      <c r="CH126" s="923">
        <f t="shared" si="134"/>
        <v>0</v>
      </c>
      <c r="CI126" s="979"/>
      <c r="CJ126" s="1405">
        <f t="shared" si="106"/>
        <v>4910.7348253000009</v>
      </c>
      <c r="CK126" s="1405">
        <f t="shared" si="102"/>
        <v>4307.4214907999994</v>
      </c>
      <c r="CL126" s="1405">
        <f t="shared" si="107"/>
        <v>9218.1563161000013</v>
      </c>
      <c r="CM126" s="897">
        <f t="shared" si="135"/>
        <v>9925.3153000000002</v>
      </c>
      <c r="CN126" s="897">
        <f t="shared" si="136"/>
        <v>707.15898389999893</v>
      </c>
      <c r="CO126" s="897">
        <f t="shared" si="118"/>
        <v>9218156.3161000013</v>
      </c>
      <c r="CP126" s="897">
        <f t="shared" si="119"/>
        <v>8675954.5750000011</v>
      </c>
      <c r="CQ126" s="897">
        <f t="shared" si="120"/>
        <v>8675954.5750000011</v>
      </c>
      <c r="CR126" s="897">
        <f t="shared" si="121"/>
        <v>4910734.8253000006</v>
      </c>
      <c r="CS126" s="897">
        <f t="shared" si="122"/>
        <v>9925315.3000000007</v>
      </c>
      <c r="CT126" s="897">
        <f t="shared" si="123"/>
        <v>9925315.3000000007</v>
      </c>
      <c r="CU126" s="897">
        <f t="shared" si="124"/>
        <v>4307421.4907999998</v>
      </c>
      <c r="CV126" s="897">
        <f t="shared" si="137"/>
        <v>18601269.875</v>
      </c>
      <c r="CW126" s="906">
        <f t="shared" si="138"/>
        <v>3261.95</v>
      </c>
      <c r="CX126" s="897">
        <f t="shared" si="125"/>
        <v>8675954.5750000011</v>
      </c>
      <c r="CY126" s="897">
        <f t="shared" si="126"/>
        <v>9925315.3000000007</v>
      </c>
      <c r="CZ126" s="897"/>
      <c r="DA126" s="897">
        <f t="shared" si="127"/>
        <v>8675954.5750000011</v>
      </c>
      <c r="DB126" s="897">
        <f t="shared" si="128"/>
        <v>9925315.3000000007</v>
      </c>
      <c r="DC126" s="1131"/>
      <c r="DD126" s="40">
        <f t="shared" si="139"/>
        <v>114.40026816876228</v>
      </c>
      <c r="DE126" s="1131"/>
      <c r="DF126" s="1131"/>
      <c r="DG126" s="1131"/>
      <c r="DH126" s="1043">
        <v>5702.5</v>
      </c>
      <c r="DI126" s="1043">
        <v>5702.5</v>
      </c>
      <c r="DJ126" s="1043">
        <f t="shared" si="108"/>
        <v>0</v>
      </c>
      <c r="DK126" s="979"/>
      <c r="DL126" s="908">
        <f t="shared" si="129"/>
        <v>0</v>
      </c>
      <c r="DM126" s="908">
        <f t="shared" si="130"/>
        <v>0</v>
      </c>
      <c r="DN126" s="908">
        <f t="shared" si="131"/>
        <v>0</v>
      </c>
      <c r="DO126" s="81"/>
      <c r="DP126" s="81"/>
      <c r="DQ126" s="81"/>
      <c r="DR126" s="81"/>
      <c r="DS126" s="81"/>
      <c r="DT126" s="81"/>
      <c r="DU126" s="81"/>
      <c r="DV126" s="81"/>
      <c r="DW126" s="81"/>
      <c r="DX126" s="81"/>
      <c r="DY126" s="81"/>
      <c r="DZ126" s="81"/>
      <c r="EA126" s="81"/>
      <c r="EB126" s="81"/>
      <c r="EC126" s="81"/>
      <c r="ED126" s="81"/>
      <c r="EE126" s="81"/>
      <c r="EF126" s="81"/>
      <c r="EG126" s="81"/>
      <c r="EH126" s="81"/>
      <c r="EI126" s="81"/>
      <c r="EJ126" s="81"/>
      <c r="EK126" s="81"/>
      <c r="EL126" s="81"/>
    </row>
    <row r="127" spans="1:142" s="50" customFormat="1" ht="87" customHeight="1">
      <c r="A127" s="6" t="e">
        <f t="shared" si="140"/>
        <v>#REF!</v>
      </c>
      <c r="B127" s="886" t="s">
        <v>47</v>
      </c>
      <c r="C127" s="886" t="s">
        <v>56</v>
      </c>
      <c r="D127" s="1206" t="s">
        <v>162</v>
      </c>
      <c r="E127" s="886">
        <v>5261077695</v>
      </c>
      <c r="F127" s="886" t="s">
        <v>8</v>
      </c>
      <c r="G127" s="888" t="s">
        <v>959</v>
      </c>
      <c r="H127" s="967">
        <v>2617.2537028118982</v>
      </c>
      <c r="I127" s="968">
        <v>2617.2537028118982</v>
      </c>
      <c r="J127" s="968">
        <v>0</v>
      </c>
      <c r="K127" s="968">
        <v>0</v>
      </c>
      <c r="L127" s="968">
        <v>0</v>
      </c>
      <c r="M127" s="969">
        <v>0</v>
      </c>
      <c r="N127" s="1033">
        <v>3009.84</v>
      </c>
      <c r="O127" s="1034">
        <v>3009.84</v>
      </c>
      <c r="P127" s="968">
        <v>0</v>
      </c>
      <c r="Q127" s="968">
        <v>0</v>
      </c>
      <c r="R127" s="891">
        <v>0</v>
      </c>
      <c r="S127" s="969">
        <v>0</v>
      </c>
      <c r="T127" s="935">
        <v>1033.73</v>
      </c>
      <c r="U127" s="931">
        <v>0</v>
      </c>
      <c r="V127" s="1217">
        <v>0</v>
      </c>
      <c r="W127" s="931">
        <v>0</v>
      </c>
      <c r="X127" s="931">
        <v>0</v>
      </c>
      <c r="Y127" s="928">
        <v>779.2</v>
      </c>
      <c r="Z127" s="949">
        <f>SUM(T127:W127)</f>
        <v>1033.73</v>
      </c>
      <c r="AA127" s="939">
        <v>779.84</v>
      </c>
      <c r="AB127" s="1217">
        <v>0</v>
      </c>
      <c r="AC127" s="1217">
        <v>0</v>
      </c>
      <c r="AD127" s="931">
        <v>0</v>
      </c>
      <c r="AE127" s="931">
        <v>0</v>
      </c>
      <c r="AF127" s="931">
        <v>719.26</v>
      </c>
      <c r="AG127" s="951">
        <f>SUM(AA127:AD127)</f>
        <v>779.84</v>
      </c>
      <c r="AH127" s="947">
        <f t="shared" si="141"/>
        <v>1813.5700000000002</v>
      </c>
      <c r="AI127" s="890">
        <f t="shared" si="148"/>
        <v>1813.5700000000002</v>
      </c>
      <c r="AJ127" s="890">
        <f t="shared" si="148"/>
        <v>0</v>
      </c>
      <c r="AK127" s="890">
        <f t="shared" si="148"/>
        <v>0</v>
      </c>
      <c r="AL127" s="890">
        <f t="shared" si="148"/>
        <v>0</v>
      </c>
      <c r="AM127" s="890">
        <f t="shared" si="148"/>
        <v>0</v>
      </c>
      <c r="AN127" s="894">
        <f>Y127+AF127</f>
        <v>1498.46</v>
      </c>
      <c r="AO127" s="890">
        <f t="shared" si="152"/>
        <v>3312.03</v>
      </c>
      <c r="AP127" s="890">
        <f t="shared" si="153"/>
        <v>1813.5700000000002</v>
      </c>
      <c r="AQ127" s="952">
        <f t="shared" si="97"/>
        <v>1813.5700000000002</v>
      </c>
      <c r="AR127" s="973">
        <f t="shared" si="132"/>
        <v>0</v>
      </c>
      <c r="AS127" s="889">
        <f t="shared" si="167"/>
        <v>4746572.7978085745</v>
      </c>
      <c r="AT127" s="890">
        <f t="shared" si="167"/>
        <v>0</v>
      </c>
      <c r="AU127" s="890">
        <f t="shared" si="167"/>
        <v>0</v>
      </c>
      <c r="AV127" s="890">
        <f t="shared" si="167"/>
        <v>0</v>
      </c>
      <c r="AW127" s="890">
        <f t="shared" si="167"/>
        <v>0</v>
      </c>
      <c r="AX127" s="890">
        <f t="shared" si="98"/>
        <v>4746572.7978085745</v>
      </c>
      <c r="AY127" s="890">
        <f t="shared" si="99"/>
        <v>4746572.7978085745</v>
      </c>
      <c r="AZ127" s="890">
        <f t="shared" si="156"/>
        <v>5458555.5288000004</v>
      </c>
      <c r="BA127" s="890">
        <f t="shared" si="156"/>
        <v>0</v>
      </c>
      <c r="BB127" s="890">
        <f t="shared" si="156"/>
        <v>0</v>
      </c>
      <c r="BC127" s="890">
        <f t="shared" si="156"/>
        <v>0</v>
      </c>
      <c r="BD127" s="890">
        <f t="shared" si="156"/>
        <v>0</v>
      </c>
      <c r="BE127" s="890">
        <f t="shared" si="100"/>
        <v>5458555.5288000004</v>
      </c>
      <c r="BF127" s="952">
        <f t="shared" si="101"/>
        <v>5458555.5288000004</v>
      </c>
      <c r="BG127" s="974">
        <v>0</v>
      </c>
      <c r="BH127" s="890">
        <v>0</v>
      </c>
      <c r="BI127" s="890">
        <f t="shared" si="163"/>
        <v>0</v>
      </c>
      <c r="BJ127" s="894">
        <v>7714.12</v>
      </c>
      <c r="BK127" s="1199">
        <v>14352.36</v>
      </c>
      <c r="BL127" s="897">
        <f t="shared" si="164"/>
        <v>2705533.6702077435</v>
      </c>
      <c r="BM127" s="897">
        <f t="shared" si="164"/>
        <v>0</v>
      </c>
      <c r="BN127" s="897">
        <f t="shared" si="164"/>
        <v>0</v>
      </c>
      <c r="BO127" s="897">
        <f t="shared" si="164"/>
        <v>0</v>
      </c>
      <c r="BP127" s="897">
        <f t="shared" si="164"/>
        <v>0</v>
      </c>
      <c r="BQ127" s="897">
        <f t="shared" si="142"/>
        <v>2705533.6702077435</v>
      </c>
      <c r="BR127" s="897">
        <f t="shared" si="143"/>
        <v>2705533.6702077435</v>
      </c>
      <c r="BS127" s="897">
        <f t="shared" si="165"/>
        <v>2347193.6256000004</v>
      </c>
      <c r="BT127" s="897">
        <f t="shared" si="165"/>
        <v>0</v>
      </c>
      <c r="BU127" s="897">
        <f t="shared" si="165"/>
        <v>0</v>
      </c>
      <c r="BV127" s="897">
        <f t="shared" si="144"/>
        <v>0</v>
      </c>
      <c r="BW127" s="897">
        <f t="shared" si="115"/>
        <v>0</v>
      </c>
      <c r="BX127" s="897">
        <f t="shared" si="145"/>
        <v>2347193.6256000004</v>
      </c>
      <c r="BY127" s="897">
        <f t="shared" si="146"/>
        <v>2347193.6256000004</v>
      </c>
      <c r="BZ127" s="905">
        <f t="shared" si="111"/>
        <v>0</v>
      </c>
      <c r="CA127" s="905">
        <f t="shared" si="111"/>
        <v>0</v>
      </c>
      <c r="CB127" s="905">
        <f t="shared" si="147"/>
        <v>0</v>
      </c>
      <c r="CC127" s="907" t="e">
        <f t="shared" si="112"/>
        <v>#DIV/0!</v>
      </c>
      <c r="CD127" s="907" t="e">
        <f t="shared" si="112"/>
        <v>#DIV/0!</v>
      </c>
      <c r="CE127" s="907" t="e">
        <f t="shared" si="133"/>
        <v>#DIV/0!</v>
      </c>
      <c r="CF127" s="907" t="e">
        <f t="shared" si="116"/>
        <v>#DIV/0!</v>
      </c>
      <c r="CG127" s="923">
        <f t="shared" si="117"/>
        <v>0</v>
      </c>
      <c r="CH127" s="923" t="e">
        <f t="shared" si="134"/>
        <v>#DIV/0!</v>
      </c>
      <c r="CI127" s="979"/>
      <c r="CJ127" s="1405">
        <f t="shared" si="106"/>
        <v>2705.5336702077434</v>
      </c>
      <c r="CK127" s="1405">
        <f t="shared" si="102"/>
        <v>2347.1936256000004</v>
      </c>
      <c r="CL127" s="1405">
        <f t="shared" si="107"/>
        <v>5052.7272958077438</v>
      </c>
      <c r="CM127" s="897">
        <f t="shared" si="135"/>
        <v>5458.5555288000005</v>
      </c>
      <c r="CN127" s="897">
        <f t="shared" si="136"/>
        <v>405.82823299225674</v>
      </c>
      <c r="CO127" s="897">
        <f t="shared" si="118"/>
        <v>5052727.2958077434</v>
      </c>
      <c r="CP127" s="897">
        <f t="shared" si="119"/>
        <v>4746572.7978085745</v>
      </c>
      <c r="CQ127" s="897">
        <f t="shared" si="120"/>
        <v>4746572.7978085745</v>
      </c>
      <c r="CR127" s="897">
        <f t="shared" si="121"/>
        <v>2705533.6702077435</v>
      </c>
      <c r="CS127" s="897">
        <f t="shared" si="122"/>
        <v>5458555.5288000004</v>
      </c>
      <c r="CT127" s="897">
        <f t="shared" si="123"/>
        <v>5458555.5288000004</v>
      </c>
      <c r="CU127" s="897">
        <f t="shared" si="124"/>
        <v>2347193.6256000004</v>
      </c>
      <c r="CV127" s="897">
        <f t="shared" si="137"/>
        <v>10205128.326608576</v>
      </c>
      <c r="CW127" s="906">
        <f t="shared" si="138"/>
        <v>5627.0937028118988</v>
      </c>
      <c r="CX127" s="897">
        <f t="shared" si="125"/>
        <v>0</v>
      </c>
      <c r="CY127" s="897">
        <f t="shared" si="126"/>
        <v>0</v>
      </c>
      <c r="CZ127" s="897"/>
      <c r="DA127" s="897">
        <f t="shared" si="127"/>
        <v>4746572.7978085745</v>
      </c>
      <c r="DB127" s="897">
        <f t="shared" si="128"/>
        <v>5458555.5288000004</v>
      </c>
      <c r="DC127" s="1131"/>
      <c r="DD127" s="40" t="e">
        <f t="shared" si="139"/>
        <v>#DIV/0!</v>
      </c>
      <c r="DE127" s="1131"/>
      <c r="DF127" s="1131"/>
      <c r="DG127" s="1131"/>
      <c r="DH127" s="1043">
        <v>1957.23</v>
      </c>
      <c r="DI127" s="1043">
        <v>143.89000000000001</v>
      </c>
      <c r="DJ127" s="1043">
        <f t="shared" si="108"/>
        <v>1813.34</v>
      </c>
      <c r="DK127" s="979"/>
      <c r="DL127" s="908">
        <f t="shared" si="129"/>
        <v>0</v>
      </c>
      <c r="DM127" s="908">
        <f t="shared" si="130"/>
        <v>0</v>
      </c>
      <c r="DN127" s="908">
        <f t="shared" si="131"/>
        <v>0</v>
      </c>
      <c r="DO127" s="81"/>
      <c r="DP127" s="81"/>
      <c r="DQ127" s="81"/>
      <c r="DR127" s="81"/>
      <c r="DS127" s="81"/>
      <c r="DT127" s="81"/>
      <c r="DU127" s="81"/>
      <c r="DV127" s="81"/>
      <c r="DW127" s="81"/>
      <c r="DX127" s="81"/>
      <c r="DY127" s="81"/>
      <c r="DZ127" s="81"/>
      <c r="EA127" s="81"/>
      <c r="EB127" s="81"/>
      <c r="EC127" s="81"/>
      <c r="ED127" s="81"/>
      <c r="EE127" s="81"/>
      <c r="EF127" s="81"/>
      <c r="EG127" s="81"/>
      <c r="EH127" s="81"/>
      <c r="EI127" s="81"/>
      <c r="EJ127" s="81"/>
      <c r="EK127" s="81"/>
      <c r="EL127" s="81"/>
    </row>
    <row r="128" spans="1:142" s="50" customFormat="1" ht="81" customHeight="1">
      <c r="A128" s="6" t="e">
        <f t="shared" si="140"/>
        <v>#REF!</v>
      </c>
      <c r="B128" s="1219" t="s">
        <v>47</v>
      </c>
      <c r="C128" s="1219" t="s">
        <v>56</v>
      </c>
      <c r="D128" s="1219" t="s">
        <v>254</v>
      </c>
      <c r="E128" s="1219">
        <v>4632000330</v>
      </c>
      <c r="F128" s="1219" t="s">
        <v>8</v>
      </c>
      <c r="G128" s="1222" t="s">
        <v>966</v>
      </c>
      <c r="H128" s="925">
        <v>3400.3919999999998</v>
      </c>
      <c r="I128" s="891">
        <v>3400.3919999999998</v>
      </c>
      <c r="J128" s="891">
        <v>2316.2579351999998</v>
      </c>
      <c r="K128" s="891">
        <v>0</v>
      </c>
      <c r="L128" s="891">
        <v>3400.3919999999998</v>
      </c>
      <c r="M128" s="946">
        <v>2769.9120000000003</v>
      </c>
      <c r="N128" s="959">
        <f>3363.93*1.2</f>
        <v>4036.7159999999994</v>
      </c>
      <c r="O128" s="891">
        <f>N128</f>
        <v>4036.7159999999994</v>
      </c>
      <c r="P128" s="891">
        <v>2536.3000000000002</v>
      </c>
      <c r="Q128" s="891">
        <v>0</v>
      </c>
      <c r="R128" s="891">
        <f>O128</f>
        <v>4036.7159999999994</v>
      </c>
      <c r="S128" s="946">
        <f>2657.9*1.2</f>
        <v>3189.48</v>
      </c>
      <c r="T128" s="903"/>
      <c r="U128" s="897">
        <v>361</v>
      </c>
      <c r="V128" s="897">
        <v>0</v>
      </c>
      <c r="W128" s="897">
        <v>368</v>
      </c>
      <c r="X128" s="897">
        <v>55718</v>
      </c>
      <c r="Y128" s="897">
        <v>0</v>
      </c>
      <c r="Z128" s="898">
        <f>SUM(T128:W128)</f>
        <v>729</v>
      </c>
      <c r="AA128" s="904"/>
      <c r="AB128" s="897">
        <v>271</v>
      </c>
      <c r="AC128" s="897">
        <v>0</v>
      </c>
      <c r="AD128" s="897">
        <v>266</v>
      </c>
      <c r="AE128" s="897">
        <v>41755</v>
      </c>
      <c r="AF128" s="897">
        <v>0</v>
      </c>
      <c r="AG128" s="900">
        <f>SUM(AA128:AD128)</f>
        <v>537</v>
      </c>
      <c r="AH128" s="896">
        <f>Z128+AG128</f>
        <v>1266</v>
      </c>
      <c r="AI128" s="897">
        <f t="shared" si="148"/>
        <v>0</v>
      </c>
      <c r="AJ128" s="897">
        <f t="shared" si="148"/>
        <v>632</v>
      </c>
      <c r="AK128" s="897">
        <f t="shared" si="148"/>
        <v>0</v>
      </c>
      <c r="AL128" s="897">
        <f t="shared" si="148"/>
        <v>634</v>
      </c>
      <c r="AM128" s="897">
        <f t="shared" si="148"/>
        <v>97473</v>
      </c>
      <c r="AN128" s="894"/>
      <c r="AO128" s="897">
        <f>SUM(AI128:AN128)</f>
        <v>98739</v>
      </c>
      <c r="AP128" s="897">
        <f>SUM(AI128:AM128)</f>
        <v>98739</v>
      </c>
      <c r="AQ128" s="901">
        <f>SUM(AI128:AL128)</f>
        <v>1266</v>
      </c>
      <c r="AR128" s="902">
        <f t="shared" si="132"/>
        <v>0</v>
      </c>
      <c r="AS128" s="903">
        <f t="shared" si="167"/>
        <v>0</v>
      </c>
      <c r="AT128" s="897">
        <f t="shared" si="167"/>
        <v>1463875.0150463998</v>
      </c>
      <c r="AU128" s="897">
        <f t="shared" si="167"/>
        <v>0</v>
      </c>
      <c r="AV128" s="897">
        <f t="shared" si="167"/>
        <v>2155848.5279999999</v>
      </c>
      <c r="AW128" s="897">
        <f t="shared" si="167"/>
        <v>269991632.37600005</v>
      </c>
      <c r="AX128" s="897">
        <f t="shared" si="98"/>
        <v>273611355.91904646</v>
      </c>
      <c r="AY128" s="897">
        <f t="shared" si="99"/>
        <v>3619723.5430464</v>
      </c>
      <c r="AZ128" s="897">
        <f t="shared" si="156"/>
        <v>0</v>
      </c>
      <c r="BA128" s="897">
        <f t="shared" si="156"/>
        <v>1602941.6</v>
      </c>
      <c r="BB128" s="897">
        <f t="shared" si="156"/>
        <v>0</v>
      </c>
      <c r="BC128" s="897">
        <f t="shared" si="156"/>
        <v>2559277.9439999997</v>
      </c>
      <c r="BD128" s="897">
        <f t="shared" si="156"/>
        <v>310888184.04000002</v>
      </c>
      <c r="BE128" s="897">
        <f t="shared" si="100"/>
        <v>315050403.58399999</v>
      </c>
      <c r="BF128" s="901">
        <f t="shared" si="101"/>
        <v>4162219.5439999998</v>
      </c>
      <c r="BG128" s="899">
        <v>326.1451419981388</v>
      </c>
      <c r="BH128" s="922">
        <v>338.84355238816403</v>
      </c>
      <c r="BI128" s="922">
        <f t="shared" si="163"/>
        <v>664.98869438630277</v>
      </c>
      <c r="BJ128" s="922">
        <v>243464.50994578368</v>
      </c>
      <c r="BK128" s="1195">
        <v>403257.79639999999</v>
      </c>
      <c r="BL128" s="897">
        <f>I128*T128</f>
        <v>0</v>
      </c>
      <c r="BM128" s="897">
        <f>J128*U128</f>
        <v>836169.11460719991</v>
      </c>
      <c r="BN128" s="897">
        <f>K128*V128</f>
        <v>0</v>
      </c>
      <c r="BO128" s="897">
        <f>L128*W128</f>
        <v>1251344.2560000001</v>
      </c>
      <c r="BP128" s="897">
        <f>M128*X128</f>
        <v>154333956.81600001</v>
      </c>
      <c r="BQ128" s="897">
        <f>BL128+BM128+BN128+BO128+BP128</f>
        <v>156421470.18660721</v>
      </c>
      <c r="BR128" s="897">
        <f>BQ128-BP128</f>
        <v>2087513.3706071973</v>
      </c>
      <c r="BS128" s="897">
        <f>O128*AA128</f>
        <v>0</v>
      </c>
      <c r="BT128" s="897">
        <f>P128*AB128</f>
        <v>687337.3</v>
      </c>
      <c r="BU128" s="897">
        <f t="shared" si="165"/>
        <v>0</v>
      </c>
      <c r="BV128" s="897">
        <f>R128*W128</f>
        <v>1485511.4879999999</v>
      </c>
      <c r="BW128" s="897">
        <f>S128*AE128</f>
        <v>133176737.40000001</v>
      </c>
      <c r="BX128" s="897">
        <f>BS128+BT128+BU128+BV128+BW128</f>
        <v>135349586.18799999</v>
      </c>
      <c r="BY128" s="897">
        <f>BX128-BW128</f>
        <v>2172848.7879999876</v>
      </c>
      <c r="BZ128" s="905">
        <f t="shared" si="111"/>
        <v>1523506.4146071998</v>
      </c>
      <c r="CA128" s="905">
        <f t="shared" si="111"/>
        <v>0</v>
      </c>
      <c r="CB128" s="905">
        <f t="shared" si="147"/>
        <v>1523506.4146071998</v>
      </c>
      <c r="CC128" s="907">
        <f t="shared" si="112"/>
        <v>2410.6114155177211</v>
      </c>
      <c r="CD128" s="907" t="e">
        <f t="shared" si="112"/>
        <v>#DIV/0!</v>
      </c>
      <c r="CE128" s="907">
        <f t="shared" si="133"/>
        <v>2410.6114155177211</v>
      </c>
      <c r="CF128" s="905">
        <f t="shared" si="116"/>
        <v>2410.6114155177211</v>
      </c>
      <c r="CG128" s="923">
        <f t="shared" si="117"/>
        <v>2321491.5479999995</v>
      </c>
      <c r="CH128" s="923">
        <f t="shared" si="134"/>
        <v>3673.2461202531636</v>
      </c>
      <c r="CI128" s="905"/>
      <c r="CJ128" s="1405">
        <f t="shared" si="106"/>
        <v>2478.8857679999996</v>
      </c>
      <c r="CK128" s="1405">
        <f t="shared" si="102"/>
        <v>2167.7164919999996</v>
      </c>
      <c r="CL128" s="1405">
        <f t="shared" si="107"/>
        <v>4646.6022599999997</v>
      </c>
      <c r="CM128" s="897">
        <f t="shared" si="135"/>
        <v>5110.4824559999997</v>
      </c>
      <c r="CN128" s="897">
        <f t="shared" si="136"/>
        <v>463.88019600000007</v>
      </c>
      <c r="CO128" s="897">
        <f t="shared" si="118"/>
        <v>4646602.26</v>
      </c>
      <c r="CP128" s="897">
        <f t="shared" si="119"/>
        <v>3619723.5430464</v>
      </c>
      <c r="CQ128" s="897">
        <f t="shared" si="120"/>
        <v>3619723.5430464</v>
      </c>
      <c r="CR128" s="897">
        <f t="shared" si="121"/>
        <v>2087513.3706072001</v>
      </c>
      <c r="CS128" s="897">
        <f t="shared" si="122"/>
        <v>4162219.5439999998</v>
      </c>
      <c r="CT128" s="897">
        <f t="shared" si="123"/>
        <v>4162219.5439999998</v>
      </c>
      <c r="CU128" s="897">
        <f t="shared" si="124"/>
        <v>1761103.7559999998</v>
      </c>
      <c r="CV128" s="897">
        <f t="shared" si="137"/>
        <v>7781943.0870463997</v>
      </c>
      <c r="CW128" s="906">
        <f t="shared" si="138"/>
        <v>6146.8744763399682</v>
      </c>
      <c r="CX128" s="897">
        <f t="shared" si="125"/>
        <v>1463875.0150463998</v>
      </c>
      <c r="CY128" s="897">
        <f t="shared" si="126"/>
        <v>1602941.6</v>
      </c>
      <c r="CZ128" s="897"/>
      <c r="DA128" s="897">
        <f t="shared" si="127"/>
        <v>4304896.2719999999</v>
      </c>
      <c r="DB128" s="897">
        <f t="shared" si="128"/>
        <v>5110482.4559999993</v>
      </c>
      <c r="DC128" s="27"/>
      <c r="DD128" s="40">
        <f>N128/J128*100</f>
        <v>174.27748173700027</v>
      </c>
      <c r="DE128" s="27"/>
      <c r="DF128" s="27"/>
      <c r="DG128" s="27"/>
      <c r="DH128" s="1043">
        <f>AQ128</f>
        <v>1266</v>
      </c>
      <c r="DI128" s="1043">
        <f>AJ128</f>
        <v>632</v>
      </c>
      <c r="DJ128" s="1043">
        <f t="shared" si="108"/>
        <v>634</v>
      </c>
      <c r="DK128" s="905"/>
      <c r="DL128" s="908">
        <f t="shared" si="129"/>
        <v>154333.95681600002</v>
      </c>
      <c r="DM128" s="908">
        <f t="shared" si="130"/>
        <v>133176.73740000001</v>
      </c>
      <c r="DN128" s="908">
        <f t="shared" si="131"/>
        <v>287510.69421600003</v>
      </c>
      <c r="DO128" s="6"/>
      <c r="DP128" s="81"/>
      <c r="DQ128" s="81"/>
      <c r="DR128" s="81"/>
      <c r="DS128" s="81"/>
      <c r="DT128" s="81"/>
      <c r="DU128" s="81"/>
      <c r="DV128" s="81"/>
      <c r="DW128" s="81"/>
      <c r="DX128" s="81"/>
      <c r="DY128" s="81"/>
      <c r="DZ128" s="81"/>
      <c r="EA128" s="81"/>
      <c r="EB128" s="81"/>
      <c r="EC128" s="81"/>
      <c r="ED128" s="81"/>
      <c r="EE128" s="81"/>
      <c r="EF128" s="81"/>
      <c r="EG128" s="81"/>
      <c r="EH128" s="81"/>
      <c r="EI128" s="81"/>
      <c r="EJ128" s="81"/>
      <c r="EK128" s="81"/>
      <c r="EL128" s="81"/>
    </row>
    <row r="129" spans="1:142" s="50" customFormat="1" ht="84.75" customHeight="1">
      <c r="A129" s="6" t="e">
        <f t="shared" si="140"/>
        <v>#REF!</v>
      </c>
      <c r="B129" s="1338" t="s">
        <v>47</v>
      </c>
      <c r="C129" s="1338" t="s">
        <v>56</v>
      </c>
      <c r="D129" s="1338" t="s">
        <v>154</v>
      </c>
      <c r="E129" s="886">
        <v>7729314745</v>
      </c>
      <c r="F129" s="886" t="s">
        <v>8</v>
      </c>
      <c r="G129" s="1348" t="s">
        <v>986</v>
      </c>
      <c r="H129" s="1339">
        <v>4187.424</v>
      </c>
      <c r="I129" s="1264">
        <v>4187.424</v>
      </c>
      <c r="J129" s="1264"/>
      <c r="K129" s="1264"/>
      <c r="L129" s="1264"/>
      <c r="M129" s="1340"/>
      <c r="N129" s="1319">
        <f>3664*1.2</f>
        <v>4396.8</v>
      </c>
      <c r="O129" s="1264">
        <f>3664*1.2</f>
        <v>4396.8</v>
      </c>
      <c r="P129" s="1264"/>
      <c r="Q129" s="1264"/>
      <c r="R129" s="1264"/>
      <c r="S129" s="1340"/>
      <c r="T129" s="1004">
        <v>537.89799274946938</v>
      </c>
      <c r="U129" s="894"/>
      <c r="V129" s="894"/>
      <c r="W129" s="894"/>
      <c r="X129" s="894"/>
      <c r="Y129" s="894"/>
      <c r="Z129" s="972">
        <f t="shared" si="113"/>
        <v>537.89799274946938</v>
      </c>
      <c r="AA129" s="893">
        <v>358.79541816631297</v>
      </c>
      <c r="AB129" s="894"/>
      <c r="AC129" s="894"/>
      <c r="AD129" s="890"/>
      <c r="AE129" s="890"/>
      <c r="AF129" s="890"/>
      <c r="AG129" s="951">
        <f t="shared" si="114"/>
        <v>358.79541816631297</v>
      </c>
      <c r="AH129" s="947">
        <f t="shared" si="141"/>
        <v>896.69341091578235</v>
      </c>
      <c r="AI129" s="890">
        <f t="shared" si="148"/>
        <v>896.69341091578235</v>
      </c>
      <c r="AJ129" s="890">
        <f t="shared" si="148"/>
        <v>0</v>
      </c>
      <c r="AK129" s="890">
        <f t="shared" si="148"/>
        <v>0</v>
      </c>
      <c r="AL129" s="890">
        <f t="shared" si="148"/>
        <v>0</v>
      </c>
      <c r="AM129" s="890">
        <f t="shared" si="148"/>
        <v>0</v>
      </c>
      <c r="AN129" s="894"/>
      <c r="AO129" s="890">
        <f t="shared" si="152"/>
        <v>896.69341091578235</v>
      </c>
      <c r="AP129" s="890">
        <f t="shared" si="153"/>
        <v>896.69341091578235</v>
      </c>
      <c r="AQ129" s="1035">
        <f t="shared" si="97"/>
        <v>896.69341091578235</v>
      </c>
      <c r="AR129" s="973">
        <f t="shared" si="132"/>
        <v>0</v>
      </c>
      <c r="AS129" s="889">
        <f t="shared" si="167"/>
        <v>3754835.5095106089</v>
      </c>
      <c r="AT129" s="890">
        <f t="shared" si="167"/>
        <v>0</v>
      </c>
      <c r="AU129" s="890">
        <f t="shared" si="167"/>
        <v>0</v>
      </c>
      <c r="AV129" s="890">
        <f t="shared" si="167"/>
        <v>0</v>
      </c>
      <c r="AW129" s="890">
        <f t="shared" si="167"/>
        <v>0</v>
      </c>
      <c r="AX129" s="890">
        <f t="shared" si="98"/>
        <v>3754835.5095106089</v>
      </c>
      <c r="AY129" s="890">
        <f t="shared" si="99"/>
        <v>3754835.5095106089</v>
      </c>
      <c r="AZ129" s="890">
        <f t="shared" si="156"/>
        <v>3942581.5891145119</v>
      </c>
      <c r="BA129" s="890">
        <f t="shared" si="156"/>
        <v>0</v>
      </c>
      <c r="BB129" s="890">
        <f t="shared" si="156"/>
        <v>0</v>
      </c>
      <c r="BC129" s="890">
        <f t="shared" si="156"/>
        <v>0</v>
      </c>
      <c r="BD129" s="890">
        <f t="shared" si="156"/>
        <v>0</v>
      </c>
      <c r="BE129" s="890">
        <f t="shared" si="100"/>
        <v>3942581.5891145119</v>
      </c>
      <c r="BF129" s="952">
        <f t="shared" si="101"/>
        <v>3942581.5891145119</v>
      </c>
      <c r="BG129" s="1304">
        <f>(H129-J129)/1.2*U129/1000+(H129-K129)/1.2*V129/1000</f>
        <v>0</v>
      </c>
      <c r="BH129" s="1305">
        <f>(O129-P129)*AB129/1000/1.2+(O129-Q129)/1.2*AC129/1000</f>
        <v>0</v>
      </c>
      <c r="BI129" s="1306">
        <f t="shared" si="163"/>
        <v>0</v>
      </c>
      <c r="BJ129" s="1341">
        <v>42655.142731185988</v>
      </c>
      <c r="BK129" s="1426">
        <v>70932.892220000009</v>
      </c>
      <c r="BL129" s="890">
        <f t="shared" si="164"/>
        <v>2252406.964390954</v>
      </c>
      <c r="BM129" s="890">
        <f t="shared" si="164"/>
        <v>0</v>
      </c>
      <c r="BN129" s="890">
        <f t="shared" si="164"/>
        <v>0</v>
      </c>
      <c r="BO129" s="890">
        <f t="shared" si="164"/>
        <v>0</v>
      </c>
      <c r="BP129" s="890">
        <f t="shared" si="164"/>
        <v>0</v>
      </c>
      <c r="BQ129" s="890">
        <f t="shared" si="142"/>
        <v>2252406.964390954</v>
      </c>
      <c r="BR129" s="890">
        <f t="shared" si="143"/>
        <v>2252406.964390954</v>
      </c>
      <c r="BS129" s="890">
        <f t="shared" si="165"/>
        <v>1577551.6945936449</v>
      </c>
      <c r="BT129" s="890">
        <f t="shared" si="165"/>
        <v>0</v>
      </c>
      <c r="BU129" s="890">
        <f t="shared" si="165"/>
        <v>0</v>
      </c>
      <c r="BV129" s="890">
        <f t="shared" si="144"/>
        <v>0</v>
      </c>
      <c r="BW129" s="890">
        <f t="shared" si="115"/>
        <v>0</v>
      </c>
      <c r="BX129" s="890">
        <f t="shared" si="145"/>
        <v>1577551.6945936449</v>
      </c>
      <c r="BY129" s="890">
        <f t="shared" si="146"/>
        <v>1577551.6945936449</v>
      </c>
      <c r="BZ129" s="945">
        <f t="shared" si="111"/>
        <v>0</v>
      </c>
      <c r="CA129" s="945">
        <f t="shared" si="111"/>
        <v>0</v>
      </c>
      <c r="CB129" s="945">
        <f t="shared" si="147"/>
        <v>0</v>
      </c>
      <c r="CC129" s="976" t="e">
        <f t="shared" si="112"/>
        <v>#DIV/0!</v>
      </c>
      <c r="CD129" s="976" t="e">
        <f t="shared" si="112"/>
        <v>#DIV/0!</v>
      </c>
      <c r="CE129" s="976" t="e">
        <f t="shared" si="133"/>
        <v>#DIV/0!</v>
      </c>
      <c r="CF129" s="945" t="e">
        <f t="shared" si="116"/>
        <v>#DIV/0!</v>
      </c>
      <c r="CG129" s="977">
        <f t="shared" si="117"/>
        <v>0</v>
      </c>
      <c r="CH129" s="977" t="e">
        <f t="shared" si="134"/>
        <v>#DIV/0!</v>
      </c>
      <c r="CI129" s="945"/>
      <c r="CJ129" s="1405">
        <f t="shared" si="106"/>
        <v>2252.4069643909538</v>
      </c>
      <c r="CK129" s="1405">
        <f t="shared" si="102"/>
        <v>1577.5516945936449</v>
      </c>
      <c r="CL129" s="1405">
        <f t="shared" si="107"/>
        <v>3829.9586589845985</v>
      </c>
      <c r="CM129" s="897">
        <f t="shared" si="135"/>
        <v>3942.5815891145116</v>
      </c>
      <c r="CN129" s="897">
        <f t="shared" si="136"/>
        <v>112.62293012991313</v>
      </c>
      <c r="CO129" s="890">
        <f t="shared" si="118"/>
        <v>3829958.6589845987</v>
      </c>
      <c r="CP129" s="890">
        <f t="shared" si="119"/>
        <v>3754835.5095106089</v>
      </c>
      <c r="CQ129" s="890">
        <f t="shared" si="120"/>
        <v>3754835.5095106089</v>
      </c>
      <c r="CR129" s="890">
        <f t="shared" si="121"/>
        <v>2252406.964390954</v>
      </c>
      <c r="CS129" s="890">
        <f t="shared" si="122"/>
        <v>3942581.5891145119</v>
      </c>
      <c r="CT129" s="890">
        <f t="shared" si="123"/>
        <v>3942581.5891145119</v>
      </c>
      <c r="CU129" s="890">
        <f t="shared" si="124"/>
        <v>1577551.6945936449</v>
      </c>
      <c r="CV129" s="890">
        <f t="shared" si="137"/>
        <v>7697417.0986251207</v>
      </c>
      <c r="CW129" s="978">
        <f t="shared" si="138"/>
        <v>8584.2240000000002</v>
      </c>
      <c r="CX129" s="890">
        <f t="shared" si="125"/>
        <v>0</v>
      </c>
      <c r="CY129" s="890">
        <f t="shared" si="126"/>
        <v>0</v>
      </c>
      <c r="CZ129" s="890"/>
      <c r="DA129" s="890">
        <f t="shared" si="127"/>
        <v>3754835.5095106089</v>
      </c>
      <c r="DB129" s="890">
        <f t="shared" si="128"/>
        <v>3942581.5891145119</v>
      </c>
      <c r="DC129" s="840"/>
      <c r="DD129" s="841" t="e">
        <f t="shared" si="139"/>
        <v>#DIV/0!</v>
      </c>
      <c r="DE129" s="840"/>
      <c r="DF129" s="840"/>
      <c r="DG129" s="840"/>
      <c r="DH129" s="1050">
        <v>943.69068600000003</v>
      </c>
      <c r="DI129" s="1050">
        <v>0</v>
      </c>
      <c r="DJ129" s="1050">
        <f t="shared" si="108"/>
        <v>943.69068600000003</v>
      </c>
      <c r="DK129" s="945"/>
      <c r="DL129" s="975">
        <f t="shared" si="129"/>
        <v>0</v>
      </c>
      <c r="DM129" s="975">
        <f t="shared" si="130"/>
        <v>0</v>
      </c>
      <c r="DN129" s="975">
        <f t="shared" si="131"/>
        <v>0</v>
      </c>
      <c r="DO129" s="816"/>
      <c r="DP129" s="81"/>
      <c r="DQ129" s="81"/>
      <c r="DR129" s="81"/>
      <c r="DS129" s="81"/>
      <c r="DT129" s="81"/>
      <c r="DU129" s="81"/>
      <c r="DV129" s="81"/>
      <c r="DW129" s="81"/>
      <c r="DX129" s="81"/>
      <c r="DY129" s="81"/>
      <c r="DZ129" s="81"/>
      <c r="EA129" s="81"/>
      <c r="EB129" s="81"/>
      <c r="EC129" s="81"/>
      <c r="ED129" s="81"/>
      <c r="EE129" s="81"/>
      <c r="EF129" s="81"/>
      <c r="EG129" s="81"/>
      <c r="EH129" s="81"/>
      <c r="EI129" s="81"/>
      <c r="EJ129" s="81"/>
      <c r="EK129" s="81"/>
      <c r="EL129" s="81"/>
    </row>
    <row r="130" spans="1:142" s="50" customFormat="1" ht="83.25" customHeight="1">
      <c r="A130" s="6" t="e">
        <f t="shared" si="140"/>
        <v>#REF!</v>
      </c>
      <c r="B130" s="886" t="s">
        <v>47</v>
      </c>
      <c r="C130" s="886" t="s">
        <v>56</v>
      </c>
      <c r="D130" s="1206" t="s">
        <v>137</v>
      </c>
      <c r="E130" s="886">
        <v>4632001454</v>
      </c>
      <c r="F130" s="886" t="s">
        <v>8</v>
      </c>
      <c r="G130" s="888" t="s">
        <v>960</v>
      </c>
      <c r="H130" s="925">
        <v>3966.6</v>
      </c>
      <c r="I130" s="891">
        <v>0</v>
      </c>
      <c r="J130" s="891">
        <v>0</v>
      </c>
      <c r="K130" s="891">
        <v>0</v>
      </c>
      <c r="L130" s="891">
        <v>3966.6</v>
      </c>
      <c r="M130" s="946">
        <v>0</v>
      </c>
      <c r="N130" s="959">
        <v>4459.1000000000004</v>
      </c>
      <c r="O130" s="891">
        <v>0</v>
      </c>
      <c r="P130" s="891">
        <v>0</v>
      </c>
      <c r="Q130" s="891">
        <v>0</v>
      </c>
      <c r="R130" s="891">
        <v>4459.1000000000004</v>
      </c>
      <c r="S130" s="946">
        <v>0</v>
      </c>
      <c r="T130" s="937">
        <v>0</v>
      </c>
      <c r="U130" s="931">
        <v>0</v>
      </c>
      <c r="V130" s="931">
        <v>0</v>
      </c>
      <c r="W130" s="930">
        <v>472</v>
      </c>
      <c r="X130" s="931">
        <v>0</v>
      </c>
      <c r="Y130" s="930">
        <v>1826</v>
      </c>
      <c r="Z130" s="949">
        <f t="shared" si="113"/>
        <v>472</v>
      </c>
      <c r="AA130" s="939">
        <v>0</v>
      </c>
      <c r="AB130" s="931">
        <v>0</v>
      </c>
      <c r="AC130" s="931">
        <v>0</v>
      </c>
      <c r="AD130" s="930">
        <v>275</v>
      </c>
      <c r="AE130" s="931">
        <v>0</v>
      </c>
      <c r="AF130" s="930">
        <v>1494</v>
      </c>
      <c r="AG130" s="951">
        <f t="shared" si="114"/>
        <v>275</v>
      </c>
      <c r="AH130" s="947">
        <f t="shared" si="141"/>
        <v>747</v>
      </c>
      <c r="AI130" s="890">
        <f t="shared" si="148"/>
        <v>0</v>
      </c>
      <c r="AJ130" s="890">
        <f t="shared" si="148"/>
        <v>0</v>
      </c>
      <c r="AK130" s="890">
        <f t="shared" si="148"/>
        <v>0</v>
      </c>
      <c r="AL130" s="971">
        <f t="shared" si="148"/>
        <v>747</v>
      </c>
      <c r="AM130" s="890">
        <f t="shared" si="148"/>
        <v>0</v>
      </c>
      <c r="AN130" s="894">
        <f>Y130+AF130</f>
        <v>3320</v>
      </c>
      <c r="AO130" s="971">
        <f>SUM(AI130:AN130)</f>
        <v>4067</v>
      </c>
      <c r="AP130" s="971">
        <f t="shared" si="153"/>
        <v>747</v>
      </c>
      <c r="AQ130" s="1036">
        <f t="shared" si="97"/>
        <v>747</v>
      </c>
      <c r="AR130" s="973">
        <f t="shared" si="132"/>
        <v>0</v>
      </c>
      <c r="AS130" s="889">
        <f t="shared" si="167"/>
        <v>0</v>
      </c>
      <c r="AT130" s="890">
        <f t="shared" si="167"/>
        <v>0</v>
      </c>
      <c r="AU130" s="890">
        <f t="shared" si="167"/>
        <v>0</v>
      </c>
      <c r="AV130" s="890">
        <f t="shared" si="167"/>
        <v>2963050.1999999997</v>
      </c>
      <c r="AW130" s="890">
        <f t="shared" si="167"/>
        <v>0</v>
      </c>
      <c r="AX130" s="890">
        <f t="shared" si="98"/>
        <v>2963050.1999999997</v>
      </c>
      <c r="AY130" s="890">
        <f t="shared" si="99"/>
        <v>2963050.1999999997</v>
      </c>
      <c r="AZ130" s="890">
        <f t="shared" si="156"/>
        <v>0</v>
      </c>
      <c r="BA130" s="890">
        <f t="shared" si="156"/>
        <v>0</v>
      </c>
      <c r="BB130" s="890">
        <f t="shared" si="156"/>
        <v>0</v>
      </c>
      <c r="BC130" s="890">
        <f t="shared" si="156"/>
        <v>3330947.7</v>
      </c>
      <c r="BD130" s="890">
        <f t="shared" si="156"/>
        <v>0</v>
      </c>
      <c r="BE130" s="890">
        <f t="shared" si="100"/>
        <v>3330947.7</v>
      </c>
      <c r="BF130" s="952">
        <f t="shared" si="101"/>
        <v>3330947.7</v>
      </c>
      <c r="BG130" s="974">
        <v>0</v>
      </c>
      <c r="BH130" s="890">
        <v>0</v>
      </c>
      <c r="BI130" s="890">
        <f t="shared" si="163"/>
        <v>0</v>
      </c>
      <c r="BJ130" s="894">
        <v>14169.5</v>
      </c>
      <c r="BK130" s="1200">
        <v>14946.3</v>
      </c>
      <c r="BL130" s="897">
        <f t="shared" si="164"/>
        <v>0</v>
      </c>
      <c r="BM130" s="897">
        <f t="shared" si="164"/>
        <v>0</v>
      </c>
      <c r="BN130" s="897">
        <f t="shared" si="164"/>
        <v>0</v>
      </c>
      <c r="BO130" s="897">
        <f t="shared" si="164"/>
        <v>1872235.2</v>
      </c>
      <c r="BP130" s="897">
        <f t="shared" si="164"/>
        <v>0</v>
      </c>
      <c r="BQ130" s="897">
        <f t="shared" si="142"/>
        <v>1872235.2</v>
      </c>
      <c r="BR130" s="897">
        <f t="shared" si="143"/>
        <v>1872235.2</v>
      </c>
      <c r="BS130" s="897">
        <f t="shared" si="165"/>
        <v>0</v>
      </c>
      <c r="BT130" s="897">
        <f t="shared" si="165"/>
        <v>0</v>
      </c>
      <c r="BU130" s="897">
        <f t="shared" si="165"/>
        <v>0</v>
      </c>
      <c r="BV130" s="897">
        <f t="shared" si="144"/>
        <v>2104695.2000000002</v>
      </c>
      <c r="BW130" s="897">
        <f t="shared" si="115"/>
        <v>0</v>
      </c>
      <c r="BX130" s="897">
        <f t="shared" si="145"/>
        <v>2104695.2000000002</v>
      </c>
      <c r="BY130" s="897">
        <f t="shared" si="146"/>
        <v>2104695.2000000002</v>
      </c>
      <c r="BZ130" s="905">
        <f t="shared" si="111"/>
        <v>0</v>
      </c>
      <c r="CA130" s="905">
        <f t="shared" si="111"/>
        <v>0</v>
      </c>
      <c r="CB130" s="905">
        <f t="shared" si="147"/>
        <v>0</v>
      </c>
      <c r="CC130" s="907" t="e">
        <f t="shared" si="112"/>
        <v>#DIV/0!</v>
      </c>
      <c r="CD130" s="907" t="e">
        <f t="shared" si="112"/>
        <v>#DIV/0!</v>
      </c>
      <c r="CE130" s="907" t="e">
        <f t="shared" si="133"/>
        <v>#DIV/0!</v>
      </c>
      <c r="CF130" s="905" t="e">
        <f t="shared" si="116"/>
        <v>#DIV/0!</v>
      </c>
      <c r="CG130" s="923">
        <f t="shared" si="117"/>
        <v>0</v>
      </c>
      <c r="CH130" s="923" t="e">
        <f t="shared" si="134"/>
        <v>#DIV/0!</v>
      </c>
      <c r="CI130" s="979"/>
      <c r="CJ130" s="1405">
        <f t="shared" si="106"/>
        <v>1872.2351999999998</v>
      </c>
      <c r="CK130" s="1405">
        <f t="shared" si="102"/>
        <v>1226.2525000000001</v>
      </c>
      <c r="CL130" s="1405">
        <f t="shared" si="107"/>
        <v>3098.4876999999997</v>
      </c>
      <c r="CM130" s="897">
        <f t="shared" si="135"/>
        <v>3330.9477000000002</v>
      </c>
      <c r="CN130" s="897">
        <f t="shared" si="136"/>
        <v>232.46000000000049</v>
      </c>
      <c r="CO130" s="897">
        <f t="shared" si="118"/>
        <v>3098487.7</v>
      </c>
      <c r="CP130" s="897">
        <f t="shared" si="119"/>
        <v>2963050.1999999997</v>
      </c>
      <c r="CQ130" s="897">
        <f t="shared" si="120"/>
        <v>2963050.1999999997</v>
      </c>
      <c r="CR130" s="897">
        <f t="shared" si="121"/>
        <v>1872235.2</v>
      </c>
      <c r="CS130" s="897">
        <f t="shared" si="122"/>
        <v>3330947.7</v>
      </c>
      <c r="CT130" s="897">
        <f t="shared" si="123"/>
        <v>3330947.7</v>
      </c>
      <c r="CU130" s="897">
        <f t="shared" si="124"/>
        <v>1226252.5</v>
      </c>
      <c r="CV130" s="897">
        <f t="shared" si="137"/>
        <v>6293997.9000000004</v>
      </c>
      <c r="CW130" s="906">
        <f t="shared" si="138"/>
        <v>8425.7000000000007</v>
      </c>
      <c r="CX130" s="897">
        <f t="shared" si="125"/>
        <v>0</v>
      </c>
      <c r="CY130" s="897">
        <f t="shared" si="126"/>
        <v>0</v>
      </c>
      <c r="CZ130" s="897"/>
      <c r="DA130" s="897">
        <f t="shared" si="127"/>
        <v>2963050.1999999997</v>
      </c>
      <c r="DB130" s="897">
        <f t="shared" si="128"/>
        <v>3330947.7</v>
      </c>
      <c r="DC130" s="1131"/>
      <c r="DD130" s="40" t="e">
        <f t="shared" si="139"/>
        <v>#DIV/0!</v>
      </c>
      <c r="DE130" s="1131"/>
      <c r="DF130" s="1131"/>
      <c r="DG130" s="1131"/>
      <c r="DH130" s="1043">
        <v>747</v>
      </c>
      <c r="DI130" s="1043">
        <v>0</v>
      </c>
      <c r="DJ130" s="1043">
        <f t="shared" si="108"/>
        <v>747</v>
      </c>
      <c r="DK130" s="979"/>
      <c r="DL130" s="908">
        <f t="shared" si="129"/>
        <v>0</v>
      </c>
      <c r="DM130" s="908">
        <f t="shared" si="130"/>
        <v>0</v>
      </c>
      <c r="DN130" s="908">
        <f t="shared" si="131"/>
        <v>0</v>
      </c>
      <c r="DO130" s="81"/>
      <c r="DP130" s="81"/>
      <c r="DQ130" s="81"/>
      <c r="DR130" s="81"/>
      <c r="DS130" s="81"/>
      <c r="DT130" s="81"/>
      <c r="DU130" s="81"/>
      <c r="DV130" s="81"/>
      <c r="DW130" s="81"/>
      <c r="DX130" s="81"/>
      <c r="DY130" s="81"/>
      <c r="DZ130" s="81"/>
      <c r="EA130" s="81"/>
      <c r="EB130" s="81"/>
      <c r="EC130" s="81"/>
      <c r="ED130" s="81"/>
      <c r="EE130" s="81"/>
      <c r="EF130" s="81"/>
      <c r="EG130" s="81"/>
      <c r="EH130" s="81"/>
      <c r="EI130" s="81"/>
      <c r="EJ130" s="81"/>
      <c r="EK130" s="81"/>
      <c r="EL130" s="81"/>
    </row>
    <row r="131" spans="1:142" s="50" customFormat="1" ht="83.25" customHeight="1">
      <c r="A131" s="6" t="e">
        <f t="shared" si="140"/>
        <v>#REF!</v>
      </c>
      <c r="B131" s="886" t="s">
        <v>47</v>
      </c>
      <c r="C131" s="886" t="s">
        <v>56</v>
      </c>
      <c r="D131" s="886" t="s">
        <v>49</v>
      </c>
      <c r="E131" s="886">
        <v>4632033706</v>
      </c>
      <c r="F131" s="886" t="s">
        <v>184</v>
      </c>
      <c r="G131" s="888" t="s">
        <v>975</v>
      </c>
      <c r="H131" s="925">
        <v>200.21</v>
      </c>
      <c r="I131" s="891"/>
      <c r="J131" s="891"/>
      <c r="K131" s="891"/>
      <c r="L131" s="891">
        <v>200.21</v>
      </c>
      <c r="M131" s="946"/>
      <c r="N131" s="984">
        <f>185.13*1.2</f>
        <v>222.15599999999998</v>
      </c>
      <c r="O131" s="895"/>
      <c r="P131" s="895"/>
      <c r="Q131" s="895"/>
      <c r="R131" s="919">
        <v>222.15599999999998</v>
      </c>
      <c r="S131" s="892"/>
      <c r="T131" s="903"/>
      <c r="U131" s="897"/>
      <c r="V131" s="897"/>
      <c r="W131" s="987"/>
      <c r="X131" s="897"/>
      <c r="Y131" s="897"/>
      <c r="Z131" s="898"/>
      <c r="AA131" s="904"/>
      <c r="AB131" s="897"/>
      <c r="AC131" s="897"/>
      <c r="AD131" s="987"/>
      <c r="AE131" s="897"/>
      <c r="AF131" s="897"/>
      <c r="AG131" s="900"/>
      <c r="AH131" s="896">
        <f t="shared" si="141"/>
        <v>0</v>
      </c>
      <c r="AI131" s="897">
        <f t="shared" si="148"/>
        <v>0</v>
      </c>
      <c r="AJ131" s="897">
        <f t="shared" si="148"/>
        <v>0</v>
      </c>
      <c r="AK131" s="897">
        <f t="shared" si="148"/>
        <v>0</v>
      </c>
      <c r="AL131" s="897">
        <f t="shared" si="148"/>
        <v>0</v>
      </c>
      <c r="AM131" s="897">
        <f t="shared" si="148"/>
        <v>0</v>
      </c>
      <c r="AN131" s="897"/>
      <c r="AO131" s="897">
        <f t="shared" si="152"/>
        <v>0</v>
      </c>
      <c r="AP131" s="897">
        <f t="shared" si="153"/>
        <v>0</v>
      </c>
      <c r="AQ131" s="901">
        <f t="shared" si="97"/>
        <v>0</v>
      </c>
      <c r="AR131" s="902">
        <f t="shared" si="132"/>
        <v>0</v>
      </c>
      <c r="AS131" s="903">
        <f t="shared" si="167"/>
        <v>0</v>
      </c>
      <c r="AT131" s="897">
        <f t="shared" si="167"/>
        <v>0</v>
      </c>
      <c r="AU131" s="897">
        <f t="shared" si="167"/>
        <v>0</v>
      </c>
      <c r="AV131" s="897">
        <f t="shared" si="167"/>
        <v>0</v>
      </c>
      <c r="AW131" s="897">
        <f t="shared" si="167"/>
        <v>0</v>
      </c>
      <c r="AX131" s="897">
        <f t="shared" si="98"/>
        <v>0</v>
      </c>
      <c r="AY131" s="897">
        <f t="shared" si="99"/>
        <v>0</v>
      </c>
      <c r="AZ131" s="897">
        <f t="shared" si="156"/>
        <v>0</v>
      </c>
      <c r="BA131" s="897">
        <f t="shared" si="156"/>
        <v>0</v>
      </c>
      <c r="BB131" s="897">
        <f t="shared" si="156"/>
        <v>0</v>
      </c>
      <c r="BC131" s="897">
        <f t="shared" si="156"/>
        <v>0</v>
      </c>
      <c r="BD131" s="897">
        <f t="shared" si="156"/>
        <v>0</v>
      </c>
      <c r="BE131" s="897">
        <f t="shared" si="100"/>
        <v>0</v>
      </c>
      <c r="BF131" s="901">
        <f t="shared" si="101"/>
        <v>0</v>
      </c>
      <c r="BG131" s="904"/>
      <c r="BH131" s="897"/>
      <c r="BI131" s="897">
        <f t="shared" si="163"/>
        <v>0</v>
      </c>
      <c r="BJ131" s="919">
        <v>33088.28</v>
      </c>
      <c r="BK131" s="1203">
        <v>38954.61</v>
      </c>
      <c r="BL131" s="897">
        <f t="shared" ref="BL131:BP141" si="168">I131*T131</f>
        <v>0</v>
      </c>
      <c r="BM131" s="897">
        <f t="shared" si="168"/>
        <v>0</v>
      </c>
      <c r="BN131" s="897">
        <f t="shared" si="168"/>
        <v>0</v>
      </c>
      <c r="BO131" s="897">
        <f t="shared" si="168"/>
        <v>0</v>
      </c>
      <c r="BP131" s="897">
        <v>0</v>
      </c>
      <c r="BQ131" s="897">
        <f t="shared" si="142"/>
        <v>0</v>
      </c>
      <c r="BR131" s="897">
        <f t="shared" si="143"/>
        <v>0</v>
      </c>
      <c r="BS131" s="897">
        <f t="shared" si="165"/>
        <v>0</v>
      </c>
      <c r="BT131" s="897">
        <f t="shared" si="165"/>
        <v>0</v>
      </c>
      <c r="BU131" s="897">
        <f t="shared" si="165"/>
        <v>0</v>
      </c>
      <c r="BV131" s="897">
        <f t="shared" si="144"/>
        <v>0</v>
      </c>
      <c r="BW131" s="897">
        <v>0</v>
      </c>
      <c r="BX131" s="897">
        <f t="shared" si="145"/>
        <v>0</v>
      </c>
      <c r="BY131" s="897">
        <f t="shared" si="146"/>
        <v>0</v>
      </c>
      <c r="BZ131" s="905">
        <f t="shared" si="111"/>
        <v>0</v>
      </c>
      <c r="CA131" s="905">
        <f t="shared" si="111"/>
        <v>0</v>
      </c>
      <c r="CB131" s="905">
        <f t="shared" si="147"/>
        <v>0</v>
      </c>
      <c r="CC131" s="907" t="e">
        <f t="shared" si="112"/>
        <v>#DIV/0!</v>
      </c>
      <c r="CD131" s="907" t="e">
        <f t="shared" si="112"/>
        <v>#DIV/0!</v>
      </c>
      <c r="CE131" s="907" t="e">
        <f t="shared" si="133"/>
        <v>#DIV/0!</v>
      </c>
      <c r="CF131" s="905" t="e">
        <f t="shared" si="116"/>
        <v>#DIV/0!</v>
      </c>
      <c r="CG131" s="923">
        <f t="shared" si="117"/>
        <v>0</v>
      </c>
      <c r="CH131" s="923" t="e">
        <f t="shared" si="134"/>
        <v>#DIV/0!</v>
      </c>
      <c r="CI131" s="1037"/>
      <c r="CJ131" s="1405">
        <f t="shared" si="106"/>
        <v>0</v>
      </c>
      <c r="CK131" s="1405">
        <f t="shared" si="102"/>
        <v>0</v>
      </c>
      <c r="CL131" s="1405">
        <f t="shared" si="107"/>
        <v>0</v>
      </c>
      <c r="CM131" s="1040">
        <f t="shared" si="135"/>
        <v>0</v>
      </c>
      <c r="CN131" s="1040">
        <f t="shared" si="136"/>
        <v>0</v>
      </c>
      <c r="CO131" s="1041">
        <f t="shared" si="118"/>
        <v>0</v>
      </c>
      <c r="CP131" s="1041">
        <f t="shared" si="119"/>
        <v>0</v>
      </c>
      <c r="CQ131" s="1041">
        <f t="shared" si="120"/>
        <v>0</v>
      </c>
      <c r="CR131" s="1041">
        <f t="shared" si="121"/>
        <v>0</v>
      </c>
      <c r="CS131" s="1041">
        <f t="shared" si="122"/>
        <v>0</v>
      </c>
      <c r="CT131" s="1041">
        <f t="shared" si="123"/>
        <v>0</v>
      </c>
      <c r="CU131" s="1041">
        <f t="shared" si="124"/>
        <v>0</v>
      </c>
      <c r="CV131" s="1041">
        <f t="shared" si="137"/>
        <v>0</v>
      </c>
      <c r="CW131" s="1082" t="e">
        <f t="shared" si="138"/>
        <v>#DIV/0!</v>
      </c>
      <c r="CX131" s="1041">
        <f t="shared" si="125"/>
        <v>0</v>
      </c>
      <c r="CY131" s="1041">
        <f t="shared" si="126"/>
        <v>0</v>
      </c>
      <c r="CZ131" s="1041"/>
      <c r="DA131" s="1041">
        <f t="shared" si="127"/>
        <v>0</v>
      </c>
      <c r="DB131" s="1041">
        <f t="shared" si="128"/>
        <v>0</v>
      </c>
      <c r="DC131" s="113"/>
      <c r="DD131" s="119" t="e">
        <f t="shared" si="139"/>
        <v>#DIV/0!</v>
      </c>
      <c r="DE131" s="113"/>
      <c r="DF131" s="113"/>
      <c r="DG131" s="113"/>
      <c r="DH131" s="1226">
        <v>190239.08</v>
      </c>
      <c r="DI131" s="1043">
        <v>0</v>
      </c>
      <c r="DJ131" s="1043">
        <f t="shared" si="108"/>
        <v>190239.08</v>
      </c>
      <c r="DK131" s="1037"/>
      <c r="DL131" s="1044">
        <f t="shared" si="129"/>
        <v>0</v>
      </c>
      <c r="DM131" s="1044">
        <f t="shared" si="130"/>
        <v>0</v>
      </c>
      <c r="DN131" s="1044">
        <f t="shared" si="131"/>
        <v>0</v>
      </c>
      <c r="DO131" s="106"/>
    </row>
    <row r="132" spans="1:142" s="50" customFormat="1" ht="83.25" customHeight="1">
      <c r="A132" s="6" t="e">
        <f t="shared" si="140"/>
        <v>#REF!</v>
      </c>
      <c r="B132" s="886" t="s">
        <v>47</v>
      </c>
      <c r="C132" s="886" t="s">
        <v>56</v>
      </c>
      <c r="D132" s="1206" t="s">
        <v>50</v>
      </c>
      <c r="E132" s="886">
        <v>4632032678</v>
      </c>
      <c r="F132" s="886" t="s">
        <v>8</v>
      </c>
      <c r="G132" s="888" t="s">
        <v>961</v>
      </c>
      <c r="H132" s="925">
        <v>2512.6109639158371</v>
      </c>
      <c r="I132" s="891">
        <v>0</v>
      </c>
      <c r="J132" s="891">
        <v>0</v>
      </c>
      <c r="K132" s="891">
        <v>0</v>
      </c>
      <c r="L132" s="891">
        <v>2512.6109639158371</v>
      </c>
      <c r="M132" s="946">
        <v>0</v>
      </c>
      <c r="N132" s="959">
        <v>2662.15</v>
      </c>
      <c r="O132" s="891">
        <v>0</v>
      </c>
      <c r="P132" s="891">
        <v>0</v>
      </c>
      <c r="Q132" s="891">
        <v>0</v>
      </c>
      <c r="R132" s="891">
        <v>2662.15</v>
      </c>
      <c r="S132" s="946">
        <v>0</v>
      </c>
      <c r="T132" s="937">
        <v>0</v>
      </c>
      <c r="U132" s="931">
        <v>0</v>
      </c>
      <c r="V132" s="931">
        <v>0</v>
      </c>
      <c r="W132" s="928">
        <v>7544.35</v>
      </c>
      <c r="X132" s="931">
        <v>0</v>
      </c>
      <c r="Y132" s="931">
        <v>0</v>
      </c>
      <c r="Z132" s="949">
        <f>SUM(T132:W132)</f>
        <v>7544.35</v>
      </c>
      <c r="AA132" s="939">
        <v>0</v>
      </c>
      <c r="AB132" s="931">
        <v>0</v>
      </c>
      <c r="AC132" s="931">
        <v>0</v>
      </c>
      <c r="AD132" s="928">
        <v>4993.4799999999996</v>
      </c>
      <c r="AE132" s="931">
        <v>0</v>
      </c>
      <c r="AF132" s="931">
        <v>0</v>
      </c>
      <c r="AG132" s="951">
        <f>SUM(AA132:AD132)</f>
        <v>4993.4799999999996</v>
      </c>
      <c r="AH132" s="947">
        <f t="shared" si="141"/>
        <v>12537.83</v>
      </c>
      <c r="AI132" s="890">
        <f t="shared" si="148"/>
        <v>0</v>
      </c>
      <c r="AJ132" s="890">
        <f t="shared" si="148"/>
        <v>0</v>
      </c>
      <c r="AK132" s="890">
        <f t="shared" si="148"/>
        <v>0</v>
      </c>
      <c r="AL132" s="894">
        <f t="shared" si="148"/>
        <v>12537.83</v>
      </c>
      <c r="AM132" s="890">
        <f t="shared" si="148"/>
        <v>0</v>
      </c>
      <c r="AN132" s="890"/>
      <c r="AO132" s="971">
        <f t="shared" si="152"/>
        <v>12537.83</v>
      </c>
      <c r="AP132" s="971">
        <f t="shared" si="153"/>
        <v>12537.83</v>
      </c>
      <c r="AQ132" s="1036">
        <f t="shared" si="97"/>
        <v>12537.83</v>
      </c>
      <c r="AR132" s="973">
        <f t="shared" si="132"/>
        <v>0</v>
      </c>
      <c r="AS132" s="889">
        <f t="shared" si="167"/>
        <v>0</v>
      </c>
      <c r="AT132" s="890">
        <f t="shared" si="167"/>
        <v>0</v>
      </c>
      <c r="AU132" s="890">
        <f t="shared" si="167"/>
        <v>0</v>
      </c>
      <c r="AV132" s="890">
        <f t="shared" si="167"/>
        <v>31502689.121712901</v>
      </c>
      <c r="AW132" s="890">
        <f t="shared" si="167"/>
        <v>0</v>
      </c>
      <c r="AX132" s="890">
        <f t="shared" si="98"/>
        <v>31502689.121712901</v>
      </c>
      <c r="AY132" s="890">
        <f t="shared" si="99"/>
        <v>31502689.121712901</v>
      </c>
      <c r="AZ132" s="890">
        <f t="shared" si="156"/>
        <v>0</v>
      </c>
      <c r="BA132" s="890">
        <f t="shared" si="156"/>
        <v>0</v>
      </c>
      <c r="BB132" s="890">
        <f t="shared" si="156"/>
        <v>0</v>
      </c>
      <c r="BC132" s="890">
        <f t="shared" si="156"/>
        <v>33377584.134500001</v>
      </c>
      <c r="BD132" s="890">
        <f t="shared" si="156"/>
        <v>0</v>
      </c>
      <c r="BE132" s="890">
        <f t="shared" si="100"/>
        <v>33377584.134500001</v>
      </c>
      <c r="BF132" s="952">
        <f t="shared" si="101"/>
        <v>33377584.134500001</v>
      </c>
      <c r="BG132" s="974">
        <v>0</v>
      </c>
      <c r="BH132" s="890">
        <v>0</v>
      </c>
      <c r="BI132" s="890">
        <f t="shared" si="163"/>
        <v>0</v>
      </c>
      <c r="BJ132" s="894">
        <v>26874.53</v>
      </c>
      <c r="BK132" s="1200">
        <v>29828.31</v>
      </c>
      <c r="BL132" s="897">
        <f t="shared" si="168"/>
        <v>0</v>
      </c>
      <c r="BM132" s="897">
        <f t="shared" si="168"/>
        <v>0</v>
      </c>
      <c r="BN132" s="897">
        <f t="shared" si="168"/>
        <v>0</v>
      </c>
      <c r="BO132" s="897">
        <f t="shared" si="168"/>
        <v>18956016.525618445</v>
      </c>
      <c r="BP132" s="897">
        <f t="shared" si="168"/>
        <v>0</v>
      </c>
      <c r="BQ132" s="897">
        <f t="shared" si="142"/>
        <v>18956016.525618445</v>
      </c>
      <c r="BR132" s="897">
        <f t="shared" si="143"/>
        <v>18956016.525618445</v>
      </c>
      <c r="BS132" s="897">
        <f t="shared" si="165"/>
        <v>0</v>
      </c>
      <c r="BT132" s="897">
        <f t="shared" si="165"/>
        <v>0</v>
      </c>
      <c r="BU132" s="897">
        <f t="shared" si="165"/>
        <v>0</v>
      </c>
      <c r="BV132" s="897">
        <f t="shared" si="144"/>
        <v>20084191.352500003</v>
      </c>
      <c r="BW132" s="897">
        <f t="shared" ref="BW132:BW142" si="169">S132*AE132</f>
        <v>0</v>
      </c>
      <c r="BX132" s="897">
        <f t="shared" si="145"/>
        <v>20084191.352500003</v>
      </c>
      <c r="BY132" s="897">
        <f t="shared" si="146"/>
        <v>20084191.352500003</v>
      </c>
      <c r="BZ132" s="905">
        <f t="shared" si="111"/>
        <v>0</v>
      </c>
      <c r="CA132" s="905">
        <f t="shared" si="111"/>
        <v>0</v>
      </c>
      <c r="CB132" s="905">
        <f t="shared" si="147"/>
        <v>0</v>
      </c>
      <c r="CC132" s="907" t="e">
        <f t="shared" si="112"/>
        <v>#DIV/0!</v>
      </c>
      <c r="CD132" s="907" t="e">
        <f t="shared" si="112"/>
        <v>#DIV/0!</v>
      </c>
      <c r="CE132" s="907" t="e">
        <f t="shared" si="133"/>
        <v>#DIV/0!</v>
      </c>
      <c r="CF132" s="905" t="e">
        <f t="shared" si="116"/>
        <v>#DIV/0!</v>
      </c>
      <c r="CG132" s="923">
        <f t="shared" si="117"/>
        <v>0</v>
      </c>
      <c r="CH132" s="923" t="e">
        <f t="shared" si="134"/>
        <v>#DIV/0!</v>
      </c>
      <c r="CI132" s="1179"/>
      <c r="CJ132" s="1405">
        <f t="shared" si="106"/>
        <v>18956.016525618445</v>
      </c>
      <c r="CK132" s="1405">
        <f t="shared" si="102"/>
        <v>13293.392781999999</v>
      </c>
      <c r="CL132" s="1405">
        <f t="shared" si="107"/>
        <v>32249.409307618444</v>
      </c>
      <c r="CM132" s="1040">
        <f t="shared" si="135"/>
        <v>33377.584134500001</v>
      </c>
      <c r="CN132" s="1040">
        <f t="shared" si="136"/>
        <v>1128.1748268815572</v>
      </c>
      <c r="CO132" s="1040">
        <f t="shared" si="118"/>
        <v>32249409.307618447</v>
      </c>
      <c r="CP132" s="1040">
        <f t="shared" si="119"/>
        <v>31502689.121712901</v>
      </c>
      <c r="CQ132" s="1040">
        <f t="shared" si="120"/>
        <v>31502689.121712901</v>
      </c>
      <c r="CR132" s="1040">
        <f t="shared" si="121"/>
        <v>18956016.525618445</v>
      </c>
      <c r="CS132" s="1040">
        <f t="shared" si="122"/>
        <v>33377584.134500001</v>
      </c>
      <c r="CT132" s="1040">
        <f t="shared" si="123"/>
        <v>33377584.134500001</v>
      </c>
      <c r="CU132" s="1040">
        <f t="shared" si="124"/>
        <v>13293392.782</v>
      </c>
      <c r="CV132" s="1040">
        <f t="shared" si="137"/>
        <v>64880273.256212905</v>
      </c>
      <c r="CW132" s="1082">
        <f t="shared" si="138"/>
        <v>5174.7609639158372</v>
      </c>
      <c r="CX132" s="1040">
        <f t="shared" si="125"/>
        <v>0</v>
      </c>
      <c r="CY132" s="1040">
        <f t="shared" si="126"/>
        <v>0</v>
      </c>
      <c r="CZ132" s="1040"/>
      <c r="DA132" s="1040">
        <f t="shared" si="127"/>
        <v>31502689.121712901</v>
      </c>
      <c r="DB132" s="1040">
        <f t="shared" si="128"/>
        <v>33377584.134500001</v>
      </c>
      <c r="DC132" s="1180"/>
      <c r="DD132" s="162" t="e">
        <f t="shared" si="139"/>
        <v>#DIV/0!</v>
      </c>
      <c r="DE132" s="1180"/>
      <c r="DF132" s="1180"/>
      <c r="DG132" s="1180"/>
      <c r="DH132" s="1043">
        <v>7442</v>
      </c>
      <c r="DI132" s="1043">
        <v>0</v>
      </c>
      <c r="DJ132" s="1043">
        <f t="shared" si="108"/>
        <v>7442</v>
      </c>
      <c r="DK132" s="1179"/>
      <c r="DL132" s="1045">
        <f t="shared" si="129"/>
        <v>0</v>
      </c>
      <c r="DM132" s="1045">
        <f t="shared" si="130"/>
        <v>0</v>
      </c>
      <c r="DN132" s="1045">
        <f t="shared" si="131"/>
        <v>0</v>
      </c>
    </row>
    <row r="133" spans="1:142" s="50" customFormat="1" ht="76.5" customHeight="1">
      <c r="A133" s="6" t="e">
        <f t="shared" si="140"/>
        <v>#REF!</v>
      </c>
      <c r="B133" s="886" t="s">
        <v>47</v>
      </c>
      <c r="C133" s="886" t="s">
        <v>56</v>
      </c>
      <c r="D133" s="1206" t="s">
        <v>921</v>
      </c>
      <c r="E133" s="886" t="s">
        <v>1002</v>
      </c>
      <c r="F133" s="886" t="s">
        <v>8</v>
      </c>
      <c r="G133" s="888" t="s">
        <v>962</v>
      </c>
      <c r="H133" s="925">
        <v>2586.6799999999998</v>
      </c>
      <c r="I133" s="891">
        <v>2586.6799999999998</v>
      </c>
      <c r="J133" s="891">
        <v>0</v>
      </c>
      <c r="K133" s="891">
        <v>0</v>
      </c>
      <c r="L133" s="891">
        <v>2586.6799999999998</v>
      </c>
      <c r="M133" s="946">
        <v>0</v>
      </c>
      <c r="N133" s="959">
        <v>3008.94</v>
      </c>
      <c r="O133" s="891">
        <v>3008.94</v>
      </c>
      <c r="P133" s="891">
        <v>0</v>
      </c>
      <c r="Q133" s="891">
        <v>0</v>
      </c>
      <c r="R133" s="891">
        <v>3008.94</v>
      </c>
      <c r="S133" s="946">
        <v>0</v>
      </c>
      <c r="T133" s="937">
        <v>57</v>
      </c>
      <c r="U133" s="931">
        <v>0</v>
      </c>
      <c r="V133" s="931">
        <v>0</v>
      </c>
      <c r="W133" s="930">
        <v>720</v>
      </c>
      <c r="X133" s="931">
        <v>0</v>
      </c>
      <c r="Y133" s="931">
        <v>0</v>
      </c>
      <c r="Z133" s="949">
        <f>SUM(T133:W133)</f>
        <v>777</v>
      </c>
      <c r="AA133" s="939">
        <v>51</v>
      </c>
      <c r="AB133" s="931">
        <v>0</v>
      </c>
      <c r="AC133" s="931">
        <v>0</v>
      </c>
      <c r="AD133" s="930">
        <v>515</v>
      </c>
      <c r="AE133" s="931">
        <v>0</v>
      </c>
      <c r="AF133" s="931">
        <v>0</v>
      </c>
      <c r="AG133" s="951">
        <f>SUM(AA133:AD133)</f>
        <v>566</v>
      </c>
      <c r="AH133" s="947">
        <f>Z133+AG133</f>
        <v>1343</v>
      </c>
      <c r="AI133" s="890">
        <f t="shared" si="148"/>
        <v>108</v>
      </c>
      <c r="AJ133" s="890">
        <f t="shared" si="148"/>
        <v>0</v>
      </c>
      <c r="AK133" s="890">
        <f t="shared" si="148"/>
        <v>0</v>
      </c>
      <c r="AL133" s="971">
        <f t="shared" si="148"/>
        <v>1235</v>
      </c>
      <c r="AM133" s="890">
        <f t="shared" si="148"/>
        <v>0</v>
      </c>
      <c r="AN133" s="890"/>
      <c r="AO133" s="971">
        <f>SUM(AI133:AN133)</f>
        <v>1343</v>
      </c>
      <c r="AP133" s="971">
        <f>SUM(AI133:AM133)</f>
        <v>1343</v>
      </c>
      <c r="AQ133" s="1036">
        <f>SUM(AI133:AL133)</f>
        <v>1343</v>
      </c>
      <c r="AR133" s="973">
        <f t="shared" si="132"/>
        <v>0</v>
      </c>
      <c r="AS133" s="889">
        <f t="shared" si="167"/>
        <v>279361.44</v>
      </c>
      <c r="AT133" s="890">
        <f t="shared" si="167"/>
        <v>0</v>
      </c>
      <c r="AU133" s="890">
        <f t="shared" si="167"/>
        <v>0</v>
      </c>
      <c r="AV133" s="890">
        <f t="shared" si="167"/>
        <v>3194549.8</v>
      </c>
      <c r="AW133" s="890">
        <f t="shared" si="167"/>
        <v>0</v>
      </c>
      <c r="AX133" s="890">
        <f t="shared" si="98"/>
        <v>3473911.2399999998</v>
      </c>
      <c r="AY133" s="890">
        <f t="shared" si="99"/>
        <v>3473911.2399999998</v>
      </c>
      <c r="AZ133" s="890">
        <f t="shared" si="156"/>
        <v>324965.52</v>
      </c>
      <c r="BA133" s="890">
        <f t="shared" si="156"/>
        <v>0</v>
      </c>
      <c r="BB133" s="890">
        <f t="shared" si="156"/>
        <v>0</v>
      </c>
      <c r="BC133" s="890">
        <f t="shared" si="156"/>
        <v>3716040.9</v>
      </c>
      <c r="BD133" s="890">
        <f t="shared" si="156"/>
        <v>0</v>
      </c>
      <c r="BE133" s="890">
        <f t="shared" si="100"/>
        <v>4041006.42</v>
      </c>
      <c r="BF133" s="952">
        <f t="shared" si="101"/>
        <v>4041006.42</v>
      </c>
      <c r="BG133" s="974">
        <v>0</v>
      </c>
      <c r="BH133" s="890">
        <v>0</v>
      </c>
      <c r="BI133" s="890">
        <f t="shared" si="163"/>
        <v>0</v>
      </c>
      <c r="BJ133" s="894">
        <v>89500.79</v>
      </c>
      <c r="BK133" s="1200">
        <v>93650.3</v>
      </c>
      <c r="BL133" s="897">
        <f>I133*T133</f>
        <v>147440.75999999998</v>
      </c>
      <c r="BM133" s="897">
        <f t="shared" si="168"/>
        <v>0</v>
      </c>
      <c r="BN133" s="897">
        <f t="shared" si="168"/>
        <v>0</v>
      </c>
      <c r="BO133" s="897">
        <f t="shared" si="168"/>
        <v>1862409.5999999999</v>
      </c>
      <c r="BP133" s="897">
        <f t="shared" si="168"/>
        <v>0</v>
      </c>
      <c r="BQ133" s="897">
        <f t="shared" si="142"/>
        <v>2009850.3599999999</v>
      </c>
      <c r="BR133" s="897">
        <f t="shared" si="143"/>
        <v>2009850.3599999999</v>
      </c>
      <c r="BS133" s="897">
        <f t="shared" si="165"/>
        <v>153455.94</v>
      </c>
      <c r="BT133" s="897">
        <f t="shared" si="165"/>
        <v>0</v>
      </c>
      <c r="BU133" s="897">
        <f t="shared" si="165"/>
        <v>0</v>
      </c>
      <c r="BV133" s="897">
        <f t="shared" si="144"/>
        <v>2166436.7999999998</v>
      </c>
      <c r="BW133" s="897">
        <f t="shared" si="169"/>
        <v>0</v>
      </c>
      <c r="BX133" s="897">
        <f t="shared" si="145"/>
        <v>2319892.7399999998</v>
      </c>
      <c r="BY133" s="897">
        <f t="shared" si="146"/>
        <v>2319892.7399999998</v>
      </c>
      <c r="BZ133" s="905">
        <f t="shared" si="111"/>
        <v>0</v>
      </c>
      <c r="CA133" s="905">
        <f t="shared" si="111"/>
        <v>0</v>
      </c>
      <c r="CB133" s="905">
        <f t="shared" si="147"/>
        <v>0</v>
      </c>
      <c r="CC133" s="907" t="e">
        <f t="shared" si="112"/>
        <v>#DIV/0!</v>
      </c>
      <c r="CD133" s="907" t="e">
        <f t="shared" si="112"/>
        <v>#DIV/0!</v>
      </c>
      <c r="CE133" s="907" t="e">
        <f t="shared" si="133"/>
        <v>#DIV/0!</v>
      </c>
      <c r="CF133" s="905" t="e">
        <f t="shared" si="116"/>
        <v>#DIV/0!</v>
      </c>
      <c r="CG133" s="923">
        <f t="shared" si="117"/>
        <v>0</v>
      </c>
      <c r="CH133" s="923" t="e">
        <f t="shared" si="134"/>
        <v>#DIV/0!</v>
      </c>
      <c r="CI133" s="1179"/>
      <c r="CJ133" s="1405">
        <f t="shared" si="106"/>
        <v>2009.8503599999999</v>
      </c>
      <c r="CK133" s="1405">
        <f t="shared" si="102"/>
        <v>1703.0600400000001</v>
      </c>
      <c r="CL133" s="1405">
        <f t="shared" si="107"/>
        <v>3712.9103999999998</v>
      </c>
      <c r="CM133" s="1040">
        <f t="shared" si="135"/>
        <v>4041.0064199999997</v>
      </c>
      <c r="CN133" s="1040">
        <f t="shared" si="136"/>
        <v>328.09601999999995</v>
      </c>
      <c r="CO133" s="1040">
        <f t="shared" si="118"/>
        <v>3712910.4</v>
      </c>
      <c r="CP133" s="1040">
        <f t="shared" si="119"/>
        <v>3473911.2399999998</v>
      </c>
      <c r="CQ133" s="1040">
        <f t="shared" si="120"/>
        <v>3473911.2399999998</v>
      </c>
      <c r="CR133" s="1040">
        <f t="shared" si="121"/>
        <v>2009850.3599999999</v>
      </c>
      <c r="CS133" s="1040">
        <f t="shared" si="122"/>
        <v>4041006.42</v>
      </c>
      <c r="CT133" s="1040">
        <f t="shared" si="123"/>
        <v>4041006.42</v>
      </c>
      <c r="CU133" s="1040">
        <f t="shared" si="124"/>
        <v>1703060.04</v>
      </c>
      <c r="CV133" s="1040">
        <f t="shared" si="137"/>
        <v>7514917.6600000001</v>
      </c>
      <c r="CW133" s="1082">
        <f t="shared" si="138"/>
        <v>5595.62</v>
      </c>
      <c r="CX133" s="1040">
        <f t="shared" si="125"/>
        <v>0</v>
      </c>
      <c r="CY133" s="1040">
        <f t="shared" si="126"/>
        <v>0</v>
      </c>
      <c r="CZ133" s="1040"/>
      <c r="DA133" s="1040">
        <f t="shared" si="127"/>
        <v>3473911.2399999998</v>
      </c>
      <c r="DB133" s="1040">
        <f t="shared" si="128"/>
        <v>4041006.42</v>
      </c>
      <c r="DC133" s="1180"/>
      <c r="DD133" s="162" t="e">
        <f t="shared" si="139"/>
        <v>#DIV/0!</v>
      </c>
      <c r="DE133" s="1180"/>
      <c r="DF133" s="1180"/>
      <c r="DG133" s="1180"/>
      <c r="DH133" s="1043">
        <v>8346</v>
      </c>
      <c r="DI133" s="1043">
        <v>0</v>
      </c>
      <c r="DJ133" s="1043">
        <f t="shared" si="108"/>
        <v>8346</v>
      </c>
      <c r="DK133" s="1179"/>
      <c r="DL133" s="1045">
        <f t="shared" si="129"/>
        <v>0</v>
      </c>
      <c r="DM133" s="1045">
        <f t="shared" si="130"/>
        <v>0</v>
      </c>
      <c r="DN133" s="1045">
        <f t="shared" si="131"/>
        <v>0</v>
      </c>
    </row>
    <row r="134" spans="1:142" s="50" customFormat="1" ht="90" customHeight="1">
      <c r="A134" s="6" t="e">
        <f t="shared" si="140"/>
        <v>#REF!</v>
      </c>
      <c r="B134" s="886" t="s">
        <v>47</v>
      </c>
      <c r="C134" s="886" t="s">
        <v>56</v>
      </c>
      <c r="D134" s="1206" t="s">
        <v>54</v>
      </c>
      <c r="E134" s="886">
        <v>4632068226</v>
      </c>
      <c r="F134" s="886" t="s">
        <v>8</v>
      </c>
      <c r="G134" s="888" t="s">
        <v>963</v>
      </c>
      <c r="H134" s="1245">
        <v>1686.48</v>
      </c>
      <c r="I134" s="1246">
        <v>1686.48</v>
      </c>
      <c r="J134" s="968">
        <v>1686.48</v>
      </c>
      <c r="K134" s="968">
        <v>1686.48</v>
      </c>
      <c r="L134" s="968">
        <v>1686.48</v>
      </c>
      <c r="M134" s="969">
        <v>1686.48</v>
      </c>
      <c r="N134" s="970">
        <v>1828.75</v>
      </c>
      <c r="O134" s="968">
        <v>1828.75</v>
      </c>
      <c r="P134" s="968">
        <v>1828.75</v>
      </c>
      <c r="Q134" s="968">
        <v>1828.75</v>
      </c>
      <c r="R134" s="968">
        <v>1828.75</v>
      </c>
      <c r="S134" s="968">
        <v>1828.75</v>
      </c>
      <c r="T134" s="935">
        <v>126.59</v>
      </c>
      <c r="U134" s="930">
        <v>59.17</v>
      </c>
      <c r="V134" s="930">
        <v>11.43</v>
      </c>
      <c r="W134" s="930">
        <v>2817.84</v>
      </c>
      <c r="X134" s="928">
        <v>126592.53</v>
      </c>
      <c r="Y134" s="931">
        <v>0</v>
      </c>
      <c r="Z134" s="949">
        <f>SUM(T134:W134)</f>
        <v>3015.03</v>
      </c>
      <c r="AA134" s="927">
        <v>92.42</v>
      </c>
      <c r="AB134" s="928">
        <v>37.83</v>
      </c>
      <c r="AC134" s="928">
        <v>7.3</v>
      </c>
      <c r="AD134" s="928">
        <v>1878.56</v>
      </c>
      <c r="AE134" s="928">
        <v>100275.8</v>
      </c>
      <c r="AF134" s="931">
        <v>0</v>
      </c>
      <c r="AG134" s="951">
        <f>SUM(AA134:AD134)</f>
        <v>2016.11</v>
      </c>
      <c r="AH134" s="947">
        <f>Z134+AG134</f>
        <v>5031.1400000000003</v>
      </c>
      <c r="AI134" s="894">
        <f t="shared" si="148"/>
        <v>219.01</v>
      </c>
      <c r="AJ134" s="894">
        <f t="shared" si="148"/>
        <v>97</v>
      </c>
      <c r="AK134" s="894">
        <f t="shared" si="148"/>
        <v>18.73</v>
      </c>
      <c r="AL134" s="894">
        <f t="shared" si="148"/>
        <v>4696.3999999999996</v>
      </c>
      <c r="AM134" s="894">
        <f t="shared" si="148"/>
        <v>226868.33000000002</v>
      </c>
      <c r="AN134" s="890"/>
      <c r="AO134" s="894">
        <f>SUM(AI134:AN134)</f>
        <v>231899.47000000003</v>
      </c>
      <c r="AP134" s="894">
        <f>SUM(AI134:AM134)</f>
        <v>231899.47000000003</v>
      </c>
      <c r="AQ134" s="972">
        <f>SUM(AI134:AL134)</f>
        <v>5031.1399999999994</v>
      </c>
      <c r="AR134" s="973">
        <f t="shared" si="132"/>
        <v>0</v>
      </c>
      <c r="AS134" s="889">
        <f t="shared" si="167"/>
        <v>369355.98479999998</v>
      </c>
      <c r="AT134" s="890">
        <f t="shared" si="167"/>
        <v>163588.56</v>
      </c>
      <c r="AU134" s="890">
        <f t="shared" si="167"/>
        <v>31587.770400000001</v>
      </c>
      <c r="AV134" s="890">
        <f t="shared" si="167"/>
        <v>7920384.6719999993</v>
      </c>
      <c r="AW134" s="890">
        <f t="shared" si="167"/>
        <v>382608901.17840004</v>
      </c>
      <c r="AX134" s="890">
        <f t="shared" ref="AX134:AX141" si="170">SUM(AS134:AW134)</f>
        <v>391093818.16560006</v>
      </c>
      <c r="AY134" s="890">
        <f t="shared" ref="AY134:AY141" si="171">SUM(AS134:AV134)</f>
        <v>8484916.9871999994</v>
      </c>
      <c r="AZ134" s="890">
        <f t="shared" si="156"/>
        <v>400514.53749999998</v>
      </c>
      <c r="BA134" s="890">
        <f t="shared" si="156"/>
        <v>177388.75</v>
      </c>
      <c r="BB134" s="890">
        <f t="shared" si="156"/>
        <v>34252.487500000003</v>
      </c>
      <c r="BC134" s="890">
        <f t="shared" si="156"/>
        <v>8588541.5</v>
      </c>
      <c r="BD134" s="890">
        <f t="shared" si="156"/>
        <v>414885458.48750001</v>
      </c>
      <c r="BE134" s="890">
        <f t="shared" ref="BE134:BE141" si="172">SUM(AZ134:BD134)</f>
        <v>424086155.76249999</v>
      </c>
      <c r="BF134" s="952">
        <f t="shared" ref="BF134:BF141" si="173">SUM(AZ134:BC134)</f>
        <v>9200697.2750000004</v>
      </c>
      <c r="BG134" s="974">
        <v>0</v>
      </c>
      <c r="BH134" s="1046">
        <v>0</v>
      </c>
      <c r="BI134" s="1046">
        <v>0</v>
      </c>
      <c r="BJ134" s="894">
        <v>338038.79</v>
      </c>
      <c r="BK134" s="1199">
        <v>444364.99</v>
      </c>
      <c r="BL134" s="897">
        <f>I134*T134</f>
        <v>213491.50320000001</v>
      </c>
      <c r="BM134" s="897">
        <f>J134*U134</f>
        <v>99789.021600000007</v>
      </c>
      <c r="BN134" s="897">
        <f>K134*V134</f>
        <v>19276.466400000001</v>
      </c>
      <c r="BO134" s="897">
        <f>L134*W134</f>
        <v>4752230.8032</v>
      </c>
      <c r="BP134" s="897">
        <f>M134*X134</f>
        <v>213495769.99439999</v>
      </c>
      <c r="BQ134" s="897">
        <f>BL134+BM134+BN134+BO134+BP134</f>
        <v>218580557.7888</v>
      </c>
      <c r="BR134" s="897">
        <f>BQ134-BP134</f>
        <v>5084787.7944000065</v>
      </c>
      <c r="BS134" s="897">
        <f>O134*AA134</f>
        <v>169013.07500000001</v>
      </c>
      <c r="BT134" s="897">
        <f>P134*AB134</f>
        <v>69181.612500000003</v>
      </c>
      <c r="BU134" s="897">
        <f>Q134*AC134</f>
        <v>13349.875</v>
      </c>
      <c r="BV134" s="897">
        <f>R134*W134</f>
        <v>5153124.9000000004</v>
      </c>
      <c r="BW134" s="897">
        <f>S134*AE134</f>
        <v>183379369.25</v>
      </c>
      <c r="BX134" s="897">
        <f>BS134+BT134+BU134+BV134+BW134</f>
        <v>188784038.71250001</v>
      </c>
      <c r="BY134" s="897">
        <f>BX134-BW134</f>
        <v>5404669.462500006</v>
      </c>
      <c r="BZ134" s="905">
        <f t="shared" si="111"/>
        <v>168970.63410000002</v>
      </c>
      <c r="CA134" s="905">
        <f t="shared" si="111"/>
        <v>32626.341400000001</v>
      </c>
      <c r="CB134" s="905">
        <f t="shared" si="147"/>
        <v>201596.97550000003</v>
      </c>
      <c r="CC134" s="907">
        <f t="shared" si="112"/>
        <v>1741.9653000000003</v>
      </c>
      <c r="CD134" s="907">
        <f t="shared" si="112"/>
        <v>1741.9295995728778</v>
      </c>
      <c r="CE134" s="907">
        <f t="shared" si="133"/>
        <v>1741.9595221636571</v>
      </c>
      <c r="CF134" s="907">
        <f t="shared" si="116"/>
        <v>1741.9595221636571</v>
      </c>
      <c r="CG134" s="923">
        <f t="shared" si="117"/>
        <v>201596.9755</v>
      </c>
      <c r="CH134" s="923">
        <f t="shared" si="134"/>
        <v>1741.9595221636566</v>
      </c>
      <c r="CI134" s="1179"/>
      <c r="CJ134" s="1405">
        <f t="shared" si="106"/>
        <v>5084.7877944000002</v>
      </c>
      <c r="CK134" s="1405">
        <f t="shared" ref="CK134:CK140" si="174">N134*AG134/1000</f>
        <v>3686.9611624999998</v>
      </c>
      <c r="CL134" s="1405">
        <f t="shared" si="107"/>
        <v>8771.748956899999</v>
      </c>
      <c r="CM134" s="1040">
        <f t="shared" si="135"/>
        <v>9200.6972750000004</v>
      </c>
      <c r="CN134" s="1040">
        <f t="shared" si="136"/>
        <v>428.94831810000142</v>
      </c>
      <c r="CO134" s="1040">
        <f t="shared" si="118"/>
        <v>8771748.9569000006</v>
      </c>
      <c r="CP134" s="1040">
        <f t="shared" si="119"/>
        <v>8484916.9871999994</v>
      </c>
      <c r="CQ134" s="1040">
        <f t="shared" si="120"/>
        <v>8484916.9871999994</v>
      </c>
      <c r="CR134" s="1040">
        <f t="shared" si="121"/>
        <v>5084787.7944</v>
      </c>
      <c r="CS134" s="1040">
        <f t="shared" si="122"/>
        <v>9200697.2750000004</v>
      </c>
      <c r="CT134" s="1040">
        <f t="shared" si="123"/>
        <v>9200697.2750000004</v>
      </c>
      <c r="CU134" s="1040">
        <f t="shared" si="124"/>
        <v>3686961.1625000001</v>
      </c>
      <c r="CV134" s="1040">
        <f t="shared" si="137"/>
        <v>17685614.262199998</v>
      </c>
      <c r="CW134" s="1082">
        <f t="shared" si="138"/>
        <v>3515.2299999999996</v>
      </c>
      <c r="CX134" s="1040">
        <f t="shared" si="125"/>
        <v>195176.33040000001</v>
      </c>
      <c r="CY134" s="1040">
        <f t="shared" si="126"/>
        <v>211641.23749999999</v>
      </c>
      <c r="CZ134" s="1040"/>
      <c r="DA134" s="1040">
        <f t="shared" si="127"/>
        <v>8484916.9871999994</v>
      </c>
      <c r="DB134" s="1040">
        <f t="shared" si="128"/>
        <v>9200697.2750000004</v>
      </c>
      <c r="DC134" s="1180"/>
      <c r="DD134" s="162">
        <f t="shared" si="139"/>
        <v>108.43591385607894</v>
      </c>
      <c r="DE134" s="1180"/>
      <c r="DF134" s="1180"/>
      <c r="DG134" s="1180"/>
      <c r="DH134" s="1043">
        <v>5196.2</v>
      </c>
      <c r="DI134" s="1043">
        <v>160.19999999999999</v>
      </c>
      <c r="DJ134" s="1043">
        <f t="shared" si="108"/>
        <v>5036</v>
      </c>
      <c r="DK134" s="1179"/>
      <c r="DL134" s="1045">
        <f t="shared" si="129"/>
        <v>213495.76999440001</v>
      </c>
      <c r="DM134" s="1045">
        <f t="shared" si="130"/>
        <v>183379.36924999999</v>
      </c>
      <c r="DN134" s="1045">
        <f t="shared" si="131"/>
        <v>396875.13924439996</v>
      </c>
    </row>
    <row r="135" spans="1:142" s="869" customFormat="1" ht="85.5" customHeight="1">
      <c r="A135" s="6" t="e">
        <f t="shared" si="140"/>
        <v>#REF!</v>
      </c>
      <c r="B135" s="886" t="s">
        <v>47</v>
      </c>
      <c r="C135" s="1309" t="s">
        <v>56</v>
      </c>
      <c r="D135" s="1262" t="s">
        <v>141</v>
      </c>
      <c r="E135" s="887">
        <v>4632024035</v>
      </c>
      <c r="F135" s="886" t="s">
        <v>8</v>
      </c>
      <c r="G135" s="1238" t="s">
        <v>983</v>
      </c>
      <c r="H135" s="1256">
        <v>3314.9639999999995</v>
      </c>
      <c r="I135" s="1257">
        <f>H135</f>
        <v>3314.9639999999995</v>
      </c>
      <c r="J135" s="1263">
        <v>2950.21</v>
      </c>
      <c r="K135" s="1263">
        <v>2950.21</v>
      </c>
      <c r="L135" s="1256">
        <v>3314.9639999999995</v>
      </c>
      <c r="M135" s="946"/>
      <c r="N135" s="1259">
        <f>3132.14*1.2</f>
        <v>3758.5679999999998</v>
      </c>
      <c r="O135" s="1260">
        <f>N135</f>
        <v>3758.5679999999998</v>
      </c>
      <c r="P135" s="1264">
        <v>2979.71</v>
      </c>
      <c r="Q135" s="1264">
        <v>2979.71</v>
      </c>
      <c r="R135" s="1260">
        <f>O135</f>
        <v>3758.5679999999998</v>
      </c>
      <c r="S135" s="946"/>
      <c r="T135" s="1392">
        <f>6129.007+11926.79*0.27</f>
        <v>9349.2402999999995</v>
      </c>
      <c r="U135" s="1303">
        <v>62.542999999999999</v>
      </c>
      <c r="V135" s="1303">
        <v>1.5590000000000002</v>
      </c>
      <c r="W135" s="931"/>
      <c r="X135" s="931"/>
      <c r="Y135" s="931"/>
      <c r="Z135" s="1298">
        <f>SUM(T135:W135)</f>
        <v>9413.3422999999984</v>
      </c>
      <c r="AA135" s="1381">
        <f>3524.386+8702.1*0.27</f>
        <v>5873.9530000000004</v>
      </c>
      <c r="AB135" s="1382">
        <v>45.6</v>
      </c>
      <c r="AC135" s="1382">
        <v>4.16</v>
      </c>
      <c r="AD135" s="931"/>
      <c r="AE135" s="931"/>
      <c r="AF135" s="931"/>
      <c r="AG135" s="951">
        <f t="shared" si="114"/>
        <v>5923.7130000000006</v>
      </c>
      <c r="AH135" s="947">
        <f t="shared" si="141"/>
        <v>15337.0553</v>
      </c>
      <c r="AI135" s="890">
        <f t="shared" si="148"/>
        <v>15223.193299999999</v>
      </c>
      <c r="AJ135" s="890">
        <f t="shared" si="148"/>
        <v>108.143</v>
      </c>
      <c r="AK135" s="890">
        <f t="shared" si="148"/>
        <v>5.7190000000000003</v>
      </c>
      <c r="AL135" s="890">
        <f t="shared" si="148"/>
        <v>0</v>
      </c>
      <c r="AM135" s="890">
        <f t="shared" si="148"/>
        <v>0</v>
      </c>
      <c r="AN135" s="890"/>
      <c r="AO135" s="890">
        <f t="shared" si="152"/>
        <v>15337.055299999998</v>
      </c>
      <c r="AP135" s="890">
        <f t="shared" si="153"/>
        <v>15337.055299999998</v>
      </c>
      <c r="AQ135" s="1218">
        <f t="shared" ref="AQ135:AQ138" si="175">SUM(AI135:AL135)</f>
        <v>15337.055299999998</v>
      </c>
      <c r="AR135" s="973">
        <f t="shared" si="132"/>
        <v>0</v>
      </c>
      <c r="AS135" s="889">
        <f t="shared" si="167"/>
        <v>50464337.754541188</v>
      </c>
      <c r="AT135" s="890">
        <f t="shared" si="167"/>
        <v>319044.56002999999</v>
      </c>
      <c r="AU135" s="890">
        <f t="shared" si="167"/>
        <v>16872.25099</v>
      </c>
      <c r="AV135" s="890">
        <f t="shared" si="167"/>
        <v>0</v>
      </c>
      <c r="AW135" s="890">
        <f t="shared" si="167"/>
        <v>0</v>
      </c>
      <c r="AX135" s="890">
        <f t="shared" si="170"/>
        <v>50800254.56556119</v>
      </c>
      <c r="AY135" s="890">
        <f t="shared" si="171"/>
        <v>50800254.56556119</v>
      </c>
      <c r="AZ135" s="890">
        <f t="shared" si="156"/>
        <v>57217407.195194393</v>
      </c>
      <c r="BA135" s="890">
        <f t="shared" si="156"/>
        <v>322234.77853000001</v>
      </c>
      <c r="BB135" s="890">
        <f t="shared" si="156"/>
        <v>17040.961490000002</v>
      </c>
      <c r="BC135" s="890">
        <f t="shared" si="156"/>
        <v>0</v>
      </c>
      <c r="BD135" s="890">
        <f t="shared" si="156"/>
        <v>0</v>
      </c>
      <c r="BE135" s="890">
        <f t="shared" si="172"/>
        <v>57556682.935214393</v>
      </c>
      <c r="BF135" s="952">
        <f t="shared" si="173"/>
        <v>57556682.935214393</v>
      </c>
      <c r="BG135" s="1299">
        <f>(H135-J135)/1.2*U135/1000+(H135-K135)/1.2*V135/1000</f>
        <v>19.484550756666639</v>
      </c>
      <c r="BH135" s="1300">
        <f>(O135-P135)*AB135/1000/1.2+(O135-Q135)/1.2*AC135/1000</f>
        <v>32.296645066666656</v>
      </c>
      <c r="BI135" s="1297">
        <f>BG135+BH135</f>
        <v>51.781195823333292</v>
      </c>
      <c r="BJ135" s="1424">
        <v>640879.24932240241</v>
      </c>
      <c r="BK135" s="1423">
        <v>647769.50399999996</v>
      </c>
      <c r="BL135" s="890">
        <f t="shared" si="168"/>
        <v>30992395.021849193</v>
      </c>
      <c r="BM135" s="890">
        <f t="shared" si="168"/>
        <v>184514.98402999999</v>
      </c>
      <c r="BN135" s="890">
        <f t="shared" si="168"/>
        <v>4599.3773900000006</v>
      </c>
      <c r="BO135" s="890">
        <f t="shared" si="168"/>
        <v>0</v>
      </c>
      <c r="BP135" s="890">
        <f t="shared" si="168"/>
        <v>0</v>
      </c>
      <c r="BQ135" s="890">
        <f t="shared" si="142"/>
        <v>31181509.383269195</v>
      </c>
      <c r="BR135" s="890">
        <f t="shared" si="143"/>
        <v>31181509.383269195</v>
      </c>
      <c r="BS135" s="890">
        <f t="shared" si="165"/>
        <v>22077651.779304001</v>
      </c>
      <c r="BT135" s="890">
        <f t="shared" si="165"/>
        <v>135874.77600000001</v>
      </c>
      <c r="BU135" s="890">
        <f t="shared" si="165"/>
        <v>12395.5936</v>
      </c>
      <c r="BV135" s="890">
        <f t="shared" si="144"/>
        <v>0</v>
      </c>
      <c r="BW135" s="890">
        <f t="shared" si="169"/>
        <v>0</v>
      </c>
      <c r="BX135" s="890">
        <f t="shared" si="145"/>
        <v>22225922.148904003</v>
      </c>
      <c r="BY135" s="890">
        <f t="shared" si="146"/>
        <v>22225922.148904003</v>
      </c>
      <c r="BZ135" s="945">
        <f t="shared" si="111"/>
        <v>320389.76003</v>
      </c>
      <c r="CA135" s="945">
        <f t="shared" si="111"/>
        <v>16994.970990000002</v>
      </c>
      <c r="CB135" s="945">
        <f t="shared" si="147"/>
        <v>337384.73102000001</v>
      </c>
      <c r="CC135" s="976">
        <f t="shared" si="112"/>
        <v>2962.6490852852244</v>
      </c>
      <c r="CD135" s="976">
        <f t="shared" si="112"/>
        <v>2971.6682969050535</v>
      </c>
      <c r="CE135" s="976">
        <f t="shared" si="133"/>
        <v>2963.1020974513008</v>
      </c>
      <c r="CF135" s="976">
        <f t="shared" si="116"/>
        <v>2963.1020974513008</v>
      </c>
      <c r="CG135" s="977">
        <f t="shared" si="117"/>
        <v>399522.16600800003</v>
      </c>
      <c r="CH135" s="977">
        <f t="shared" si="134"/>
        <v>3508.8279321283662</v>
      </c>
      <c r="CI135" s="1047"/>
      <c r="CJ135" s="1405">
        <f>H135*Z135/1000</f>
        <v>31204.890844177189</v>
      </c>
      <c r="CK135" s="1405">
        <f t="shared" si="174"/>
        <v>22264.678122983998</v>
      </c>
      <c r="CL135" s="1405">
        <f>CJ135+CK135</f>
        <v>53469.568967161191</v>
      </c>
      <c r="CM135" s="1057">
        <f t="shared" si="135"/>
        <v>57645.365264810396</v>
      </c>
      <c r="CN135" s="1057">
        <f t="shared" si="136"/>
        <v>4175.7962976492054</v>
      </c>
      <c r="CO135" s="1049">
        <f t="shared" si="118"/>
        <v>53469568.967161193</v>
      </c>
      <c r="CP135" s="1049">
        <f t="shared" si="119"/>
        <v>50800254.56556119</v>
      </c>
      <c r="CQ135" s="1049">
        <f t="shared" si="120"/>
        <v>50800254.56556119</v>
      </c>
      <c r="CR135" s="1049">
        <f t="shared" si="121"/>
        <v>31181509.383269195</v>
      </c>
      <c r="CS135" s="1049">
        <f t="shared" si="122"/>
        <v>57556682.935214393</v>
      </c>
      <c r="CT135" s="1049">
        <f t="shared" si="123"/>
        <v>57556682.935214393</v>
      </c>
      <c r="CU135" s="1049">
        <f t="shared" si="124"/>
        <v>22225922.148904003</v>
      </c>
      <c r="CV135" s="1049">
        <f t="shared" si="137"/>
        <v>108356937.50077558</v>
      </c>
      <c r="CW135" s="1181">
        <f t="shared" si="138"/>
        <v>7065.041846773257</v>
      </c>
      <c r="CX135" s="1049">
        <f t="shared" si="125"/>
        <v>335916.81102000002</v>
      </c>
      <c r="CY135" s="1049">
        <f t="shared" si="126"/>
        <v>339275.74002000003</v>
      </c>
      <c r="CZ135" s="1049"/>
      <c r="DA135" s="1049">
        <f t="shared" si="127"/>
        <v>50841786.185509183</v>
      </c>
      <c r="DB135" s="1049">
        <f t="shared" si="128"/>
        <v>57645365.264810391</v>
      </c>
      <c r="DC135" s="675"/>
      <c r="DD135" s="676">
        <f t="shared" si="139"/>
        <v>127.40001559211038</v>
      </c>
      <c r="DE135" s="675"/>
      <c r="DF135" s="675"/>
      <c r="DG135" s="675"/>
      <c r="DH135" s="1050"/>
      <c r="DI135" s="1050"/>
      <c r="DJ135" s="1050"/>
      <c r="DK135" s="1047"/>
      <c r="DL135" s="1058">
        <f t="shared" si="129"/>
        <v>0</v>
      </c>
      <c r="DM135" s="1058">
        <f t="shared" si="130"/>
        <v>0</v>
      </c>
      <c r="DN135" s="1058">
        <f t="shared" si="131"/>
        <v>0</v>
      </c>
      <c r="DO135" s="625"/>
    </row>
    <row r="136" spans="1:142" s="869" customFormat="1" ht="84.75" customHeight="1">
      <c r="A136" s="6" t="e">
        <f t="shared" si="140"/>
        <v>#REF!</v>
      </c>
      <c r="B136" s="886" t="s">
        <v>47</v>
      </c>
      <c r="C136" s="1219" t="s">
        <v>56</v>
      </c>
      <c r="D136" s="1219" t="s">
        <v>981</v>
      </c>
      <c r="E136" s="1231">
        <v>6829012680</v>
      </c>
      <c r="F136" s="1219" t="s">
        <v>8</v>
      </c>
      <c r="G136" s="1222" t="s">
        <v>982</v>
      </c>
      <c r="H136" s="1249">
        <v>2326.752</v>
      </c>
      <c r="I136" s="1250">
        <v>2326.752</v>
      </c>
      <c r="J136" s="891">
        <v>2231.2199999999998</v>
      </c>
      <c r="K136" s="891">
        <v>2231.2199999999998</v>
      </c>
      <c r="L136" s="891">
        <v>2326.752</v>
      </c>
      <c r="M136" s="946">
        <v>2326.752</v>
      </c>
      <c r="N136" s="927">
        <f>2165.81*1.2</f>
        <v>2598.9719999999998</v>
      </c>
      <c r="O136" s="928">
        <f>N136</f>
        <v>2598.9719999999998</v>
      </c>
      <c r="P136" s="928">
        <v>2403.02</v>
      </c>
      <c r="Q136" s="928">
        <f>P136</f>
        <v>2403.02</v>
      </c>
      <c r="R136" s="928">
        <f>O136</f>
        <v>2598.9719999999998</v>
      </c>
      <c r="S136" s="926">
        <f>R136</f>
        <v>2598.9719999999998</v>
      </c>
      <c r="T136" s="1051">
        <v>165978.1</v>
      </c>
      <c r="U136" s="1232">
        <v>699591.98908299371</v>
      </c>
      <c r="V136" s="1052">
        <f>830181.1-U136</f>
        <v>130589.11091700627</v>
      </c>
      <c r="W136" s="890">
        <f>125129.86-X136</f>
        <v>121744.86</v>
      </c>
      <c r="X136" s="890">
        <v>3385</v>
      </c>
      <c r="Y136" s="890"/>
      <c r="Z136" s="1053">
        <f>SUM(T136:W136)</f>
        <v>1117904.06</v>
      </c>
      <c r="AA136" s="1054">
        <v>105345.1</v>
      </c>
      <c r="AB136" s="1052">
        <v>435637.64910433139</v>
      </c>
      <c r="AC136" s="1052">
        <f>553647.9-AB136</f>
        <v>118010.25089566864</v>
      </c>
      <c r="AD136" s="975">
        <f>250867.255-AE136</f>
        <v>248307.255</v>
      </c>
      <c r="AE136" s="890">
        <v>2560</v>
      </c>
      <c r="AF136" s="890"/>
      <c r="AG136" s="1055">
        <f>SUM(AA136:AD136)</f>
        <v>907300.255</v>
      </c>
      <c r="AH136" s="1051">
        <f t="shared" si="141"/>
        <v>2025204.3149999999</v>
      </c>
      <c r="AI136" s="890">
        <f t="shared" si="148"/>
        <v>271323.2</v>
      </c>
      <c r="AJ136" s="890">
        <f t="shared" si="148"/>
        <v>1135229.6381873251</v>
      </c>
      <c r="AK136" s="890">
        <f t="shared" si="148"/>
        <v>248599.36181267491</v>
      </c>
      <c r="AL136" s="890">
        <f t="shared" si="148"/>
        <v>370052.11499999999</v>
      </c>
      <c r="AM136" s="890">
        <f t="shared" si="148"/>
        <v>5945</v>
      </c>
      <c r="AN136" s="890"/>
      <c r="AO136" s="975">
        <f t="shared" si="152"/>
        <v>2031149.3149999999</v>
      </c>
      <c r="AP136" s="975">
        <f t="shared" si="153"/>
        <v>2031149.3149999999</v>
      </c>
      <c r="AQ136" s="1035">
        <f t="shared" si="175"/>
        <v>2025204.3149999999</v>
      </c>
      <c r="AR136" s="973">
        <f t="shared" si="132"/>
        <v>0</v>
      </c>
      <c r="AS136" s="889">
        <f t="shared" si="167"/>
        <v>631301798.2464</v>
      </c>
      <c r="AT136" s="890">
        <f t="shared" si="167"/>
        <v>2532947073.3163233</v>
      </c>
      <c r="AU136" s="890">
        <f t="shared" si="167"/>
        <v>554679868.06367648</v>
      </c>
      <c r="AV136" s="890">
        <f t="shared" si="167"/>
        <v>861019498.68048</v>
      </c>
      <c r="AW136" s="890">
        <f t="shared" si="167"/>
        <v>13832540.640000001</v>
      </c>
      <c r="AX136" s="890">
        <f t="shared" si="170"/>
        <v>4593780778.9468794</v>
      </c>
      <c r="AY136" s="890">
        <f t="shared" si="171"/>
        <v>4579948238.306879</v>
      </c>
      <c r="AZ136" s="890">
        <f t="shared" si="156"/>
        <v>705161399.75039995</v>
      </c>
      <c r="BA136" s="890">
        <f t="shared" si="156"/>
        <v>2727979525.1569061</v>
      </c>
      <c r="BB136" s="890">
        <f t="shared" si="156"/>
        <v>597389238.42309403</v>
      </c>
      <c r="BC136" s="890">
        <f t="shared" si="156"/>
        <v>961755085.42577994</v>
      </c>
      <c r="BD136" s="890">
        <f t="shared" si="156"/>
        <v>15450888.539999999</v>
      </c>
      <c r="BE136" s="890">
        <f t="shared" si="172"/>
        <v>5007736137.2961807</v>
      </c>
      <c r="BF136" s="952">
        <f t="shared" si="173"/>
        <v>4992285248.7561808</v>
      </c>
      <c r="BG136" s="1234">
        <v>66231.922000000006</v>
      </c>
      <c r="BH136" s="966">
        <v>90631.398000000001</v>
      </c>
      <c r="BI136" s="1233">
        <f>BG136+BH136</f>
        <v>156863.32</v>
      </c>
      <c r="BJ136" s="975">
        <v>4167008.598864058</v>
      </c>
      <c r="BK136" s="1198">
        <v>6109023.6911929175</v>
      </c>
      <c r="BL136" s="890">
        <f t="shared" si="168"/>
        <v>386189876.13120002</v>
      </c>
      <c r="BM136" s="890">
        <f t="shared" si="168"/>
        <v>1560943637.881757</v>
      </c>
      <c r="BN136" s="890">
        <f t="shared" si="168"/>
        <v>291373036.06024271</v>
      </c>
      <c r="BO136" s="890">
        <f t="shared" si="168"/>
        <v>283270096.49471998</v>
      </c>
      <c r="BP136" s="890">
        <f t="shared" si="168"/>
        <v>7876055.5199999996</v>
      </c>
      <c r="BQ136" s="890">
        <f t="shared" si="142"/>
        <v>2529652702.0879197</v>
      </c>
      <c r="BR136" s="890">
        <f t="shared" si="143"/>
        <v>2521776646.5679197</v>
      </c>
      <c r="BS136" s="890">
        <f t="shared" si="165"/>
        <v>273788965.23719996</v>
      </c>
      <c r="BT136" s="890">
        <f t="shared" si="165"/>
        <v>1046845983.5506904</v>
      </c>
      <c r="BU136" s="890">
        <f t="shared" si="165"/>
        <v>283580993.10730964</v>
      </c>
      <c r="BV136" s="890">
        <f t="shared" si="144"/>
        <v>316411482.28391999</v>
      </c>
      <c r="BW136" s="890">
        <f t="shared" si="169"/>
        <v>6653368.3199999994</v>
      </c>
      <c r="BX136" s="890">
        <f t="shared" si="145"/>
        <v>1927280792.49912</v>
      </c>
      <c r="BY136" s="890">
        <f t="shared" si="146"/>
        <v>1920627424.1791201</v>
      </c>
      <c r="BZ136" s="945">
        <f t="shared" si="111"/>
        <v>2607789621.4324474</v>
      </c>
      <c r="CA136" s="945">
        <f t="shared" si="111"/>
        <v>574954029.16755235</v>
      </c>
      <c r="CB136" s="945">
        <f t="shared" si="147"/>
        <v>3182743650.5999999</v>
      </c>
      <c r="CC136" s="976">
        <f t="shared" si="112"/>
        <v>2297.1472323400826</v>
      </c>
      <c r="CD136" s="976">
        <f t="shared" si="112"/>
        <v>2312.7735524952509</v>
      </c>
      <c r="CE136" s="976">
        <f t="shared" si="133"/>
        <v>2299.9544384457904</v>
      </c>
      <c r="CF136" s="976">
        <f t="shared" si="116"/>
        <v>2299.9544384457904</v>
      </c>
      <c r="CG136" s="977">
        <f t="shared" si="117"/>
        <v>3370540924.7459998</v>
      </c>
      <c r="CH136" s="977">
        <f t="shared" si="134"/>
        <v>2435.6628779610774</v>
      </c>
      <c r="CI136" s="1047"/>
      <c r="CJ136" s="1405">
        <f t="shared" ref="CJ136:CJ142" si="176">H136*Z136/1000</f>
        <v>2601085.5074131205</v>
      </c>
      <c r="CK136" s="1405">
        <f t="shared" si="174"/>
        <v>2358047.9583378597</v>
      </c>
      <c r="CL136" s="1405">
        <f t="shared" ref="CL136:CL142" si="177">CJ136+CK136</f>
        <v>4959133.4657509802</v>
      </c>
      <c r="CM136" s="1057">
        <f t="shared" si="135"/>
        <v>5263449.3089641789</v>
      </c>
      <c r="CN136" s="1057">
        <f t="shared" si="136"/>
        <v>304315.84321319871</v>
      </c>
      <c r="CO136" s="1049">
        <f t="shared" si="118"/>
        <v>4959133465.7509804</v>
      </c>
      <c r="CP136" s="1049">
        <f t="shared" si="119"/>
        <v>4579948238.306879</v>
      </c>
      <c r="CQ136" s="1049">
        <f t="shared" si="120"/>
        <v>4579948238.306879</v>
      </c>
      <c r="CR136" s="1049">
        <f t="shared" si="121"/>
        <v>2521776646.5679197</v>
      </c>
      <c r="CS136" s="1049">
        <f t="shared" si="122"/>
        <v>4992285248.7561808</v>
      </c>
      <c r="CT136" s="1049">
        <f t="shared" si="123"/>
        <v>4992285248.7561798</v>
      </c>
      <c r="CU136" s="1049">
        <f t="shared" si="124"/>
        <v>2249559545.0370598</v>
      </c>
      <c r="CV136" s="1049">
        <f t="shared" si="137"/>
        <v>9572233487.0630608</v>
      </c>
      <c r="CW136" s="1181">
        <f t="shared" si="138"/>
        <v>4726.5519909101422</v>
      </c>
      <c r="CX136" s="1049">
        <f t="shared" si="125"/>
        <v>3087626941.3799996</v>
      </c>
      <c r="CY136" s="1049">
        <f t="shared" si="126"/>
        <v>3325368763.5799999</v>
      </c>
      <c r="CZ136" s="1049"/>
      <c r="DA136" s="1049">
        <f t="shared" si="127"/>
        <v>4712148190.3348799</v>
      </c>
      <c r="DB136" s="1049">
        <f t="shared" si="128"/>
        <v>5263449308.96418</v>
      </c>
      <c r="DC136" s="675"/>
      <c r="DD136" s="676">
        <f t="shared" si="139"/>
        <v>116.48210396106167</v>
      </c>
      <c r="DE136" s="675"/>
      <c r="DF136" s="675"/>
      <c r="DG136" s="675"/>
      <c r="DH136" s="1235">
        <f>AH136</f>
        <v>2025204.3149999999</v>
      </c>
      <c r="DI136" s="1137">
        <f>AJ136+AK136</f>
        <v>1383829</v>
      </c>
      <c r="DJ136" s="1236">
        <f>DH136-DI136</f>
        <v>641375.31499999994</v>
      </c>
      <c r="DK136" s="1047"/>
      <c r="DL136" s="1058">
        <f t="shared" si="129"/>
        <v>7876.0555199999999</v>
      </c>
      <c r="DM136" s="1058">
        <f t="shared" si="130"/>
        <v>6653.3683199999996</v>
      </c>
      <c r="DN136" s="1058">
        <f t="shared" si="131"/>
        <v>14529.423839999999</v>
      </c>
      <c r="DO136" s="625"/>
    </row>
    <row r="137" spans="1:142" s="50" customFormat="1" ht="81" customHeight="1">
      <c r="A137" s="6" t="e">
        <f t="shared" si="140"/>
        <v>#REF!</v>
      </c>
      <c r="B137" s="886" t="s">
        <v>47</v>
      </c>
      <c r="C137" s="886" t="s">
        <v>56</v>
      </c>
      <c r="D137" s="1225" t="s">
        <v>272</v>
      </c>
      <c r="E137" s="1020">
        <v>4630001280</v>
      </c>
      <c r="F137" s="886" t="s">
        <v>8</v>
      </c>
      <c r="G137" s="888" t="s">
        <v>976</v>
      </c>
      <c r="H137" s="925">
        <f>1947.25*1.2</f>
        <v>2336.6999999999998</v>
      </c>
      <c r="I137" s="891">
        <v>0</v>
      </c>
      <c r="J137" s="891">
        <v>2336.6999999999998</v>
      </c>
      <c r="K137" s="891">
        <v>0</v>
      </c>
      <c r="L137" s="891">
        <v>0</v>
      </c>
      <c r="M137" s="892">
        <v>0</v>
      </c>
      <c r="N137" s="984">
        <f>2200.21*1.2</f>
        <v>2640.252</v>
      </c>
      <c r="O137" s="895">
        <v>0</v>
      </c>
      <c r="P137" s="895">
        <v>2640.25</v>
      </c>
      <c r="Q137" s="895">
        <v>0</v>
      </c>
      <c r="R137" s="895">
        <v>0</v>
      </c>
      <c r="S137" s="892">
        <v>0</v>
      </c>
      <c r="T137" s="903">
        <v>0</v>
      </c>
      <c r="U137" s="897">
        <v>44.88</v>
      </c>
      <c r="V137" s="897">
        <v>0</v>
      </c>
      <c r="W137" s="897">
        <v>0</v>
      </c>
      <c r="X137" s="897">
        <v>0</v>
      </c>
      <c r="Y137" s="897">
        <v>6010.71</v>
      </c>
      <c r="Z137" s="898">
        <f>U137</f>
        <v>44.88</v>
      </c>
      <c r="AA137" s="904">
        <v>0</v>
      </c>
      <c r="AB137" s="897">
        <v>33.659999999999997</v>
      </c>
      <c r="AC137" s="897">
        <v>0</v>
      </c>
      <c r="AD137" s="897">
        <v>0</v>
      </c>
      <c r="AE137" s="897">
        <v>0</v>
      </c>
      <c r="AF137" s="897">
        <v>6021.93</v>
      </c>
      <c r="AG137" s="900">
        <f>AB137</f>
        <v>33.659999999999997</v>
      </c>
      <c r="AH137" s="896">
        <f>Z137+AG137</f>
        <v>78.539999999999992</v>
      </c>
      <c r="AI137" s="897">
        <f t="shared" si="148"/>
        <v>0</v>
      </c>
      <c r="AJ137" s="897">
        <f t="shared" si="148"/>
        <v>78.539999999999992</v>
      </c>
      <c r="AK137" s="897">
        <f t="shared" si="148"/>
        <v>0</v>
      </c>
      <c r="AL137" s="897">
        <f t="shared" si="148"/>
        <v>0</v>
      </c>
      <c r="AM137" s="897">
        <f t="shared" si="148"/>
        <v>0</v>
      </c>
      <c r="AN137" s="897">
        <f>AF137+Y137</f>
        <v>12032.64</v>
      </c>
      <c r="AO137" s="897">
        <f>SUM(AI137:AN137)</f>
        <v>12111.18</v>
      </c>
      <c r="AP137" s="897">
        <f t="shared" si="153"/>
        <v>78.539999999999992</v>
      </c>
      <c r="AQ137" s="901">
        <f t="shared" si="175"/>
        <v>78.539999999999992</v>
      </c>
      <c r="AR137" s="902">
        <f t="shared" si="132"/>
        <v>0</v>
      </c>
      <c r="AS137" s="903">
        <f t="shared" si="167"/>
        <v>0</v>
      </c>
      <c r="AT137" s="897">
        <f>J137*AJ137</f>
        <v>183524.41799999998</v>
      </c>
      <c r="AU137" s="897">
        <f t="shared" si="167"/>
        <v>0</v>
      </c>
      <c r="AV137" s="897">
        <f t="shared" si="167"/>
        <v>0</v>
      </c>
      <c r="AW137" s="897">
        <f t="shared" si="167"/>
        <v>0</v>
      </c>
      <c r="AX137" s="897">
        <f t="shared" si="170"/>
        <v>183524.41799999998</v>
      </c>
      <c r="AY137" s="897">
        <f t="shared" si="171"/>
        <v>183524.41799999998</v>
      </c>
      <c r="AZ137" s="897">
        <f t="shared" si="156"/>
        <v>0</v>
      </c>
      <c r="BA137" s="897">
        <f t="shared" si="156"/>
        <v>207365.23499999999</v>
      </c>
      <c r="BB137" s="897">
        <f t="shared" si="156"/>
        <v>0</v>
      </c>
      <c r="BC137" s="897">
        <f t="shared" si="156"/>
        <v>0</v>
      </c>
      <c r="BD137" s="897">
        <f t="shared" si="156"/>
        <v>0</v>
      </c>
      <c r="BE137" s="897">
        <f t="shared" si="172"/>
        <v>207365.23499999999</v>
      </c>
      <c r="BF137" s="901">
        <f t="shared" si="173"/>
        <v>207365.23499999999</v>
      </c>
      <c r="BG137" s="904">
        <v>0</v>
      </c>
      <c r="BH137" s="897">
        <v>0</v>
      </c>
      <c r="BI137" s="897">
        <v>0</v>
      </c>
      <c r="BJ137" s="919">
        <v>25115.32</v>
      </c>
      <c r="BK137" s="1194"/>
      <c r="BL137" s="897">
        <f t="shared" si="168"/>
        <v>0</v>
      </c>
      <c r="BM137" s="897">
        <f t="shared" si="168"/>
        <v>104871.09600000001</v>
      </c>
      <c r="BN137" s="897">
        <f t="shared" si="168"/>
        <v>0</v>
      </c>
      <c r="BO137" s="897">
        <f t="shared" si="168"/>
        <v>0</v>
      </c>
      <c r="BP137" s="897">
        <f t="shared" si="168"/>
        <v>0</v>
      </c>
      <c r="BQ137" s="897">
        <f t="shared" si="142"/>
        <v>104871.09600000001</v>
      </c>
      <c r="BR137" s="897">
        <f t="shared" si="143"/>
        <v>104871.09600000001</v>
      </c>
      <c r="BS137" s="897">
        <f t="shared" si="165"/>
        <v>0</v>
      </c>
      <c r="BT137" s="897">
        <f t="shared" si="165"/>
        <v>88870.814999999988</v>
      </c>
      <c r="BU137" s="897">
        <f t="shared" si="165"/>
        <v>0</v>
      </c>
      <c r="BV137" s="897">
        <f t="shared" si="144"/>
        <v>0</v>
      </c>
      <c r="BW137" s="897">
        <f t="shared" si="169"/>
        <v>0</v>
      </c>
      <c r="BX137" s="897">
        <f t="shared" si="145"/>
        <v>88870.814999999988</v>
      </c>
      <c r="BY137" s="897">
        <f t="shared" si="146"/>
        <v>88870.814999999988</v>
      </c>
      <c r="BZ137" s="905">
        <f t="shared" si="111"/>
        <v>193741.91099999999</v>
      </c>
      <c r="CA137" s="905">
        <f t="shared" si="111"/>
        <v>0</v>
      </c>
      <c r="CB137" s="905">
        <f t="shared" si="147"/>
        <v>193741.91099999999</v>
      </c>
      <c r="CC137" s="907">
        <f t="shared" si="112"/>
        <v>2466.7928571428574</v>
      </c>
      <c r="CD137" s="907" t="e">
        <f t="shared" si="112"/>
        <v>#DIV/0!</v>
      </c>
      <c r="CE137" s="907">
        <f t="shared" si="133"/>
        <v>2466.7928571428574</v>
      </c>
      <c r="CF137" s="907">
        <f t="shared" si="116"/>
        <v>2466.7928571428574</v>
      </c>
      <c r="CG137" s="923">
        <f t="shared" si="117"/>
        <v>0</v>
      </c>
      <c r="CH137" s="923">
        <f t="shared" si="134"/>
        <v>0</v>
      </c>
      <c r="CI137" s="1179"/>
      <c r="CJ137" s="1405">
        <f t="shared" si="176"/>
        <v>104.87109600000001</v>
      </c>
      <c r="CK137" s="1405">
        <f t="shared" si="174"/>
        <v>88.870882319999993</v>
      </c>
      <c r="CL137" s="1405">
        <f t="shared" si="177"/>
        <v>193.74197831999999</v>
      </c>
      <c r="CM137" s="1040">
        <f t="shared" si="135"/>
        <v>207.36539207999996</v>
      </c>
      <c r="CN137" s="1040">
        <f t="shared" si="136"/>
        <v>13.623413759999977</v>
      </c>
      <c r="CO137" s="1040">
        <f>H137*Z137+N137*AG137</f>
        <v>193741.97831999999</v>
      </c>
      <c r="CP137" s="1040">
        <f t="shared" si="119"/>
        <v>183524.41799999998</v>
      </c>
      <c r="CQ137" s="1040">
        <f t="shared" si="120"/>
        <v>183524.41799999998</v>
      </c>
      <c r="CR137" s="1040">
        <f t="shared" si="121"/>
        <v>104871.09600000001</v>
      </c>
      <c r="CS137" s="1040">
        <f t="shared" si="122"/>
        <v>207365.23499999999</v>
      </c>
      <c r="CT137" s="1040">
        <f t="shared" si="123"/>
        <v>207365.23499999999</v>
      </c>
      <c r="CU137" s="1040">
        <f t="shared" si="124"/>
        <v>88870.814999999988</v>
      </c>
      <c r="CV137" s="1040">
        <f t="shared" si="137"/>
        <v>390889.65299999993</v>
      </c>
      <c r="CW137" s="1082">
        <f t="shared" si="138"/>
        <v>4976.95</v>
      </c>
      <c r="CX137" s="1040">
        <f t="shared" si="125"/>
        <v>183524.41799999998</v>
      </c>
      <c r="CY137" s="1040">
        <f t="shared" si="126"/>
        <v>207365.23499999999</v>
      </c>
      <c r="CZ137" s="1040"/>
      <c r="DA137" s="1040">
        <f t="shared" si="127"/>
        <v>183524.41799999998</v>
      </c>
      <c r="DB137" s="1040">
        <f t="shared" si="128"/>
        <v>207365.39207999996</v>
      </c>
      <c r="DC137" s="1180"/>
      <c r="DD137" s="651">
        <f t="shared" si="139"/>
        <v>112.99062780844781</v>
      </c>
      <c r="DE137" s="1180"/>
      <c r="DF137" s="1180"/>
      <c r="DG137" s="1180"/>
      <c r="DH137" s="1043">
        <v>78.539999999999992</v>
      </c>
      <c r="DI137" s="1043">
        <v>78.539999999999992</v>
      </c>
      <c r="DJ137" s="1043">
        <f t="shared" ref="DJ137:DJ142" si="178">DH137-DI137</f>
        <v>0</v>
      </c>
      <c r="DK137" s="1179"/>
      <c r="DL137" s="1045">
        <f t="shared" si="129"/>
        <v>0</v>
      </c>
      <c r="DM137" s="1045">
        <f t="shared" si="130"/>
        <v>0</v>
      </c>
      <c r="DN137" s="1045">
        <f t="shared" si="131"/>
        <v>0</v>
      </c>
    </row>
    <row r="138" spans="1:142" s="81" customFormat="1" ht="81" customHeight="1">
      <c r="A138" s="6" t="e">
        <f t="shared" si="140"/>
        <v>#REF!</v>
      </c>
      <c r="B138" s="886" t="s">
        <v>47</v>
      </c>
      <c r="C138" s="886" t="s">
        <v>56</v>
      </c>
      <c r="D138" s="886" t="s">
        <v>932</v>
      </c>
      <c r="E138" s="1182">
        <v>3123389689</v>
      </c>
      <c r="F138" s="886" t="s">
        <v>8</v>
      </c>
      <c r="G138" s="888" t="s">
        <v>957</v>
      </c>
      <c r="H138" s="925">
        <v>2270.29</v>
      </c>
      <c r="I138" s="891">
        <v>0</v>
      </c>
      <c r="J138" s="891">
        <v>2270.29</v>
      </c>
      <c r="K138" s="891">
        <v>2270.29</v>
      </c>
      <c r="L138" s="891">
        <v>2270.29</v>
      </c>
      <c r="M138" s="892">
        <v>0</v>
      </c>
      <c r="N138" s="927">
        <v>2470.62</v>
      </c>
      <c r="O138" s="928"/>
      <c r="P138" s="928">
        <v>2470.62</v>
      </c>
      <c r="Q138" s="928">
        <v>2470.62</v>
      </c>
      <c r="R138" s="928">
        <v>2470.62</v>
      </c>
      <c r="S138" s="926"/>
      <c r="T138" s="903"/>
      <c r="U138" s="919">
        <v>1209.5371999972801</v>
      </c>
      <c r="V138" s="919">
        <v>1054.5145484328</v>
      </c>
      <c r="W138" s="919">
        <v>87.071399999999997</v>
      </c>
      <c r="X138" s="897"/>
      <c r="Y138" s="897"/>
      <c r="Z138" s="920">
        <f>U138+V138+W138</f>
        <v>2351.1231484300797</v>
      </c>
      <c r="AA138" s="904"/>
      <c r="AB138" s="919">
        <v>773.31066885072005</v>
      </c>
      <c r="AC138" s="919">
        <v>674.19782604720001</v>
      </c>
      <c r="AD138" s="919">
        <v>55.668600000000005</v>
      </c>
      <c r="AE138" s="919"/>
      <c r="AF138" s="919"/>
      <c r="AG138" s="1014">
        <f>AB138+AC138+AD138</f>
        <v>1503.1770948979201</v>
      </c>
      <c r="AH138" s="896">
        <f>Z138+AG138</f>
        <v>3854.3002433279999</v>
      </c>
      <c r="AI138" s="897"/>
      <c r="AJ138" s="919">
        <f t="shared" si="148"/>
        <v>1982.8478688480002</v>
      </c>
      <c r="AK138" s="919">
        <f t="shared" si="148"/>
        <v>1728.7123744800001</v>
      </c>
      <c r="AL138" s="919">
        <f t="shared" si="148"/>
        <v>142.74</v>
      </c>
      <c r="AM138" s="897"/>
      <c r="AN138" s="897">
        <f>AF138+Y138</f>
        <v>0</v>
      </c>
      <c r="AO138" s="919">
        <f>SUM(AI138:AN138)</f>
        <v>3854.3002433279999</v>
      </c>
      <c r="AP138" s="919">
        <f t="shared" si="153"/>
        <v>3854.3002433279999</v>
      </c>
      <c r="AQ138" s="920">
        <f t="shared" si="175"/>
        <v>3854.3002433279999</v>
      </c>
      <c r="AR138" s="902">
        <f>AQ138-AH138</f>
        <v>0</v>
      </c>
      <c r="AS138" s="903"/>
      <c r="AT138" s="897">
        <f t="shared" si="167"/>
        <v>4501639.6881669266</v>
      </c>
      <c r="AU138" s="897"/>
      <c r="AV138" s="897"/>
      <c r="AW138" s="897"/>
      <c r="AX138" s="897">
        <f t="shared" si="170"/>
        <v>4501639.6881669266</v>
      </c>
      <c r="AY138" s="897">
        <f t="shared" si="171"/>
        <v>4501639.6881669266</v>
      </c>
      <c r="AZ138" s="897"/>
      <c r="BA138" s="897">
        <f t="shared" si="156"/>
        <v>4898863.6017332459</v>
      </c>
      <c r="BB138" s="897">
        <f t="shared" si="156"/>
        <v>4270991.3666377775</v>
      </c>
      <c r="BC138" s="897">
        <f>R138*AL138</f>
        <v>352656.29879999999</v>
      </c>
      <c r="BD138" s="897"/>
      <c r="BE138" s="897">
        <f t="shared" si="172"/>
        <v>9522511.2671710216</v>
      </c>
      <c r="BF138" s="901">
        <f t="shared" si="173"/>
        <v>9522511.2671710216</v>
      </c>
      <c r="BG138" s="904"/>
      <c r="BH138" s="897"/>
      <c r="BI138" s="897"/>
      <c r="BJ138" s="919">
        <v>9051.514987666862</v>
      </c>
      <c r="BK138" s="1203">
        <v>10146.125120000001</v>
      </c>
      <c r="BL138" s="897">
        <f t="shared" si="168"/>
        <v>0</v>
      </c>
      <c r="BM138" s="897">
        <f t="shared" si="168"/>
        <v>2746000.2097818251</v>
      </c>
      <c r="BN138" s="897">
        <f t="shared" si="168"/>
        <v>2394053.8341615014</v>
      </c>
      <c r="BO138" s="897">
        <f t="shared" si="168"/>
        <v>197677.328706</v>
      </c>
      <c r="BP138" s="897">
        <f t="shared" si="168"/>
        <v>0</v>
      </c>
      <c r="BQ138" s="897">
        <f t="shared" si="142"/>
        <v>5337731.3726493269</v>
      </c>
      <c r="BR138" s="897">
        <f t="shared" si="143"/>
        <v>5337731.3726493269</v>
      </c>
      <c r="BS138" s="897">
        <f t="shared" si="165"/>
        <v>0</v>
      </c>
      <c r="BT138" s="897">
        <f t="shared" si="165"/>
        <v>1910556.8046759658</v>
      </c>
      <c r="BU138" s="897">
        <f t="shared" si="165"/>
        <v>1665686.6329887332</v>
      </c>
      <c r="BV138" s="897">
        <f t="shared" si="144"/>
        <v>215120.34226799998</v>
      </c>
      <c r="BW138" s="897">
        <f t="shared" si="169"/>
        <v>0</v>
      </c>
      <c r="BX138" s="897">
        <f t="shared" si="145"/>
        <v>3791363.7799326987</v>
      </c>
      <c r="BY138" s="897">
        <f t="shared" si="146"/>
        <v>3791363.7799326987</v>
      </c>
      <c r="BZ138" s="905">
        <f t="shared" si="111"/>
        <v>4656557.0144577911</v>
      </c>
      <c r="CA138" s="905">
        <f t="shared" si="111"/>
        <v>4059740.4671502346</v>
      </c>
      <c r="CB138" s="905">
        <f t="shared" si="147"/>
        <v>8716297.4816080257</v>
      </c>
      <c r="CC138" s="907">
        <f t="shared" si="112"/>
        <v>2348.4187000000002</v>
      </c>
      <c r="CD138" s="907">
        <f t="shared" si="112"/>
        <v>2348.4186999999997</v>
      </c>
      <c r="CE138" s="907">
        <f t="shared" si="133"/>
        <v>2348.4187000000002</v>
      </c>
      <c r="CF138" s="907">
        <f t="shared" si="116"/>
        <v>2348.4187000000002</v>
      </c>
      <c r="CG138" s="923">
        <f t="shared" si="117"/>
        <v>0</v>
      </c>
      <c r="CH138" s="923">
        <f t="shared" si="134"/>
        <v>0</v>
      </c>
      <c r="CI138" s="979"/>
      <c r="CJ138" s="1405">
        <f t="shared" si="176"/>
        <v>5337.7313726493257</v>
      </c>
      <c r="CK138" s="1405">
        <f t="shared" si="174"/>
        <v>3713.7793941966993</v>
      </c>
      <c r="CL138" s="1405">
        <f t="shared" si="177"/>
        <v>9051.5107668460259</v>
      </c>
      <c r="CM138" s="897">
        <f t="shared" si="135"/>
        <v>9522.5112671710231</v>
      </c>
      <c r="CN138" s="897">
        <f t="shared" si="136"/>
        <v>471.00050032499712</v>
      </c>
      <c r="CO138" s="897">
        <f>H138*Z138+N138*AG138</f>
        <v>9051510.7668460254</v>
      </c>
      <c r="CP138" s="897">
        <f t="shared" si="119"/>
        <v>8750379.2994251251</v>
      </c>
      <c r="CQ138" s="897">
        <f t="shared" si="120"/>
        <v>8750379.2994251251</v>
      </c>
      <c r="CR138" s="897">
        <f t="shared" si="121"/>
        <v>5337731.3726493269</v>
      </c>
      <c r="CS138" s="897">
        <f t="shared" si="122"/>
        <v>9522511.2671710216</v>
      </c>
      <c r="CT138" s="897">
        <f t="shared" si="123"/>
        <v>9522511.2671710216</v>
      </c>
      <c r="CU138" s="897">
        <f t="shared" si="124"/>
        <v>3713779.3941966989</v>
      </c>
      <c r="CV138" s="897">
        <f t="shared" si="137"/>
        <v>18272890.566596147</v>
      </c>
      <c r="CW138" s="906">
        <f t="shared" si="138"/>
        <v>4740.91</v>
      </c>
      <c r="CX138" s="897">
        <f t="shared" si="125"/>
        <v>8426318.104825126</v>
      </c>
      <c r="CY138" s="897">
        <f t="shared" si="126"/>
        <v>9169854.9683710225</v>
      </c>
      <c r="CZ138" s="897"/>
      <c r="DA138" s="897">
        <f t="shared" si="127"/>
        <v>8750379.2994251251</v>
      </c>
      <c r="DB138" s="897">
        <f t="shared" si="128"/>
        <v>9522511.2671710216</v>
      </c>
      <c r="DC138" s="1131"/>
      <c r="DD138" s="192">
        <f t="shared" si="139"/>
        <v>108.82398283919674</v>
      </c>
      <c r="DE138" s="1131"/>
      <c r="DF138" s="1131"/>
      <c r="DG138" s="1131"/>
      <c r="DH138" s="897"/>
      <c r="DI138" s="897"/>
      <c r="DJ138" s="897"/>
      <c r="DK138" s="979"/>
      <c r="DL138" s="908"/>
      <c r="DM138" s="908"/>
      <c r="DN138" s="908"/>
    </row>
    <row r="139" spans="1:142" s="81" customFormat="1" ht="75.75" customHeight="1">
      <c r="A139" s="6" t="e">
        <f t="shared" si="140"/>
        <v>#REF!</v>
      </c>
      <c r="B139" s="886" t="s">
        <v>47</v>
      </c>
      <c r="C139" s="886" t="s">
        <v>56</v>
      </c>
      <c r="D139" s="886" t="s">
        <v>189</v>
      </c>
      <c r="E139" s="1020">
        <v>3666120176</v>
      </c>
      <c r="F139" s="886" t="s">
        <v>8</v>
      </c>
      <c r="G139" s="888" t="s">
        <v>956</v>
      </c>
      <c r="H139" s="925">
        <v>1844.2847200799181</v>
      </c>
      <c r="I139" s="891">
        <v>0</v>
      </c>
      <c r="J139" s="891">
        <v>1844.2847200799181</v>
      </c>
      <c r="K139" s="891">
        <v>1844.2847200799181</v>
      </c>
      <c r="L139" s="891">
        <v>1844.2847200799181</v>
      </c>
      <c r="M139" s="892">
        <v>0</v>
      </c>
      <c r="N139" s="927">
        <v>2069.2199999999998</v>
      </c>
      <c r="O139" s="928"/>
      <c r="P139" s="928">
        <v>2069.2199999999998</v>
      </c>
      <c r="Q139" s="928">
        <v>2069.2199999999998</v>
      </c>
      <c r="R139" s="928">
        <v>2069.2199999999998</v>
      </c>
      <c r="S139" s="926"/>
      <c r="T139" s="903">
        <v>0</v>
      </c>
      <c r="U139" s="919">
        <v>12888.256680000002</v>
      </c>
      <c r="V139" s="919">
        <v>6794.6639999999998</v>
      </c>
      <c r="W139" s="919">
        <v>38.265000000000001</v>
      </c>
      <c r="X139" s="919">
        <v>0</v>
      </c>
      <c r="Y139" s="919">
        <v>0</v>
      </c>
      <c r="Z139" s="920">
        <f>SUM(T139:W139)</f>
        <v>19721.185680000002</v>
      </c>
      <c r="AA139" s="904">
        <v>0</v>
      </c>
      <c r="AB139" s="919">
        <v>8914.5193199999994</v>
      </c>
      <c r="AC139" s="919">
        <v>6551.076</v>
      </c>
      <c r="AD139" s="919">
        <v>29.622</v>
      </c>
      <c r="AE139" s="919">
        <v>0</v>
      </c>
      <c r="AF139" s="919">
        <v>0</v>
      </c>
      <c r="AG139" s="1014">
        <f>SUM(AA139:AD139)</f>
        <v>15495.21732</v>
      </c>
      <c r="AH139" s="960">
        <f>Z139+AG139</f>
        <v>35216.403000000006</v>
      </c>
      <c r="AI139" s="897">
        <f t="shared" ref="AI139:AM141" si="179">T139+AA139</f>
        <v>0</v>
      </c>
      <c r="AJ139" s="919">
        <f t="shared" si="179"/>
        <v>21802.776000000002</v>
      </c>
      <c r="AK139" s="897">
        <f t="shared" si="179"/>
        <v>13345.74</v>
      </c>
      <c r="AL139" s="919">
        <f t="shared" si="179"/>
        <v>67.887</v>
      </c>
      <c r="AM139" s="897">
        <f t="shared" si="179"/>
        <v>0</v>
      </c>
      <c r="AN139" s="897"/>
      <c r="AO139" s="919">
        <f>SUM(AI139:AN139)</f>
        <v>35216.403000000006</v>
      </c>
      <c r="AP139" s="919">
        <f>SUM(AI139:AM139)</f>
        <v>35216.403000000006</v>
      </c>
      <c r="AQ139" s="920">
        <f>SUM(AI139:AL139)</f>
        <v>35216.403000000006</v>
      </c>
      <c r="AR139" s="902">
        <f t="shared" si="132"/>
        <v>0</v>
      </c>
      <c r="AS139" s="903">
        <f t="shared" si="167"/>
        <v>0</v>
      </c>
      <c r="AT139" s="897">
        <f t="shared" si="167"/>
        <v>40210526.632125162</v>
      </c>
      <c r="AU139" s="897">
        <f t="shared" si="167"/>
        <v>24613344.360159367</v>
      </c>
      <c r="AV139" s="897">
        <f t="shared" si="167"/>
        <v>125202.95679206539</v>
      </c>
      <c r="AW139" s="897">
        <f t="shared" si="167"/>
        <v>0</v>
      </c>
      <c r="AX139" s="897">
        <f t="shared" si="170"/>
        <v>64949073.949076593</v>
      </c>
      <c r="AY139" s="897">
        <f t="shared" si="171"/>
        <v>64949073.949076593</v>
      </c>
      <c r="AZ139" s="897">
        <f t="shared" ref="AZ139:BD141" si="180">O139*AI139</f>
        <v>0</v>
      </c>
      <c r="BA139" s="897">
        <f t="shared" si="180"/>
        <v>45114740.154720001</v>
      </c>
      <c r="BB139" s="897">
        <f t="shared" si="180"/>
        <v>27615272.122799996</v>
      </c>
      <c r="BC139" s="897">
        <f t="shared" si="180"/>
        <v>140473.13814</v>
      </c>
      <c r="BD139" s="897">
        <f t="shared" si="180"/>
        <v>0</v>
      </c>
      <c r="BE139" s="897">
        <f t="shared" si="172"/>
        <v>72870485.415659994</v>
      </c>
      <c r="BF139" s="901">
        <f t="shared" si="173"/>
        <v>72870485.415659994</v>
      </c>
      <c r="BG139" s="904">
        <v>0</v>
      </c>
      <c r="BH139" s="897">
        <v>0</v>
      </c>
      <c r="BI139" s="897">
        <v>0</v>
      </c>
      <c r="BJ139" s="919">
        <v>68434.438395187681</v>
      </c>
      <c r="BK139" s="1203">
        <v>79854.820000000007</v>
      </c>
      <c r="BL139" s="897">
        <f t="shared" si="168"/>
        <v>0</v>
      </c>
      <c r="BM139" s="897">
        <f>J139*U139</f>
        <v>23769614.86339194</v>
      </c>
      <c r="BN139" s="897">
        <f t="shared" si="168"/>
        <v>12531294.993277095</v>
      </c>
      <c r="BO139" s="897">
        <f t="shared" si="168"/>
        <v>70571.554813858063</v>
      </c>
      <c r="BP139" s="897">
        <f t="shared" si="168"/>
        <v>0</v>
      </c>
      <c r="BQ139" s="897">
        <f t="shared" si="142"/>
        <v>36371481.411482893</v>
      </c>
      <c r="BR139" s="897">
        <f t="shared" si="143"/>
        <v>36371481.411482893</v>
      </c>
      <c r="BS139" s="897">
        <f t="shared" si="165"/>
        <v>0</v>
      </c>
      <c r="BT139" s="897">
        <f t="shared" si="165"/>
        <v>18446101.667330395</v>
      </c>
      <c r="BU139" s="897">
        <f>Q139*AC139</f>
        <v>13555617.480719998</v>
      </c>
      <c r="BV139" s="897">
        <f>R139*W139</f>
        <v>79178.703299999994</v>
      </c>
      <c r="BW139" s="897">
        <f t="shared" si="169"/>
        <v>0</v>
      </c>
      <c r="BX139" s="897">
        <f>BS139+BT139+BU139+BV139+BW139</f>
        <v>32080897.851350393</v>
      </c>
      <c r="BY139" s="897">
        <f>BX139-BW139</f>
        <v>32080897.851350393</v>
      </c>
      <c r="BZ139" s="905">
        <f t="shared" si="111"/>
        <v>42215716.530722335</v>
      </c>
      <c r="CA139" s="905">
        <f t="shared" si="111"/>
        <v>26086912.473997094</v>
      </c>
      <c r="CB139" s="905">
        <f t="shared" si="147"/>
        <v>68302629.004719436</v>
      </c>
      <c r="CC139" s="907">
        <f t="shared" si="112"/>
        <v>1936.2541967464294</v>
      </c>
      <c r="CD139" s="907">
        <f t="shared" si="112"/>
        <v>1954.6995875835355</v>
      </c>
      <c r="CE139" s="907">
        <f t="shared" si="133"/>
        <v>1943.2578321292265</v>
      </c>
      <c r="CF139" s="907">
        <f t="shared" si="116"/>
        <v>1943.2578321292265</v>
      </c>
      <c r="CG139" s="923">
        <f t="shared" si="117"/>
        <v>0</v>
      </c>
      <c r="CH139" s="923">
        <f t="shared" si="134"/>
        <v>0</v>
      </c>
      <c r="CI139" s="979"/>
      <c r="CJ139" s="1405">
        <f t="shared" si="176"/>
        <v>36371.481411482891</v>
      </c>
      <c r="CK139" s="1405">
        <f t="shared" si="174"/>
        <v>32063.013582890395</v>
      </c>
      <c r="CL139" s="1405">
        <f t="shared" si="177"/>
        <v>68434.494994373294</v>
      </c>
      <c r="CM139" s="897">
        <f t="shared" si="135"/>
        <v>72870.485415660005</v>
      </c>
      <c r="CN139" s="897">
        <f t="shared" si="136"/>
        <v>4435.9904212867114</v>
      </c>
      <c r="CO139" s="897">
        <f t="shared" si="118"/>
        <v>68434494.994373292</v>
      </c>
      <c r="CP139" s="897">
        <f t="shared" si="119"/>
        <v>64949073.949076593</v>
      </c>
      <c r="CQ139" s="897">
        <f t="shared" si="120"/>
        <v>64949073.949076593</v>
      </c>
      <c r="CR139" s="897">
        <f t="shared" si="121"/>
        <v>36371481.411482893</v>
      </c>
      <c r="CS139" s="897">
        <f t="shared" si="122"/>
        <v>72870485.415659994</v>
      </c>
      <c r="CT139" s="897">
        <f t="shared" si="123"/>
        <v>72870485.415659994</v>
      </c>
      <c r="CU139" s="897">
        <f t="shared" si="124"/>
        <v>32063013.582890395</v>
      </c>
      <c r="CV139" s="897">
        <f t="shared" si="137"/>
        <v>137819559.36473659</v>
      </c>
      <c r="CW139" s="906">
        <f t="shared" si="138"/>
        <v>3913.5047200799172</v>
      </c>
      <c r="CX139" s="897">
        <f t="shared" si="125"/>
        <v>64823870.992284529</v>
      </c>
      <c r="CY139" s="897">
        <f t="shared" si="126"/>
        <v>72730012.277520001</v>
      </c>
      <c r="CZ139" s="897"/>
      <c r="DA139" s="897">
        <f t="shared" si="127"/>
        <v>64949073.949076593</v>
      </c>
      <c r="DB139" s="897">
        <f t="shared" si="128"/>
        <v>72870485.415659994</v>
      </c>
      <c r="DC139" s="1131"/>
      <c r="DD139" s="40">
        <f t="shared" si="139"/>
        <v>112.19634243406489</v>
      </c>
      <c r="DE139" s="1131"/>
      <c r="DF139" s="1131"/>
      <c r="DG139" s="1131"/>
      <c r="DH139" s="897">
        <v>25278.739999999998</v>
      </c>
      <c r="DI139" s="897">
        <v>24910.03</v>
      </c>
      <c r="DJ139" s="897">
        <f t="shared" si="178"/>
        <v>368.70999999999913</v>
      </c>
      <c r="DK139" s="979"/>
      <c r="DL139" s="908">
        <f t="shared" si="129"/>
        <v>0</v>
      </c>
      <c r="DM139" s="908">
        <f t="shared" si="130"/>
        <v>0</v>
      </c>
      <c r="DN139" s="908">
        <f t="shared" si="131"/>
        <v>0</v>
      </c>
    </row>
    <row r="140" spans="1:142" s="50" customFormat="1" ht="83.25" customHeight="1">
      <c r="A140" s="6" t="e">
        <f t="shared" si="140"/>
        <v>#REF!</v>
      </c>
      <c r="B140" s="886" t="s">
        <v>52</v>
      </c>
      <c r="C140" s="1219" t="s">
        <v>52</v>
      </c>
      <c r="D140" s="1219" t="s">
        <v>255</v>
      </c>
      <c r="E140" s="1219">
        <v>4634002573</v>
      </c>
      <c r="F140" s="1219" t="s">
        <v>8</v>
      </c>
      <c r="G140" s="1222" t="s">
        <v>977</v>
      </c>
      <c r="H140" s="925">
        <v>780.30450254239327</v>
      </c>
      <c r="I140" s="891">
        <v>780.30450254239327</v>
      </c>
      <c r="J140" s="891">
        <v>780.30450254239327</v>
      </c>
      <c r="K140" s="891">
        <v>780.30450254239327</v>
      </c>
      <c r="L140" s="891">
        <v>780.30450254239327</v>
      </c>
      <c r="M140" s="946">
        <v>0</v>
      </c>
      <c r="N140" s="893">
        <v>826.91</v>
      </c>
      <c r="O140" s="894">
        <f>N140</f>
        <v>826.91</v>
      </c>
      <c r="P140" s="894">
        <f>O140</f>
        <v>826.91</v>
      </c>
      <c r="Q140" s="894">
        <f>P140</f>
        <v>826.91</v>
      </c>
      <c r="R140" s="894">
        <f>Q140</f>
        <v>826.91</v>
      </c>
      <c r="S140" s="952">
        <v>0</v>
      </c>
      <c r="T140" s="903">
        <v>23004</v>
      </c>
      <c r="U140" s="897">
        <f>126399.4-V140</f>
        <v>100355.4</v>
      </c>
      <c r="V140" s="897">
        <v>26044</v>
      </c>
      <c r="W140" s="1003">
        <v>27165</v>
      </c>
      <c r="X140" s="1003">
        <v>0</v>
      </c>
      <c r="Y140" s="897">
        <v>0</v>
      </c>
      <c r="Z140" s="898">
        <f t="shared" si="113"/>
        <v>176568.4</v>
      </c>
      <c r="AA140" s="904">
        <v>15600</v>
      </c>
      <c r="AB140" s="897">
        <f>101445.99-AC140</f>
        <v>75401.990000000005</v>
      </c>
      <c r="AC140" s="897">
        <v>26044</v>
      </c>
      <c r="AD140" s="897">
        <v>18738.509999999998</v>
      </c>
      <c r="AE140" s="897">
        <v>0</v>
      </c>
      <c r="AF140" s="897">
        <v>0</v>
      </c>
      <c r="AG140" s="900">
        <f>SUM(AA140:AF140)</f>
        <v>135784.5</v>
      </c>
      <c r="AH140" s="896">
        <f t="shared" si="141"/>
        <v>312352.90000000002</v>
      </c>
      <c r="AI140" s="1060">
        <f t="shared" si="179"/>
        <v>38604</v>
      </c>
      <c r="AJ140" s="922">
        <f t="shared" si="179"/>
        <v>175757.39</v>
      </c>
      <c r="AK140" s="922">
        <f t="shared" si="179"/>
        <v>52088</v>
      </c>
      <c r="AL140" s="1061">
        <f t="shared" si="179"/>
        <v>45903.509999999995</v>
      </c>
      <c r="AM140" s="897">
        <f t="shared" si="179"/>
        <v>0</v>
      </c>
      <c r="AN140" s="897"/>
      <c r="AO140" s="1003">
        <f>SUM(AI140:AN140)</f>
        <v>312352.90000000002</v>
      </c>
      <c r="AP140" s="897">
        <f>SUM(AI140:AM140)</f>
        <v>312352.90000000002</v>
      </c>
      <c r="AQ140" s="901">
        <f>SUM(AI140:AL140)</f>
        <v>312352.90000000002</v>
      </c>
      <c r="AR140" s="902">
        <f t="shared" si="132"/>
        <v>0</v>
      </c>
      <c r="AS140" s="903">
        <f t="shared" si="167"/>
        <v>30122875.016146548</v>
      </c>
      <c r="AT140" s="897">
        <f t="shared" si="167"/>
        <v>137144282.77209941</v>
      </c>
      <c r="AU140" s="897">
        <f t="shared" si="167"/>
        <v>40644500.928428181</v>
      </c>
      <c r="AV140" s="897">
        <f t="shared" si="167"/>
        <v>35818715.535499774</v>
      </c>
      <c r="AW140" s="897">
        <f t="shared" si="167"/>
        <v>0</v>
      </c>
      <c r="AX140" s="897">
        <f t="shared" si="170"/>
        <v>243730374.2521739</v>
      </c>
      <c r="AY140" s="897">
        <f t="shared" si="171"/>
        <v>243730374.2521739</v>
      </c>
      <c r="AZ140" s="897">
        <f t="shared" si="180"/>
        <v>31922033.640000001</v>
      </c>
      <c r="BA140" s="897">
        <f t="shared" si="180"/>
        <v>145335543.36489999</v>
      </c>
      <c r="BB140" s="897">
        <f t="shared" si="180"/>
        <v>43072088.079999998</v>
      </c>
      <c r="BC140" s="897">
        <f t="shared" si="180"/>
        <v>37958071.454099998</v>
      </c>
      <c r="BD140" s="897">
        <f t="shared" si="180"/>
        <v>0</v>
      </c>
      <c r="BE140" s="897">
        <f t="shared" si="172"/>
        <v>258287736.53899997</v>
      </c>
      <c r="BF140" s="901">
        <f t="shared" si="173"/>
        <v>258287736.53899997</v>
      </c>
      <c r="BG140" s="904">
        <v>0</v>
      </c>
      <c r="BH140" s="897">
        <v>0</v>
      </c>
      <c r="BI140" s="897">
        <f t="shared" si="163"/>
        <v>0</v>
      </c>
      <c r="BJ140" s="897">
        <v>216571.17895999999</v>
      </c>
      <c r="BK140" s="1194">
        <v>208382.13459773851</v>
      </c>
      <c r="BL140" s="897">
        <f t="shared" si="168"/>
        <v>17950124.776485216</v>
      </c>
      <c r="BM140" s="897">
        <f t="shared" si="168"/>
        <v>78307770.474442884</v>
      </c>
      <c r="BN140" s="897">
        <f>K140*V140</f>
        <v>20322250.46421409</v>
      </c>
      <c r="BO140" s="897">
        <f>L140*W140</f>
        <v>21196971.811564114</v>
      </c>
      <c r="BP140" s="897">
        <f t="shared" si="168"/>
        <v>0</v>
      </c>
      <c r="BQ140" s="897">
        <f>BL140+BM140+BN140+BO140+BP140</f>
        <v>137777117.52670631</v>
      </c>
      <c r="BR140" s="897">
        <f>BQ140-BP140</f>
        <v>137777117.52670631</v>
      </c>
      <c r="BS140" s="897">
        <f>O140*AA140</f>
        <v>12899796</v>
      </c>
      <c r="BT140" s="897">
        <f>P140*AB140</f>
        <v>62350659.550900005</v>
      </c>
      <c r="BU140" s="897">
        <f t="shared" si="165"/>
        <v>21536044.039999999</v>
      </c>
      <c r="BV140" s="897">
        <f t="shared" si="144"/>
        <v>22463010.149999999</v>
      </c>
      <c r="BW140" s="897">
        <f t="shared" si="169"/>
        <v>0</v>
      </c>
      <c r="BX140" s="897">
        <f t="shared" si="145"/>
        <v>119249509.74090001</v>
      </c>
      <c r="BY140" s="897">
        <f t="shared" si="146"/>
        <v>119249509.74090001</v>
      </c>
      <c r="BZ140" s="905">
        <f t="shared" si="111"/>
        <v>140658430.02534288</v>
      </c>
      <c r="CA140" s="905">
        <f t="shared" si="111"/>
        <v>41858294.504214093</v>
      </c>
      <c r="CB140" s="905">
        <f t="shared" si="147"/>
        <v>182516724.52955699</v>
      </c>
      <c r="CC140" s="907">
        <f t="shared" si="112"/>
        <v>800.29880977034804</v>
      </c>
      <c r="CD140" s="907">
        <f t="shared" si="112"/>
        <v>803.60725127119667</v>
      </c>
      <c r="CE140" s="907">
        <f t="shared" si="133"/>
        <v>801.05515643549768</v>
      </c>
      <c r="CF140" s="907">
        <f t="shared" si="116"/>
        <v>801.05515643549768</v>
      </c>
      <c r="CG140" s="923">
        <f t="shared" si="117"/>
        <v>182516724.52955699</v>
      </c>
      <c r="CH140" s="923">
        <f t="shared" si="134"/>
        <v>801.05515643549768</v>
      </c>
      <c r="CI140" s="1037"/>
      <c r="CJ140" s="1405">
        <f t="shared" si="176"/>
        <v>137777.11752670631</v>
      </c>
      <c r="CK140" s="1405">
        <f t="shared" si="174"/>
        <v>112281.560895</v>
      </c>
      <c r="CL140" s="1405">
        <f t="shared" si="177"/>
        <v>250058.67842170631</v>
      </c>
      <c r="CM140" s="1040">
        <f t="shared" si="135"/>
        <v>258287.736539</v>
      </c>
      <c r="CN140" s="1040">
        <f t="shared" si="136"/>
        <v>8229.0581172936945</v>
      </c>
      <c r="CO140" s="1041">
        <f t="shared" si="118"/>
        <v>250058678.42170632</v>
      </c>
      <c r="CP140" s="1041">
        <f t="shared" si="119"/>
        <v>243730374.2521739</v>
      </c>
      <c r="CQ140" s="1041">
        <f t="shared" si="120"/>
        <v>243730374.25217393</v>
      </c>
      <c r="CR140" s="1041">
        <f t="shared" si="121"/>
        <v>137777117.52670631</v>
      </c>
      <c r="CS140" s="1041">
        <f t="shared" si="122"/>
        <v>258287736.53899997</v>
      </c>
      <c r="CT140" s="1041">
        <f t="shared" si="123"/>
        <v>258287736.53900003</v>
      </c>
      <c r="CU140" s="1041">
        <f t="shared" si="124"/>
        <v>112281560.895</v>
      </c>
      <c r="CV140" s="1041">
        <f t="shared" si="137"/>
        <v>502018110.79117388</v>
      </c>
      <c r="CW140" s="1082">
        <f t="shared" si="138"/>
        <v>1607.2145025423931</v>
      </c>
      <c r="CX140" s="1041">
        <f t="shared" si="125"/>
        <v>177788783.70052758</v>
      </c>
      <c r="CY140" s="1041">
        <f t="shared" si="126"/>
        <v>188407631.44489998</v>
      </c>
      <c r="CZ140" s="1041"/>
      <c r="DA140" s="1041">
        <f t="shared" si="127"/>
        <v>243730374.2521739</v>
      </c>
      <c r="DB140" s="1041">
        <f t="shared" si="128"/>
        <v>258287736.53899997</v>
      </c>
      <c r="DC140" s="113"/>
      <c r="DD140" s="119">
        <f t="shared" si="139"/>
        <v>105.97273209442677</v>
      </c>
      <c r="DE140" s="113"/>
      <c r="DF140" s="113"/>
      <c r="DG140" s="113"/>
      <c r="DH140" s="1043">
        <f>AQ140</f>
        <v>312352.90000000002</v>
      </c>
      <c r="DI140" s="1228">
        <f>AJ140+AK140</f>
        <v>227845.39</v>
      </c>
      <c r="DJ140" s="1228">
        <f>DH140-DI140</f>
        <v>84507.510000000009</v>
      </c>
      <c r="DK140" s="1037"/>
      <c r="DL140" s="1044">
        <f t="shared" si="129"/>
        <v>0</v>
      </c>
      <c r="DM140" s="1044">
        <f t="shared" si="130"/>
        <v>0</v>
      </c>
      <c r="DN140" s="1044">
        <f t="shared" si="131"/>
        <v>0</v>
      </c>
      <c r="DO140" s="106"/>
    </row>
    <row r="141" spans="1:142" s="50" customFormat="1" ht="82.5" customHeight="1">
      <c r="A141" s="6" t="e">
        <f t="shared" si="140"/>
        <v>#REF!</v>
      </c>
      <c r="B141" s="886" t="s">
        <v>52</v>
      </c>
      <c r="C141" s="1338" t="s">
        <v>52</v>
      </c>
      <c r="D141" s="1338" t="s">
        <v>135</v>
      </c>
      <c r="E141" s="886">
        <v>7721632827</v>
      </c>
      <c r="F141" s="886" t="s">
        <v>8</v>
      </c>
      <c r="G141" s="888" t="s">
        <v>1005</v>
      </c>
      <c r="H141" s="1339">
        <v>321.43</v>
      </c>
      <c r="I141" s="1264">
        <v>321.43</v>
      </c>
      <c r="J141" s="1264">
        <v>321.43</v>
      </c>
      <c r="K141" s="1264">
        <v>321.43</v>
      </c>
      <c r="L141" s="1264">
        <v>321.43</v>
      </c>
      <c r="M141" s="1340">
        <v>321.43</v>
      </c>
      <c r="N141" s="893">
        <f t="shared" ref="N141:S141" si="181">271.03*1.2</f>
        <v>325.23599999999993</v>
      </c>
      <c r="O141" s="891">
        <f t="shared" si="181"/>
        <v>325.23599999999993</v>
      </c>
      <c r="P141" s="894">
        <f t="shared" si="181"/>
        <v>325.23599999999993</v>
      </c>
      <c r="Q141" s="894">
        <f t="shared" si="181"/>
        <v>325.23599999999993</v>
      </c>
      <c r="R141" s="894">
        <f t="shared" si="181"/>
        <v>325.23599999999993</v>
      </c>
      <c r="S141" s="972">
        <f t="shared" si="181"/>
        <v>325.23599999999993</v>
      </c>
      <c r="T141" s="889"/>
      <c r="U141" s="1341">
        <v>248.36297999999999</v>
      </c>
      <c r="V141" s="1341">
        <v>46.63702</v>
      </c>
      <c r="W141" s="1341">
        <f>257061-X141</f>
        <v>55341</v>
      </c>
      <c r="X141" s="1341">
        <v>201720</v>
      </c>
      <c r="Y141" s="1275"/>
      <c r="Z141" s="1276">
        <f t="shared" si="113"/>
        <v>55636</v>
      </c>
      <c r="AA141" s="974"/>
      <c r="AB141" s="1341">
        <v>125.65690478</v>
      </c>
      <c r="AC141" s="1341">
        <v>78.343095219999995</v>
      </c>
      <c r="AD141" s="975">
        <f>176247-AE141</f>
        <v>28614</v>
      </c>
      <c r="AE141" s="975">
        <f>147633</f>
        <v>147633</v>
      </c>
      <c r="AF141" s="890"/>
      <c r="AG141" s="951">
        <f t="shared" si="114"/>
        <v>28818</v>
      </c>
      <c r="AH141" s="1342">
        <f t="shared" si="141"/>
        <v>84454</v>
      </c>
      <c r="AI141" s="1275">
        <f t="shared" si="179"/>
        <v>0</v>
      </c>
      <c r="AJ141" s="1341">
        <f t="shared" si="179"/>
        <v>374.01988477999998</v>
      </c>
      <c r="AK141" s="1341">
        <f t="shared" si="179"/>
        <v>124.98011521999999</v>
      </c>
      <c r="AL141" s="1341">
        <f t="shared" si="179"/>
        <v>83955</v>
      </c>
      <c r="AM141" s="1341">
        <f t="shared" si="179"/>
        <v>349353</v>
      </c>
      <c r="AN141" s="1341"/>
      <c r="AO141" s="1341">
        <f>SUM(AI141:AN141)</f>
        <v>433807</v>
      </c>
      <c r="AP141" s="1341">
        <f>SUM(AI141:AM141)</f>
        <v>433807</v>
      </c>
      <c r="AQ141" s="1343">
        <f>SUM(AI141:AL141)</f>
        <v>84454</v>
      </c>
      <c r="AR141" s="902">
        <f t="shared" si="132"/>
        <v>0</v>
      </c>
      <c r="AS141" s="903">
        <f t="shared" si="167"/>
        <v>0</v>
      </c>
      <c r="AT141" s="897">
        <f t="shared" si="167"/>
        <v>120221.21156483539</v>
      </c>
      <c r="AU141" s="897">
        <f t="shared" si="167"/>
        <v>40172.358435164599</v>
      </c>
      <c r="AV141" s="897">
        <f t="shared" si="167"/>
        <v>26985655.650000002</v>
      </c>
      <c r="AW141" s="897">
        <f t="shared" si="167"/>
        <v>112292534.79000001</v>
      </c>
      <c r="AX141" s="897">
        <f t="shared" si="170"/>
        <v>139438584.01000002</v>
      </c>
      <c r="AY141" s="897">
        <f t="shared" si="171"/>
        <v>27146049.220000003</v>
      </c>
      <c r="AZ141" s="897">
        <f t="shared" si="180"/>
        <v>0</v>
      </c>
      <c r="BA141" s="897">
        <f t="shared" si="180"/>
        <v>121644.73124630805</v>
      </c>
      <c r="BB141" s="897">
        <f t="shared" si="180"/>
        <v>40648.032753691907</v>
      </c>
      <c r="BC141" s="897">
        <f t="shared" si="180"/>
        <v>27305188.379999995</v>
      </c>
      <c r="BD141" s="897">
        <f t="shared" si="180"/>
        <v>113622172.30799998</v>
      </c>
      <c r="BE141" s="897">
        <f t="shared" si="172"/>
        <v>141089653.45199996</v>
      </c>
      <c r="BF141" s="901">
        <f t="shared" si="173"/>
        <v>27467481.143999994</v>
      </c>
      <c r="BG141" s="974"/>
      <c r="BH141" s="890"/>
      <c r="BI141" s="890">
        <f t="shared" si="163"/>
        <v>0</v>
      </c>
      <c r="BJ141" s="1425">
        <v>116758.98083629698</v>
      </c>
      <c r="BK141" s="1426">
        <v>198853.28813436974</v>
      </c>
      <c r="BL141" s="897">
        <f t="shared" si="168"/>
        <v>0</v>
      </c>
      <c r="BM141" s="897">
        <f t="shared" si="168"/>
        <v>79831.312661400007</v>
      </c>
      <c r="BN141" s="897">
        <f t="shared" si="168"/>
        <v>14990.537338600001</v>
      </c>
      <c r="BO141" s="897">
        <f t="shared" si="168"/>
        <v>17788257.629999999</v>
      </c>
      <c r="BP141" s="897">
        <f t="shared" si="168"/>
        <v>64838859.600000001</v>
      </c>
      <c r="BQ141" s="897">
        <f>BL141+BM141+BN141+BO141+BP141</f>
        <v>82721939.079999998</v>
      </c>
      <c r="BR141" s="897">
        <f>BQ141-BP141</f>
        <v>17883079.479999997</v>
      </c>
      <c r="BS141" s="897">
        <f t="shared" si="165"/>
        <v>0</v>
      </c>
      <c r="BT141" s="897">
        <f t="shared" si="165"/>
        <v>40868.149083028075</v>
      </c>
      <c r="BU141" s="897">
        <f t="shared" si="165"/>
        <v>25479.994916971915</v>
      </c>
      <c r="BV141" s="897">
        <f t="shared" si="144"/>
        <v>17998885.475999996</v>
      </c>
      <c r="BW141" s="897">
        <f t="shared" si="169"/>
        <v>48015566.387999989</v>
      </c>
      <c r="BX141" s="897">
        <f t="shared" si="145"/>
        <v>66080800.007999986</v>
      </c>
      <c r="BY141" s="897">
        <f t="shared" si="146"/>
        <v>18065233.619999997</v>
      </c>
      <c r="BZ141" s="905">
        <f>BM141+BT141</f>
        <v>120699.46174442809</v>
      </c>
      <c r="CA141" s="905">
        <f>BN141+BU141</f>
        <v>40470.532255571918</v>
      </c>
      <c r="CB141" s="905">
        <f t="shared" si="147"/>
        <v>161169.99400000001</v>
      </c>
      <c r="CC141" s="907">
        <f>BZ141/AJ141</f>
        <v>322.70867581124463</v>
      </c>
      <c r="CD141" s="907">
        <f>CA141/AK141</f>
        <v>323.81577008736514</v>
      </c>
      <c r="CE141" s="907">
        <f t="shared" si="133"/>
        <v>322.98595991983967</v>
      </c>
      <c r="CF141" s="907">
        <f>CB141/(U141+V141+AB141+AC141)</f>
        <v>322.98595991983967</v>
      </c>
      <c r="CG141" s="923">
        <f>I141*(U141+V141)+O141*(AB141+AC141)</f>
        <v>161169.99400000001</v>
      </c>
      <c r="CH141" s="923">
        <f t="shared" si="134"/>
        <v>322.98595991983967</v>
      </c>
      <c r="CI141" s="1037"/>
      <c r="CJ141" s="1405">
        <f>H141*(Z141+X141)/1000+0.620487556385342/2</f>
        <v>82722.249323778189</v>
      </c>
      <c r="CK141" s="1405">
        <f>N141*(AG141+AE141)/1000+0.620487556385342/2</f>
        <v>57388.527679778184</v>
      </c>
      <c r="CL141" s="1405">
        <f t="shared" si="177"/>
        <v>140110.77700355637</v>
      </c>
      <c r="CM141" s="1040">
        <f t="shared" si="135"/>
        <v>27467.481143999994</v>
      </c>
      <c r="CN141" s="1040">
        <f t="shared" si="136"/>
        <v>-112643.29585955638</v>
      </c>
      <c r="CO141" s="1049">
        <f>H141*Z141+N141*AG141</f>
        <v>27255730.527999997</v>
      </c>
      <c r="CP141" s="1049">
        <f>I141*AI141+J141*AJ141+K141*AK141+L141*AL141</f>
        <v>27146049.220000003</v>
      </c>
      <c r="CQ141" s="1049">
        <f>I141*AI141+J141*(AJ141+AK141)+L141*AL141</f>
        <v>27146049.220000003</v>
      </c>
      <c r="CR141" s="1049">
        <f>I141*T141+J141*U141+K141*V141+L141*W141</f>
        <v>17883079.48</v>
      </c>
      <c r="CS141" s="1049">
        <f>O141*AI141+P141*AJ141+Q141*AK141+R141*AL141</f>
        <v>27467481.143999994</v>
      </c>
      <c r="CT141" s="1049">
        <f>O141*AI141+P141*(AJ141+AK141)+R141*AL141</f>
        <v>27467481.143999994</v>
      </c>
      <c r="CU141" s="1049">
        <f>O141*AA141+P141*AB141+Q141*AC141+R141*AD141</f>
        <v>9372651.0479999967</v>
      </c>
      <c r="CV141" s="1049">
        <f t="shared" si="137"/>
        <v>54613530.363999993</v>
      </c>
      <c r="CW141" s="1181">
        <f t="shared" si="138"/>
        <v>646.66599999999994</v>
      </c>
      <c r="CX141" s="1049">
        <f>J141*AJ141+K141*AK141</f>
        <v>160393.57</v>
      </c>
      <c r="CY141" s="1049">
        <f>P141*AJ141+Q141*AK141</f>
        <v>162292.76399999997</v>
      </c>
      <c r="CZ141" s="1049"/>
      <c r="DA141" s="1049">
        <f>H141*AI141+H141*AJ141+H141*AK141+H141*AL141</f>
        <v>27146049.220000003</v>
      </c>
      <c r="DB141" s="1049">
        <f>N141*AI141+N141*AJ141+N141*AK141+N141*AL141</f>
        <v>27467481.143999994</v>
      </c>
      <c r="DC141" s="675"/>
      <c r="DD141" s="676">
        <f t="shared" si="139"/>
        <v>101.18408362629496</v>
      </c>
      <c r="DE141" s="675"/>
      <c r="DF141" s="675"/>
      <c r="DG141" s="675"/>
      <c r="DH141" s="1050">
        <v>56830.879999999997</v>
      </c>
      <c r="DI141" s="1050">
        <v>504</v>
      </c>
      <c r="DJ141" s="1050">
        <f t="shared" si="178"/>
        <v>56326.879999999997</v>
      </c>
      <c r="DK141" s="1047"/>
      <c r="DL141" s="1058">
        <f>M141*X141/1000</f>
        <v>64838.859600000003</v>
      </c>
      <c r="DM141" s="1058">
        <f>S141*AE141/1000</f>
        <v>48015.566387999992</v>
      </c>
      <c r="DN141" s="1058">
        <f>DL141+DM141</f>
        <v>112854.425988</v>
      </c>
      <c r="DO141" s="625"/>
    </row>
    <row r="142" spans="1:142" s="50" customFormat="1" ht="85.5" customHeight="1" thickBot="1">
      <c r="A142" s="6" t="e">
        <f>A141+1</f>
        <v>#REF!</v>
      </c>
      <c r="B142" s="1155" t="s">
        <v>52</v>
      </c>
      <c r="C142" s="1229" t="s">
        <v>52</v>
      </c>
      <c r="D142" s="1229" t="s">
        <v>188</v>
      </c>
      <c r="E142" s="1229">
        <v>4629043694</v>
      </c>
      <c r="F142" s="1229" t="s">
        <v>8</v>
      </c>
      <c r="G142" s="1230" t="s">
        <v>978</v>
      </c>
      <c r="H142" s="1184">
        <v>230.24</v>
      </c>
      <c r="I142" s="1185">
        <v>0</v>
      </c>
      <c r="J142" s="1185">
        <v>0</v>
      </c>
      <c r="K142" s="1185">
        <v>0</v>
      </c>
      <c r="L142" s="1186">
        <v>230.24</v>
      </c>
      <c r="M142" s="1159">
        <v>0</v>
      </c>
      <c r="N142" s="1156">
        <v>251.952</v>
      </c>
      <c r="O142" s="1157">
        <v>0</v>
      </c>
      <c r="P142" s="1157">
        <v>0</v>
      </c>
      <c r="Q142" s="1157">
        <v>0</v>
      </c>
      <c r="R142" s="1158">
        <f>209.96*1.2</f>
        <v>251.952</v>
      </c>
      <c r="S142" s="1159">
        <v>0</v>
      </c>
      <c r="T142" s="1160"/>
      <c r="U142" s="1161"/>
      <c r="V142" s="1161"/>
      <c r="W142" s="1162">
        <v>0</v>
      </c>
      <c r="X142" s="1161"/>
      <c r="Y142" s="1161"/>
      <c r="Z142" s="1163">
        <f>SUM(T142:W142)</f>
        <v>0</v>
      </c>
      <c r="AA142" s="1164"/>
      <c r="AB142" s="1161"/>
      <c r="AC142" s="1161"/>
      <c r="AD142" s="1161">
        <v>0</v>
      </c>
      <c r="AE142" s="1161"/>
      <c r="AF142" s="1161"/>
      <c r="AG142" s="1165">
        <f>SUM(AA142:AD142)</f>
        <v>0</v>
      </c>
      <c r="AH142" s="1160">
        <f t="shared" si="141"/>
        <v>0</v>
      </c>
      <c r="AI142" s="1161"/>
      <c r="AJ142" s="1161"/>
      <c r="AK142" s="1161"/>
      <c r="AL142" s="1166">
        <f>AD142+W142</f>
        <v>0</v>
      </c>
      <c r="AM142" s="1161"/>
      <c r="AN142" s="1161"/>
      <c r="AO142" s="1161"/>
      <c r="AP142" s="1161"/>
      <c r="AQ142" s="1167">
        <f>SUM(AI142:AL142)</f>
        <v>0</v>
      </c>
      <c r="AR142" s="1168">
        <f t="shared" si="132"/>
        <v>0</v>
      </c>
      <c r="AS142" s="1169"/>
      <c r="AT142" s="1161"/>
      <c r="AU142" s="1161"/>
      <c r="AV142" s="1161">
        <f>L142*AL142</f>
        <v>0</v>
      </c>
      <c r="AW142" s="1161"/>
      <c r="AX142" s="1161"/>
      <c r="AY142" s="1161"/>
      <c r="AZ142" s="1161"/>
      <c r="BA142" s="1161"/>
      <c r="BB142" s="1161"/>
      <c r="BC142" s="1161">
        <f>R142*AL142</f>
        <v>0</v>
      </c>
      <c r="BD142" s="1161"/>
      <c r="BE142" s="1161"/>
      <c r="BF142" s="1167"/>
      <c r="BG142" s="1170"/>
      <c r="BH142" s="1161"/>
      <c r="BI142" s="1161"/>
      <c r="BJ142" s="1171">
        <v>2212.741</v>
      </c>
      <c r="BK142" s="1205">
        <v>2092.8323145682734</v>
      </c>
      <c r="BL142" s="1161"/>
      <c r="BM142" s="1161"/>
      <c r="BN142" s="1161"/>
      <c r="BO142" s="1161"/>
      <c r="BP142" s="1161"/>
      <c r="BQ142" s="1161"/>
      <c r="BR142" s="1161"/>
      <c r="BS142" s="1161"/>
      <c r="BT142" s="1161"/>
      <c r="BU142" s="1161"/>
      <c r="BV142" s="1161"/>
      <c r="BW142" s="1161">
        <f t="shared" si="169"/>
        <v>0</v>
      </c>
      <c r="BX142" s="1161">
        <f t="shared" si="145"/>
        <v>0</v>
      </c>
      <c r="BY142" s="1161">
        <f t="shared" si="146"/>
        <v>0</v>
      </c>
      <c r="BZ142" s="1172">
        <f>BM142+BT142</f>
        <v>0</v>
      </c>
      <c r="CA142" s="1172">
        <f>BN142+BU142</f>
        <v>0</v>
      </c>
      <c r="CB142" s="1172">
        <f t="shared" si="147"/>
        <v>0</v>
      </c>
      <c r="CC142" s="1173" t="e">
        <f>BZ142/AJ142</f>
        <v>#DIV/0!</v>
      </c>
      <c r="CD142" s="1173" t="e">
        <f>CA142/AK142</f>
        <v>#DIV/0!</v>
      </c>
      <c r="CE142" s="1173" t="e">
        <f t="shared" si="133"/>
        <v>#DIV/0!</v>
      </c>
      <c r="CF142" s="1172" t="e">
        <f>CB142/(U142+V142+AB142+AC142)</f>
        <v>#DIV/0!</v>
      </c>
      <c r="CG142" s="1174">
        <f>I142*(U142+V142)+O142*(AB142+AC142)</f>
        <v>0</v>
      </c>
      <c r="CH142" s="1174" t="e">
        <f>CG142/(AJ142+AK142)</f>
        <v>#DIV/0!</v>
      </c>
      <c r="CI142" s="1187"/>
      <c r="CJ142" s="1405">
        <f t="shared" si="176"/>
        <v>0</v>
      </c>
      <c r="CK142" s="1405">
        <f>N142*AG142/1000</f>
        <v>0</v>
      </c>
      <c r="CL142" s="1405">
        <f t="shared" si="177"/>
        <v>0</v>
      </c>
      <c r="CM142" s="1176">
        <f t="shared" si="135"/>
        <v>0</v>
      </c>
      <c r="CN142" s="1176">
        <f t="shared" si="136"/>
        <v>0</v>
      </c>
      <c r="CO142" s="1177">
        <f>H142*Z142+N142*AG142</f>
        <v>0</v>
      </c>
      <c r="CP142" s="1177">
        <v>0</v>
      </c>
      <c r="CQ142" s="1177"/>
      <c r="CR142" s="1177"/>
      <c r="CS142" s="1177">
        <v>0</v>
      </c>
      <c r="CT142" s="1177"/>
      <c r="CU142" s="1177"/>
      <c r="CV142" s="1177">
        <f t="shared" si="137"/>
        <v>0</v>
      </c>
      <c r="CW142" s="1188" t="e">
        <f t="shared" si="138"/>
        <v>#DIV/0!</v>
      </c>
      <c r="CX142" s="1177"/>
      <c r="CY142" s="1177"/>
      <c r="CZ142" s="1177"/>
      <c r="DA142" s="1177"/>
      <c r="DB142" s="1177"/>
      <c r="DC142" s="1180"/>
      <c r="DD142" s="833" t="e">
        <f t="shared" si="139"/>
        <v>#DIV/0!</v>
      </c>
      <c r="DE142" s="1180"/>
      <c r="DF142" s="1180"/>
      <c r="DG142" s="1180"/>
      <c r="DH142" s="1043">
        <v>0</v>
      </c>
      <c r="DI142" s="1043">
        <v>0</v>
      </c>
      <c r="DJ142" s="1043">
        <f t="shared" si="178"/>
        <v>0</v>
      </c>
      <c r="DK142" s="1179"/>
      <c r="DL142" s="1059">
        <f>M142*X142/1000</f>
        <v>0</v>
      </c>
      <c r="DM142" s="1059">
        <f>S142*AE142/1000</f>
        <v>0</v>
      </c>
      <c r="DN142" s="1059">
        <f>DL142+DM142</f>
        <v>0</v>
      </c>
    </row>
    <row r="143" spans="1:142" s="1422" customFormat="1" ht="35.25" customHeight="1">
      <c r="A143" s="1415"/>
      <c r="B143" s="1416"/>
      <c r="C143" s="1416" t="s">
        <v>1001</v>
      </c>
      <c r="D143" s="1416" t="s">
        <v>1000</v>
      </c>
      <c r="E143" s="1416"/>
      <c r="F143" s="1416"/>
      <c r="G143" s="1416"/>
      <c r="H143" s="1417"/>
      <c r="I143" s="1418"/>
      <c r="J143" s="1418"/>
      <c r="K143" s="1418"/>
      <c r="L143" s="1417"/>
      <c r="M143" s="1418"/>
      <c r="N143" s="1417"/>
      <c r="O143" s="1418"/>
      <c r="P143" s="1418"/>
      <c r="Q143" s="1418"/>
      <c r="R143" s="1417"/>
      <c r="S143" s="1418"/>
      <c r="T143" s="1419">
        <f t="shared" ref="T143:AY143" si="182">SUM(T14:T142)</f>
        <v>369317.49348872562</v>
      </c>
      <c r="U143" s="1419">
        <f t="shared" si="182"/>
        <v>1228900.3062076473</v>
      </c>
      <c r="V143" s="1419">
        <f t="shared" si="182"/>
        <v>228116.05416751603</v>
      </c>
      <c r="W143" s="1419">
        <f t="shared" si="182"/>
        <v>264770.06681881717</v>
      </c>
      <c r="X143" s="1419">
        <f t="shared" si="182"/>
        <v>387415.53</v>
      </c>
      <c r="Y143" s="1419">
        <f t="shared" si="182"/>
        <v>18137.689999999999</v>
      </c>
      <c r="Z143" s="1419">
        <f t="shared" si="182"/>
        <v>2091103.9206827064</v>
      </c>
      <c r="AA143" s="1419">
        <f t="shared" si="182"/>
        <v>241874.74529803102</v>
      </c>
      <c r="AB143" s="1419">
        <f t="shared" si="182"/>
        <v>825964.3869833335</v>
      </c>
      <c r="AC143" s="1419">
        <f t="shared" si="182"/>
        <v>209613.6577888077</v>
      </c>
      <c r="AD143" s="1419">
        <f t="shared" si="182"/>
        <v>338126.11851451616</v>
      </c>
      <c r="AE143" s="1419">
        <f t="shared" si="182"/>
        <v>292223.8</v>
      </c>
      <c r="AF143" s="1419">
        <f t="shared" si="182"/>
        <v>15151.59</v>
      </c>
      <c r="AG143" s="1419">
        <f t="shared" si="182"/>
        <v>1615578.9085846886</v>
      </c>
      <c r="AH143" s="1419">
        <f t="shared" si="182"/>
        <v>3706682.8292673947</v>
      </c>
      <c r="AI143" s="1419">
        <f t="shared" si="182"/>
        <v>611192.23878675653</v>
      </c>
      <c r="AJ143" s="1419">
        <f t="shared" si="182"/>
        <v>2054864.6931909812</v>
      </c>
      <c r="AK143" s="1419">
        <f t="shared" si="182"/>
        <v>437729.71195632371</v>
      </c>
      <c r="AL143" s="1419">
        <f t="shared" si="182"/>
        <v>602896.18533333333</v>
      </c>
      <c r="AM143" s="1419">
        <f t="shared" si="182"/>
        <v>679639.33000000007</v>
      </c>
      <c r="AN143" s="1419">
        <f t="shared" si="182"/>
        <v>33289.279999999999</v>
      </c>
      <c r="AO143" s="1419">
        <f t="shared" si="182"/>
        <v>4419611.4392673951</v>
      </c>
      <c r="AP143" s="1419">
        <f t="shared" si="182"/>
        <v>4386322.1592673948</v>
      </c>
      <c r="AQ143" s="1419">
        <f t="shared" si="182"/>
        <v>3706682.8292673947</v>
      </c>
      <c r="AR143" s="1419">
        <f t="shared" si="182"/>
        <v>2248.3053133333274</v>
      </c>
      <c r="AS143" s="1419">
        <f t="shared" si="182"/>
        <v>1405700652.9581184</v>
      </c>
      <c r="AT143" s="1419">
        <f t="shared" si="182"/>
        <v>3529722449.9776897</v>
      </c>
      <c r="AU143" s="1419">
        <f t="shared" si="182"/>
        <v>665723114.15231884</v>
      </c>
      <c r="AV143" s="1419">
        <f t="shared" si="182"/>
        <v>1070780635.9643575</v>
      </c>
      <c r="AW143" s="1419">
        <f t="shared" si="182"/>
        <v>779370861.24003661</v>
      </c>
      <c r="AX143" s="1419">
        <f t="shared" si="182"/>
        <v>7438813963.7218399</v>
      </c>
      <c r="AY143" s="1419">
        <f t="shared" si="182"/>
        <v>6660733606.9930754</v>
      </c>
      <c r="AZ143" s="1419">
        <f t="shared" ref="AZ143:DK143" si="183">SUM(AZ14:AZ142)</f>
        <v>2671183281.9799566</v>
      </c>
      <c r="BA143" s="1419">
        <f t="shared" si="183"/>
        <v>4885953496.9701109</v>
      </c>
      <c r="BB143" s="1419">
        <f t="shared" si="183"/>
        <v>1797787740.777045</v>
      </c>
      <c r="BC143" s="1419">
        <f t="shared" si="183"/>
        <v>1793284019.9189858</v>
      </c>
      <c r="BD143" s="1419">
        <f t="shared" si="183"/>
        <v>1986200129.09532</v>
      </c>
      <c r="BE143" s="1419">
        <f t="shared" si="183"/>
        <v>9287283821.5695629</v>
      </c>
      <c r="BF143" s="1419">
        <f t="shared" si="183"/>
        <v>7784500529.7735004</v>
      </c>
      <c r="BG143" s="1419">
        <f t="shared" si="183"/>
        <v>137228.92798016377</v>
      </c>
      <c r="BH143" s="1419">
        <f t="shared" si="183"/>
        <v>153707.67106736213</v>
      </c>
      <c r="BI143" s="1419">
        <f t="shared" si="183"/>
        <v>291181.94229617319</v>
      </c>
      <c r="BJ143" s="1419">
        <f>SUM(BJ14:BJ142)</f>
        <v>8038779.1392433103</v>
      </c>
      <c r="BK143" s="1419">
        <f t="shared" si="183"/>
        <v>10639575.882151261</v>
      </c>
      <c r="BL143" s="1419">
        <f t="shared" si="183"/>
        <v>1930574791.5925844</v>
      </c>
      <c r="BM143" s="1419">
        <f t="shared" si="183"/>
        <v>3261904912.5372458</v>
      </c>
      <c r="BN143" s="1419">
        <f t="shared" si="183"/>
        <v>353826245.98407382</v>
      </c>
      <c r="BO143" s="1419">
        <f t="shared" si="183"/>
        <v>407343194.53699309</v>
      </c>
      <c r="BP143" s="1419">
        <f t="shared" si="183"/>
        <v>440544641.93040001</v>
      </c>
      <c r="BQ143" s="1419">
        <f t="shared" si="183"/>
        <v>4175189365.9672623</v>
      </c>
      <c r="BR143" s="1419">
        <f t="shared" si="183"/>
        <v>3734644724.0368619</v>
      </c>
      <c r="BS143" s="1419">
        <f t="shared" si="183"/>
        <v>612862936.57377374</v>
      </c>
      <c r="BT143" s="1419">
        <f t="shared" si="183"/>
        <v>1518724772.7711065</v>
      </c>
      <c r="BU143" s="1419">
        <f t="shared" si="183"/>
        <v>341046819.28382748</v>
      </c>
      <c r="BV143" s="1419">
        <f t="shared" si="183"/>
        <v>442961220.72581559</v>
      </c>
      <c r="BW143" s="1419">
        <f t="shared" si="183"/>
        <v>371225041.35799998</v>
      </c>
      <c r="BX143" s="1419">
        <f t="shared" si="183"/>
        <v>3281011541.0735226</v>
      </c>
      <c r="BY143" s="1419">
        <f t="shared" si="183"/>
        <v>2909786499.7155223</v>
      </c>
      <c r="BZ143" s="1419">
        <f t="shared" si="183"/>
        <v>3641929982.8959937</v>
      </c>
      <c r="CA143" s="1419">
        <f t="shared" si="183"/>
        <v>694721610.03127837</v>
      </c>
      <c r="CB143" s="1419">
        <f t="shared" si="183"/>
        <v>4336651592.9272728</v>
      </c>
      <c r="CC143" s="1419" t="e">
        <f t="shared" si="183"/>
        <v>#DIV/0!</v>
      </c>
      <c r="CD143" s="1419" t="e">
        <f t="shared" si="183"/>
        <v>#DIV/0!</v>
      </c>
      <c r="CE143" s="1419" t="e">
        <f t="shared" si="183"/>
        <v>#DIV/0!</v>
      </c>
      <c r="CF143" s="1419" t="e">
        <f t="shared" si="183"/>
        <v>#DIV/0!</v>
      </c>
      <c r="CG143" s="1419">
        <f t="shared" si="183"/>
        <v>5449748461.1419458</v>
      </c>
      <c r="CH143" s="1419" t="e">
        <f t="shared" si="183"/>
        <v>#DIV/0!</v>
      </c>
      <c r="CI143" s="1419">
        <f t="shared" si="183"/>
        <v>0</v>
      </c>
      <c r="CJ143" s="1419">
        <f t="shared" si="183"/>
        <v>4618087.2318976251</v>
      </c>
      <c r="CK143" s="1419">
        <f t="shared" si="183"/>
        <v>3991747.7857824001</v>
      </c>
      <c r="CL143" s="1419">
        <f t="shared" si="183"/>
        <v>8609490.2403016239</v>
      </c>
      <c r="CM143" s="1419">
        <f t="shared" si="183"/>
        <v>8997987.1388873234</v>
      </c>
      <c r="CN143" s="1419">
        <f t="shared" si="183"/>
        <v>406464.95286690188</v>
      </c>
      <c r="CO143" s="1419">
        <f t="shared" si="183"/>
        <v>8461477363.5198193</v>
      </c>
      <c r="CP143" s="1419">
        <f t="shared" si="183"/>
        <v>7785586761.1897974</v>
      </c>
      <c r="CQ143" s="1419">
        <f t="shared" si="183"/>
        <v>7792831640.6847</v>
      </c>
      <c r="CR143" s="1419">
        <f t="shared" si="183"/>
        <v>4375889923.2426519</v>
      </c>
      <c r="CS143" s="1419">
        <f t="shared" si="183"/>
        <v>8549053221.7161245</v>
      </c>
      <c r="CT143" s="1419">
        <f t="shared" si="183"/>
        <v>8550970446.534194</v>
      </c>
      <c r="CU143" s="1419">
        <f t="shared" si="183"/>
        <v>3749795632.127255</v>
      </c>
      <c r="CV143" s="1419">
        <f t="shared" si="183"/>
        <v>16334639982.905924</v>
      </c>
      <c r="CW143" s="1419" t="e">
        <f t="shared" si="183"/>
        <v>#DIV/0!</v>
      </c>
      <c r="CX143" s="1419">
        <f t="shared" si="183"/>
        <v>5109921599.9398098</v>
      </c>
      <c r="CY143" s="1419">
        <f t="shared" si="183"/>
        <v>5567277482.3811464</v>
      </c>
      <c r="CZ143" s="1419">
        <f t="shared" si="183"/>
        <v>0</v>
      </c>
      <c r="DA143" s="1419">
        <f t="shared" si="183"/>
        <v>8056393971.1331282</v>
      </c>
      <c r="DB143" s="1419">
        <f t="shared" si="183"/>
        <v>8980128477.5573254</v>
      </c>
      <c r="DC143" s="1419">
        <f t="shared" si="183"/>
        <v>0</v>
      </c>
      <c r="DD143" s="1419" t="e">
        <f t="shared" si="183"/>
        <v>#DIV/0!</v>
      </c>
      <c r="DE143" s="1419">
        <f t="shared" si="183"/>
        <v>0</v>
      </c>
      <c r="DF143" s="1419">
        <f t="shared" si="183"/>
        <v>0</v>
      </c>
      <c r="DG143" s="1419">
        <f t="shared" si="183"/>
        <v>0</v>
      </c>
      <c r="DH143" s="1419">
        <f t="shared" si="183"/>
        <v>3636705.0742431781</v>
      </c>
      <c r="DI143" s="1419">
        <f t="shared" si="183"/>
        <v>2368581.4918644154</v>
      </c>
      <c r="DJ143" s="1419">
        <f t="shared" si="183"/>
        <v>1268123.5823787621</v>
      </c>
      <c r="DK143" s="1419">
        <f t="shared" si="183"/>
        <v>0</v>
      </c>
      <c r="DL143" s="1419">
        <f>SUM(DL14:DL142)</f>
        <v>440544.64193040004</v>
      </c>
      <c r="DM143" s="1419">
        <f>SUM(DM14:DM142)</f>
        <v>371225.04135799996</v>
      </c>
      <c r="DN143" s="1420">
        <f>DL143+DM143</f>
        <v>811769.68328840006</v>
      </c>
      <c r="DO143" s="1421"/>
    </row>
    <row r="144" spans="1:142">
      <c r="CM144" s="18">
        <f t="shared" ref="CM144:CM207" si="184">N144*AH144/1000</f>
        <v>0</v>
      </c>
      <c r="CN144" s="18">
        <f t="shared" ref="CN144:CN207" si="185">CM144-CL144</f>
        <v>0</v>
      </c>
    </row>
    <row r="145" spans="91:92">
      <c r="CM145" s="18">
        <f t="shared" si="184"/>
        <v>0</v>
      </c>
      <c r="CN145" s="18">
        <f t="shared" si="185"/>
        <v>0</v>
      </c>
    </row>
    <row r="146" spans="91:92">
      <c r="CM146" s="18">
        <f t="shared" si="184"/>
        <v>0</v>
      </c>
      <c r="CN146" s="18">
        <f t="shared" si="185"/>
        <v>0</v>
      </c>
    </row>
    <row r="147" spans="91:92">
      <c r="CM147" s="18">
        <f t="shared" si="184"/>
        <v>0</v>
      </c>
      <c r="CN147" s="18">
        <f t="shared" si="185"/>
        <v>0</v>
      </c>
    </row>
    <row r="148" spans="91:92">
      <c r="CM148" s="18">
        <f t="shared" si="184"/>
        <v>0</v>
      </c>
      <c r="CN148" s="18">
        <f t="shared" si="185"/>
        <v>0</v>
      </c>
    </row>
    <row r="149" spans="91:92">
      <c r="CM149" s="18">
        <f t="shared" si="184"/>
        <v>0</v>
      </c>
      <c r="CN149" s="18">
        <f t="shared" si="185"/>
        <v>0</v>
      </c>
    </row>
    <row r="150" spans="91:92">
      <c r="CM150" s="18">
        <f t="shared" si="184"/>
        <v>0</v>
      </c>
      <c r="CN150" s="18">
        <f t="shared" si="185"/>
        <v>0</v>
      </c>
    </row>
    <row r="151" spans="91:92">
      <c r="CM151" s="18">
        <f t="shared" si="184"/>
        <v>0</v>
      </c>
      <c r="CN151" s="18">
        <f t="shared" si="185"/>
        <v>0</v>
      </c>
    </row>
    <row r="152" spans="91:92">
      <c r="CM152" s="18">
        <f t="shared" si="184"/>
        <v>0</v>
      </c>
      <c r="CN152" s="18">
        <f t="shared" si="185"/>
        <v>0</v>
      </c>
    </row>
    <row r="153" spans="91:92">
      <c r="CM153" s="18">
        <f t="shared" si="184"/>
        <v>0</v>
      </c>
      <c r="CN153" s="18">
        <f t="shared" si="185"/>
        <v>0</v>
      </c>
    </row>
    <row r="154" spans="91:92">
      <c r="CM154" s="18">
        <f t="shared" si="184"/>
        <v>0</v>
      </c>
      <c r="CN154" s="18">
        <f t="shared" si="185"/>
        <v>0</v>
      </c>
    </row>
    <row r="155" spans="91:92">
      <c r="CM155" s="18">
        <f t="shared" si="184"/>
        <v>0</v>
      </c>
      <c r="CN155" s="18">
        <f t="shared" si="185"/>
        <v>0</v>
      </c>
    </row>
    <row r="156" spans="91:92">
      <c r="CM156" s="18">
        <f t="shared" si="184"/>
        <v>0</v>
      </c>
      <c r="CN156" s="18">
        <f t="shared" si="185"/>
        <v>0</v>
      </c>
    </row>
    <row r="157" spans="91:92">
      <c r="CM157" s="18">
        <f t="shared" si="184"/>
        <v>0</v>
      </c>
      <c r="CN157" s="18">
        <f t="shared" si="185"/>
        <v>0</v>
      </c>
    </row>
    <row r="158" spans="91:92">
      <c r="CM158" s="18">
        <f t="shared" si="184"/>
        <v>0</v>
      </c>
      <c r="CN158" s="18">
        <f t="shared" si="185"/>
        <v>0</v>
      </c>
    </row>
    <row r="159" spans="91:92">
      <c r="CM159" s="18">
        <f t="shared" si="184"/>
        <v>0</v>
      </c>
      <c r="CN159" s="18">
        <f t="shared" si="185"/>
        <v>0</v>
      </c>
    </row>
    <row r="160" spans="91:92">
      <c r="CM160" s="18">
        <f t="shared" si="184"/>
        <v>0</v>
      </c>
      <c r="CN160" s="18">
        <f t="shared" si="185"/>
        <v>0</v>
      </c>
    </row>
    <row r="161" spans="91:92">
      <c r="CM161" s="18">
        <f t="shared" si="184"/>
        <v>0</v>
      </c>
      <c r="CN161" s="18">
        <f t="shared" si="185"/>
        <v>0</v>
      </c>
    </row>
    <row r="162" spans="91:92">
      <c r="CM162" s="18">
        <f t="shared" si="184"/>
        <v>0</v>
      </c>
      <c r="CN162" s="18">
        <f t="shared" si="185"/>
        <v>0</v>
      </c>
    </row>
    <row r="163" spans="91:92">
      <c r="CM163" s="18">
        <f t="shared" si="184"/>
        <v>0</v>
      </c>
      <c r="CN163" s="18">
        <f t="shared" si="185"/>
        <v>0</v>
      </c>
    </row>
    <row r="164" spans="91:92">
      <c r="CM164" s="18">
        <f t="shared" si="184"/>
        <v>0</v>
      </c>
      <c r="CN164" s="18">
        <f t="shared" si="185"/>
        <v>0</v>
      </c>
    </row>
    <row r="165" spans="91:92">
      <c r="CM165" s="18">
        <f t="shared" si="184"/>
        <v>0</v>
      </c>
      <c r="CN165" s="18">
        <f t="shared" si="185"/>
        <v>0</v>
      </c>
    </row>
    <row r="166" spans="91:92">
      <c r="CM166" s="18">
        <f t="shared" si="184"/>
        <v>0</v>
      </c>
      <c r="CN166" s="18">
        <f t="shared" si="185"/>
        <v>0</v>
      </c>
    </row>
    <row r="167" spans="91:92">
      <c r="CM167" s="18">
        <f t="shared" si="184"/>
        <v>0</v>
      </c>
      <c r="CN167" s="18">
        <f t="shared" si="185"/>
        <v>0</v>
      </c>
    </row>
    <row r="168" spans="91:92">
      <c r="CM168" s="18">
        <f t="shared" si="184"/>
        <v>0</v>
      </c>
      <c r="CN168" s="18">
        <f t="shared" si="185"/>
        <v>0</v>
      </c>
    </row>
    <row r="169" spans="91:92">
      <c r="CM169" s="18">
        <f t="shared" si="184"/>
        <v>0</v>
      </c>
      <c r="CN169" s="18">
        <f t="shared" si="185"/>
        <v>0</v>
      </c>
    </row>
    <row r="170" spans="91:92">
      <c r="CM170" s="18">
        <f t="shared" si="184"/>
        <v>0</v>
      </c>
      <c r="CN170" s="18">
        <f t="shared" si="185"/>
        <v>0</v>
      </c>
    </row>
    <row r="171" spans="91:92">
      <c r="CM171" s="18">
        <f t="shared" si="184"/>
        <v>0</v>
      </c>
      <c r="CN171" s="18">
        <f t="shared" si="185"/>
        <v>0</v>
      </c>
    </row>
    <row r="172" spans="91:92">
      <c r="CM172" s="18">
        <f t="shared" si="184"/>
        <v>0</v>
      </c>
      <c r="CN172" s="18">
        <f t="shared" si="185"/>
        <v>0</v>
      </c>
    </row>
    <row r="173" spans="91:92">
      <c r="CM173" s="18">
        <f t="shared" si="184"/>
        <v>0</v>
      </c>
      <c r="CN173" s="18">
        <f t="shared" si="185"/>
        <v>0</v>
      </c>
    </row>
    <row r="174" spans="91:92">
      <c r="CM174" s="18">
        <f t="shared" si="184"/>
        <v>0</v>
      </c>
      <c r="CN174" s="18">
        <f t="shared" si="185"/>
        <v>0</v>
      </c>
    </row>
    <row r="175" spans="91:92">
      <c r="CM175" s="18">
        <f t="shared" si="184"/>
        <v>0</v>
      </c>
      <c r="CN175" s="18">
        <f t="shared" si="185"/>
        <v>0</v>
      </c>
    </row>
    <row r="176" spans="91:92">
      <c r="CM176" s="18">
        <f t="shared" si="184"/>
        <v>0</v>
      </c>
      <c r="CN176" s="18">
        <f t="shared" si="185"/>
        <v>0</v>
      </c>
    </row>
    <row r="177" spans="91:92">
      <c r="CM177" s="18">
        <f t="shared" si="184"/>
        <v>0</v>
      </c>
      <c r="CN177" s="18">
        <f t="shared" si="185"/>
        <v>0</v>
      </c>
    </row>
    <row r="178" spans="91:92">
      <c r="CM178" s="18">
        <f t="shared" si="184"/>
        <v>0</v>
      </c>
      <c r="CN178" s="18">
        <f t="shared" si="185"/>
        <v>0</v>
      </c>
    </row>
    <row r="179" spans="91:92">
      <c r="CM179" s="18">
        <f t="shared" si="184"/>
        <v>0</v>
      </c>
      <c r="CN179" s="18">
        <f t="shared" si="185"/>
        <v>0</v>
      </c>
    </row>
    <row r="180" spans="91:92">
      <c r="CM180" s="18">
        <f t="shared" si="184"/>
        <v>0</v>
      </c>
      <c r="CN180" s="18">
        <f t="shared" si="185"/>
        <v>0</v>
      </c>
    </row>
    <row r="181" spans="91:92">
      <c r="CM181" s="18">
        <f t="shared" si="184"/>
        <v>0</v>
      </c>
      <c r="CN181" s="18">
        <f t="shared" si="185"/>
        <v>0</v>
      </c>
    </row>
    <row r="182" spans="91:92">
      <c r="CM182" s="18">
        <f t="shared" si="184"/>
        <v>0</v>
      </c>
      <c r="CN182" s="18">
        <f t="shared" si="185"/>
        <v>0</v>
      </c>
    </row>
    <row r="183" spans="91:92">
      <c r="CM183" s="18">
        <f t="shared" si="184"/>
        <v>0</v>
      </c>
      <c r="CN183" s="18">
        <f t="shared" si="185"/>
        <v>0</v>
      </c>
    </row>
    <row r="184" spans="91:92">
      <c r="CM184" s="18">
        <f t="shared" si="184"/>
        <v>0</v>
      </c>
      <c r="CN184" s="18">
        <f t="shared" si="185"/>
        <v>0</v>
      </c>
    </row>
    <row r="185" spans="91:92">
      <c r="CM185" s="18">
        <f t="shared" si="184"/>
        <v>0</v>
      </c>
      <c r="CN185" s="18">
        <f t="shared" si="185"/>
        <v>0</v>
      </c>
    </row>
    <row r="186" spans="91:92">
      <c r="CM186" s="18">
        <f t="shared" si="184"/>
        <v>0</v>
      </c>
      <c r="CN186" s="18">
        <f t="shared" si="185"/>
        <v>0</v>
      </c>
    </row>
    <row r="187" spans="91:92">
      <c r="CM187" s="18">
        <f t="shared" si="184"/>
        <v>0</v>
      </c>
      <c r="CN187" s="18">
        <f t="shared" si="185"/>
        <v>0</v>
      </c>
    </row>
    <row r="188" spans="91:92">
      <c r="CM188" s="18">
        <f t="shared" si="184"/>
        <v>0</v>
      </c>
      <c r="CN188" s="18">
        <f t="shared" si="185"/>
        <v>0</v>
      </c>
    </row>
    <row r="189" spans="91:92">
      <c r="CM189" s="18">
        <f t="shared" si="184"/>
        <v>0</v>
      </c>
      <c r="CN189" s="18">
        <f t="shared" si="185"/>
        <v>0</v>
      </c>
    </row>
    <row r="190" spans="91:92">
      <c r="CM190" s="18">
        <f t="shared" si="184"/>
        <v>0</v>
      </c>
      <c r="CN190" s="18">
        <f t="shared" si="185"/>
        <v>0</v>
      </c>
    </row>
    <row r="191" spans="91:92">
      <c r="CM191" s="18">
        <f t="shared" si="184"/>
        <v>0</v>
      </c>
      <c r="CN191" s="18">
        <f t="shared" si="185"/>
        <v>0</v>
      </c>
    </row>
    <row r="192" spans="91:92">
      <c r="CM192" s="18">
        <f t="shared" si="184"/>
        <v>0</v>
      </c>
      <c r="CN192" s="18">
        <f t="shared" si="185"/>
        <v>0</v>
      </c>
    </row>
    <row r="193" spans="91:92">
      <c r="CM193" s="18">
        <f t="shared" si="184"/>
        <v>0</v>
      </c>
      <c r="CN193" s="18">
        <f t="shared" si="185"/>
        <v>0</v>
      </c>
    </row>
    <row r="194" spans="91:92">
      <c r="CM194" s="18">
        <f t="shared" si="184"/>
        <v>0</v>
      </c>
      <c r="CN194" s="18">
        <f t="shared" si="185"/>
        <v>0</v>
      </c>
    </row>
    <row r="195" spans="91:92">
      <c r="CM195" s="18">
        <f t="shared" si="184"/>
        <v>0</v>
      </c>
      <c r="CN195" s="18">
        <f t="shared" si="185"/>
        <v>0</v>
      </c>
    </row>
    <row r="196" spans="91:92">
      <c r="CM196" s="18">
        <f t="shared" si="184"/>
        <v>0</v>
      </c>
      <c r="CN196" s="18">
        <f t="shared" si="185"/>
        <v>0</v>
      </c>
    </row>
    <row r="197" spans="91:92">
      <c r="CM197" s="18">
        <f t="shared" si="184"/>
        <v>0</v>
      </c>
      <c r="CN197" s="18">
        <f t="shared" si="185"/>
        <v>0</v>
      </c>
    </row>
    <row r="198" spans="91:92">
      <c r="CM198" s="18">
        <f t="shared" si="184"/>
        <v>0</v>
      </c>
      <c r="CN198" s="18">
        <f t="shared" si="185"/>
        <v>0</v>
      </c>
    </row>
    <row r="199" spans="91:92">
      <c r="CM199" s="18">
        <f t="shared" si="184"/>
        <v>0</v>
      </c>
      <c r="CN199" s="18">
        <f t="shared" si="185"/>
        <v>0</v>
      </c>
    </row>
    <row r="200" spans="91:92">
      <c r="CM200" s="18">
        <f t="shared" si="184"/>
        <v>0</v>
      </c>
      <c r="CN200" s="18">
        <f t="shared" si="185"/>
        <v>0</v>
      </c>
    </row>
    <row r="201" spans="91:92">
      <c r="CM201" s="18">
        <f t="shared" si="184"/>
        <v>0</v>
      </c>
      <c r="CN201" s="18">
        <f t="shared" si="185"/>
        <v>0</v>
      </c>
    </row>
    <row r="202" spans="91:92">
      <c r="CM202" s="18">
        <f t="shared" si="184"/>
        <v>0</v>
      </c>
      <c r="CN202" s="18">
        <f t="shared" si="185"/>
        <v>0</v>
      </c>
    </row>
    <row r="203" spans="91:92">
      <c r="CM203" s="18">
        <f t="shared" si="184"/>
        <v>0</v>
      </c>
      <c r="CN203" s="18">
        <f t="shared" si="185"/>
        <v>0</v>
      </c>
    </row>
    <row r="204" spans="91:92">
      <c r="CM204" s="18">
        <f t="shared" si="184"/>
        <v>0</v>
      </c>
      <c r="CN204" s="18">
        <f t="shared" si="185"/>
        <v>0</v>
      </c>
    </row>
    <row r="205" spans="91:92">
      <c r="CM205" s="18">
        <f t="shared" si="184"/>
        <v>0</v>
      </c>
      <c r="CN205" s="18">
        <f t="shared" si="185"/>
        <v>0</v>
      </c>
    </row>
    <row r="206" spans="91:92">
      <c r="CM206" s="18">
        <f t="shared" si="184"/>
        <v>0</v>
      </c>
      <c r="CN206" s="18">
        <f t="shared" si="185"/>
        <v>0</v>
      </c>
    </row>
    <row r="207" spans="91:92">
      <c r="CM207" s="18">
        <f t="shared" si="184"/>
        <v>0</v>
      </c>
      <c r="CN207" s="18">
        <f t="shared" si="185"/>
        <v>0</v>
      </c>
    </row>
    <row r="208" spans="91:92">
      <c r="CM208" s="18">
        <f t="shared" ref="CM208:CM271" si="186">N208*AH208/1000</f>
        <v>0</v>
      </c>
      <c r="CN208" s="18">
        <f t="shared" ref="CN208:CN271" si="187">CM208-CL208</f>
        <v>0</v>
      </c>
    </row>
    <row r="209" spans="91:92">
      <c r="CM209" s="18">
        <f t="shared" si="186"/>
        <v>0</v>
      </c>
      <c r="CN209" s="18">
        <f t="shared" si="187"/>
        <v>0</v>
      </c>
    </row>
    <row r="210" spans="91:92">
      <c r="CM210" s="18">
        <f t="shared" si="186"/>
        <v>0</v>
      </c>
      <c r="CN210" s="18">
        <f t="shared" si="187"/>
        <v>0</v>
      </c>
    </row>
    <row r="211" spans="91:92">
      <c r="CM211" s="18">
        <f t="shared" si="186"/>
        <v>0</v>
      </c>
      <c r="CN211" s="18">
        <f t="shared" si="187"/>
        <v>0</v>
      </c>
    </row>
    <row r="212" spans="91:92">
      <c r="CM212" s="18">
        <f t="shared" si="186"/>
        <v>0</v>
      </c>
      <c r="CN212" s="18">
        <f t="shared" si="187"/>
        <v>0</v>
      </c>
    </row>
    <row r="213" spans="91:92">
      <c r="CM213" s="18">
        <f t="shared" si="186"/>
        <v>0</v>
      </c>
      <c r="CN213" s="18">
        <f t="shared" si="187"/>
        <v>0</v>
      </c>
    </row>
    <row r="214" spans="91:92">
      <c r="CM214" s="18">
        <f t="shared" si="186"/>
        <v>0</v>
      </c>
      <c r="CN214" s="18">
        <f t="shared" si="187"/>
        <v>0</v>
      </c>
    </row>
    <row r="215" spans="91:92">
      <c r="CM215" s="18">
        <f t="shared" si="186"/>
        <v>0</v>
      </c>
      <c r="CN215" s="18">
        <f t="shared" si="187"/>
        <v>0</v>
      </c>
    </row>
    <row r="216" spans="91:92">
      <c r="CM216" s="18">
        <f t="shared" si="186"/>
        <v>0</v>
      </c>
      <c r="CN216" s="18">
        <f t="shared" si="187"/>
        <v>0</v>
      </c>
    </row>
    <row r="217" spans="91:92">
      <c r="CM217" s="18">
        <f t="shared" si="186"/>
        <v>0</v>
      </c>
      <c r="CN217" s="18">
        <f t="shared" si="187"/>
        <v>0</v>
      </c>
    </row>
    <row r="218" spans="91:92">
      <c r="CM218" s="18">
        <f t="shared" si="186"/>
        <v>0</v>
      </c>
      <c r="CN218" s="18">
        <f t="shared" si="187"/>
        <v>0</v>
      </c>
    </row>
    <row r="219" spans="91:92">
      <c r="CM219" s="18">
        <f t="shared" si="186"/>
        <v>0</v>
      </c>
      <c r="CN219" s="18">
        <f t="shared" si="187"/>
        <v>0</v>
      </c>
    </row>
    <row r="220" spans="91:92">
      <c r="CM220" s="18">
        <f t="shared" si="186"/>
        <v>0</v>
      </c>
      <c r="CN220" s="18">
        <f t="shared" si="187"/>
        <v>0</v>
      </c>
    </row>
    <row r="221" spans="91:92">
      <c r="CM221" s="18">
        <f t="shared" si="186"/>
        <v>0</v>
      </c>
      <c r="CN221" s="18">
        <f t="shared" si="187"/>
        <v>0</v>
      </c>
    </row>
    <row r="222" spans="91:92">
      <c r="CM222" s="18">
        <f t="shared" si="186"/>
        <v>0</v>
      </c>
      <c r="CN222" s="18">
        <f t="shared" si="187"/>
        <v>0</v>
      </c>
    </row>
    <row r="223" spans="91:92">
      <c r="CM223" s="18">
        <f t="shared" si="186"/>
        <v>0</v>
      </c>
      <c r="CN223" s="18">
        <f t="shared" si="187"/>
        <v>0</v>
      </c>
    </row>
    <row r="224" spans="91:92">
      <c r="CM224" s="18">
        <f t="shared" si="186"/>
        <v>0</v>
      </c>
      <c r="CN224" s="18">
        <f t="shared" si="187"/>
        <v>0</v>
      </c>
    </row>
    <row r="225" spans="91:92">
      <c r="CM225" s="18">
        <f t="shared" si="186"/>
        <v>0</v>
      </c>
      <c r="CN225" s="18">
        <f t="shared" si="187"/>
        <v>0</v>
      </c>
    </row>
    <row r="226" spans="91:92">
      <c r="CM226" s="18">
        <f t="shared" si="186"/>
        <v>0</v>
      </c>
      <c r="CN226" s="18">
        <f t="shared" si="187"/>
        <v>0</v>
      </c>
    </row>
    <row r="227" spans="91:92">
      <c r="CM227" s="18">
        <f t="shared" si="186"/>
        <v>0</v>
      </c>
      <c r="CN227" s="18">
        <f t="shared" si="187"/>
        <v>0</v>
      </c>
    </row>
    <row r="228" spans="91:92">
      <c r="CM228" s="18">
        <f t="shared" si="186"/>
        <v>0</v>
      </c>
      <c r="CN228" s="18">
        <f t="shared" si="187"/>
        <v>0</v>
      </c>
    </row>
    <row r="229" spans="91:92">
      <c r="CM229" s="18">
        <f t="shared" si="186"/>
        <v>0</v>
      </c>
      <c r="CN229" s="18">
        <f t="shared" si="187"/>
        <v>0</v>
      </c>
    </row>
    <row r="230" spans="91:92">
      <c r="CM230" s="18">
        <f t="shared" si="186"/>
        <v>0</v>
      </c>
      <c r="CN230" s="18">
        <f t="shared" si="187"/>
        <v>0</v>
      </c>
    </row>
    <row r="231" spans="91:92">
      <c r="CM231" s="18">
        <f t="shared" si="186"/>
        <v>0</v>
      </c>
      <c r="CN231" s="18">
        <f t="shared" si="187"/>
        <v>0</v>
      </c>
    </row>
    <row r="232" spans="91:92">
      <c r="CM232" s="18">
        <f t="shared" si="186"/>
        <v>0</v>
      </c>
      <c r="CN232" s="18">
        <f t="shared" si="187"/>
        <v>0</v>
      </c>
    </row>
    <row r="233" spans="91:92">
      <c r="CM233" s="18">
        <f t="shared" si="186"/>
        <v>0</v>
      </c>
      <c r="CN233" s="18">
        <f t="shared" si="187"/>
        <v>0</v>
      </c>
    </row>
    <row r="234" spans="91:92">
      <c r="CM234" s="18">
        <f t="shared" si="186"/>
        <v>0</v>
      </c>
      <c r="CN234" s="18">
        <f t="shared" si="187"/>
        <v>0</v>
      </c>
    </row>
    <row r="235" spans="91:92">
      <c r="CM235" s="18">
        <f t="shared" si="186"/>
        <v>0</v>
      </c>
      <c r="CN235" s="18">
        <f t="shared" si="187"/>
        <v>0</v>
      </c>
    </row>
    <row r="236" spans="91:92">
      <c r="CM236" s="18">
        <f t="shared" si="186"/>
        <v>0</v>
      </c>
      <c r="CN236" s="18">
        <f t="shared" si="187"/>
        <v>0</v>
      </c>
    </row>
    <row r="237" spans="91:92">
      <c r="CM237" s="18">
        <f t="shared" si="186"/>
        <v>0</v>
      </c>
      <c r="CN237" s="18">
        <f t="shared" si="187"/>
        <v>0</v>
      </c>
    </row>
    <row r="238" spans="91:92">
      <c r="CM238" s="18">
        <f t="shared" si="186"/>
        <v>0</v>
      </c>
      <c r="CN238" s="18">
        <f t="shared" si="187"/>
        <v>0</v>
      </c>
    </row>
    <row r="239" spans="91:92">
      <c r="CM239" s="18">
        <f t="shared" si="186"/>
        <v>0</v>
      </c>
      <c r="CN239" s="18">
        <f t="shared" si="187"/>
        <v>0</v>
      </c>
    </row>
    <row r="240" spans="91:92">
      <c r="CM240" s="18">
        <f t="shared" si="186"/>
        <v>0</v>
      </c>
      <c r="CN240" s="18">
        <f t="shared" si="187"/>
        <v>0</v>
      </c>
    </row>
    <row r="241" spans="91:92">
      <c r="CM241" s="18">
        <f t="shared" si="186"/>
        <v>0</v>
      </c>
      <c r="CN241" s="18">
        <f t="shared" si="187"/>
        <v>0</v>
      </c>
    </row>
    <row r="242" spans="91:92">
      <c r="CM242" s="18">
        <f t="shared" si="186"/>
        <v>0</v>
      </c>
      <c r="CN242" s="18">
        <f t="shared" si="187"/>
        <v>0</v>
      </c>
    </row>
    <row r="243" spans="91:92">
      <c r="CM243" s="18">
        <f t="shared" si="186"/>
        <v>0</v>
      </c>
      <c r="CN243" s="18">
        <f t="shared" si="187"/>
        <v>0</v>
      </c>
    </row>
    <row r="244" spans="91:92">
      <c r="CM244" s="18">
        <f t="shared" si="186"/>
        <v>0</v>
      </c>
      <c r="CN244" s="18">
        <f t="shared" si="187"/>
        <v>0</v>
      </c>
    </row>
    <row r="245" spans="91:92">
      <c r="CM245" s="18">
        <f t="shared" si="186"/>
        <v>0</v>
      </c>
      <c r="CN245" s="18">
        <f t="shared" si="187"/>
        <v>0</v>
      </c>
    </row>
    <row r="246" spans="91:92">
      <c r="CM246" s="18">
        <f t="shared" si="186"/>
        <v>0</v>
      </c>
      <c r="CN246" s="18">
        <f t="shared" si="187"/>
        <v>0</v>
      </c>
    </row>
    <row r="247" spans="91:92">
      <c r="CM247" s="18">
        <f t="shared" si="186"/>
        <v>0</v>
      </c>
      <c r="CN247" s="18">
        <f t="shared" si="187"/>
        <v>0</v>
      </c>
    </row>
    <row r="248" spans="91:92">
      <c r="CM248" s="18">
        <f t="shared" si="186"/>
        <v>0</v>
      </c>
      <c r="CN248" s="18">
        <f t="shared" si="187"/>
        <v>0</v>
      </c>
    </row>
    <row r="249" spans="91:92">
      <c r="CM249" s="18">
        <f t="shared" si="186"/>
        <v>0</v>
      </c>
      <c r="CN249" s="18">
        <f t="shared" si="187"/>
        <v>0</v>
      </c>
    </row>
    <row r="250" spans="91:92">
      <c r="CM250" s="18">
        <f t="shared" si="186"/>
        <v>0</v>
      </c>
      <c r="CN250" s="18">
        <f t="shared" si="187"/>
        <v>0</v>
      </c>
    </row>
    <row r="251" spans="91:92">
      <c r="CM251" s="18">
        <f t="shared" si="186"/>
        <v>0</v>
      </c>
      <c r="CN251" s="18">
        <f t="shared" si="187"/>
        <v>0</v>
      </c>
    </row>
    <row r="252" spans="91:92">
      <c r="CM252" s="18">
        <f t="shared" si="186"/>
        <v>0</v>
      </c>
      <c r="CN252" s="18">
        <f t="shared" si="187"/>
        <v>0</v>
      </c>
    </row>
    <row r="253" spans="91:92">
      <c r="CM253" s="18">
        <f t="shared" si="186"/>
        <v>0</v>
      </c>
      <c r="CN253" s="18">
        <f t="shared" si="187"/>
        <v>0</v>
      </c>
    </row>
    <row r="254" spans="91:92">
      <c r="CM254" s="18">
        <f t="shared" si="186"/>
        <v>0</v>
      </c>
      <c r="CN254" s="18">
        <f t="shared" si="187"/>
        <v>0</v>
      </c>
    </row>
    <row r="255" spans="91:92">
      <c r="CM255" s="18">
        <f t="shared" si="186"/>
        <v>0</v>
      </c>
      <c r="CN255" s="18">
        <f t="shared" si="187"/>
        <v>0</v>
      </c>
    </row>
    <row r="256" spans="91:92">
      <c r="CM256" s="18">
        <f t="shared" si="186"/>
        <v>0</v>
      </c>
      <c r="CN256" s="18">
        <f t="shared" si="187"/>
        <v>0</v>
      </c>
    </row>
    <row r="257" spans="91:92">
      <c r="CM257" s="18">
        <f t="shared" si="186"/>
        <v>0</v>
      </c>
      <c r="CN257" s="18">
        <f t="shared" si="187"/>
        <v>0</v>
      </c>
    </row>
    <row r="258" spans="91:92">
      <c r="CM258" s="18">
        <f t="shared" si="186"/>
        <v>0</v>
      </c>
      <c r="CN258" s="18">
        <f t="shared" si="187"/>
        <v>0</v>
      </c>
    </row>
    <row r="259" spans="91:92">
      <c r="CM259" s="18">
        <f t="shared" si="186"/>
        <v>0</v>
      </c>
      <c r="CN259" s="18">
        <f t="shared" si="187"/>
        <v>0</v>
      </c>
    </row>
    <row r="260" spans="91:92">
      <c r="CM260" s="18">
        <f t="shared" si="186"/>
        <v>0</v>
      </c>
      <c r="CN260" s="18">
        <f t="shared" si="187"/>
        <v>0</v>
      </c>
    </row>
    <row r="261" spans="91:92">
      <c r="CM261" s="18">
        <f t="shared" si="186"/>
        <v>0</v>
      </c>
      <c r="CN261" s="18">
        <f t="shared" si="187"/>
        <v>0</v>
      </c>
    </row>
    <row r="262" spans="91:92">
      <c r="CM262" s="18">
        <f t="shared" si="186"/>
        <v>0</v>
      </c>
      <c r="CN262" s="18">
        <f t="shared" si="187"/>
        <v>0</v>
      </c>
    </row>
    <row r="263" spans="91:92">
      <c r="CM263" s="18">
        <f t="shared" si="186"/>
        <v>0</v>
      </c>
      <c r="CN263" s="18">
        <f t="shared" si="187"/>
        <v>0</v>
      </c>
    </row>
    <row r="264" spans="91:92">
      <c r="CM264" s="18">
        <f t="shared" si="186"/>
        <v>0</v>
      </c>
      <c r="CN264" s="18">
        <f t="shared" si="187"/>
        <v>0</v>
      </c>
    </row>
    <row r="265" spans="91:92">
      <c r="CM265" s="18">
        <f t="shared" si="186"/>
        <v>0</v>
      </c>
      <c r="CN265" s="18">
        <f t="shared" si="187"/>
        <v>0</v>
      </c>
    </row>
    <row r="266" spans="91:92">
      <c r="CM266" s="18">
        <f t="shared" si="186"/>
        <v>0</v>
      </c>
      <c r="CN266" s="18">
        <f t="shared" si="187"/>
        <v>0</v>
      </c>
    </row>
    <row r="267" spans="91:92">
      <c r="CM267" s="18">
        <f t="shared" si="186"/>
        <v>0</v>
      </c>
      <c r="CN267" s="18">
        <f t="shared" si="187"/>
        <v>0</v>
      </c>
    </row>
    <row r="268" spans="91:92">
      <c r="CM268" s="18">
        <f t="shared" si="186"/>
        <v>0</v>
      </c>
      <c r="CN268" s="18">
        <f t="shared" si="187"/>
        <v>0</v>
      </c>
    </row>
    <row r="269" spans="91:92">
      <c r="CM269" s="18">
        <f t="shared" si="186"/>
        <v>0</v>
      </c>
      <c r="CN269" s="18">
        <f t="shared" si="187"/>
        <v>0</v>
      </c>
    </row>
    <row r="270" spans="91:92">
      <c r="CM270" s="18">
        <f t="shared" si="186"/>
        <v>0</v>
      </c>
      <c r="CN270" s="18">
        <f t="shared" si="187"/>
        <v>0</v>
      </c>
    </row>
    <row r="271" spans="91:92">
      <c r="CM271" s="18">
        <f t="shared" si="186"/>
        <v>0</v>
      </c>
      <c r="CN271" s="18">
        <f t="shared" si="187"/>
        <v>0</v>
      </c>
    </row>
    <row r="272" spans="91:92">
      <c r="CM272" s="18">
        <f t="shared" ref="CM272:CM335" si="188">N272*AH272/1000</f>
        <v>0</v>
      </c>
      <c r="CN272" s="18">
        <f t="shared" ref="CN272:CN335" si="189">CM272-CL272</f>
        <v>0</v>
      </c>
    </row>
    <row r="273" spans="91:92">
      <c r="CM273" s="18">
        <f t="shared" si="188"/>
        <v>0</v>
      </c>
      <c r="CN273" s="18">
        <f t="shared" si="189"/>
        <v>0</v>
      </c>
    </row>
    <row r="274" spans="91:92">
      <c r="CM274" s="18">
        <f t="shared" si="188"/>
        <v>0</v>
      </c>
      <c r="CN274" s="18">
        <f t="shared" si="189"/>
        <v>0</v>
      </c>
    </row>
    <row r="275" spans="91:92">
      <c r="CM275" s="18">
        <f t="shared" si="188"/>
        <v>0</v>
      </c>
      <c r="CN275" s="18">
        <f t="shared" si="189"/>
        <v>0</v>
      </c>
    </row>
    <row r="276" spans="91:92">
      <c r="CM276" s="18">
        <f t="shared" si="188"/>
        <v>0</v>
      </c>
      <c r="CN276" s="18">
        <f t="shared" si="189"/>
        <v>0</v>
      </c>
    </row>
    <row r="277" spans="91:92">
      <c r="CM277" s="18">
        <f t="shared" si="188"/>
        <v>0</v>
      </c>
      <c r="CN277" s="18">
        <f t="shared" si="189"/>
        <v>0</v>
      </c>
    </row>
    <row r="278" spans="91:92">
      <c r="CM278" s="18">
        <f t="shared" si="188"/>
        <v>0</v>
      </c>
      <c r="CN278" s="18">
        <f t="shared" si="189"/>
        <v>0</v>
      </c>
    </row>
    <row r="279" spans="91:92">
      <c r="CM279" s="18">
        <f t="shared" si="188"/>
        <v>0</v>
      </c>
      <c r="CN279" s="18">
        <f t="shared" si="189"/>
        <v>0</v>
      </c>
    </row>
    <row r="280" spans="91:92">
      <c r="CM280" s="18">
        <f t="shared" si="188"/>
        <v>0</v>
      </c>
      <c r="CN280" s="18">
        <f t="shared" si="189"/>
        <v>0</v>
      </c>
    </row>
    <row r="281" spans="91:92">
      <c r="CM281" s="18">
        <f t="shared" si="188"/>
        <v>0</v>
      </c>
      <c r="CN281" s="18">
        <f t="shared" si="189"/>
        <v>0</v>
      </c>
    </row>
    <row r="282" spans="91:92">
      <c r="CM282" s="18">
        <f t="shared" si="188"/>
        <v>0</v>
      </c>
      <c r="CN282" s="18">
        <f t="shared" si="189"/>
        <v>0</v>
      </c>
    </row>
    <row r="283" spans="91:92">
      <c r="CM283" s="18">
        <f t="shared" si="188"/>
        <v>0</v>
      </c>
      <c r="CN283" s="18">
        <f t="shared" si="189"/>
        <v>0</v>
      </c>
    </row>
    <row r="284" spans="91:92">
      <c r="CM284" s="18">
        <f t="shared" si="188"/>
        <v>0</v>
      </c>
      <c r="CN284" s="18">
        <f t="shared" si="189"/>
        <v>0</v>
      </c>
    </row>
    <row r="285" spans="91:92">
      <c r="CM285" s="18">
        <f t="shared" si="188"/>
        <v>0</v>
      </c>
      <c r="CN285" s="18">
        <f t="shared" si="189"/>
        <v>0</v>
      </c>
    </row>
    <row r="286" spans="91:92">
      <c r="CM286" s="18">
        <f t="shared" si="188"/>
        <v>0</v>
      </c>
      <c r="CN286" s="18">
        <f t="shared" si="189"/>
        <v>0</v>
      </c>
    </row>
    <row r="287" spans="91:92">
      <c r="CM287" s="18">
        <f t="shared" si="188"/>
        <v>0</v>
      </c>
      <c r="CN287" s="18">
        <f t="shared" si="189"/>
        <v>0</v>
      </c>
    </row>
    <row r="288" spans="91:92">
      <c r="CM288" s="18">
        <f t="shared" si="188"/>
        <v>0</v>
      </c>
      <c r="CN288" s="18">
        <f t="shared" si="189"/>
        <v>0</v>
      </c>
    </row>
    <row r="289" spans="91:92">
      <c r="CM289" s="18">
        <f t="shared" si="188"/>
        <v>0</v>
      </c>
      <c r="CN289" s="18">
        <f t="shared" si="189"/>
        <v>0</v>
      </c>
    </row>
    <row r="290" spans="91:92">
      <c r="CM290" s="18">
        <f t="shared" si="188"/>
        <v>0</v>
      </c>
      <c r="CN290" s="18">
        <f t="shared" si="189"/>
        <v>0</v>
      </c>
    </row>
    <row r="291" spans="91:92">
      <c r="CM291" s="18">
        <f t="shared" si="188"/>
        <v>0</v>
      </c>
      <c r="CN291" s="18">
        <f t="shared" si="189"/>
        <v>0</v>
      </c>
    </row>
    <row r="292" spans="91:92">
      <c r="CM292" s="18">
        <f t="shared" si="188"/>
        <v>0</v>
      </c>
      <c r="CN292" s="18">
        <f t="shared" si="189"/>
        <v>0</v>
      </c>
    </row>
    <row r="293" spans="91:92">
      <c r="CM293" s="18">
        <f t="shared" si="188"/>
        <v>0</v>
      </c>
      <c r="CN293" s="18">
        <f t="shared" si="189"/>
        <v>0</v>
      </c>
    </row>
    <row r="294" spans="91:92">
      <c r="CM294" s="18">
        <f t="shared" si="188"/>
        <v>0</v>
      </c>
      <c r="CN294" s="18">
        <f t="shared" si="189"/>
        <v>0</v>
      </c>
    </row>
    <row r="295" spans="91:92">
      <c r="CM295" s="18">
        <f t="shared" si="188"/>
        <v>0</v>
      </c>
      <c r="CN295" s="18">
        <f t="shared" si="189"/>
        <v>0</v>
      </c>
    </row>
    <row r="296" spans="91:92">
      <c r="CM296" s="18">
        <f t="shared" si="188"/>
        <v>0</v>
      </c>
      <c r="CN296" s="18">
        <f t="shared" si="189"/>
        <v>0</v>
      </c>
    </row>
    <row r="297" spans="91:92">
      <c r="CM297" s="18">
        <f t="shared" si="188"/>
        <v>0</v>
      </c>
      <c r="CN297" s="18">
        <f t="shared" si="189"/>
        <v>0</v>
      </c>
    </row>
    <row r="298" spans="91:92">
      <c r="CM298" s="18">
        <f t="shared" si="188"/>
        <v>0</v>
      </c>
      <c r="CN298" s="18">
        <f t="shared" si="189"/>
        <v>0</v>
      </c>
    </row>
    <row r="299" spans="91:92">
      <c r="CM299" s="18">
        <f t="shared" si="188"/>
        <v>0</v>
      </c>
      <c r="CN299" s="18">
        <f t="shared" si="189"/>
        <v>0</v>
      </c>
    </row>
    <row r="300" spans="91:92">
      <c r="CM300" s="18">
        <f t="shared" si="188"/>
        <v>0</v>
      </c>
      <c r="CN300" s="18">
        <f t="shared" si="189"/>
        <v>0</v>
      </c>
    </row>
    <row r="301" spans="91:92">
      <c r="CM301" s="18">
        <f t="shared" si="188"/>
        <v>0</v>
      </c>
      <c r="CN301" s="18">
        <f t="shared" si="189"/>
        <v>0</v>
      </c>
    </row>
    <row r="302" spans="91:92">
      <c r="CM302" s="18">
        <f t="shared" si="188"/>
        <v>0</v>
      </c>
      <c r="CN302" s="18">
        <f t="shared" si="189"/>
        <v>0</v>
      </c>
    </row>
    <row r="303" spans="91:92">
      <c r="CM303" s="18">
        <f t="shared" si="188"/>
        <v>0</v>
      </c>
      <c r="CN303" s="18">
        <f t="shared" si="189"/>
        <v>0</v>
      </c>
    </row>
    <row r="304" spans="91:92">
      <c r="CM304" s="18">
        <f t="shared" si="188"/>
        <v>0</v>
      </c>
      <c r="CN304" s="18">
        <f t="shared" si="189"/>
        <v>0</v>
      </c>
    </row>
    <row r="305" spans="91:92">
      <c r="CM305" s="18">
        <f t="shared" si="188"/>
        <v>0</v>
      </c>
      <c r="CN305" s="18">
        <f t="shared" si="189"/>
        <v>0</v>
      </c>
    </row>
    <row r="306" spans="91:92">
      <c r="CM306" s="18">
        <f t="shared" si="188"/>
        <v>0</v>
      </c>
      <c r="CN306" s="18">
        <f t="shared" si="189"/>
        <v>0</v>
      </c>
    </row>
    <row r="307" spans="91:92">
      <c r="CM307" s="18">
        <f t="shared" si="188"/>
        <v>0</v>
      </c>
      <c r="CN307" s="18">
        <f t="shared" si="189"/>
        <v>0</v>
      </c>
    </row>
    <row r="308" spans="91:92">
      <c r="CM308" s="18">
        <f t="shared" si="188"/>
        <v>0</v>
      </c>
      <c r="CN308" s="18">
        <f t="shared" si="189"/>
        <v>0</v>
      </c>
    </row>
    <row r="309" spans="91:92">
      <c r="CM309" s="18">
        <f t="shared" si="188"/>
        <v>0</v>
      </c>
      <c r="CN309" s="18">
        <f t="shared" si="189"/>
        <v>0</v>
      </c>
    </row>
    <row r="310" spans="91:92">
      <c r="CM310" s="18">
        <f t="shared" si="188"/>
        <v>0</v>
      </c>
      <c r="CN310" s="18">
        <f t="shared" si="189"/>
        <v>0</v>
      </c>
    </row>
    <row r="311" spans="91:92">
      <c r="CM311" s="18">
        <f t="shared" si="188"/>
        <v>0</v>
      </c>
      <c r="CN311" s="18">
        <f t="shared" si="189"/>
        <v>0</v>
      </c>
    </row>
    <row r="312" spans="91:92">
      <c r="CM312" s="18">
        <f t="shared" si="188"/>
        <v>0</v>
      </c>
      <c r="CN312" s="18">
        <f t="shared" si="189"/>
        <v>0</v>
      </c>
    </row>
    <row r="313" spans="91:92">
      <c r="CM313" s="18">
        <f t="shared" si="188"/>
        <v>0</v>
      </c>
      <c r="CN313" s="18">
        <f t="shared" si="189"/>
        <v>0</v>
      </c>
    </row>
    <row r="314" spans="91:92">
      <c r="CM314" s="18">
        <f t="shared" si="188"/>
        <v>0</v>
      </c>
      <c r="CN314" s="18">
        <f t="shared" si="189"/>
        <v>0</v>
      </c>
    </row>
    <row r="315" spans="91:92">
      <c r="CM315" s="18">
        <f t="shared" si="188"/>
        <v>0</v>
      </c>
      <c r="CN315" s="18">
        <f t="shared" si="189"/>
        <v>0</v>
      </c>
    </row>
    <row r="316" spans="91:92">
      <c r="CM316" s="18">
        <f t="shared" si="188"/>
        <v>0</v>
      </c>
      <c r="CN316" s="18">
        <f t="shared" si="189"/>
        <v>0</v>
      </c>
    </row>
    <row r="317" spans="91:92">
      <c r="CM317" s="18">
        <f t="shared" si="188"/>
        <v>0</v>
      </c>
      <c r="CN317" s="18">
        <f t="shared" si="189"/>
        <v>0</v>
      </c>
    </row>
    <row r="318" spans="91:92">
      <c r="CM318" s="18">
        <f t="shared" si="188"/>
        <v>0</v>
      </c>
      <c r="CN318" s="18">
        <f t="shared" si="189"/>
        <v>0</v>
      </c>
    </row>
    <row r="319" spans="91:92">
      <c r="CM319" s="18">
        <f t="shared" si="188"/>
        <v>0</v>
      </c>
      <c r="CN319" s="18">
        <f t="shared" si="189"/>
        <v>0</v>
      </c>
    </row>
    <row r="320" spans="91:92">
      <c r="CM320" s="18">
        <f t="shared" si="188"/>
        <v>0</v>
      </c>
      <c r="CN320" s="18">
        <f t="shared" si="189"/>
        <v>0</v>
      </c>
    </row>
    <row r="321" spans="91:92">
      <c r="CM321" s="18">
        <f t="shared" si="188"/>
        <v>0</v>
      </c>
      <c r="CN321" s="18">
        <f t="shared" si="189"/>
        <v>0</v>
      </c>
    </row>
    <row r="322" spans="91:92">
      <c r="CM322" s="18">
        <f t="shared" si="188"/>
        <v>0</v>
      </c>
      <c r="CN322" s="18">
        <f t="shared" si="189"/>
        <v>0</v>
      </c>
    </row>
    <row r="323" spans="91:92">
      <c r="CM323" s="18">
        <f t="shared" si="188"/>
        <v>0</v>
      </c>
      <c r="CN323" s="18">
        <f t="shared" si="189"/>
        <v>0</v>
      </c>
    </row>
    <row r="324" spans="91:92">
      <c r="CM324" s="18">
        <f t="shared" si="188"/>
        <v>0</v>
      </c>
      <c r="CN324" s="18">
        <f t="shared" si="189"/>
        <v>0</v>
      </c>
    </row>
    <row r="325" spans="91:92">
      <c r="CM325" s="18">
        <f t="shared" si="188"/>
        <v>0</v>
      </c>
      <c r="CN325" s="18">
        <f t="shared" si="189"/>
        <v>0</v>
      </c>
    </row>
    <row r="326" spans="91:92">
      <c r="CM326" s="18">
        <f t="shared" si="188"/>
        <v>0</v>
      </c>
      <c r="CN326" s="18">
        <f t="shared" si="189"/>
        <v>0</v>
      </c>
    </row>
    <row r="327" spans="91:92">
      <c r="CM327" s="18">
        <f t="shared" si="188"/>
        <v>0</v>
      </c>
      <c r="CN327" s="18">
        <f t="shared" si="189"/>
        <v>0</v>
      </c>
    </row>
    <row r="328" spans="91:92">
      <c r="CM328" s="18">
        <f t="shared" si="188"/>
        <v>0</v>
      </c>
      <c r="CN328" s="18">
        <f t="shared" si="189"/>
        <v>0</v>
      </c>
    </row>
    <row r="329" spans="91:92">
      <c r="CM329" s="18">
        <f t="shared" si="188"/>
        <v>0</v>
      </c>
      <c r="CN329" s="18">
        <f t="shared" si="189"/>
        <v>0</v>
      </c>
    </row>
    <row r="330" spans="91:92">
      <c r="CM330" s="18">
        <f t="shared" si="188"/>
        <v>0</v>
      </c>
      <c r="CN330" s="18">
        <f t="shared" si="189"/>
        <v>0</v>
      </c>
    </row>
    <row r="331" spans="91:92">
      <c r="CM331" s="18">
        <f t="shared" si="188"/>
        <v>0</v>
      </c>
      <c r="CN331" s="18">
        <f t="shared" si="189"/>
        <v>0</v>
      </c>
    </row>
    <row r="332" spans="91:92">
      <c r="CM332" s="18">
        <f t="shared" si="188"/>
        <v>0</v>
      </c>
      <c r="CN332" s="18">
        <f t="shared" si="189"/>
        <v>0</v>
      </c>
    </row>
    <row r="333" spans="91:92">
      <c r="CM333" s="18">
        <f t="shared" si="188"/>
        <v>0</v>
      </c>
      <c r="CN333" s="18">
        <f t="shared" si="189"/>
        <v>0</v>
      </c>
    </row>
    <row r="334" spans="91:92">
      <c r="CM334" s="18">
        <f t="shared" si="188"/>
        <v>0</v>
      </c>
      <c r="CN334" s="18">
        <f t="shared" si="189"/>
        <v>0</v>
      </c>
    </row>
    <row r="335" spans="91:92">
      <c r="CM335" s="18">
        <f t="shared" si="188"/>
        <v>0</v>
      </c>
      <c r="CN335" s="18">
        <f t="shared" si="189"/>
        <v>0</v>
      </c>
    </row>
    <row r="336" spans="91:92">
      <c r="CM336" s="18">
        <f t="shared" ref="CM336:CM382" si="190">N336*AH336/1000</f>
        <v>0</v>
      </c>
      <c r="CN336" s="18">
        <f t="shared" ref="CN336:CN382" si="191">CM336-CL336</f>
        <v>0</v>
      </c>
    </row>
    <row r="337" spans="91:92">
      <c r="CM337" s="18">
        <f t="shared" si="190"/>
        <v>0</v>
      </c>
      <c r="CN337" s="18">
        <f t="shared" si="191"/>
        <v>0</v>
      </c>
    </row>
    <row r="338" spans="91:92">
      <c r="CM338" s="18">
        <f t="shared" si="190"/>
        <v>0</v>
      </c>
      <c r="CN338" s="18">
        <f t="shared" si="191"/>
        <v>0</v>
      </c>
    </row>
    <row r="339" spans="91:92">
      <c r="CM339" s="18">
        <f t="shared" si="190"/>
        <v>0</v>
      </c>
      <c r="CN339" s="18">
        <f t="shared" si="191"/>
        <v>0</v>
      </c>
    </row>
    <row r="340" spans="91:92">
      <c r="CM340" s="18">
        <f t="shared" si="190"/>
        <v>0</v>
      </c>
      <c r="CN340" s="18">
        <f t="shared" si="191"/>
        <v>0</v>
      </c>
    </row>
    <row r="341" spans="91:92">
      <c r="CM341" s="18">
        <f t="shared" si="190"/>
        <v>0</v>
      </c>
      <c r="CN341" s="18">
        <f t="shared" si="191"/>
        <v>0</v>
      </c>
    </row>
    <row r="342" spans="91:92">
      <c r="CM342" s="18">
        <f t="shared" si="190"/>
        <v>0</v>
      </c>
      <c r="CN342" s="18">
        <f t="shared" si="191"/>
        <v>0</v>
      </c>
    </row>
    <row r="343" spans="91:92">
      <c r="CM343" s="18">
        <f t="shared" si="190"/>
        <v>0</v>
      </c>
      <c r="CN343" s="18">
        <f t="shared" si="191"/>
        <v>0</v>
      </c>
    </row>
    <row r="344" spans="91:92">
      <c r="CM344" s="18">
        <f t="shared" si="190"/>
        <v>0</v>
      </c>
      <c r="CN344" s="18">
        <f t="shared" si="191"/>
        <v>0</v>
      </c>
    </row>
    <row r="345" spans="91:92">
      <c r="CM345" s="18">
        <f t="shared" si="190"/>
        <v>0</v>
      </c>
      <c r="CN345" s="18">
        <f t="shared" si="191"/>
        <v>0</v>
      </c>
    </row>
    <row r="346" spans="91:92">
      <c r="CM346" s="18">
        <f t="shared" si="190"/>
        <v>0</v>
      </c>
      <c r="CN346" s="18">
        <f t="shared" si="191"/>
        <v>0</v>
      </c>
    </row>
    <row r="347" spans="91:92">
      <c r="CM347" s="18">
        <f t="shared" si="190"/>
        <v>0</v>
      </c>
      <c r="CN347" s="18">
        <f t="shared" si="191"/>
        <v>0</v>
      </c>
    </row>
    <row r="348" spans="91:92">
      <c r="CM348" s="18">
        <f t="shared" si="190"/>
        <v>0</v>
      </c>
      <c r="CN348" s="18">
        <f t="shared" si="191"/>
        <v>0</v>
      </c>
    </row>
    <row r="349" spans="91:92">
      <c r="CM349" s="18">
        <f t="shared" si="190"/>
        <v>0</v>
      </c>
      <c r="CN349" s="18">
        <f t="shared" si="191"/>
        <v>0</v>
      </c>
    </row>
    <row r="350" spans="91:92">
      <c r="CM350" s="18">
        <f t="shared" si="190"/>
        <v>0</v>
      </c>
      <c r="CN350" s="18">
        <f t="shared" si="191"/>
        <v>0</v>
      </c>
    </row>
    <row r="351" spans="91:92">
      <c r="CM351" s="18">
        <f t="shared" si="190"/>
        <v>0</v>
      </c>
      <c r="CN351" s="18">
        <f t="shared" si="191"/>
        <v>0</v>
      </c>
    </row>
    <row r="352" spans="91:92">
      <c r="CM352" s="18">
        <f t="shared" si="190"/>
        <v>0</v>
      </c>
      <c r="CN352" s="18">
        <f t="shared" si="191"/>
        <v>0</v>
      </c>
    </row>
    <row r="353" spans="91:92">
      <c r="CM353" s="18">
        <f t="shared" si="190"/>
        <v>0</v>
      </c>
      <c r="CN353" s="18">
        <f t="shared" si="191"/>
        <v>0</v>
      </c>
    </row>
    <row r="354" spans="91:92">
      <c r="CM354" s="18">
        <f t="shared" si="190"/>
        <v>0</v>
      </c>
      <c r="CN354" s="18">
        <f t="shared" si="191"/>
        <v>0</v>
      </c>
    </row>
    <row r="355" spans="91:92">
      <c r="CM355" s="18">
        <f t="shared" si="190"/>
        <v>0</v>
      </c>
      <c r="CN355" s="18">
        <f t="shared" si="191"/>
        <v>0</v>
      </c>
    </row>
    <row r="356" spans="91:92">
      <c r="CM356" s="18">
        <f t="shared" si="190"/>
        <v>0</v>
      </c>
      <c r="CN356" s="18">
        <f t="shared" si="191"/>
        <v>0</v>
      </c>
    </row>
    <row r="357" spans="91:92">
      <c r="CM357" s="18">
        <f t="shared" si="190"/>
        <v>0</v>
      </c>
      <c r="CN357" s="18">
        <f t="shared" si="191"/>
        <v>0</v>
      </c>
    </row>
    <row r="358" spans="91:92">
      <c r="CM358" s="18">
        <f t="shared" si="190"/>
        <v>0</v>
      </c>
      <c r="CN358" s="18">
        <f t="shared" si="191"/>
        <v>0</v>
      </c>
    </row>
    <row r="359" spans="91:92">
      <c r="CM359" s="18">
        <f t="shared" si="190"/>
        <v>0</v>
      </c>
      <c r="CN359" s="18">
        <f t="shared" si="191"/>
        <v>0</v>
      </c>
    </row>
    <row r="360" spans="91:92">
      <c r="CM360" s="18">
        <f t="shared" si="190"/>
        <v>0</v>
      </c>
      <c r="CN360" s="18">
        <f t="shared" si="191"/>
        <v>0</v>
      </c>
    </row>
    <row r="361" spans="91:92">
      <c r="CM361" s="18">
        <f t="shared" si="190"/>
        <v>0</v>
      </c>
      <c r="CN361" s="18">
        <f t="shared" si="191"/>
        <v>0</v>
      </c>
    </row>
    <row r="362" spans="91:92">
      <c r="CM362" s="18">
        <f t="shared" si="190"/>
        <v>0</v>
      </c>
      <c r="CN362" s="18">
        <f t="shared" si="191"/>
        <v>0</v>
      </c>
    </row>
    <row r="363" spans="91:92">
      <c r="CM363" s="18">
        <f t="shared" si="190"/>
        <v>0</v>
      </c>
      <c r="CN363" s="18">
        <f t="shared" si="191"/>
        <v>0</v>
      </c>
    </row>
    <row r="364" spans="91:92">
      <c r="CM364" s="18">
        <f t="shared" si="190"/>
        <v>0</v>
      </c>
      <c r="CN364" s="18">
        <f t="shared" si="191"/>
        <v>0</v>
      </c>
    </row>
    <row r="365" spans="91:92">
      <c r="CM365" s="18">
        <f t="shared" si="190"/>
        <v>0</v>
      </c>
      <c r="CN365" s="18">
        <f t="shared" si="191"/>
        <v>0</v>
      </c>
    </row>
    <row r="366" spans="91:92">
      <c r="CM366" s="18">
        <f t="shared" si="190"/>
        <v>0</v>
      </c>
      <c r="CN366" s="18">
        <f t="shared" si="191"/>
        <v>0</v>
      </c>
    </row>
    <row r="367" spans="91:92">
      <c r="CM367" s="18">
        <f t="shared" si="190"/>
        <v>0</v>
      </c>
      <c r="CN367" s="18">
        <f t="shared" si="191"/>
        <v>0</v>
      </c>
    </row>
    <row r="368" spans="91:92">
      <c r="CM368" s="18">
        <f t="shared" si="190"/>
        <v>0</v>
      </c>
      <c r="CN368" s="18">
        <f t="shared" si="191"/>
        <v>0</v>
      </c>
    </row>
    <row r="369" spans="27:92">
      <c r="CM369" s="18">
        <f t="shared" si="190"/>
        <v>0</v>
      </c>
      <c r="CN369" s="18">
        <f t="shared" si="191"/>
        <v>0</v>
      </c>
    </row>
    <row r="370" spans="27:92">
      <c r="CM370" s="18">
        <f t="shared" si="190"/>
        <v>0</v>
      </c>
      <c r="CN370" s="18">
        <f t="shared" si="191"/>
        <v>0</v>
      </c>
    </row>
    <row r="371" spans="27:92">
      <c r="CM371" s="18">
        <f t="shared" si="190"/>
        <v>0</v>
      </c>
      <c r="CN371" s="18">
        <f t="shared" si="191"/>
        <v>0</v>
      </c>
    </row>
    <row r="372" spans="27:92">
      <c r="CM372" s="18">
        <f t="shared" si="190"/>
        <v>0</v>
      </c>
      <c r="CN372" s="18">
        <f t="shared" si="191"/>
        <v>0</v>
      </c>
    </row>
    <row r="373" spans="27:92">
      <c r="CM373" s="18">
        <f t="shared" si="190"/>
        <v>0</v>
      </c>
      <c r="CN373" s="18">
        <f t="shared" si="191"/>
        <v>0</v>
      </c>
    </row>
    <row r="374" spans="27:92">
      <c r="CM374" s="18">
        <f t="shared" si="190"/>
        <v>0</v>
      </c>
      <c r="CN374" s="18">
        <f t="shared" si="191"/>
        <v>0</v>
      </c>
    </row>
    <row r="375" spans="27:92">
      <c r="CM375" s="18">
        <f t="shared" si="190"/>
        <v>0</v>
      </c>
      <c r="CN375" s="18">
        <f t="shared" si="191"/>
        <v>0</v>
      </c>
    </row>
    <row r="376" spans="27:92">
      <c r="CM376" s="18">
        <f t="shared" si="190"/>
        <v>0</v>
      </c>
      <c r="CN376" s="18">
        <f t="shared" si="191"/>
        <v>0</v>
      </c>
    </row>
    <row r="377" spans="27:92">
      <c r="CM377" s="18">
        <f t="shared" si="190"/>
        <v>0</v>
      </c>
      <c r="CN377" s="18">
        <f t="shared" si="191"/>
        <v>0</v>
      </c>
    </row>
    <row r="378" spans="27:92">
      <c r="CM378" s="18">
        <f t="shared" si="190"/>
        <v>0</v>
      </c>
      <c r="CN378" s="18">
        <f t="shared" si="191"/>
        <v>0</v>
      </c>
    </row>
    <row r="379" spans="27:92">
      <c r="CM379" s="18">
        <f t="shared" si="190"/>
        <v>0</v>
      </c>
      <c r="CN379" s="18">
        <f t="shared" si="191"/>
        <v>0</v>
      </c>
    </row>
    <row r="380" spans="27:92">
      <c r="CM380" s="18">
        <f t="shared" si="190"/>
        <v>0</v>
      </c>
      <c r="CN380" s="18">
        <f t="shared" si="191"/>
        <v>0</v>
      </c>
    </row>
    <row r="381" spans="27:92">
      <c r="CM381" s="18">
        <f t="shared" si="190"/>
        <v>0</v>
      </c>
      <c r="CN381" s="18">
        <f t="shared" si="191"/>
        <v>0</v>
      </c>
    </row>
    <row r="382" spans="27:92">
      <c r="CM382" s="18">
        <f t="shared" si="190"/>
        <v>0</v>
      </c>
      <c r="CN382" s="18">
        <f t="shared" si="191"/>
        <v>0</v>
      </c>
    </row>
    <row r="384" spans="27:92">
      <c r="AA384" s="30">
        <v>8702.1</v>
      </c>
      <c r="BJ384" s="754"/>
      <c r="CL384" s="753"/>
    </row>
    <row r="385" spans="24:90">
      <c r="BJ385" s="8"/>
    </row>
    <row r="388" spans="24:90">
      <c r="BI388" s="753"/>
      <c r="CL388" s="753"/>
    </row>
    <row r="389" spans="24:90">
      <c r="BI389" s="753"/>
    </row>
    <row r="390" spans="24:90">
      <c r="X390" s="837"/>
      <c r="Z390" s="837"/>
      <c r="CL390" s="753"/>
    </row>
    <row r="391" spans="24:90">
      <c r="Y391" s="837"/>
    </row>
    <row r="392" spans="24:90">
      <c r="CL392" s="753"/>
    </row>
    <row r="393" spans="24:90">
      <c r="CL393" s="753"/>
    </row>
    <row r="394" spans="24:90">
      <c r="CL394" s="753"/>
    </row>
    <row r="401" spans="22:90">
      <c r="CL401" s="753"/>
    </row>
    <row r="402" spans="22:90">
      <c r="CL402" s="754"/>
    </row>
    <row r="404" spans="22:90">
      <c r="CL404" s="753"/>
    </row>
    <row r="405" spans="22:90">
      <c r="V405" s="6"/>
    </row>
    <row r="406" spans="22:90">
      <c r="V406" s="6"/>
    </row>
    <row r="407" spans="22:90">
      <c r="V407" s="6"/>
    </row>
    <row r="408" spans="22:90">
      <c r="V408" s="6"/>
    </row>
  </sheetData>
  <autoFilter ref="A13:GI382">
    <filterColumn colId="93" showButton="0"/>
    <filterColumn colId="94" showButton="0"/>
    <filterColumn colId="96" showButton="0"/>
    <filterColumn colId="97" showButton="0"/>
  </autoFilter>
  <dataConsolidate link="1"/>
  <mergeCells count="95">
    <mergeCell ref="F10:F13"/>
    <mergeCell ref="A10:A13"/>
    <mergeCell ref="B10:B13"/>
    <mergeCell ref="C10:C13"/>
    <mergeCell ref="D10:D13"/>
    <mergeCell ref="E10:E13"/>
    <mergeCell ref="G10:G13"/>
    <mergeCell ref="H10:S10"/>
    <mergeCell ref="T10:AG10"/>
    <mergeCell ref="AH10:AQ10"/>
    <mergeCell ref="AS10:BF10"/>
    <mergeCell ref="S12:S13"/>
    <mergeCell ref="T12:T13"/>
    <mergeCell ref="U12:V12"/>
    <mergeCell ref="W12:W13"/>
    <mergeCell ref="AS11:AY11"/>
    <mergeCell ref="AZ11:BF11"/>
    <mergeCell ref="AD12:AD13"/>
    <mergeCell ref="H12:H13"/>
    <mergeCell ref="I12:I13"/>
    <mergeCell ref="J12:K12"/>
    <mergeCell ref="L12:L13"/>
    <mergeCell ref="BL10:BY10"/>
    <mergeCell ref="BZ10:BZ13"/>
    <mergeCell ref="CA10:CA13"/>
    <mergeCell ref="BL11:BR11"/>
    <mergeCell ref="BS11:BY11"/>
    <mergeCell ref="BL12:BL13"/>
    <mergeCell ref="BY12:BY13"/>
    <mergeCell ref="BG10:BI10"/>
    <mergeCell ref="H11:M11"/>
    <mergeCell ref="N11:S11"/>
    <mergeCell ref="T11:Z11"/>
    <mergeCell ref="AA11:AG11"/>
    <mergeCell ref="AI11:AQ11"/>
    <mergeCell ref="DI11:DI13"/>
    <mergeCell ref="CS13:CU13"/>
    <mergeCell ref="CX10:CZ10"/>
    <mergeCell ref="DA10:DB10"/>
    <mergeCell ref="DH10:DJ10"/>
    <mergeCell ref="CP10:CW10"/>
    <mergeCell ref="DJ11:DJ13"/>
    <mergeCell ref="M12:M13"/>
    <mergeCell ref="N12:N13"/>
    <mergeCell ref="O12:O13"/>
    <mergeCell ref="P12:Q12"/>
    <mergeCell ref="R12:R13"/>
    <mergeCell ref="CL11:CL13"/>
    <mergeCell ref="CO11:CO13"/>
    <mergeCell ref="DA11:DA13"/>
    <mergeCell ref="DB11:DB13"/>
    <mergeCell ref="DH11:DH13"/>
    <mergeCell ref="X12:X13"/>
    <mergeCell ref="Y12:Y13"/>
    <mergeCell ref="Z12:Z13"/>
    <mergeCell ref="AA12:AA13"/>
    <mergeCell ref="AB12:AC12"/>
    <mergeCell ref="AS12:AS13"/>
    <mergeCell ref="AE12:AE13"/>
    <mergeCell ref="AF12:AF13"/>
    <mergeCell ref="AG12:AG13"/>
    <mergeCell ref="AI12:AI13"/>
    <mergeCell ref="AJ12:AK12"/>
    <mergeCell ref="AL12:AL13"/>
    <mergeCell ref="AM12:AM13"/>
    <mergeCell ref="AN12:AN13"/>
    <mergeCell ref="AO12:AO13"/>
    <mergeCell ref="AP12:AP13"/>
    <mergeCell ref="AQ12:AQ13"/>
    <mergeCell ref="AT12:AU12"/>
    <mergeCell ref="AV12:AV13"/>
    <mergeCell ref="AW12:AW13"/>
    <mergeCell ref="AX12:AX13"/>
    <mergeCell ref="AY12:AY13"/>
    <mergeCell ref="AZ12:AZ13"/>
    <mergeCell ref="BA12:BB12"/>
    <mergeCell ref="BC12:BC13"/>
    <mergeCell ref="BD12:BD13"/>
    <mergeCell ref="BE12:BE13"/>
    <mergeCell ref="BF12:BF13"/>
    <mergeCell ref="CP13:CR13"/>
    <mergeCell ref="BM12:BN12"/>
    <mergeCell ref="BO12:BO13"/>
    <mergeCell ref="BP12:BP13"/>
    <mergeCell ref="BQ12:BQ13"/>
    <mergeCell ref="BR12:BR13"/>
    <mergeCell ref="BS12:BS13"/>
    <mergeCell ref="CB10:CB13"/>
    <mergeCell ref="CJ10:CL10"/>
    <mergeCell ref="CJ11:CJ13"/>
    <mergeCell ref="CK11:CK13"/>
    <mergeCell ref="BT12:BU12"/>
    <mergeCell ref="BV12:BV13"/>
    <mergeCell ref="BW12:BW13"/>
    <mergeCell ref="BX12:BX13"/>
  </mergeCells>
  <pageMargins left="0.11811023622047245" right="0.11811023622047245" top="0.35433070866141736" bottom="0.35433070866141736" header="0.31496062992125984" footer="0.31496062992125984"/>
  <pageSetup paperSize="9" scale="55" fitToWidth="2" fitToHeight="0"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rgb="FFFF0000"/>
  </sheetPr>
  <dimension ref="A1:BI139"/>
  <sheetViews>
    <sheetView tabSelected="1" topLeftCell="A4" zoomScale="85" zoomScaleNormal="85" zoomScaleSheetLayoutView="112" workbookViewId="0">
      <pane xSplit="4" ySplit="9" topLeftCell="E73" activePane="bottomRight" state="frozen"/>
      <selection activeCell="G125" sqref="G125"/>
      <selection pane="topRight" activeCell="G125" sqref="G125"/>
      <selection pane="bottomLeft" activeCell="G125" sqref="G125"/>
      <selection pane="bottomRight" activeCell="D140" sqref="D140"/>
    </sheetView>
  </sheetViews>
  <sheetFormatPr defaultRowHeight="15"/>
  <cols>
    <col min="1" max="1" width="9.140625" style="6" hidden="1" customWidth="1"/>
    <col min="2" max="2" width="17.42578125" style="6" customWidth="1"/>
    <col min="3" max="3" width="16.7109375" style="6" customWidth="1"/>
    <col min="4" max="4" width="24.140625" style="6" customWidth="1"/>
    <col min="5" max="5" width="19.28515625" style="6" customWidth="1"/>
    <col min="6" max="6" width="10.5703125" style="6" customWidth="1"/>
    <col min="7" max="7" width="28.42578125" style="6" customWidth="1"/>
    <col min="8" max="8" width="14.28515625" style="6" customWidth="1"/>
    <col min="9" max="9" width="13.140625" style="6" customWidth="1"/>
    <col min="10" max="10" width="13.42578125" style="6" customWidth="1"/>
    <col min="11" max="11" width="12.5703125" style="6" customWidth="1"/>
    <col min="12" max="12" width="14" style="6" customWidth="1"/>
    <col min="13" max="13" width="12.42578125" style="6" customWidth="1"/>
    <col min="14" max="14" width="14.7109375" style="6" customWidth="1"/>
    <col min="15" max="15" width="14" style="6" customWidth="1"/>
    <col min="16" max="16" width="14.7109375" style="6" customWidth="1"/>
    <col min="17" max="17" width="12.85546875" style="6" customWidth="1"/>
    <col min="18" max="18" width="13" style="6" customWidth="1"/>
    <col min="19" max="19" width="12.42578125" style="6" customWidth="1"/>
    <col min="20" max="16384" width="9.140625" style="6"/>
  </cols>
  <sheetData>
    <row r="1" spans="1:19">
      <c r="A1" s="6">
        <v>1</v>
      </c>
      <c r="B1" s="6">
        <v>2</v>
      </c>
      <c r="C1" s="6">
        <v>3</v>
      </c>
      <c r="D1" s="6">
        <f t="shared" ref="D1:S1" si="0">C1+1</f>
        <v>4</v>
      </c>
      <c r="E1" s="6">
        <f>D1+1</f>
        <v>5</v>
      </c>
      <c r="F1" s="6">
        <f t="shared" si="0"/>
        <v>6</v>
      </c>
      <c r="G1" s="6">
        <f t="shared" si="0"/>
        <v>7</v>
      </c>
      <c r="H1" s="6">
        <f t="shared" si="0"/>
        <v>8</v>
      </c>
      <c r="I1" s="6">
        <f t="shared" si="0"/>
        <v>9</v>
      </c>
      <c r="J1" s="6">
        <f t="shared" si="0"/>
        <v>10</v>
      </c>
      <c r="K1" s="6">
        <f t="shared" si="0"/>
        <v>11</v>
      </c>
      <c r="L1" s="6">
        <f t="shared" si="0"/>
        <v>12</v>
      </c>
      <c r="M1" s="6">
        <f t="shared" si="0"/>
        <v>13</v>
      </c>
      <c r="N1" s="6">
        <f t="shared" si="0"/>
        <v>14</v>
      </c>
      <c r="O1" s="6">
        <f t="shared" si="0"/>
        <v>15</v>
      </c>
      <c r="P1" s="6">
        <f t="shared" si="0"/>
        <v>16</v>
      </c>
      <c r="Q1" s="6">
        <f t="shared" si="0"/>
        <v>17</v>
      </c>
      <c r="R1" s="6">
        <f t="shared" si="0"/>
        <v>18</v>
      </c>
      <c r="S1" s="6">
        <f t="shared" si="0"/>
        <v>19</v>
      </c>
    </row>
    <row r="3" spans="1:19">
      <c r="B3" s="2"/>
      <c r="C3" s="2"/>
      <c r="D3" s="2"/>
      <c r="E3" s="2"/>
      <c r="F3" s="2"/>
      <c r="G3" s="2"/>
    </row>
    <row r="4" spans="1:19" ht="15" hidden="1" customHeight="1">
      <c r="B4" s="2"/>
      <c r="C4" s="2"/>
      <c r="D4" s="2"/>
      <c r="E4" s="2"/>
      <c r="F4" s="2"/>
      <c r="G4" s="2"/>
    </row>
    <row r="5" spans="1:19" ht="15" hidden="1" customHeight="1">
      <c r="B5" s="2"/>
      <c r="C5" s="2"/>
      <c r="D5" s="2"/>
      <c r="E5" s="2"/>
      <c r="F5" s="2"/>
      <c r="G5" s="2"/>
    </row>
    <row r="6" spans="1:19" ht="15" hidden="1" customHeight="1">
      <c r="B6" s="2"/>
      <c r="C6" s="2"/>
      <c r="D6" s="2"/>
      <c r="E6" s="2"/>
      <c r="F6" s="2"/>
      <c r="G6" s="2"/>
    </row>
    <row r="7" spans="1:19" ht="26.25">
      <c r="B7" s="7" t="s">
        <v>1021</v>
      </c>
      <c r="C7" s="7"/>
      <c r="D7" s="7"/>
      <c r="E7" s="7"/>
      <c r="F7" s="7"/>
      <c r="G7" s="7"/>
    </row>
    <row r="8" spans="1:19" s="814" customFormat="1" ht="14.25">
      <c r="A8" s="814">
        <v>1</v>
      </c>
      <c r="D8" s="1481"/>
      <c r="E8" s="1481"/>
      <c r="F8" s="1481"/>
    </row>
    <row r="9" spans="1:19" s="816" customFormat="1" ht="42" customHeight="1">
      <c r="A9" s="1673" t="s">
        <v>233</v>
      </c>
      <c r="B9" s="1573" t="s">
        <v>134</v>
      </c>
      <c r="C9" s="1573" t="s">
        <v>1</v>
      </c>
      <c r="D9" s="1573" t="s">
        <v>0</v>
      </c>
      <c r="E9" s="1573" t="s">
        <v>223</v>
      </c>
      <c r="F9" s="1672" t="s">
        <v>2</v>
      </c>
      <c r="G9" s="1573" t="s">
        <v>3</v>
      </c>
      <c r="H9" s="1675" t="s">
        <v>230</v>
      </c>
      <c r="I9" s="1675"/>
      <c r="J9" s="1675"/>
      <c r="K9" s="1675"/>
      <c r="L9" s="1675"/>
      <c r="M9" s="1675"/>
      <c r="N9" s="1675"/>
      <c r="O9" s="1675"/>
      <c r="P9" s="1675"/>
      <c r="Q9" s="1675"/>
      <c r="R9" s="1675"/>
      <c r="S9" s="1675"/>
    </row>
    <row r="10" spans="1:19" s="816" customFormat="1" ht="28.5" customHeight="1">
      <c r="A10" s="1673"/>
      <c r="B10" s="1573"/>
      <c r="C10" s="1573"/>
      <c r="D10" s="1573"/>
      <c r="E10" s="1573"/>
      <c r="F10" s="1672"/>
      <c r="G10" s="1573"/>
      <c r="H10" s="1676" t="s">
        <v>1019</v>
      </c>
      <c r="I10" s="1676"/>
      <c r="J10" s="1676"/>
      <c r="K10" s="1676"/>
      <c r="L10" s="1676"/>
      <c r="M10" s="1676"/>
      <c r="N10" s="1676" t="s">
        <v>1020</v>
      </c>
      <c r="O10" s="1676"/>
      <c r="P10" s="1676"/>
      <c r="Q10" s="1676"/>
      <c r="R10" s="1676"/>
      <c r="S10" s="1676"/>
    </row>
    <row r="11" spans="1:19" s="816" customFormat="1" ht="29.25" customHeight="1">
      <c r="A11" s="1673"/>
      <c r="B11" s="1573"/>
      <c r="C11" s="1573"/>
      <c r="D11" s="1573"/>
      <c r="E11" s="1573"/>
      <c r="F11" s="1672"/>
      <c r="G11" s="1573"/>
      <c r="H11" s="1573" t="s">
        <v>207</v>
      </c>
      <c r="I11" s="1573" t="s">
        <v>909</v>
      </c>
      <c r="J11" s="1674" t="s">
        <v>139</v>
      </c>
      <c r="K11" s="1674"/>
      <c r="L11" s="1573" t="s">
        <v>5</v>
      </c>
      <c r="M11" s="1573" t="s">
        <v>1016</v>
      </c>
      <c r="N11" s="1573" t="s">
        <v>207</v>
      </c>
      <c r="O11" s="1573" t="s">
        <v>909</v>
      </c>
      <c r="P11" s="1674" t="s">
        <v>139</v>
      </c>
      <c r="Q11" s="1674"/>
      <c r="R11" s="1573" t="s">
        <v>5</v>
      </c>
      <c r="S11" s="1573" t="s">
        <v>1016</v>
      </c>
    </row>
    <row r="12" spans="1:19" s="816" customFormat="1" ht="38.25" customHeight="1">
      <c r="A12" s="1673"/>
      <c r="B12" s="1573"/>
      <c r="C12" s="1573"/>
      <c r="D12" s="1573"/>
      <c r="E12" s="1573"/>
      <c r="F12" s="1672"/>
      <c r="G12" s="1573"/>
      <c r="H12" s="1573"/>
      <c r="I12" s="1573"/>
      <c r="J12" s="1491" t="s">
        <v>149</v>
      </c>
      <c r="K12" s="1491" t="s">
        <v>150</v>
      </c>
      <c r="L12" s="1573"/>
      <c r="M12" s="1573"/>
      <c r="N12" s="1573"/>
      <c r="O12" s="1573"/>
      <c r="P12" s="1491" t="s">
        <v>149</v>
      </c>
      <c r="Q12" s="1491" t="s">
        <v>150</v>
      </c>
      <c r="R12" s="1573"/>
      <c r="S12" s="1573"/>
    </row>
    <row r="13" spans="1:19" s="1493" customFormat="1" ht="80.25" customHeight="1">
      <c r="A13" s="6">
        <v>1</v>
      </c>
      <c r="B13" s="1491" t="s">
        <v>7</v>
      </c>
      <c r="C13" s="1491" t="s">
        <v>69</v>
      </c>
      <c r="D13" s="1491" t="s">
        <v>141</v>
      </c>
      <c r="E13" s="1491">
        <v>4632024035</v>
      </c>
      <c r="F13" s="1491" t="s">
        <v>8</v>
      </c>
      <c r="G13" s="1491" t="s">
        <v>1052</v>
      </c>
      <c r="H13" s="1482">
        <v>4580.9901999999993</v>
      </c>
      <c r="I13" s="1482">
        <v>4580.9901999999993</v>
      </c>
      <c r="J13" s="1482"/>
      <c r="K13" s="1482"/>
      <c r="L13" s="1482">
        <v>4580.9901999999993</v>
      </c>
      <c r="M13" s="1482"/>
      <c r="N13" s="1482">
        <v>5497.1858000000002</v>
      </c>
      <c r="O13" s="1482">
        <v>5497.1858000000002</v>
      </c>
      <c r="P13" s="1482">
        <v>0</v>
      </c>
      <c r="Q13" s="1482">
        <v>0</v>
      </c>
      <c r="R13" s="1482">
        <v>5497.1858000000002</v>
      </c>
      <c r="S13" s="1483">
        <v>0</v>
      </c>
    </row>
    <row r="14" spans="1:19" s="1493" customFormat="1" ht="72.75" customHeight="1">
      <c r="A14" s="6">
        <f t="shared" ref="A14:A32" si="1">A13+1</f>
        <v>2</v>
      </c>
      <c r="B14" s="1487" t="s">
        <v>1018</v>
      </c>
      <c r="C14" s="1491" t="s">
        <v>70</v>
      </c>
      <c r="D14" s="1491" t="s">
        <v>141</v>
      </c>
      <c r="E14" s="1491">
        <v>4632024035</v>
      </c>
      <c r="F14" s="1491" t="s">
        <v>8</v>
      </c>
      <c r="G14" s="1491" t="s">
        <v>1052</v>
      </c>
      <c r="H14" s="1482">
        <v>4580.9901999999993</v>
      </c>
      <c r="I14" s="1482">
        <v>4580.9901999999993</v>
      </c>
      <c r="J14" s="1482"/>
      <c r="K14" s="1482"/>
      <c r="L14" s="1482">
        <v>4580.9901999999993</v>
      </c>
      <c r="M14" s="1482"/>
      <c r="N14" s="1482">
        <v>5497.1858000000002</v>
      </c>
      <c r="O14" s="1482">
        <v>5497.1858000000002</v>
      </c>
      <c r="P14" s="1482">
        <v>0</v>
      </c>
      <c r="Q14" s="1482">
        <v>0</v>
      </c>
      <c r="R14" s="1482">
        <v>5497.1858000000002</v>
      </c>
      <c r="S14" s="1483">
        <v>0</v>
      </c>
    </row>
    <row r="15" spans="1:19" s="1493" customFormat="1" ht="79.5" customHeight="1">
      <c r="A15" s="6">
        <f t="shared" si="1"/>
        <v>3</v>
      </c>
      <c r="B15" s="1491" t="s">
        <v>7</v>
      </c>
      <c r="C15" s="1491" t="s">
        <v>71</v>
      </c>
      <c r="D15" s="1491" t="s">
        <v>141</v>
      </c>
      <c r="E15" s="1491">
        <v>4632024035</v>
      </c>
      <c r="F15" s="1491" t="s">
        <v>8</v>
      </c>
      <c r="G15" s="1491" t="s">
        <v>1052</v>
      </c>
      <c r="H15" s="1482">
        <v>4580.9901999999993</v>
      </c>
      <c r="I15" s="1482">
        <v>4580.9901999999993</v>
      </c>
      <c r="J15" s="1482"/>
      <c r="K15" s="1482"/>
      <c r="L15" s="1482">
        <v>4580.9901999999993</v>
      </c>
      <c r="M15" s="1482"/>
      <c r="N15" s="1482">
        <v>5497.1858000000002</v>
      </c>
      <c r="O15" s="1482">
        <v>5497.1858000000002</v>
      </c>
      <c r="P15" s="1482">
        <v>0</v>
      </c>
      <c r="Q15" s="1482">
        <v>0</v>
      </c>
      <c r="R15" s="1482">
        <v>5497.1858000000002</v>
      </c>
      <c r="S15" s="1483">
        <v>0</v>
      </c>
    </row>
    <row r="16" spans="1:19" s="1493" customFormat="1" ht="79.5" customHeight="1">
      <c r="A16" s="6">
        <f t="shared" si="1"/>
        <v>4</v>
      </c>
      <c r="B16" s="1491" t="s">
        <v>7</v>
      </c>
      <c r="C16" s="1491" t="s">
        <v>72</v>
      </c>
      <c r="D16" s="1491" t="s">
        <v>141</v>
      </c>
      <c r="E16" s="1491">
        <v>4632024035</v>
      </c>
      <c r="F16" s="1491" t="s">
        <v>8</v>
      </c>
      <c r="G16" s="1491" t="s">
        <v>1052</v>
      </c>
      <c r="H16" s="1482">
        <v>4580.9901999999993</v>
      </c>
      <c r="I16" s="1482">
        <v>4580.9901999999993</v>
      </c>
      <c r="J16" s="1482"/>
      <c r="K16" s="1482"/>
      <c r="L16" s="1482">
        <v>4580.9901999999993</v>
      </c>
      <c r="M16" s="1482"/>
      <c r="N16" s="1482">
        <v>5497.1858000000002</v>
      </c>
      <c r="O16" s="1482">
        <v>5497.1858000000002</v>
      </c>
      <c r="P16" s="1482">
        <v>0</v>
      </c>
      <c r="Q16" s="1482">
        <v>0</v>
      </c>
      <c r="R16" s="1482">
        <v>5497.1858000000002</v>
      </c>
      <c r="S16" s="1483">
        <v>0</v>
      </c>
    </row>
    <row r="17" spans="1:19" s="1493" customFormat="1" ht="79.5" customHeight="1">
      <c r="A17" s="6" t="e">
        <f>#REF!+1</f>
        <v>#REF!</v>
      </c>
      <c r="B17" s="1490" t="s">
        <v>9</v>
      </c>
      <c r="C17" s="1491" t="s">
        <v>132</v>
      </c>
      <c r="D17" s="1491" t="s">
        <v>142</v>
      </c>
      <c r="E17" s="1491">
        <v>4632024035</v>
      </c>
      <c r="F17" s="1491" t="s">
        <v>8</v>
      </c>
      <c r="G17" s="1491" t="s">
        <v>1052</v>
      </c>
      <c r="H17" s="1482">
        <v>4580.9901999999993</v>
      </c>
      <c r="I17" s="1482">
        <v>4580.9901999999993</v>
      </c>
      <c r="J17" s="1482"/>
      <c r="K17" s="1482"/>
      <c r="L17" s="1482">
        <v>4580.9901999999993</v>
      </c>
      <c r="M17" s="1482"/>
      <c r="N17" s="1482">
        <v>5497.1858000000002</v>
      </c>
      <c r="O17" s="1482">
        <v>5497.1858000000002</v>
      </c>
      <c r="P17" s="1482">
        <v>0</v>
      </c>
      <c r="Q17" s="1482">
        <v>0</v>
      </c>
      <c r="R17" s="1482">
        <v>5497.1858000000002</v>
      </c>
      <c r="S17" s="1483">
        <v>0</v>
      </c>
    </row>
    <row r="18" spans="1:19" s="1493" customFormat="1" ht="79.5" customHeight="1">
      <c r="A18" s="6" t="e">
        <f t="shared" si="1"/>
        <v>#REF!</v>
      </c>
      <c r="B18" s="1490" t="s">
        <v>9</v>
      </c>
      <c r="C18" s="1491" t="s">
        <v>74</v>
      </c>
      <c r="D18" s="1491" t="s">
        <v>141</v>
      </c>
      <c r="E18" s="1491">
        <v>4632024035</v>
      </c>
      <c r="F18" s="1491" t="s">
        <v>8</v>
      </c>
      <c r="G18" s="1491" t="s">
        <v>1052</v>
      </c>
      <c r="H18" s="1482">
        <v>4580.9901999999993</v>
      </c>
      <c r="I18" s="1482">
        <v>4580.9901999999993</v>
      </c>
      <c r="J18" s="1482"/>
      <c r="K18" s="1482"/>
      <c r="L18" s="1482">
        <v>4580.9901999999993</v>
      </c>
      <c r="M18" s="1482"/>
      <c r="N18" s="1482">
        <v>5497.1858000000002</v>
      </c>
      <c r="O18" s="1482">
        <v>5497.1858000000002</v>
      </c>
      <c r="P18" s="1482">
        <v>0</v>
      </c>
      <c r="Q18" s="1482">
        <v>0</v>
      </c>
      <c r="R18" s="1482">
        <v>5497.1858000000002</v>
      </c>
      <c r="S18" s="1483">
        <v>0</v>
      </c>
    </row>
    <row r="19" spans="1:19" s="1493" customFormat="1" ht="75.75" customHeight="1">
      <c r="A19" s="6" t="e">
        <f t="shared" si="1"/>
        <v>#REF!</v>
      </c>
      <c r="B19" s="1491" t="s">
        <v>11</v>
      </c>
      <c r="C19" s="1491" t="s">
        <v>75</v>
      </c>
      <c r="D19" s="1491" t="s">
        <v>142</v>
      </c>
      <c r="E19" s="1491">
        <v>4632024035</v>
      </c>
      <c r="F19" s="1491" t="s">
        <v>8</v>
      </c>
      <c r="G19" s="1491" t="s">
        <v>1052</v>
      </c>
      <c r="H19" s="1482">
        <v>4580.9901999999993</v>
      </c>
      <c r="I19" s="1482">
        <v>4580.9901999999993</v>
      </c>
      <c r="J19" s="1482">
        <v>3059.67</v>
      </c>
      <c r="K19" s="1482"/>
      <c r="L19" s="1482">
        <v>4580.9901999999993</v>
      </c>
      <c r="M19" s="1482"/>
      <c r="N19" s="1482">
        <v>5497.1858000000002</v>
      </c>
      <c r="O19" s="1482">
        <v>5497.1858000000002</v>
      </c>
      <c r="P19" s="1482">
        <v>3549.22</v>
      </c>
      <c r="Q19" s="1482">
        <v>0</v>
      </c>
      <c r="R19" s="1482">
        <v>5497.1858000000002</v>
      </c>
      <c r="S19" s="1483">
        <v>0</v>
      </c>
    </row>
    <row r="20" spans="1:19" s="1493" customFormat="1" ht="69.75" customHeight="1">
      <c r="A20" s="6" t="e">
        <f t="shared" si="1"/>
        <v>#REF!</v>
      </c>
      <c r="B20" s="1491" t="s">
        <v>11</v>
      </c>
      <c r="C20" s="1491" t="s">
        <v>76</v>
      </c>
      <c r="D20" s="1491" t="s">
        <v>141</v>
      </c>
      <c r="E20" s="1491">
        <v>4632024035</v>
      </c>
      <c r="F20" s="1491" t="s">
        <v>8</v>
      </c>
      <c r="G20" s="1491" t="s">
        <v>1052</v>
      </c>
      <c r="H20" s="1482">
        <v>4580.9901999999993</v>
      </c>
      <c r="I20" s="1482">
        <v>4580.9901999999993</v>
      </c>
      <c r="J20" s="1482"/>
      <c r="K20" s="1482"/>
      <c r="L20" s="1482">
        <v>4580.9901999999993</v>
      </c>
      <c r="M20" s="1482"/>
      <c r="N20" s="1482">
        <v>5497.1858000000002</v>
      </c>
      <c r="O20" s="1482">
        <v>5497.1858000000002</v>
      </c>
      <c r="P20" s="1482">
        <v>0</v>
      </c>
      <c r="Q20" s="1482">
        <v>0</v>
      </c>
      <c r="R20" s="1482">
        <v>5497.1858000000002</v>
      </c>
      <c r="S20" s="1483">
        <v>0</v>
      </c>
    </row>
    <row r="21" spans="1:19" s="1493" customFormat="1" ht="77.25" customHeight="1">
      <c r="A21" s="6" t="e">
        <f t="shared" si="1"/>
        <v>#REF!</v>
      </c>
      <c r="B21" s="1491" t="s">
        <v>11</v>
      </c>
      <c r="C21" s="1491" t="s">
        <v>77</v>
      </c>
      <c r="D21" s="1491" t="s">
        <v>141</v>
      </c>
      <c r="E21" s="1491">
        <v>4632024035</v>
      </c>
      <c r="F21" s="1491" t="s">
        <v>8</v>
      </c>
      <c r="G21" s="1491" t="s">
        <v>1052</v>
      </c>
      <c r="H21" s="1482">
        <v>4580.9901999999993</v>
      </c>
      <c r="I21" s="1482">
        <v>4580.9901999999993</v>
      </c>
      <c r="J21" s="1482"/>
      <c r="K21" s="1482"/>
      <c r="L21" s="1482">
        <v>4580.9901999999993</v>
      </c>
      <c r="M21" s="1482"/>
      <c r="N21" s="1482">
        <v>5497.1858000000002</v>
      </c>
      <c r="O21" s="1482">
        <v>5497.1858000000002</v>
      </c>
      <c r="P21" s="1482">
        <v>0</v>
      </c>
      <c r="Q21" s="1482">
        <v>0</v>
      </c>
      <c r="R21" s="1482">
        <v>5497.1858000000002</v>
      </c>
      <c r="S21" s="1483">
        <v>0</v>
      </c>
    </row>
    <row r="22" spans="1:19" s="1493" customFormat="1" ht="83.25" customHeight="1">
      <c r="A22" s="6" t="e">
        <f t="shared" si="1"/>
        <v>#REF!</v>
      </c>
      <c r="B22" s="1491" t="s">
        <v>11</v>
      </c>
      <c r="C22" s="1491" t="s">
        <v>78</v>
      </c>
      <c r="D22" s="1491" t="s">
        <v>141</v>
      </c>
      <c r="E22" s="1491">
        <v>4632024035</v>
      </c>
      <c r="F22" s="1491" t="s">
        <v>8</v>
      </c>
      <c r="G22" s="1491" t="s">
        <v>1052</v>
      </c>
      <c r="H22" s="1482">
        <v>4580.9901999999993</v>
      </c>
      <c r="I22" s="1482">
        <v>4580.9901999999993</v>
      </c>
      <c r="J22" s="1482"/>
      <c r="K22" s="1482"/>
      <c r="L22" s="1482">
        <v>4580.9901999999993</v>
      </c>
      <c r="M22" s="1482"/>
      <c r="N22" s="1482">
        <v>5497.1858000000002</v>
      </c>
      <c r="O22" s="1482">
        <v>5497.1858000000002</v>
      </c>
      <c r="P22" s="1482">
        <v>0</v>
      </c>
      <c r="Q22" s="1482">
        <v>0</v>
      </c>
      <c r="R22" s="1482">
        <v>5497.1858000000002</v>
      </c>
      <c r="S22" s="1483">
        <v>0</v>
      </c>
    </row>
    <row r="23" spans="1:19" s="1493" customFormat="1" ht="79.5" customHeight="1">
      <c r="A23" s="6" t="e">
        <f t="shared" si="1"/>
        <v>#REF!</v>
      </c>
      <c r="B23" s="1491" t="s">
        <v>11</v>
      </c>
      <c r="C23" s="1491" t="s">
        <v>79</v>
      </c>
      <c r="D23" s="1491" t="s">
        <v>141</v>
      </c>
      <c r="E23" s="1491">
        <v>4632024035</v>
      </c>
      <c r="F23" s="1491" t="s">
        <v>8</v>
      </c>
      <c r="G23" s="1491" t="s">
        <v>1052</v>
      </c>
      <c r="H23" s="1482">
        <v>4580.9901999999993</v>
      </c>
      <c r="I23" s="1482">
        <v>4580.9901999999993</v>
      </c>
      <c r="J23" s="1482"/>
      <c r="K23" s="1482"/>
      <c r="L23" s="1482">
        <v>4580.9901999999993</v>
      </c>
      <c r="M23" s="1482"/>
      <c r="N23" s="1482">
        <v>5497.1858000000002</v>
      </c>
      <c r="O23" s="1482">
        <v>5497.1858000000002</v>
      </c>
      <c r="P23" s="1482">
        <v>0</v>
      </c>
      <c r="Q23" s="1482">
        <v>0</v>
      </c>
      <c r="R23" s="1482">
        <v>5497.1858000000002</v>
      </c>
      <c r="S23" s="1483">
        <v>0</v>
      </c>
    </row>
    <row r="24" spans="1:19" s="1493" customFormat="1" ht="75" customHeight="1">
      <c r="A24" s="6" t="e">
        <f t="shared" si="1"/>
        <v>#REF!</v>
      </c>
      <c r="B24" s="1491" t="s">
        <v>11</v>
      </c>
      <c r="C24" s="1491" t="s">
        <v>80</v>
      </c>
      <c r="D24" s="1491" t="s">
        <v>141</v>
      </c>
      <c r="E24" s="1491">
        <v>4632024035</v>
      </c>
      <c r="F24" s="1491" t="s">
        <v>8</v>
      </c>
      <c r="G24" s="1491" t="s">
        <v>1052</v>
      </c>
      <c r="H24" s="1482">
        <v>4580.9901999999993</v>
      </c>
      <c r="I24" s="1482">
        <v>4580.9901999999993</v>
      </c>
      <c r="J24" s="1482"/>
      <c r="K24" s="1482"/>
      <c r="L24" s="1482">
        <v>4580.9901999999993</v>
      </c>
      <c r="M24" s="1482"/>
      <c r="N24" s="1482">
        <v>5497.1858000000002</v>
      </c>
      <c r="O24" s="1482">
        <v>5497.1858000000002</v>
      </c>
      <c r="P24" s="1482">
        <v>0</v>
      </c>
      <c r="Q24" s="1482">
        <v>0</v>
      </c>
      <c r="R24" s="1482">
        <v>5497.1858000000002</v>
      </c>
      <c r="S24" s="1483">
        <v>0</v>
      </c>
    </row>
    <row r="25" spans="1:19" s="1493" customFormat="1" ht="78.75" customHeight="1">
      <c r="A25" s="6" t="e">
        <f t="shared" si="1"/>
        <v>#REF!</v>
      </c>
      <c r="B25" s="672" t="s">
        <v>12</v>
      </c>
      <c r="C25" s="672" t="s">
        <v>81</v>
      </c>
      <c r="D25" s="1491" t="s">
        <v>141</v>
      </c>
      <c r="E25" s="1491">
        <v>4632024035</v>
      </c>
      <c r="F25" s="1491" t="s">
        <v>8</v>
      </c>
      <c r="G25" s="1491" t="s">
        <v>1052</v>
      </c>
      <c r="H25" s="1482">
        <v>4580.9901999999993</v>
      </c>
      <c r="I25" s="1482">
        <v>4580.9901999999993</v>
      </c>
      <c r="J25" s="1482">
        <v>3059.67</v>
      </c>
      <c r="K25" s="1482"/>
      <c r="L25" s="1482">
        <v>4580.9901999999993</v>
      </c>
      <c r="M25" s="1482"/>
      <c r="N25" s="1482">
        <v>5497.1858000000002</v>
      </c>
      <c r="O25" s="1482">
        <v>5497.1858000000002</v>
      </c>
      <c r="P25" s="1482">
        <v>3549.22</v>
      </c>
      <c r="Q25" s="1482">
        <v>0</v>
      </c>
      <c r="R25" s="1482">
        <v>5497.1858000000002</v>
      </c>
      <c r="S25" s="1483">
        <v>0</v>
      </c>
    </row>
    <row r="26" spans="1:19" s="81" customFormat="1" ht="80.25" customHeight="1">
      <c r="A26" s="6" t="e">
        <f t="shared" si="1"/>
        <v>#REF!</v>
      </c>
      <c r="B26" s="1491" t="s">
        <v>13</v>
      </c>
      <c r="C26" s="1" t="s">
        <v>993</v>
      </c>
      <c r="D26" s="1" t="s">
        <v>82</v>
      </c>
      <c r="E26" s="1491">
        <v>4633037132</v>
      </c>
      <c r="F26" s="1" t="s">
        <v>8</v>
      </c>
      <c r="G26" s="1491" t="s">
        <v>1044</v>
      </c>
      <c r="H26" s="1482">
        <v>3665.75</v>
      </c>
      <c r="I26" s="1482">
        <v>3665.75</v>
      </c>
      <c r="J26" s="1483">
        <v>3193.69</v>
      </c>
      <c r="K26" s="1482">
        <v>2585.9</v>
      </c>
      <c r="L26" s="1482"/>
      <c r="M26" s="1482"/>
      <c r="N26" s="1482">
        <v>4398.8999999999996</v>
      </c>
      <c r="O26" s="1482">
        <v>4398.8999999999996</v>
      </c>
      <c r="P26" s="1482">
        <v>3711.06</v>
      </c>
      <c r="Q26" s="1482">
        <v>3046.19</v>
      </c>
      <c r="R26" s="1482"/>
      <c r="S26" s="1483">
        <v>0</v>
      </c>
    </row>
    <row r="27" spans="1:19" s="81" customFormat="1" ht="75" customHeight="1">
      <c r="A27" s="6" t="e">
        <f t="shared" si="1"/>
        <v>#REF!</v>
      </c>
      <c r="B27" s="1491" t="s">
        <v>13</v>
      </c>
      <c r="C27" s="5" t="s">
        <v>994</v>
      </c>
      <c r="D27" s="5" t="s">
        <v>82</v>
      </c>
      <c r="E27" s="1491" t="s">
        <v>231</v>
      </c>
      <c r="F27" s="5" t="s">
        <v>8</v>
      </c>
      <c r="G27" s="1491" t="s">
        <v>1044</v>
      </c>
      <c r="H27" s="1483">
        <v>3665.75</v>
      </c>
      <c r="I27" s="1482">
        <v>3665.75</v>
      </c>
      <c r="J27" s="1483">
        <v>3193.69</v>
      </c>
      <c r="K27" s="1483">
        <v>3193.69</v>
      </c>
      <c r="L27" s="1483"/>
      <c r="M27" s="1483">
        <v>0</v>
      </c>
      <c r="N27" s="1482">
        <v>4398.8999999999996</v>
      </c>
      <c r="O27" s="1482">
        <v>4398.8999999999996</v>
      </c>
      <c r="P27" s="1482">
        <v>3711.06</v>
      </c>
      <c r="Q27" s="1482">
        <v>3711.06</v>
      </c>
      <c r="R27" s="1483"/>
      <c r="S27" s="1483">
        <v>0</v>
      </c>
    </row>
    <row r="28" spans="1:19" s="81" customFormat="1" ht="79.5" customHeight="1">
      <c r="A28" s="6" t="e">
        <f t="shared" si="1"/>
        <v>#REF!</v>
      </c>
      <c r="B28" s="1491" t="s">
        <v>13</v>
      </c>
      <c r="C28" s="5" t="s">
        <v>995</v>
      </c>
      <c r="D28" s="5" t="s">
        <v>82</v>
      </c>
      <c r="E28" s="1491" t="s">
        <v>231</v>
      </c>
      <c r="F28" s="5" t="s">
        <v>8</v>
      </c>
      <c r="G28" s="1491" t="s">
        <v>1044</v>
      </c>
      <c r="H28" s="1483">
        <v>3665.75</v>
      </c>
      <c r="I28" s="1482">
        <v>3665.75</v>
      </c>
      <c r="J28" s="1483">
        <v>3193.69</v>
      </c>
      <c r="K28" s="1483">
        <v>0</v>
      </c>
      <c r="L28" s="1483">
        <v>0</v>
      </c>
      <c r="M28" s="1483">
        <v>0</v>
      </c>
      <c r="N28" s="1482">
        <v>4398.8999999999996</v>
      </c>
      <c r="O28" s="1482">
        <v>4398.8999999999996</v>
      </c>
      <c r="P28" s="1482">
        <v>3711.06</v>
      </c>
      <c r="Q28" s="1482">
        <v>0</v>
      </c>
      <c r="R28" s="1483">
        <v>0</v>
      </c>
      <c r="S28" s="1483">
        <v>0</v>
      </c>
    </row>
    <row r="29" spans="1:19" s="81" customFormat="1" ht="81" customHeight="1">
      <c r="A29" s="6" t="e">
        <f t="shared" si="1"/>
        <v>#REF!</v>
      </c>
      <c r="B29" s="1491" t="s">
        <v>13</v>
      </c>
      <c r="C29" s="5" t="s">
        <v>996</v>
      </c>
      <c r="D29" s="5" t="s">
        <v>82</v>
      </c>
      <c r="E29" s="1491" t="s">
        <v>231</v>
      </c>
      <c r="F29" s="5" t="s">
        <v>8</v>
      </c>
      <c r="G29" s="1491" t="s">
        <v>1044</v>
      </c>
      <c r="H29" s="1483">
        <v>3665.75</v>
      </c>
      <c r="I29" s="1482">
        <v>3665.75</v>
      </c>
      <c r="J29" s="1483">
        <v>3193.69</v>
      </c>
      <c r="K29" s="1483">
        <v>3193.69</v>
      </c>
      <c r="L29" s="1483"/>
      <c r="M29" s="1483">
        <v>0</v>
      </c>
      <c r="N29" s="1482">
        <v>4398.8999999999996</v>
      </c>
      <c r="O29" s="1482">
        <v>4398.8999999999996</v>
      </c>
      <c r="P29" s="1482">
        <v>3711.06</v>
      </c>
      <c r="Q29" s="1482">
        <v>3711.06</v>
      </c>
      <c r="R29" s="1483"/>
      <c r="S29" s="1483">
        <v>0</v>
      </c>
    </row>
    <row r="30" spans="1:19" s="1493" customFormat="1" ht="79.5" customHeight="1">
      <c r="A30" s="6" t="e">
        <f t="shared" si="1"/>
        <v>#REF!</v>
      </c>
      <c r="B30" s="1491" t="s">
        <v>13</v>
      </c>
      <c r="C30" s="1491" t="s">
        <v>55</v>
      </c>
      <c r="D30" s="1491" t="s">
        <v>141</v>
      </c>
      <c r="E30" s="1491">
        <v>4632024035</v>
      </c>
      <c r="F30" s="1491" t="s">
        <v>8</v>
      </c>
      <c r="G30" s="1491" t="s">
        <v>1052</v>
      </c>
      <c r="H30" s="1482">
        <v>4580.9901999999993</v>
      </c>
      <c r="I30" s="1482">
        <v>4580.9901999999993</v>
      </c>
      <c r="J30" s="1482">
        <v>2357.63</v>
      </c>
      <c r="K30" s="1482">
        <v>2357.63</v>
      </c>
      <c r="L30" s="1482">
        <v>4580.9901999999993</v>
      </c>
      <c r="M30" s="1482"/>
      <c r="N30" s="1482">
        <v>5497.1858000000002</v>
      </c>
      <c r="O30" s="1482">
        <v>5497.1858000000002</v>
      </c>
      <c r="P30" s="1482">
        <v>2734.85</v>
      </c>
      <c r="Q30" s="1482">
        <v>2734.85</v>
      </c>
      <c r="R30" s="1482">
        <v>5497.1858000000002</v>
      </c>
      <c r="S30" s="1483">
        <v>0</v>
      </c>
    </row>
    <row r="31" spans="1:19" s="1493" customFormat="1" ht="76.5" customHeight="1">
      <c r="A31" s="6" t="e">
        <f t="shared" si="1"/>
        <v>#REF!</v>
      </c>
      <c r="B31" s="1491" t="s">
        <v>14</v>
      </c>
      <c r="C31" s="672" t="s">
        <v>87</v>
      </c>
      <c r="D31" s="1491" t="s">
        <v>142</v>
      </c>
      <c r="E31" s="1491">
        <v>4632024035</v>
      </c>
      <c r="F31" s="1491" t="s">
        <v>8</v>
      </c>
      <c r="G31" s="1491" t="s">
        <v>1052</v>
      </c>
      <c r="H31" s="1482">
        <v>4580.9901999999993</v>
      </c>
      <c r="I31" s="1482">
        <v>4580.9901999999993</v>
      </c>
      <c r="J31" s="1482">
        <v>3059.67</v>
      </c>
      <c r="K31" s="1482"/>
      <c r="L31" s="1482">
        <v>4580.9901999999993</v>
      </c>
      <c r="M31" s="1482"/>
      <c r="N31" s="1482">
        <v>5497.1858000000002</v>
      </c>
      <c r="O31" s="1482">
        <v>5497.1858000000002</v>
      </c>
      <c r="P31" s="1482">
        <v>3549.22</v>
      </c>
      <c r="Q31" s="1482">
        <v>0</v>
      </c>
      <c r="R31" s="1482">
        <v>5497.1858000000002</v>
      </c>
      <c r="S31" s="1483">
        <v>0</v>
      </c>
    </row>
    <row r="32" spans="1:19" s="1494" customFormat="1" ht="84" customHeight="1">
      <c r="A32" s="6" t="e">
        <f t="shared" si="1"/>
        <v>#REF!</v>
      </c>
      <c r="B32" s="1491" t="s">
        <v>14</v>
      </c>
      <c r="C32" s="1491" t="s">
        <v>60</v>
      </c>
      <c r="D32" s="1491" t="s">
        <v>136</v>
      </c>
      <c r="E32" s="1491">
        <v>4607000231</v>
      </c>
      <c r="F32" s="1491" t="s">
        <v>8</v>
      </c>
      <c r="G32" s="1491" t="s">
        <v>1047</v>
      </c>
      <c r="H32" s="1484">
        <v>3787.25</v>
      </c>
      <c r="I32" s="1484">
        <v>3787.25</v>
      </c>
      <c r="J32" s="1484">
        <v>3787.25</v>
      </c>
      <c r="K32" s="1484"/>
      <c r="L32" s="1484">
        <v>3787.25</v>
      </c>
      <c r="M32" s="1484"/>
      <c r="N32" s="1484">
        <v>4399.8</v>
      </c>
      <c r="O32" s="1484">
        <v>4399.8</v>
      </c>
      <c r="P32" s="1484">
        <v>4399.8</v>
      </c>
      <c r="Q32" s="1484"/>
      <c r="R32" s="1484">
        <v>4399.8</v>
      </c>
      <c r="S32" s="1484">
        <v>0</v>
      </c>
    </row>
    <row r="33" spans="1:25" s="1493" customFormat="1" ht="82.5" customHeight="1">
      <c r="A33" s="6" t="e">
        <f>#REF!+1</f>
        <v>#REF!</v>
      </c>
      <c r="B33" s="1491" t="s">
        <v>14</v>
      </c>
      <c r="C33" s="1491" t="s">
        <v>60</v>
      </c>
      <c r="D33" s="1491" t="s">
        <v>141</v>
      </c>
      <c r="E33" s="1491">
        <v>4632024035</v>
      </c>
      <c r="F33" s="1491" t="s">
        <v>8</v>
      </c>
      <c r="G33" s="1491" t="s">
        <v>1052</v>
      </c>
      <c r="H33" s="1482">
        <v>4580.9901999999993</v>
      </c>
      <c r="I33" s="1482">
        <v>4580.9901999999993</v>
      </c>
      <c r="J33" s="1482">
        <v>3059.67</v>
      </c>
      <c r="K33" s="1482"/>
      <c r="L33" s="1482">
        <v>4580.9901999999993</v>
      </c>
      <c r="M33" s="1482"/>
      <c r="N33" s="1482">
        <v>5497.1858000000002</v>
      </c>
      <c r="O33" s="1482">
        <v>5497.1858000000002</v>
      </c>
      <c r="P33" s="1482">
        <v>3549.22</v>
      </c>
      <c r="Q33" s="1482">
        <v>0</v>
      </c>
      <c r="R33" s="1482">
        <v>5497.1858000000002</v>
      </c>
      <c r="S33" s="1484">
        <v>0</v>
      </c>
    </row>
    <row r="34" spans="1:25" s="1493" customFormat="1" ht="81" customHeight="1">
      <c r="A34" s="6" t="e">
        <f t="shared" ref="A34:A40" si="2">A33+1</f>
        <v>#REF!</v>
      </c>
      <c r="B34" s="1491" t="s">
        <v>14</v>
      </c>
      <c r="C34" s="1491" t="s">
        <v>88</v>
      </c>
      <c r="D34" s="1491" t="s">
        <v>141</v>
      </c>
      <c r="E34" s="1491">
        <v>4632024035</v>
      </c>
      <c r="F34" s="1491" t="s">
        <v>8</v>
      </c>
      <c r="G34" s="1491" t="s">
        <v>1052</v>
      </c>
      <c r="H34" s="1482">
        <v>4580.9901999999993</v>
      </c>
      <c r="I34" s="1482">
        <v>4580.9901999999993</v>
      </c>
      <c r="J34" s="1482">
        <v>3059.67</v>
      </c>
      <c r="K34" s="1482"/>
      <c r="L34" s="1482">
        <v>4580.9901999999993</v>
      </c>
      <c r="M34" s="1482"/>
      <c r="N34" s="1482">
        <v>5497.1858000000002</v>
      </c>
      <c r="O34" s="1482">
        <v>5497.1858000000002</v>
      </c>
      <c r="P34" s="1482">
        <v>3549.22</v>
      </c>
      <c r="Q34" s="1482">
        <v>0</v>
      </c>
      <c r="R34" s="1482">
        <v>5497.1858000000002</v>
      </c>
      <c r="S34" s="1484">
        <v>0</v>
      </c>
    </row>
    <row r="35" spans="1:25" s="1493" customFormat="1" ht="80.25" customHeight="1">
      <c r="A35" s="6" t="e">
        <f t="shared" si="2"/>
        <v>#REF!</v>
      </c>
      <c r="B35" s="1491" t="s">
        <v>14</v>
      </c>
      <c r="C35" s="1491" t="s">
        <v>89</v>
      </c>
      <c r="D35" s="1491" t="s">
        <v>141</v>
      </c>
      <c r="E35" s="1491">
        <v>4632024035</v>
      </c>
      <c r="F35" s="1491" t="s">
        <v>8</v>
      </c>
      <c r="G35" s="1491" t="s">
        <v>1052</v>
      </c>
      <c r="H35" s="1482">
        <v>4580.9901999999993</v>
      </c>
      <c r="I35" s="1482">
        <v>4580.9901999999993</v>
      </c>
      <c r="J35" s="1482"/>
      <c r="K35" s="1482"/>
      <c r="L35" s="1482">
        <v>4580.9901999999993</v>
      </c>
      <c r="M35" s="1482"/>
      <c r="N35" s="1482">
        <v>5497.1858000000002</v>
      </c>
      <c r="O35" s="1482">
        <v>5497.1858000000002</v>
      </c>
      <c r="P35" s="1482">
        <v>0</v>
      </c>
      <c r="Q35" s="1482">
        <v>0</v>
      </c>
      <c r="R35" s="1482">
        <v>5497.1858000000002</v>
      </c>
      <c r="S35" s="1484">
        <v>0</v>
      </c>
    </row>
    <row r="36" spans="1:25" s="871" customFormat="1" ht="86.25" customHeight="1">
      <c r="A36" s="6" t="e">
        <f t="shared" si="2"/>
        <v>#REF!</v>
      </c>
      <c r="B36" s="1491" t="s">
        <v>15</v>
      </c>
      <c r="C36" s="672" t="s">
        <v>168</v>
      </c>
      <c r="D36" s="1491" t="s">
        <v>141</v>
      </c>
      <c r="E36" s="1491">
        <v>4632024035</v>
      </c>
      <c r="F36" s="1491" t="s">
        <v>8</v>
      </c>
      <c r="G36" s="1491" t="s">
        <v>1052</v>
      </c>
      <c r="H36" s="1482">
        <v>4580.9901999999993</v>
      </c>
      <c r="I36" s="1482">
        <v>4580.9901999999993</v>
      </c>
      <c r="J36" s="1482">
        <v>3059.67</v>
      </c>
      <c r="K36" s="1482"/>
      <c r="L36" s="1482">
        <v>4580.9901999999993</v>
      </c>
      <c r="M36" s="1482"/>
      <c r="N36" s="1482">
        <v>5497.1858000000002</v>
      </c>
      <c r="O36" s="1482">
        <v>5497.1858000000002</v>
      </c>
      <c r="P36" s="1482">
        <v>3549.22</v>
      </c>
      <c r="Q36" s="1482">
        <v>0</v>
      </c>
      <c r="R36" s="1482">
        <v>5497.1858000000002</v>
      </c>
      <c r="S36" s="1484">
        <v>0</v>
      </c>
    </row>
    <row r="37" spans="1:25" s="871" customFormat="1" ht="75.75" customHeight="1">
      <c r="A37" s="6" t="e">
        <f t="shared" si="2"/>
        <v>#REF!</v>
      </c>
      <c r="B37" s="1491" t="s">
        <v>15</v>
      </c>
      <c r="C37" s="1491" t="s">
        <v>90</v>
      </c>
      <c r="D37" s="1491" t="s">
        <v>143</v>
      </c>
      <c r="E37" s="1491">
        <v>4632024035</v>
      </c>
      <c r="F37" s="1491" t="s">
        <v>8</v>
      </c>
      <c r="G37" s="1491" t="s">
        <v>1052</v>
      </c>
      <c r="H37" s="1482">
        <v>4580.9901999999993</v>
      </c>
      <c r="I37" s="1482">
        <v>4580.9901999999993</v>
      </c>
      <c r="J37" s="1482">
        <v>3059.67</v>
      </c>
      <c r="K37" s="1482"/>
      <c r="L37" s="1482">
        <v>4580.9901999999993</v>
      </c>
      <c r="M37" s="1482"/>
      <c r="N37" s="1482">
        <v>5497.1858000000002</v>
      </c>
      <c r="O37" s="1482">
        <v>5497.1858000000002</v>
      </c>
      <c r="P37" s="1482">
        <v>3549.22</v>
      </c>
      <c r="Q37" s="1482">
        <v>0</v>
      </c>
      <c r="R37" s="1482">
        <v>5497.1858000000002</v>
      </c>
      <c r="S37" s="1484">
        <v>0</v>
      </c>
    </row>
    <row r="38" spans="1:25" s="871" customFormat="1" ht="83.25" customHeight="1">
      <c r="A38" s="6" t="e">
        <f t="shared" si="2"/>
        <v>#REF!</v>
      </c>
      <c r="B38" s="1491" t="s">
        <v>15</v>
      </c>
      <c r="C38" s="1491" t="s">
        <v>91</v>
      </c>
      <c r="D38" s="1491" t="s">
        <v>144</v>
      </c>
      <c r="E38" s="1491">
        <v>4632024035</v>
      </c>
      <c r="F38" s="1491" t="s">
        <v>8</v>
      </c>
      <c r="G38" s="1491" t="s">
        <v>1052</v>
      </c>
      <c r="H38" s="1482">
        <v>4580.9901999999993</v>
      </c>
      <c r="I38" s="1482">
        <v>4580.9901999999993</v>
      </c>
      <c r="J38" s="1482"/>
      <c r="K38" s="1482"/>
      <c r="L38" s="1482">
        <v>4580.9901999999993</v>
      </c>
      <c r="M38" s="1482"/>
      <c r="N38" s="1482">
        <v>5497.1858000000002</v>
      </c>
      <c r="O38" s="1482">
        <v>5497.1858000000002</v>
      </c>
      <c r="P38" s="1482">
        <v>0</v>
      </c>
      <c r="Q38" s="1482">
        <v>0</v>
      </c>
      <c r="R38" s="1482">
        <v>5497.1858000000002</v>
      </c>
      <c r="S38" s="1484">
        <v>0</v>
      </c>
    </row>
    <row r="39" spans="1:25" s="81" customFormat="1" ht="129" customHeight="1">
      <c r="A39" s="6" t="e">
        <f t="shared" si="2"/>
        <v>#REF!</v>
      </c>
      <c r="B39" s="1491" t="str">
        <f>B38</f>
        <v>Касторенский район</v>
      </c>
      <c r="C39" s="1491" t="s">
        <v>181</v>
      </c>
      <c r="D39" s="1485" t="s">
        <v>261</v>
      </c>
      <c r="E39" s="1491">
        <v>7708503727</v>
      </c>
      <c r="F39" s="1491" t="s">
        <v>8</v>
      </c>
      <c r="G39" s="1491" t="s">
        <v>1039</v>
      </c>
      <c r="H39" s="1482">
        <v>3248.77</v>
      </c>
      <c r="I39" s="1482">
        <v>3248.77</v>
      </c>
      <c r="J39" s="1482"/>
      <c r="K39" s="1482"/>
      <c r="L39" s="1482">
        <v>3248.77</v>
      </c>
      <c r="M39" s="1482"/>
      <c r="N39" s="1482">
        <v>3879.7</v>
      </c>
      <c r="O39" s="1482">
        <v>3879.7</v>
      </c>
      <c r="P39" s="1482"/>
      <c r="Q39" s="1482"/>
      <c r="R39" s="1482">
        <v>3879.7</v>
      </c>
      <c r="S39" s="1484">
        <v>0</v>
      </c>
    </row>
    <row r="40" spans="1:25" s="871" customFormat="1" ht="87.75" customHeight="1">
      <c r="A40" s="6" t="e">
        <f t="shared" si="2"/>
        <v>#REF!</v>
      </c>
      <c r="B40" s="672" t="s">
        <v>16</v>
      </c>
      <c r="C40" s="672" t="s">
        <v>92</v>
      </c>
      <c r="D40" s="1491" t="s">
        <v>142</v>
      </c>
      <c r="E40" s="1491">
        <v>4632024035</v>
      </c>
      <c r="F40" s="1491" t="s">
        <v>8</v>
      </c>
      <c r="G40" s="1491" t="s">
        <v>1052</v>
      </c>
      <c r="H40" s="1482">
        <v>4580.9901999999993</v>
      </c>
      <c r="I40" s="1482">
        <v>4580.9901999999993</v>
      </c>
      <c r="J40" s="1482">
        <v>3059.67</v>
      </c>
      <c r="K40" s="1482"/>
      <c r="L40" s="1482">
        <v>4580.9901999999993</v>
      </c>
      <c r="M40" s="1482"/>
      <c r="N40" s="1482">
        <v>5497.1858000000002</v>
      </c>
      <c r="O40" s="1482">
        <v>5497.1858000000002</v>
      </c>
      <c r="P40" s="1482">
        <v>3549.22</v>
      </c>
      <c r="Q40" s="1482">
        <v>0</v>
      </c>
      <c r="R40" s="1482">
        <v>5497.1858000000002</v>
      </c>
      <c r="S40" s="1484">
        <v>0</v>
      </c>
    </row>
    <row r="41" spans="1:25" s="81" customFormat="1" ht="70.5" customHeight="1">
      <c r="A41" s="6" t="e">
        <f>#REF!+1</f>
        <v>#REF!</v>
      </c>
      <c r="B41" s="1491" t="s">
        <v>18</v>
      </c>
      <c r="C41" s="1491" t="s">
        <v>997</v>
      </c>
      <c r="D41" s="1491" t="s">
        <v>275</v>
      </c>
      <c r="E41" s="1491">
        <v>4611016308</v>
      </c>
      <c r="F41" s="1491" t="s">
        <v>8</v>
      </c>
      <c r="G41" s="1491" t="s">
        <v>1056</v>
      </c>
      <c r="H41" s="1482">
        <v>3701.2604000000001</v>
      </c>
      <c r="I41" s="1482">
        <v>3701.2604000000001</v>
      </c>
      <c r="J41" s="1482">
        <v>2464.7049999999999</v>
      </c>
      <c r="K41" s="1482">
        <v>2464.7049999999999</v>
      </c>
      <c r="L41" s="1482">
        <v>3701.2604000000001</v>
      </c>
      <c r="M41" s="1482">
        <v>0</v>
      </c>
      <c r="N41" s="1482">
        <v>4440.5316000000003</v>
      </c>
      <c r="O41" s="1482">
        <v>4440.5316000000003</v>
      </c>
      <c r="P41" s="1482">
        <v>2863.9866000000002</v>
      </c>
      <c r="Q41" s="1482">
        <v>2863.9866000000002</v>
      </c>
      <c r="R41" s="1482">
        <v>4440.5316000000003</v>
      </c>
      <c r="S41" s="1484"/>
      <c r="T41" s="871"/>
      <c r="U41" s="871"/>
      <c r="V41" s="871"/>
      <c r="W41" s="871"/>
      <c r="X41" s="871"/>
      <c r="Y41" s="871"/>
    </row>
    <row r="42" spans="1:25" s="81" customFormat="1" ht="100.5" customHeight="1">
      <c r="A42" s="6" t="e">
        <f>A41+1</f>
        <v>#REF!</v>
      </c>
      <c r="B42" s="1491" t="s">
        <v>18</v>
      </c>
      <c r="C42" s="1491" t="s">
        <v>997</v>
      </c>
      <c r="D42" s="1491" t="s">
        <v>254</v>
      </c>
      <c r="E42" s="1491">
        <v>4632000330</v>
      </c>
      <c r="F42" s="1491" t="s">
        <v>8</v>
      </c>
      <c r="G42" s="1491" t="s">
        <v>1029</v>
      </c>
      <c r="H42" s="1482">
        <v>4924.7983999999997</v>
      </c>
      <c r="I42" s="1482">
        <v>4924.7983999999997</v>
      </c>
      <c r="J42" s="1482">
        <v>2755.7847999999999</v>
      </c>
      <c r="K42" s="1482">
        <v>0</v>
      </c>
      <c r="L42" s="1482">
        <v>4924.7983999999997</v>
      </c>
      <c r="M42" s="1482">
        <v>0</v>
      </c>
      <c r="N42" s="1482">
        <v>5909.7532000000001</v>
      </c>
      <c r="O42" s="1482">
        <v>5909.7532000000001</v>
      </c>
      <c r="P42" s="1482">
        <v>3089.76</v>
      </c>
      <c r="Q42" s="1482">
        <v>0</v>
      </c>
      <c r="R42" s="1482">
        <v>5909.7532000000001</v>
      </c>
      <c r="S42" s="1484"/>
    </row>
    <row r="43" spans="1:25" s="1494" customFormat="1" ht="70.5" customHeight="1">
      <c r="A43" s="6" t="e">
        <f>A42+1</f>
        <v>#REF!</v>
      </c>
      <c r="B43" s="1491" t="s">
        <v>18</v>
      </c>
      <c r="C43" s="1491" t="s">
        <v>997</v>
      </c>
      <c r="D43" s="1491" t="s">
        <v>152</v>
      </c>
      <c r="E43" s="1491">
        <v>7729314745</v>
      </c>
      <c r="F43" s="1491" t="s">
        <v>8</v>
      </c>
      <c r="G43" s="1491" t="s">
        <v>1051</v>
      </c>
      <c r="H43" s="1482">
        <v>3928.9856</v>
      </c>
      <c r="I43" s="1482">
        <v>3928.9856</v>
      </c>
      <c r="J43" s="1482">
        <v>1564.35</v>
      </c>
      <c r="K43" s="1482"/>
      <c r="L43" s="1482">
        <v>3928.9856</v>
      </c>
      <c r="M43" s="1482"/>
      <c r="N43" s="1482">
        <v>3928.9856</v>
      </c>
      <c r="O43" s="1482">
        <v>3928.9856</v>
      </c>
      <c r="P43" s="1482">
        <v>1817.61</v>
      </c>
      <c r="Q43" s="1482"/>
      <c r="R43" s="1482">
        <v>3928.9856</v>
      </c>
      <c r="S43" s="1484">
        <v>0</v>
      </c>
    </row>
    <row r="44" spans="1:25" s="1494" customFormat="1" ht="69.75" customHeight="1">
      <c r="A44" s="6" t="e">
        <f>A43+1</f>
        <v>#REF!</v>
      </c>
      <c r="B44" s="1491" t="s">
        <v>18</v>
      </c>
      <c r="C44" s="1491" t="s">
        <v>997</v>
      </c>
      <c r="D44" s="1491" t="s">
        <v>153</v>
      </c>
      <c r="E44" s="1491">
        <v>7729314745</v>
      </c>
      <c r="F44" s="1491" t="s">
        <v>8</v>
      </c>
      <c r="G44" s="1491" t="s">
        <v>1051</v>
      </c>
      <c r="H44" s="1482">
        <v>2997.5156000000002</v>
      </c>
      <c r="I44" s="1482">
        <v>2997.5156000000002</v>
      </c>
      <c r="J44" s="1482">
        <v>2000.11</v>
      </c>
      <c r="K44" s="1482">
        <v>1930.27</v>
      </c>
      <c r="L44" s="1482">
        <v>2997.5156000000002</v>
      </c>
      <c r="M44" s="1482"/>
      <c r="N44" s="1482">
        <v>2997.5156000000002</v>
      </c>
      <c r="O44" s="1482">
        <v>2997.5156000000002</v>
      </c>
      <c r="P44" s="1482">
        <v>2242.6999999999998</v>
      </c>
      <c r="Q44" s="1482">
        <v>2242.79</v>
      </c>
      <c r="R44" s="1482">
        <v>2997.5156000000002</v>
      </c>
      <c r="S44" s="1484">
        <v>0</v>
      </c>
    </row>
    <row r="45" spans="1:25" s="1493" customFormat="1" ht="69.75" customHeight="1">
      <c r="A45" s="6" t="e">
        <f>A44+1</f>
        <v>#REF!</v>
      </c>
      <c r="B45" s="1491" t="s">
        <v>18</v>
      </c>
      <c r="C45" s="1491" t="s">
        <v>98</v>
      </c>
      <c r="D45" s="1491" t="s">
        <v>988</v>
      </c>
      <c r="E45" s="626">
        <v>461109152080</v>
      </c>
      <c r="F45" s="1491" t="s">
        <v>8</v>
      </c>
      <c r="G45" s="1491" t="s">
        <v>1040</v>
      </c>
      <c r="H45" s="1482">
        <v>2507.09</v>
      </c>
      <c r="I45" s="1482">
        <v>2507.09</v>
      </c>
      <c r="J45" s="1482">
        <v>2507.09</v>
      </c>
      <c r="K45" s="1482">
        <v>2507.09</v>
      </c>
      <c r="L45" s="1482">
        <v>2507.09</v>
      </c>
      <c r="M45" s="1482"/>
      <c r="N45" s="1482">
        <v>2913.24</v>
      </c>
      <c r="O45" s="1482">
        <v>2913.24</v>
      </c>
      <c r="P45" s="1482">
        <v>2913.24</v>
      </c>
      <c r="Q45" s="1482">
        <v>2913.24</v>
      </c>
      <c r="R45" s="1482">
        <v>2913.24</v>
      </c>
      <c r="S45" s="1484">
        <v>0</v>
      </c>
    </row>
    <row r="46" spans="1:25" s="81" customFormat="1" ht="69.75" customHeight="1">
      <c r="A46" s="6"/>
      <c r="B46" s="1491" t="s">
        <v>18</v>
      </c>
      <c r="C46" s="1491" t="s">
        <v>97</v>
      </c>
      <c r="D46" s="1491" t="s">
        <v>1007</v>
      </c>
      <c r="E46" s="1491">
        <v>4611003813</v>
      </c>
      <c r="F46" s="1491" t="s">
        <v>8</v>
      </c>
      <c r="G46" s="1491" t="s">
        <v>1024</v>
      </c>
      <c r="H46" s="1482">
        <v>3100.12</v>
      </c>
      <c r="I46" s="1482">
        <v>0</v>
      </c>
      <c r="J46" s="1482">
        <v>3100.12</v>
      </c>
      <c r="K46" s="1482">
        <v>3100.12</v>
      </c>
      <c r="L46" s="1482">
        <v>0</v>
      </c>
      <c r="M46" s="1482">
        <v>0</v>
      </c>
      <c r="N46" s="1482">
        <v>3534.94</v>
      </c>
      <c r="O46" s="1482">
        <v>0</v>
      </c>
      <c r="P46" s="1482">
        <v>3534.94</v>
      </c>
      <c r="Q46" s="1482">
        <v>3534.94</v>
      </c>
      <c r="R46" s="1482">
        <v>0</v>
      </c>
      <c r="S46" s="1484">
        <v>0</v>
      </c>
    </row>
    <row r="47" spans="1:25" s="81" customFormat="1" ht="73.5" customHeight="1">
      <c r="A47" s="6" t="e">
        <f>A45+1</f>
        <v>#REF!</v>
      </c>
      <c r="B47" s="1491" t="s">
        <v>18</v>
      </c>
      <c r="C47" s="1491" t="s">
        <v>998</v>
      </c>
      <c r="D47" s="1491" t="s">
        <v>254</v>
      </c>
      <c r="E47" s="1491">
        <v>4632000330</v>
      </c>
      <c r="F47" s="1491" t="s">
        <v>8</v>
      </c>
      <c r="G47" s="1491" t="s">
        <v>1029</v>
      </c>
      <c r="H47" s="1482">
        <v>4924.7983999999997</v>
      </c>
      <c r="I47" s="1482">
        <v>4924.7983999999997</v>
      </c>
      <c r="J47" s="1482">
        <v>2755.7847999999999</v>
      </c>
      <c r="K47" s="1482">
        <v>0</v>
      </c>
      <c r="L47" s="1482">
        <v>4924.7983999999997</v>
      </c>
      <c r="M47" s="1482">
        <v>0</v>
      </c>
      <c r="N47" s="1482">
        <v>5909.7532000000001</v>
      </c>
      <c r="O47" s="1482">
        <v>5909.7532000000001</v>
      </c>
      <c r="P47" s="1482">
        <v>3089.76</v>
      </c>
      <c r="Q47" s="1482">
        <v>0</v>
      </c>
      <c r="R47" s="1482">
        <v>5909.7532000000001</v>
      </c>
      <c r="S47" s="1484">
        <v>0</v>
      </c>
    </row>
    <row r="48" spans="1:25" s="871" customFormat="1" ht="64.5" customHeight="1">
      <c r="A48" s="6" t="e">
        <f t="shared" ref="A48:A61" si="3">A47+1</f>
        <v>#REF!</v>
      </c>
      <c r="B48" s="1491" t="s">
        <v>18</v>
      </c>
      <c r="C48" s="1491" t="s">
        <v>998</v>
      </c>
      <c r="D48" s="1491" t="s">
        <v>141</v>
      </c>
      <c r="E48" s="1491">
        <v>4632024035</v>
      </c>
      <c r="F48" s="1491" t="s">
        <v>8</v>
      </c>
      <c r="G48" s="1491" t="s">
        <v>1052</v>
      </c>
      <c r="H48" s="1482">
        <v>4580.9901999999993</v>
      </c>
      <c r="I48" s="1482">
        <v>4580.9901999999993</v>
      </c>
      <c r="J48" s="1482">
        <v>3059.67</v>
      </c>
      <c r="K48" s="1482"/>
      <c r="L48" s="1482">
        <v>4580.9901999999993</v>
      </c>
      <c r="M48" s="1482"/>
      <c r="N48" s="1482">
        <v>5497.1858000000002</v>
      </c>
      <c r="O48" s="1482">
        <v>5497.1858000000002</v>
      </c>
      <c r="P48" s="1482">
        <v>3549.22</v>
      </c>
      <c r="Q48" s="1482">
        <v>0</v>
      </c>
      <c r="R48" s="1482">
        <v>5497.1858000000002</v>
      </c>
      <c r="S48" s="1484">
        <v>0</v>
      </c>
    </row>
    <row r="49" spans="1:19" s="81" customFormat="1" ht="57" customHeight="1">
      <c r="A49" s="6" t="e">
        <f t="shared" si="3"/>
        <v>#REF!</v>
      </c>
      <c r="B49" s="1491" t="s">
        <v>18</v>
      </c>
      <c r="C49" s="1491" t="s">
        <v>998</v>
      </c>
      <c r="D49" s="1491" t="s">
        <v>96</v>
      </c>
      <c r="E49" s="1491">
        <v>4611013586</v>
      </c>
      <c r="F49" s="1491" t="s">
        <v>8</v>
      </c>
      <c r="G49" s="1491" t="s">
        <v>1045</v>
      </c>
      <c r="H49" s="1482">
        <v>5727.41</v>
      </c>
      <c r="I49" s="1482">
        <v>0</v>
      </c>
      <c r="J49" s="1482">
        <v>3595.17</v>
      </c>
      <c r="K49" s="1482">
        <v>3595.17</v>
      </c>
      <c r="L49" s="1482">
        <v>0</v>
      </c>
      <c r="M49" s="1482">
        <v>0</v>
      </c>
      <c r="N49" s="1482">
        <v>7580.67</v>
      </c>
      <c r="O49" s="1482">
        <v>0</v>
      </c>
      <c r="P49" s="1482">
        <v>4043.51</v>
      </c>
      <c r="Q49" s="1482">
        <v>4043.51</v>
      </c>
      <c r="R49" s="1482">
        <v>0</v>
      </c>
      <c r="S49" s="1484">
        <v>0</v>
      </c>
    </row>
    <row r="50" spans="1:19" s="81" customFormat="1" ht="61.5" customHeight="1">
      <c r="A50" s="6" t="e">
        <f t="shared" si="3"/>
        <v>#REF!</v>
      </c>
      <c r="B50" s="1491" t="s">
        <v>18</v>
      </c>
      <c r="C50" s="1491" t="s">
        <v>138</v>
      </c>
      <c r="D50" s="1491" t="s">
        <v>95</v>
      </c>
      <c r="E50" s="1491">
        <v>4611013586</v>
      </c>
      <c r="F50" s="1491" t="s">
        <v>8</v>
      </c>
      <c r="G50" s="1491" t="s">
        <v>1045</v>
      </c>
      <c r="H50" s="1482">
        <v>5727.41</v>
      </c>
      <c r="I50" s="1482">
        <v>0</v>
      </c>
      <c r="J50" s="1482">
        <v>3595.17</v>
      </c>
      <c r="K50" s="1482">
        <v>3595.17</v>
      </c>
      <c r="L50" s="1482">
        <v>0</v>
      </c>
      <c r="M50" s="1482">
        <v>0</v>
      </c>
      <c r="N50" s="1482">
        <v>7580.67</v>
      </c>
      <c r="O50" s="1482">
        <v>0</v>
      </c>
      <c r="P50" s="1482">
        <v>4043.51</v>
      </c>
      <c r="Q50" s="1482">
        <v>4043.51</v>
      </c>
      <c r="R50" s="1482">
        <v>0</v>
      </c>
      <c r="S50" s="1484">
        <v>0</v>
      </c>
    </row>
    <row r="51" spans="1:19" s="871" customFormat="1" ht="69.75" customHeight="1">
      <c r="A51" s="6" t="e">
        <f t="shared" si="3"/>
        <v>#REF!</v>
      </c>
      <c r="B51" s="1491" t="s">
        <v>18</v>
      </c>
      <c r="C51" s="1491" t="s">
        <v>97</v>
      </c>
      <c r="D51" s="1491" t="s">
        <v>141</v>
      </c>
      <c r="E51" s="1491">
        <v>4632024035</v>
      </c>
      <c r="F51" s="1491" t="s">
        <v>8</v>
      </c>
      <c r="G51" s="1491" t="s">
        <v>1052</v>
      </c>
      <c r="H51" s="1482">
        <v>4580.9901999999993</v>
      </c>
      <c r="I51" s="1482">
        <v>4580.9901999999993</v>
      </c>
      <c r="J51" s="1482"/>
      <c r="K51" s="1482"/>
      <c r="L51" s="1482">
        <v>4580.9901999999993</v>
      </c>
      <c r="M51" s="1482"/>
      <c r="N51" s="1482">
        <v>5497.1858000000002</v>
      </c>
      <c r="O51" s="1482">
        <v>5497.1858000000002</v>
      </c>
      <c r="P51" s="1482">
        <v>0</v>
      </c>
      <c r="Q51" s="1482">
        <v>0</v>
      </c>
      <c r="R51" s="1482">
        <v>5497.1858000000002</v>
      </c>
      <c r="S51" s="1484">
        <v>0</v>
      </c>
    </row>
    <row r="52" spans="1:19" s="871" customFormat="1" ht="75.75" customHeight="1">
      <c r="A52" s="6" t="e">
        <f t="shared" si="3"/>
        <v>#REF!</v>
      </c>
      <c r="B52" s="1491" t="s">
        <v>18</v>
      </c>
      <c r="C52" s="1491" t="s">
        <v>98</v>
      </c>
      <c r="D52" s="1491" t="s">
        <v>141</v>
      </c>
      <c r="E52" s="1491">
        <v>4632024035</v>
      </c>
      <c r="F52" s="1491" t="s">
        <v>8</v>
      </c>
      <c r="G52" s="1491" t="s">
        <v>1052</v>
      </c>
      <c r="H52" s="1482">
        <v>4580.9901999999993</v>
      </c>
      <c r="I52" s="1482">
        <v>4580.9901999999993</v>
      </c>
      <c r="J52" s="1482"/>
      <c r="K52" s="1482"/>
      <c r="L52" s="1482">
        <v>4580.9901999999993</v>
      </c>
      <c r="M52" s="1482"/>
      <c r="N52" s="1482">
        <v>5497.1858000000002</v>
      </c>
      <c r="O52" s="1482">
        <v>5497.1858000000002</v>
      </c>
      <c r="P52" s="1482">
        <v>0</v>
      </c>
      <c r="Q52" s="1482">
        <v>0</v>
      </c>
      <c r="R52" s="1482">
        <v>5497.1858000000002</v>
      </c>
      <c r="S52" s="1484">
        <v>0</v>
      </c>
    </row>
    <row r="53" spans="1:19" s="81" customFormat="1" ht="69" customHeight="1">
      <c r="A53" s="6" t="e">
        <f t="shared" si="3"/>
        <v>#REF!</v>
      </c>
      <c r="B53" s="1491" t="s">
        <v>18</v>
      </c>
      <c r="C53" s="1491" t="s">
        <v>999</v>
      </c>
      <c r="D53" s="1491" t="s">
        <v>96</v>
      </c>
      <c r="E53" s="1491">
        <v>4611013586</v>
      </c>
      <c r="F53" s="1491" t="s">
        <v>8</v>
      </c>
      <c r="G53" s="1491" t="s">
        <v>1045</v>
      </c>
      <c r="H53" s="1482">
        <v>5727.41</v>
      </c>
      <c r="I53" s="1482">
        <v>0</v>
      </c>
      <c r="J53" s="1482">
        <v>3479.78</v>
      </c>
      <c r="K53" s="1482">
        <v>3479.78</v>
      </c>
      <c r="L53" s="1482">
        <v>0</v>
      </c>
      <c r="M53" s="1482">
        <v>0</v>
      </c>
      <c r="N53" s="1482">
        <v>7580.67</v>
      </c>
      <c r="O53" s="1482">
        <v>0</v>
      </c>
      <c r="P53" s="1482">
        <v>4043.51</v>
      </c>
      <c r="Q53" s="1482">
        <v>4043.51</v>
      </c>
      <c r="R53" s="1482">
        <v>0</v>
      </c>
      <c r="S53" s="1484">
        <v>0</v>
      </c>
    </row>
    <row r="54" spans="1:19" s="1493" customFormat="1" ht="76.5" customHeight="1">
      <c r="A54" s="6" t="e">
        <f t="shared" si="3"/>
        <v>#REF!</v>
      </c>
      <c r="B54" s="1488" t="s">
        <v>19</v>
      </c>
      <c r="C54" s="1488" t="s">
        <v>62</v>
      </c>
      <c r="D54" s="1491" t="s">
        <v>141</v>
      </c>
      <c r="E54" s="1491">
        <v>4632024035</v>
      </c>
      <c r="F54" s="1491" t="s">
        <v>8</v>
      </c>
      <c r="G54" s="1491" t="s">
        <v>1052</v>
      </c>
      <c r="H54" s="1482">
        <v>3307.0051999999996</v>
      </c>
      <c r="I54" s="1482">
        <v>3307.0051999999996</v>
      </c>
      <c r="J54" s="1482">
        <v>1022.25</v>
      </c>
      <c r="K54" s="1482"/>
      <c r="L54" s="1482">
        <v>3307.0051999999996</v>
      </c>
      <c r="M54" s="1482"/>
      <c r="N54" s="1482">
        <v>3968.0744</v>
      </c>
      <c r="O54" s="1482">
        <v>3968.0744</v>
      </c>
      <c r="P54" s="1482">
        <v>1185.81</v>
      </c>
      <c r="Q54" s="1482">
        <v>0</v>
      </c>
      <c r="R54" s="1482">
        <v>3968.0744</v>
      </c>
      <c r="S54" s="1484">
        <v>0</v>
      </c>
    </row>
    <row r="55" spans="1:19" s="1493" customFormat="1" ht="73.5" customHeight="1">
      <c r="A55" s="6" t="e">
        <f t="shared" si="3"/>
        <v>#REF!</v>
      </c>
      <c r="B55" s="1488" t="s">
        <v>19</v>
      </c>
      <c r="C55" s="1488" t="s">
        <v>280</v>
      </c>
      <c r="D55" s="1491" t="s">
        <v>141</v>
      </c>
      <c r="E55" s="1491">
        <v>4632024035</v>
      </c>
      <c r="F55" s="1491" t="s">
        <v>8</v>
      </c>
      <c r="G55" s="1491" t="s">
        <v>1052</v>
      </c>
      <c r="H55" s="1482">
        <v>3307.0051999999996</v>
      </c>
      <c r="I55" s="1482">
        <v>3307.0051999999996</v>
      </c>
      <c r="J55" s="1482">
        <v>1022.25</v>
      </c>
      <c r="K55" s="1482"/>
      <c r="L55" s="1482">
        <v>3307.0051999999996</v>
      </c>
      <c r="M55" s="1482"/>
      <c r="N55" s="1482">
        <v>3968.0744</v>
      </c>
      <c r="O55" s="1482">
        <v>3968.0744</v>
      </c>
      <c r="P55" s="1482">
        <v>1185.81</v>
      </c>
      <c r="Q55" s="1482">
        <v>0</v>
      </c>
      <c r="R55" s="1482">
        <v>3968.0744</v>
      </c>
      <c r="S55" s="1484">
        <v>0</v>
      </c>
    </row>
    <row r="56" spans="1:19" s="871" customFormat="1" ht="65.25" customHeight="1">
      <c r="A56" s="6" t="e">
        <f t="shared" si="3"/>
        <v>#REF!</v>
      </c>
      <c r="B56" s="1488" t="s">
        <v>19</v>
      </c>
      <c r="C56" s="1491" t="s">
        <v>99</v>
      </c>
      <c r="D56" s="1491" t="s">
        <v>141</v>
      </c>
      <c r="E56" s="1491">
        <v>4632024035</v>
      </c>
      <c r="F56" s="5" t="s">
        <v>8</v>
      </c>
      <c r="G56" s="1491" t="s">
        <v>1052</v>
      </c>
      <c r="H56" s="1482">
        <v>4580.9901999999993</v>
      </c>
      <c r="I56" s="1482">
        <v>4580.9901999999993</v>
      </c>
      <c r="J56" s="1482">
        <v>3059.67</v>
      </c>
      <c r="K56" s="1482"/>
      <c r="L56" s="1482">
        <v>4580.9901999999993</v>
      </c>
      <c r="M56" s="1483"/>
      <c r="N56" s="1482">
        <v>5497.1858000000002</v>
      </c>
      <c r="O56" s="1482">
        <v>5497.1858000000002</v>
      </c>
      <c r="P56" s="1482">
        <v>3549.22</v>
      </c>
      <c r="Q56" s="1482">
        <v>0</v>
      </c>
      <c r="R56" s="1482">
        <v>5497.1858000000002</v>
      </c>
      <c r="S56" s="1484">
        <v>0</v>
      </c>
    </row>
    <row r="57" spans="1:19" s="1493" customFormat="1" ht="72" customHeight="1">
      <c r="A57" s="6" t="e">
        <f t="shared" si="3"/>
        <v>#REF!</v>
      </c>
      <c r="B57" s="1491" t="s">
        <v>21</v>
      </c>
      <c r="C57" s="1491" t="s">
        <v>67</v>
      </c>
      <c r="D57" s="1491" t="s">
        <v>141</v>
      </c>
      <c r="E57" s="1491">
        <v>4632024035</v>
      </c>
      <c r="F57" s="1491" t="s">
        <v>8</v>
      </c>
      <c r="G57" s="1491" t="s">
        <v>1052</v>
      </c>
      <c r="H57" s="1482">
        <v>4580.9901999999993</v>
      </c>
      <c r="I57" s="1482">
        <v>4580.9901999999993</v>
      </c>
      <c r="J57" s="1482">
        <v>3059.67</v>
      </c>
      <c r="K57" s="1482"/>
      <c r="L57" s="1482">
        <v>4580.9901999999993</v>
      </c>
      <c r="M57" s="1483"/>
      <c r="N57" s="1482">
        <v>5497.1858000000002</v>
      </c>
      <c r="O57" s="1482">
        <v>5497.1858000000002</v>
      </c>
      <c r="P57" s="1482">
        <v>3549.22</v>
      </c>
      <c r="Q57" s="1482">
        <v>0</v>
      </c>
      <c r="R57" s="1482">
        <v>5497.1858000000002</v>
      </c>
      <c r="S57" s="1484">
        <v>0</v>
      </c>
    </row>
    <row r="58" spans="1:19" s="871" customFormat="1" ht="78.75" customHeight="1">
      <c r="A58" s="6" t="e">
        <f t="shared" si="3"/>
        <v>#REF!</v>
      </c>
      <c r="B58" s="1491" t="s">
        <v>21</v>
      </c>
      <c r="C58" s="1491" t="s">
        <v>100</v>
      </c>
      <c r="D58" s="1491" t="s">
        <v>141</v>
      </c>
      <c r="E58" s="1491">
        <v>4632024035</v>
      </c>
      <c r="F58" s="1491" t="s">
        <v>8</v>
      </c>
      <c r="G58" s="1491" t="s">
        <v>1052</v>
      </c>
      <c r="H58" s="1482">
        <v>4580.9901999999993</v>
      </c>
      <c r="I58" s="1482">
        <v>4580.9901999999993</v>
      </c>
      <c r="J58" s="1482">
        <v>3059.67</v>
      </c>
      <c r="K58" s="1482"/>
      <c r="L58" s="1482">
        <v>4580.9901999999993</v>
      </c>
      <c r="M58" s="1483"/>
      <c r="N58" s="1482">
        <v>5497.1858000000002</v>
      </c>
      <c r="O58" s="1482">
        <v>5497.1858000000002</v>
      </c>
      <c r="P58" s="1482">
        <v>3549.22</v>
      </c>
      <c r="Q58" s="1482">
        <v>0</v>
      </c>
      <c r="R58" s="1482">
        <v>5497.1858000000002</v>
      </c>
      <c r="S58" s="1484">
        <v>0</v>
      </c>
    </row>
    <row r="59" spans="1:19" s="871" customFormat="1" ht="73.5" customHeight="1">
      <c r="A59" s="6" t="e">
        <f t="shared" si="3"/>
        <v>#REF!</v>
      </c>
      <c r="B59" s="1491" t="s">
        <v>21</v>
      </c>
      <c r="C59" s="1491" t="s">
        <v>101</v>
      </c>
      <c r="D59" s="1491" t="s">
        <v>141</v>
      </c>
      <c r="E59" s="1491">
        <v>4632024035</v>
      </c>
      <c r="F59" s="1491" t="s">
        <v>8</v>
      </c>
      <c r="G59" s="1491" t="s">
        <v>1052</v>
      </c>
      <c r="H59" s="1482">
        <v>4580.9901999999993</v>
      </c>
      <c r="I59" s="1482">
        <v>4580.9901999999993</v>
      </c>
      <c r="J59" s="1482">
        <v>3059.67</v>
      </c>
      <c r="K59" s="1482"/>
      <c r="L59" s="1482">
        <v>4580.9901999999993</v>
      </c>
      <c r="M59" s="1483"/>
      <c r="N59" s="1482">
        <v>5497.1858000000002</v>
      </c>
      <c r="O59" s="1482">
        <v>5497.1858000000002</v>
      </c>
      <c r="P59" s="1482">
        <v>3549.22</v>
      </c>
      <c r="Q59" s="1482">
        <v>0</v>
      </c>
      <c r="R59" s="1482">
        <v>5497.1858000000002</v>
      </c>
      <c r="S59" s="1484">
        <v>0</v>
      </c>
    </row>
    <row r="60" spans="1:19" s="871" customFormat="1" ht="75" customHeight="1">
      <c r="A60" s="6" t="e">
        <f t="shared" si="3"/>
        <v>#REF!</v>
      </c>
      <c r="B60" s="1491" t="s">
        <v>21</v>
      </c>
      <c r="C60" s="1491" t="s">
        <v>102</v>
      </c>
      <c r="D60" s="1491" t="s">
        <v>141</v>
      </c>
      <c r="E60" s="1491">
        <v>4632024035</v>
      </c>
      <c r="F60" s="1491" t="s">
        <v>8</v>
      </c>
      <c r="G60" s="1491" t="s">
        <v>1052</v>
      </c>
      <c r="H60" s="1482">
        <v>4580.9901999999993</v>
      </c>
      <c r="I60" s="1482">
        <v>4580.9901999999993</v>
      </c>
      <c r="J60" s="1482"/>
      <c r="K60" s="1482"/>
      <c r="L60" s="1482">
        <v>4580.9901999999993</v>
      </c>
      <c r="M60" s="1483"/>
      <c r="N60" s="1482">
        <v>5497.1858000000002</v>
      </c>
      <c r="O60" s="1482">
        <v>5497.1858000000002</v>
      </c>
      <c r="P60" s="1482">
        <v>0</v>
      </c>
      <c r="Q60" s="1482">
        <v>0</v>
      </c>
      <c r="R60" s="1482">
        <v>5497.1858000000002</v>
      </c>
      <c r="S60" s="1484">
        <v>0</v>
      </c>
    </row>
    <row r="61" spans="1:19" s="871" customFormat="1" ht="84.75" customHeight="1">
      <c r="A61" s="6" t="e">
        <f t="shared" si="3"/>
        <v>#REF!</v>
      </c>
      <c r="B61" s="1491" t="s">
        <v>22</v>
      </c>
      <c r="C61" s="1491" t="s">
        <v>103</v>
      </c>
      <c r="D61" s="1491" t="s">
        <v>142</v>
      </c>
      <c r="E61" s="1491">
        <v>4632024035</v>
      </c>
      <c r="F61" s="1491" t="s">
        <v>8</v>
      </c>
      <c r="G61" s="1491" t="s">
        <v>1052</v>
      </c>
      <c r="H61" s="1482">
        <v>4580.9901999999993</v>
      </c>
      <c r="I61" s="1482">
        <v>4580.9901999999993</v>
      </c>
      <c r="J61" s="1482">
        <v>3059.67</v>
      </c>
      <c r="K61" s="1482"/>
      <c r="L61" s="1482">
        <v>4580.9901999999993</v>
      </c>
      <c r="M61" s="1482"/>
      <c r="N61" s="1482">
        <v>5497.1858000000002</v>
      </c>
      <c r="O61" s="1482">
        <v>5497.1858000000002</v>
      </c>
      <c r="P61" s="1482">
        <v>3549.22</v>
      </c>
      <c r="Q61" s="1482">
        <v>0</v>
      </c>
      <c r="R61" s="1482">
        <v>5497.1858000000002</v>
      </c>
      <c r="S61" s="1484">
        <v>0</v>
      </c>
    </row>
    <row r="62" spans="1:19" s="81" customFormat="1" ht="75" customHeight="1">
      <c r="A62" s="6" t="e">
        <f>#REF!+1</f>
        <v>#REF!</v>
      </c>
      <c r="B62" s="1491" t="s">
        <v>23</v>
      </c>
      <c r="C62" s="672" t="s">
        <v>68</v>
      </c>
      <c r="D62" s="1491" t="s">
        <v>24</v>
      </c>
      <c r="E62" s="1491">
        <v>4616008283</v>
      </c>
      <c r="F62" s="1491" t="s">
        <v>8</v>
      </c>
      <c r="G62" s="1491" t="s">
        <v>1031</v>
      </c>
      <c r="H62" s="1482">
        <v>4578.93</v>
      </c>
      <c r="I62" s="1482">
        <v>4578.93</v>
      </c>
      <c r="J62" s="1482">
        <v>3986.88</v>
      </c>
      <c r="K62" s="1482">
        <v>3986.88</v>
      </c>
      <c r="L62" s="1482">
        <v>4578.93</v>
      </c>
      <c r="M62" s="1482">
        <v>0</v>
      </c>
      <c r="N62" s="1482">
        <v>5309.94</v>
      </c>
      <c r="O62" s="1482">
        <v>5309.94</v>
      </c>
      <c r="P62" s="1482">
        <v>4632.75</v>
      </c>
      <c r="Q62" s="1482">
        <v>4632.75</v>
      </c>
      <c r="R62" s="1482">
        <v>5309.94</v>
      </c>
      <c r="S62" s="1484">
        <v>0</v>
      </c>
    </row>
    <row r="63" spans="1:19" s="871" customFormat="1" ht="72.75" customHeight="1">
      <c r="A63" s="6" t="e">
        <f t="shared" ref="A63:A122" si="4">A62+1</f>
        <v>#REF!</v>
      </c>
      <c r="B63" s="1491" t="s">
        <v>23</v>
      </c>
      <c r="C63" s="1491" t="s">
        <v>106</v>
      </c>
      <c r="D63" s="1491" t="s">
        <v>141</v>
      </c>
      <c r="E63" s="1491">
        <v>4632024035</v>
      </c>
      <c r="F63" s="1491" t="s">
        <v>8</v>
      </c>
      <c r="G63" s="1491" t="s">
        <v>1052</v>
      </c>
      <c r="H63" s="1482">
        <v>4580.9901999999993</v>
      </c>
      <c r="I63" s="1482">
        <v>4580.9901999999993</v>
      </c>
      <c r="J63" s="1482"/>
      <c r="K63" s="1482"/>
      <c r="L63" s="1482">
        <v>4580.9901999999993</v>
      </c>
      <c r="M63" s="1482"/>
      <c r="N63" s="1482">
        <v>5497.1858000000002</v>
      </c>
      <c r="O63" s="1482">
        <v>5497.1858000000002</v>
      </c>
      <c r="P63" s="1482">
        <v>0</v>
      </c>
      <c r="Q63" s="1482">
        <v>0</v>
      </c>
      <c r="R63" s="1482">
        <v>5497.1858000000002</v>
      </c>
      <c r="S63" s="1484">
        <v>0</v>
      </c>
    </row>
    <row r="64" spans="1:19" s="871" customFormat="1" ht="77.25" customHeight="1">
      <c r="A64" s="6" t="e">
        <f t="shared" si="4"/>
        <v>#REF!</v>
      </c>
      <c r="B64" s="1491" t="s">
        <v>23</v>
      </c>
      <c r="C64" s="1491" t="s">
        <v>107</v>
      </c>
      <c r="D64" s="1491" t="s">
        <v>141</v>
      </c>
      <c r="E64" s="1491">
        <v>4632024035</v>
      </c>
      <c r="F64" s="1491" t="s">
        <v>8</v>
      </c>
      <c r="G64" s="1491" t="s">
        <v>1052</v>
      </c>
      <c r="H64" s="1482">
        <v>4580.9901999999993</v>
      </c>
      <c r="I64" s="1482">
        <v>4580.9901999999993</v>
      </c>
      <c r="J64" s="1482"/>
      <c r="K64" s="1482"/>
      <c r="L64" s="1482">
        <v>4580.9901999999993</v>
      </c>
      <c r="M64" s="1482"/>
      <c r="N64" s="1482">
        <v>5497.1858000000002</v>
      </c>
      <c r="O64" s="1482">
        <v>5497.1858000000002</v>
      </c>
      <c r="P64" s="1482">
        <v>0</v>
      </c>
      <c r="Q64" s="1482">
        <v>0</v>
      </c>
      <c r="R64" s="1482">
        <v>5497.1858000000002</v>
      </c>
      <c r="S64" s="1484">
        <v>0</v>
      </c>
    </row>
    <row r="65" spans="1:19" s="81" customFormat="1" ht="75" customHeight="1">
      <c r="A65" s="6" t="e">
        <f t="shared" si="4"/>
        <v>#REF!</v>
      </c>
      <c r="B65" s="1490" t="s">
        <v>25</v>
      </c>
      <c r="C65" s="1491" t="s">
        <v>108</v>
      </c>
      <c r="D65" s="1491" t="s">
        <v>26</v>
      </c>
      <c r="E65" s="1491">
        <v>4617004147</v>
      </c>
      <c r="F65" s="1491" t="s">
        <v>8</v>
      </c>
      <c r="G65" s="1491" t="s">
        <v>1032</v>
      </c>
      <c r="H65" s="1483">
        <v>3705.41</v>
      </c>
      <c r="I65" s="1482">
        <v>3705.41</v>
      </c>
      <c r="J65" s="1483">
        <v>3528.96</v>
      </c>
      <c r="K65" s="1483">
        <v>0</v>
      </c>
      <c r="L65" s="1483">
        <v>0</v>
      </c>
      <c r="M65" s="1483">
        <v>0</v>
      </c>
      <c r="N65" s="1482">
        <v>4100.6499999999996</v>
      </c>
      <c r="O65" s="1482">
        <v>4100.6499999999996</v>
      </c>
      <c r="P65" s="1483">
        <v>4100.6499999999996</v>
      </c>
      <c r="Q65" s="1483">
        <v>0</v>
      </c>
      <c r="R65" s="1482">
        <v>0</v>
      </c>
      <c r="S65" s="1484">
        <v>0</v>
      </c>
    </row>
    <row r="66" spans="1:19" s="871" customFormat="1" ht="72" customHeight="1">
      <c r="A66" s="6" t="e">
        <f t="shared" si="4"/>
        <v>#REF!</v>
      </c>
      <c r="B66" s="1490" t="s">
        <v>25</v>
      </c>
      <c r="C66" s="1491" t="s">
        <v>108</v>
      </c>
      <c r="D66" s="1491" t="s">
        <v>141</v>
      </c>
      <c r="E66" s="1491">
        <v>4632024035</v>
      </c>
      <c r="F66" s="1491" t="s">
        <v>8</v>
      </c>
      <c r="G66" s="1491" t="s">
        <v>1052</v>
      </c>
      <c r="H66" s="1482">
        <v>4580.9901999999993</v>
      </c>
      <c r="I66" s="1482">
        <v>4580.9901999999993</v>
      </c>
      <c r="J66" s="1482">
        <v>3059.67</v>
      </c>
      <c r="K66" s="1482"/>
      <c r="L66" s="1482">
        <v>4580.9901999999993</v>
      </c>
      <c r="M66" s="1483"/>
      <c r="N66" s="1482">
        <v>5497.1858000000002</v>
      </c>
      <c r="O66" s="1482">
        <v>5497.1858000000002</v>
      </c>
      <c r="P66" s="1482">
        <v>3549.22</v>
      </c>
      <c r="Q66" s="1482">
        <v>0</v>
      </c>
      <c r="R66" s="1482">
        <v>5497.1858000000002</v>
      </c>
      <c r="S66" s="1484">
        <v>0</v>
      </c>
    </row>
    <row r="67" spans="1:19" s="81" customFormat="1" ht="78.75" customHeight="1">
      <c r="A67" s="6" t="e">
        <f t="shared" si="4"/>
        <v>#REF!</v>
      </c>
      <c r="B67" s="1490" t="str">
        <f t="shared" ref="B67:B73" si="5">B66</f>
        <v>Октябрьский район</v>
      </c>
      <c r="C67" s="672" t="s">
        <v>902</v>
      </c>
      <c r="D67" s="5" t="s">
        <v>161</v>
      </c>
      <c r="E67" s="1491">
        <v>4617004147</v>
      </c>
      <c r="F67" s="5" t="s">
        <v>8</v>
      </c>
      <c r="G67" s="5" t="s">
        <v>1032</v>
      </c>
      <c r="H67" s="1483">
        <v>5802.99</v>
      </c>
      <c r="I67" s="1483">
        <v>5802.99</v>
      </c>
      <c r="J67" s="1483">
        <v>0</v>
      </c>
      <c r="K67" s="1483">
        <v>0</v>
      </c>
      <c r="L67" s="1483">
        <v>0</v>
      </c>
      <c r="M67" s="1483">
        <v>0</v>
      </c>
      <c r="N67" s="1483">
        <v>6963.59</v>
      </c>
      <c r="O67" s="1483">
        <v>6963.59</v>
      </c>
      <c r="P67" s="1483">
        <v>0</v>
      </c>
      <c r="Q67" s="1483">
        <v>0</v>
      </c>
      <c r="R67" s="1482">
        <v>0</v>
      </c>
      <c r="S67" s="1484">
        <v>0</v>
      </c>
    </row>
    <row r="68" spans="1:19" s="81" customFormat="1" ht="75" customHeight="1">
      <c r="A68" s="6" t="e">
        <f t="shared" si="4"/>
        <v>#REF!</v>
      </c>
      <c r="B68" s="1490" t="str">
        <f t="shared" si="5"/>
        <v>Октябрьский район</v>
      </c>
      <c r="C68" s="672" t="s">
        <v>156</v>
      </c>
      <c r="D68" s="5" t="s">
        <v>161</v>
      </c>
      <c r="E68" s="1491">
        <v>4617004147</v>
      </c>
      <c r="F68" s="5" t="s">
        <v>8</v>
      </c>
      <c r="G68" s="5" t="s">
        <v>1032</v>
      </c>
      <c r="H68" s="1483">
        <v>5802.99</v>
      </c>
      <c r="I68" s="1483">
        <v>5802.99</v>
      </c>
      <c r="J68" s="1483">
        <v>0</v>
      </c>
      <c r="K68" s="1483">
        <v>0</v>
      </c>
      <c r="L68" s="1483">
        <v>0</v>
      </c>
      <c r="M68" s="1483">
        <v>0</v>
      </c>
      <c r="N68" s="1483">
        <v>6963.59</v>
      </c>
      <c r="O68" s="1483">
        <v>6963.59</v>
      </c>
      <c r="P68" s="1483">
        <v>0</v>
      </c>
      <c r="Q68" s="1483">
        <v>0</v>
      </c>
      <c r="R68" s="1482">
        <v>0</v>
      </c>
      <c r="S68" s="1484">
        <v>0</v>
      </c>
    </row>
    <row r="69" spans="1:19" s="81" customFormat="1" ht="70.5" customHeight="1">
      <c r="A69" s="6" t="e">
        <f t="shared" si="4"/>
        <v>#REF!</v>
      </c>
      <c r="B69" s="1490" t="str">
        <f t="shared" si="5"/>
        <v>Октябрьский район</v>
      </c>
      <c r="C69" s="672" t="s">
        <v>157</v>
      </c>
      <c r="D69" s="5" t="s">
        <v>161</v>
      </c>
      <c r="E69" s="1491">
        <v>4617004147</v>
      </c>
      <c r="F69" s="5" t="s">
        <v>8</v>
      </c>
      <c r="G69" s="5" t="s">
        <v>1032</v>
      </c>
      <c r="H69" s="1483">
        <v>5802.99</v>
      </c>
      <c r="I69" s="1483">
        <v>5802.99</v>
      </c>
      <c r="J69" s="1483">
        <v>0</v>
      </c>
      <c r="K69" s="1483">
        <v>0</v>
      </c>
      <c r="L69" s="1483">
        <v>0</v>
      </c>
      <c r="M69" s="1483">
        <v>0</v>
      </c>
      <c r="N69" s="1483">
        <v>6963.59</v>
      </c>
      <c r="O69" s="1483">
        <v>6963.59</v>
      </c>
      <c r="P69" s="1483">
        <v>0</v>
      </c>
      <c r="Q69" s="1483">
        <v>0</v>
      </c>
      <c r="R69" s="1482">
        <v>0</v>
      </c>
      <c r="S69" s="1484">
        <v>0</v>
      </c>
    </row>
    <row r="70" spans="1:19" s="81" customFormat="1" ht="72" customHeight="1">
      <c r="A70" s="6" t="e">
        <f t="shared" si="4"/>
        <v>#REF!</v>
      </c>
      <c r="B70" s="1490" t="str">
        <f t="shared" si="5"/>
        <v>Октябрьский район</v>
      </c>
      <c r="C70" s="672" t="s">
        <v>158</v>
      </c>
      <c r="D70" s="5" t="s">
        <v>161</v>
      </c>
      <c r="E70" s="1491">
        <v>4617004147</v>
      </c>
      <c r="F70" s="5" t="s">
        <v>8</v>
      </c>
      <c r="G70" s="5" t="s">
        <v>1032</v>
      </c>
      <c r="H70" s="1483">
        <v>5802.99</v>
      </c>
      <c r="I70" s="1483">
        <v>5802.99</v>
      </c>
      <c r="J70" s="1483">
        <v>0</v>
      </c>
      <c r="K70" s="1483">
        <v>0</v>
      </c>
      <c r="L70" s="1483">
        <v>0</v>
      </c>
      <c r="M70" s="1483">
        <v>0</v>
      </c>
      <c r="N70" s="1483">
        <v>6963.59</v>
      </c>
      <c r="O70" s="1483">
        <v>6963.59</v>
      </c>
      <c r="P70" s="1483">
        <v>0</v>
      </c>
      <c r="Q70" s="1483">
        <v>0</v>
      </c>
      <c r="R70" s="1482">
        <v>0</v>
      </c>
      <c r="S70" s="1484">
        <v>0</v>
      </c>
    </row>
    <row r="71" spans="1:19" s="81" customFormat="1" ht="75" customHeight="1">
      <c r="A71" s="6" t="e">
        <f t="shared" si="4"/>
        <v>#REF!</v>
      </c>
      <c r="B71" s="1490" t="str">
        <f t="shared" si="5"/>
        <v>Октябрьский район</v>
      </c>
      <c r="C71" s="672" t="s">
        <v>159</v>
      </c>
      <c r="D71" s="5" t="s">
        <v>161</v>
      </c>
      <c r="E71" s="1491">
        <v>4617004147</v>
      </c>
      <c r="F71" s="5" t="s">
        <v>8</v>
      </c>
      <c r="G71" s="5" t="s">
        <v>1032</v>
      </c>
      <c r="H71" s="1483">
        <v>5802.99</v>
      </c>
      <c r="I71" s="1483">
        <v>5802.99</v>
      </c>
      <c r="J71" s="1483">
        <v>0</v>
      </c>
      <c r="K71" s="1483">
        <v>0</v>
      </c>
      <c r="L71" s="1483">
        <v>0</v>
      </c>
      <c r="M71" s="1483">
        <v>0</v>
      </c>
      <c r="N71" s="1483">
        <v>6963.59</v>
      </c>
      <c r="O71" s="1483">
        <v>6963.59</v>
      </c>
      <c r="P71" s="1483">
        <v>0</v>
      </c>
      <c r="Q71" s="1483">
        <v>0</v>
      </c>
      <c r="R71" s="1482">
        <v>0</v>
      </c>
      <c r="S71" s="1484">
        <v>0</v>
      </c>
    </row>
    <row r="72" spans="1:19" s="81" customFormat="1" ht="72.75" customHeight="1">
      <c r="A72" s="6" t="e">
        <f t="shared" si="4"/>
        <v>#REF!</v>
      </c>
      <c r="B72" s="1490" t="str">
        <f t="shared" si="5"/>
        <v>Октябрьский район</v>
      </c>
      <c r="C72" s="672" t="s">
        <v>160</v>
      </c>
      <c r="D72" s="5" t="s">
        <v>161</v>
      </c>
      <c r="E72" s="1491">
        <v>4617004147</v>
      </c>
      <c r="F72" s="5" t="s">
        <v>8</v>
      </c>
      <c r="G72" s="5" t="s">
        <v>1032</v>
      </c>
      <c r="H72" s="1483">
        <v>5802.99</v>
      </c>
      <c r="I72" s="1483">
        <v>5802.99</v>
      </c>
      <c r="J72" s="1483">
        <v>0</v>
      </c>
      <c r="K72" s="1483">
        <v>0</v>
      </c>
      <c r="L72" s="1483">
        <v>0</v>
      </c>
      <c r="M72" s="1483">
        <v>0</v>
      </c>
      <c r="N72" s="1483">
        <v>6963.59</v>
      </c>
      <c r="O72" s="1483">
        <v>6963.59</v>
      </c>
      <c r="P72" s="1483">
        <v>0</v>
      </c>
      <c r="Q72" s="1483">
        <v>0</v>
      </c>
      <c r="R72" s="1482">
        <v>0</v>
      </c>
      <c r="S72" s="1484">
        <v>0</v>
      </c>
    </row>
    <row r="73" spans="1:19" s="81" customFormat="1" ht="76.5" customHeight="1">
      <c r="A73" s="6" t="e">
        <f t="shared" si="4"/>
        <v>#REF!</v>
      </c>
      <c r="B73" s="1490" t="str">
        <f t="shared" si="5"/>
        <v>Октябрьский район</v>
      </c>
      <c r="C73" s="672" t="s">
        <v>155</v>
      </c>
      <c r="D73" s="5" t="s">
        <v>161</v>
      </c>
      <c r="E73" s="1491">
        <v>4617004147</v>
      </c>
      <c r="F73" s="5" t="s">
        <v>8</v>
      </c>
      <c r="G73" s="5" t="s">
        <v>1032</v>
      </c>
      <c r="H73" s="1483">
        <v>5802.99</v>
      </c>
      <c r="I73" s="1483">
        <v>5802.99</v>
      </c>
      <c r="J73" s="1483">
        <v>0</v>
      </c>
      <c r="K73" s="1483">
        <v>0</v>
      </c>
      <c r="L73" s="1483">
        <v>0</v>
      </c>
      <c r="M73" s="1483">
        <v>0</v>
      </c>
      <c r="N73" s="1483">
        <v>6963.59</v>
      </c>
      <c r="O73" s="1483">
        <v>6963.59</v>
      </c>
      <c r="P73" s="1483">
        <v>0</v>
      </c>
      <c r="Q73" s="1483">
        <v>0</v>
      </c>
      <c r="R73" s="1482">
        <v>0</v>
      </c>
      <c r="S73" s="1484">
        <v>0</v>
      </c>
    </row>
    <row r="74" spans="1:19" s="81" customFormat="1" ht="73.5" customHeight="1">
      <c r="A74" s="6" t="e">
        <f t="shared" si="4"/>
        <v>#REF!</v>
      </c>
      <c r="B74" s="1491" t="s">
        <v>27</v>
      </c>
      <c r="C74" s="672" t="s">
        <v>63</v>
      </c>
      <c r="D74" s="1491" t="s">
        <v>28</v>
      </c>
      <c r="E74" s="1491">
        <v>4618003724</v>
      </c>
      <c r="F74" s="1491" t="s">
        <v>8</v>
      </c>
      <c r="G74" s="1491" t="s">
        <v>1023</v>
      </c>
      <c r="H74" s="1482">
        <v>3385.56</v>
      </c>
      <c r="I74" s="1482">
        <v>3385.56</v>
      </c>
      <c r="J74" s="1482">
        <v>3385.56</v>
      </c>
      <c r="K74" s="1482">
        <v>0</v>
      </c>
      <c r="L74" s="1482">
        <v>3385.56</v>
      </c>
      <c r="M74" s="1482">
        <v>0</v>
      </c>
      <c r="N74" s="1483">
        <v>3902.3</v>
      </c>
      <c r="O74" s="1483">
        <v>3902.3</v>
      </c>
      <c r="P74" s="1483">
        <v>3902.3</v>
      </c>
      <c r="Q74" s="1483">
        <v>0</v>
      </c>
      <c r="R74" s="1482">
        <v>3902.3</v>
      </c>
      <c r="S74" s="1484">
        <v>0</v>
      </c>
    </row>
    <row r="75" spans="1:19" s="871" customFormat="1" ht="72" customHeight="1">
      <c r="A75" s="6" t="e">
        <f t="shared" si="4"/>
        <v>#REF!</v>
      </c>
      <c r="B75" s="1491" t="s">
        <v>27</v>
      </c>
      <c r="C75" s="1491" t="s">
        <v>109</v>
      </c>
      <c r="D75" s="1491" t="s">
        <v>141</v>
      </c>
      <c r="E75" s="1491">
        <v>4632024035</v>
      </c>
      <c r="F75" s="1491" t="s">
        <v>8</v>
      </c>
      <c r="G75" s="1491" t="s">
        <v>1052</v>
      </c>
      <c r="H75" s="1482">
        <v>4580.9901999999993</v>
      </c>
      <c r="I75" s="1482">
        <v>4580.9901999999993</v>
      </c>
      <c r="J75" s="1482"/>
      <c r="K75" s="1482"/>
      <c r="L75" s="1482">
        <v>4580.9901999999993</v>
      </c>
      <c r="M75" s="1482"/>
      <c r="N75" s="1482">
        <v>5497.1858000000002</v>
      </c>
      <c r="O75" s="1482">
        <v>5497.1858000000002</v>
      </c>
      <c r="P75" s="1482">
        <v>0</v>
      </c>
      <c r="Q75" s="1482">
        <v>0</v>
      </c>
      <c r="R75" s="1482">
        <v>5497.1858000000002</v>
      </c>
      <c r="S75" s="1484">
        <v>0</v>
      </c>
    </row>
    <row r="76" spans="1:19" s="871" customFormat="1" ht="80.25" customHeight="1">
      <c r="A76" s="6" t="e">
        <f t="shared" si="4"/>
        <v>#REF!</v>
      </c>
      <c r="B76" s="1491" t="s">
        <v>27</v>
      </c>
      <c r="C76" s="1491" t="s">
        <v>110</v>
      </c>
      <c r="D76" s="1491" t="s">
        <v>142</v>
      </c>
      <c r="E76" s="1491">
        <v>4632024035</v>
      </c>
      <c r="F76" s="1491" t="s">
        <v>8</v>
      </c>
      <c r="G76" s="1491" t="s">
        <v>1052</v>
      </c>
      <c r="H76" s="1482">
        <v>4580.9901999999993</v>
      </c>
      <c r="I76" s="1482">
        <v>4580.9901999999993</v>
      </c>
      <c r="J76" s="1482">
        <v>3059.67</v>
      </c>
      <c r="K76" s="1482"/>
      <c r="L76" s="1482">
        <v>4580.9901999999993</v>
      </c>
      <c r="M76" s="1482"/>
      <c r="N76" s="1482">
        <v>5497.1858000000002</v>
      </c>
      <c r="O76" s="1482">
        <v>5497.1858000000002</v>
      </c>
      <c r="P76" s="1482">
        <v>3549.22</v>
      </c>
      <c r="Q76" s="1482">
        <v>0</v>
      </c>
      <c r="R76" s="1482">
        <v>5497.1858000000002</v>
      </c>
      <c r="S76" s="1484">
        <v>0</v>
      </c>
    </row>
    <row r="77" spans="1:19" s="81" customFormat="1" ht="75.75" customHeight="1">
      <c r="A77" s="6" t="e">
        <f t="shared" si="4"/>
        <v>#REF!</v>
      </c>
      <c r="B77" s="1490" t="s">
        <v>29</v>
      </c>
      <c r="C77" s="1489" t="s">
        <v>112</v>
      </c>
      <c r="D77" s="5" t="s">
        <v>161</v>
      </c>
      <c r="E77" s="1491">
        <v>4617004147</v>
      </c>
      <c r="F77" s="1491" t="s">
        <v>8</v>
      </c>
      <c r="G77" s="1491" t="s">
        <v>1032</v>
      </c>
      <c r="H77" s="1483">
        <v>3752.6</v>
      </c>
      <c r="I77" s="1482">
        <v>3752.6</v>
      </c>
      <c r="J77" s="1483">
        <v>3573.9</v>
      </c>
      <c r="K77" s="1483">
        <v>0</v>
      </c>
      <c r="L77" s="1483">
        <v>0</v>
      </c>
      <c r="M77" s="1483">
        <v>0</v>
      </c>
      <c r="N77" s="1483">
        <v>4152.87</v>
      </c>
      <c r="O77" s="1482">
        <v>4152.87</v>
      </c>
      <c r="P77" s="1483">
        <v>4152.87</v>
      </c>
      <c r="Q77" s="1483">
        <v>0</v>
      </c>
      <c r="R77" s="1482">
        <v>0</v>
      </c>
      <c r="S77" s="1484">
        <v>0</v>
      </c>
    </row>
    <row r="78" spans="1:19" s="871" customFormat="1" ht="78.75" customHeight="1">
      <c r="A78" s="6" t="e">
        <f t="shared" si="4"/>
        <v>#REF!</v>
      </c>
      <c r="B78" s="1490" t="s">
        <v>29</v>
      </c>
      <c r="C78" s="1491" t="s">
        <v>113</v>
      </c>
      <c r="D78" s="1491" t="s">
        <v>142</v>
      </c>
      <c r="E78" s="1491">
        <v>4632024035</v>
      </c>
      <c r="F78" s="1491" t="s">
        <v>8</v>
      </c>
      <c r="G78" s="1491" t="s">
        <v>1052</v>
      </c>
      <c r="H78" s="1482">
        <v>4580.9901999999993</v>
      </c>
      <c r="I78" s="1482">
        <v>4580.9901999999993</v>
      </c>
      <c r="J78" s="1482"/>
      <c r="K78" s="1482"/>
      <c r="L78" s="1482">
        <v>4580.9901999999993</v>
      </c>
      <c r="M78" s="1482"/>
      <c r="N78" s="1482">
        <v>5497.1858000000002</v>
      </c>
      <c r="O78" s="1482">
        <v>5497.1858000000002</v>
      </c>
      <c r="P78" s="1482">
        <v>0</v>
      </c>
      <c r="Q78" s="1482">
        <v>0</v>
      </c>
      <c r="R78" s="1482">
        <v>5497.1858000000002</v>
      </c>
      <c r="S78" s="1484">
        <v>0</v>
      </c>
    </row>
    <row r="79" spans="1:19" s="871" customFormat="1" ht="76.5" customHeight="1">
      <c r="A79" s="6" t="e">
        <f t="shared" si="4"/>
        <v>#REF!</v>
      </c>
      <c r="B79" s="1490" t="s">
        <v>29</v>
      </c>
      <c r="C79" s="1491" t="s">
        <v>114</v>
      </c>
      <c r="D79" s="1491" t="s">
        <v>141</v>
      </c>
      <c r="E79" s="1491">
        <v>4632024035</v>
      </c>
      <c r="F79" s="1491" t="s">
        <v>8</v>
      </c>
      <c r="G79" s="1491" t="s">
        <v>1052</v>
      </c>
      <c r="H79" s="1482">
        <v>4580.9901999999993</v>
      </c>
      <c r="I79" s="1482">
        <v>4580.9901999999993</v>
      </c>
      <c r="J79" s="1482">
        <v>3059.67</v>
      </c>
      <c r="K79" s="1482"/>
      <c r="L79" s="1482">
        <v>4580.9901999999993</v>
      </c>
      <c r="M79" s="1482"/>
      <c r="N79" s="1482">
        <v>5497.1858000000002</v>
      </c>
      <c r="O79" s="1482">
        <v>5497.1858000000002</v>
      </c>
      <c r="P79" s="1482">
        <v>3549.22</v>
      </c>
      <c r="Q79" s="1482">
        <v>0</v>
      </c>
      <c r="R79" s="1482">
        <v>5497.1858000000002</v>
      </c>
      <c r="S79" s="1484">
        <v>0</v>
      </c>
    </row>
    <row r="80" spans="1:19" s="81" customFormat="1" ht="71.25" customHeight="1">
      <c r="A80" s="6" t="e">
        <f t="shared" si="4"/>
        <v>#REF!</v>
      </c>
      <c r="B80" s="1491" t="s">
        <v>30</v>
      </c>
      <c r="C80" s="1491" t="s">
        <v>58</v>
      </c>
      <c r="D80" s="1491" t="s">
        <v>187</v>
      </c>
      <c r="E80" s="1491">
        <v>4620014875</v>
      </c>
      <c r="F80" s="1491" t="s">
        <v>8</v>
      </c>
      <c r="G80" s="1491" t="s">
        <v>1046</v>
      </c>
      <c r="H80" s="1482">
        <v>3841.52</v>
      </c>
      <c r="I80" s="1482">
        <v>3841.52</v>
      </c>
      <c r="J80" s="1482">
        <v>2798.86</v>
      </c>
      <c r="K80" s="1482">
        <v>2798.86</v>
      </c>
      <c r="L80" s="1482">
        <v>3841.52</v>
      </c>
      <c r="M80" s="1482">
        <v>0</v>
      </c>
      <c r="N80" s="1482">
        <v>4512.53</v>
      </c>
      <c r="O80" s="1482">
        <v>4512.53</v>
      </c>
      <c r="P80" s="1482">
        <v>3252.27</v>
      </c>
      <c r="Q80" s="1482">
        <v>3252.27</v>
      </c>
      <c r="R80" s="1482">
        <v>4512.53</v>
      </c>
      <c r="S80" s="1482">
        <v>0</v>
      </c>
    </row>
    <row r="81" spans="1:61" s="81" customFormat="1" ht="75" customHeight="1">
      <c r="A81" s="6" t="e">
        <f t="shared" si="4"/>
        <v>#REF!</v>
      </c>
      <c r="B81" s="1491" t="s">
        <v>30</v>
      </c>
      <c r="C81" s="1491" t="s">
        <v>260</v>
      </c>
      <c r="D81" s="1491" t="s">
        <v>31</v>
      </c>
      <c r="E81" s="1491">
        <v>4620001192</v>
      </c>
      <c r="F81" s="1491" t="s">
        <v>8</v>
      </c>
      <c r="G81" s="1491" t="s">
        <v>1028</v>
      </c>
      <c r="H81" s="1482">
        <v>3001.4805999999999</v>
      </c>
      <c r="I81" s="1482">
        <v>3001.4805999999999</v>
      </c>
      <c r="J81" s="1482">
        <v>2514.4566</v>
      </c>
      <c r="K81" s="1482">
        <v>2514.4566</v>
      </c>
      <c r="L81" s="1482">
        <v>3001.4805999999999</v>
      </c>
      <c r="M81" s="1482">
        <v>0</v>
      </c>
      <c r="N81" s="1482">
        <v>3601.7693999999997</v>
      </c>
      <c r="O81" s="1482">
        <v>3601.7693999999997</v>
      </c>
      <c r="P81" s="1482">
        <v>2921.8024</v>
      </c>
      <c r="Q81" s="1482">
        <v>2921.8024</v>
      </c>
      <c r="R81" s="1482">
        <v>3601.7693999999997</v>
      </c>
      <c r="S81" s="1482">
        <v>0</v>
      </c>
    </row>
    <row r="82" spans="1:61" s="871" customFormat="1" ht="77.25" customHeight="1">
      <c r="A82" s="6" t="e">
        <f t="shared" si="4"/>
        <v>#REF!</v>
      </c>
      <c r="B82" s="672" t="s">
        <v>30</v>
      </c>
      <c r="C82" s="1491" t="s">
        <v>260</v>
      </c>
      <c r="D82" s="1491" t="s">
        <v>141</v>
      </c>
      <c r="E82" s="1491">
        <v>4632024035</v>
      </c>
      <c r="F82" s="672" t="s">
        <v>8</v>
      </c>
      <c r="G82" s="1491" t="s">
        <v>1052</v>
      </c>
      <c r="H82" s="1482">
        <v>4580.9901999999993</v>
      </c>
      <c r="I82" s="1482">
        <v>4580.9901999999993</v>
      </c>
      <c r="J82" s="1482">
        <v>3059.67</v>
      </c>
      <c r="K82" s="1482"/>
      <c r="L82" s="1482">
        <v>4580.9901999999993</v>
      </c>
      <c r="M82" s="1482"/>
      <c r="N82" s="1482">
        <v>5497.1858000000002</v>
      </c>
      <c r="O82" s="1482">
        <v>5497.1858000000002</v>
      </c>
      <c r="P82" s="1482">
        <v>3549.22</v>
      </c>
      <c r="Q82" s="1482">
        <v>0</v>
      </c>
      <c r="R82" s="1482">
        <v>5497.1858000000002</v>
      </c>
      <c r="S82" s="1482">
        <v>0</v>
      </c>
    </row>
    <row r="83" spans="1:61" s="81" customFormat="1" ht="69" customHeight="1">
      <c r="A83" s="6" t="e">
        <f t="shared" si="4"/>
        <v>#REF!</v>
      </c>
      <c r="B83" s="672" t="s">
        <v>30</v>
      </c>
      <c r="C83" s="1491" t="s">
        <v>260</v>
      </c>
      <c r="D83" s="1491" t="s">
        <v>187</v>
      </c>
      <c r="E83" s="1491">
        <v>4620014875</v>
      </c>
      <c r="F83" s="1491" t="s">
        <v>8</v>
      </c>
      <c r="G83" s="1491" t="s">
        <v>1046</v>
      </c>
      <c r="H83" s="1482">
        <v>2659.97</v>
      </c>
      <c r="I83" s="1482">
        <v>2659.97</v>
      </c>
      <c r="J83" s="1482">
        <v>2473.02</v>
      </c>
      <c r="K83" s="1482">
        <v>2473.02</v>
      </c>
      <c r="L83" s="1482">
        <v>0</v>
      </c>
      <c r="M83" s="1482">
        <v>0</v>
      </c>
      <c r="N83" s="1482">
        <v>3163.37</v>
      </c>
      <c r="O83" s="1482">
        <v>3163.37</v>
      </c>
      <c r="P83" s="1482">
        <v>2873.65</v>
      </c>
      <c r="Q83" s="1482">
        <v>2873.65</v>
      </c>
      <c r="R83" s="1482">
        <v>3163.37</v>
      </c>
      <c r="S83" s="1482">
        <v>0</v>
      </c>
      <c r="T83" s="816"/>
      <c r="U83" s="816"/>
      <c r="V83" s="816"/>
      <c r="W83" s="816"/>
      <c r="X83" s="816"/>
      <c r="Y83" s="816"/>
      <c r="Z83" s="816"/>
      <c r="AA83" s="816"/>
      <c r="AB83" s="816"/>
      <c r="AC83" s="816"/>
      <c r="AD83" s="816"/>
      <c r="AE83" s="816"/>
      <c r="AF83" s="816"/>
      <c r="AG83" s="816"/>
      <c r="AH83" s="816"/>
      <c r="AI83" s="816"/>
      <c r="AJ83" s="816"/>
      <c r="AK83" s="816"/>
      <c r="AL83" s="816"/>
      <c r="AM83" s="816"/>
      <c r="AN83" s="816"/>
      <c r="AO83" s="816"/>
      <c r="AP83" s="816"/>
      <c r="AQ83" s="816"/>
      <c r="AR83" s="816"/>
      <c r="AS83" s="816"/>
      <c r="AT83" s="816"/>
      <c r="AU83" s="816"/>
      <c r="AV83" s="816"/>
      <c r="AW83" s="816"/>
      <c r="AX83" s="816"/>
      <c r="AY83" s="816"/>
      <c r="AZ83" s="816"/>
      <c r="BA83" s="816"/>
      <c r="BB83" s="816"/>
      <c r="BC83" s="816"/>
      <c r="BD83" s="816"/>
      <c r="BE83" s="816"/>
      <c r="BF83" s="816"/>
      <c r="BG83" s="816"/>
      <c r="BH83" s="816"/>
      <c r="BI83" s="816"/>
    </row>
    <row r="84" spans="1:61" s="81" customFormat="1" ht="77.25" customHeight="1">
      <c r="A84" s="6" t="e">
        <f t="shared" si="4"/>
        <v>#REF!</v>
      </c>
      <c r="B84" s="672" t="s">
        <v>30</v>
      </c>
      <c r="C84" s="1491" t="s">
        <v>59</v>
      </c>
      <c r="D84" s="1491" t="s">
        <v>187</v>
      </c>
      <c r="E84" s="1491">
        <v>4620014875</v>
      </c>
      <c r="F84" s="1491" t="s">
        <v>8</v>
      </c>
      <c r="G84" s="1491" t="s">
        <v>1046</v>
      </c>
      <c r="H84" s="1482">
        <v>4971.1899999999996</v>
      </c>
      <c r="I84" s="1482">
        <v>4971.1899999999996</v>
      </c>
      <c r="J84" s="1482">
        <v>3782.76</v>
      </c>
      <c r="K84" s="1482">
        <v>0</v>
      </c>
      <c r="L84" s="1482">
        <v>4971.1899999999996</v>
      </c>
      <c r="M84" s="1482">
        <v>0</v>
      </c>
      <c r="N84" s="1482">
        <v>5120.47</v>
      </c>
      <c r="O84" s="1482">
        <v>5120.47</v>
      </c>
      <c r="P84" s="1482">
        <v>3896.25</v>
      </c>
      <c r="Q84" s="1482">
        <v>3896.25</v>
      </c>
      <c r="R84" s="1482">
        <v>5120.47</v>
      </c>
      <c r="S84" s="1482">
        <v>0</v>
      </c>
    </row>
    <row r="85" spans="1:61" s="871" customFormat="1" ht="76.5" customHeight="1">
      <c r="A85" s="6" t="e">
        <f t="shared" si="4"/>
        <v>#REF!</v>
      </c>
      <c r="B85" s="672" t="s">
        <v>30</v>
      </c>
      <c r="C85" s="1491" t="s">
        <v>182</v>
      </c>
      <c r="D85" s="1491" t="s">
        <v>141</v>
      </c>
      <c r="E85" s="1491">
        <v>4632024035</v>
      </c>
      <c r="F85" s="1491" t="s">
        <v>8</v>
      </c>
      <c r="G85" s="1491" t="s">
        <v>1052</v>
      </c>
      <c r="H85" s="1482">
        <v>4580.9901999999993</v>
      </c>
      <c r="I85" s="1482">
        <v>4580.9901999999993</v>
      </c>
      <c r="J85" s="1482"/>
      <c r="K85" s="1482"/>
      <c r="L85" s="1482">
        <v>4580.9901999999993</v>
      </c>
      <c r="M85" s="1482"/>
      <c r="N85" s="1482">
        <v>5497.1858000000002</v>
      </c>
      <c r="O85" s="1482">
        <v>5497.1858000000002</v>
      </c>
      <c r="P85" s="1482">
        <v>0</v>
      </c>
      <c r="Q85" s="1482">
        <v>0</v>
      </c>
      <c r="R85" s="1482">
        <v>5497.1858000000002</v>
      </c>
      <c r="S85" s="1482">
        <v>0</v>
      </c>
    </row>
    <row r="86" spans="1:61" s="871" customFormat="1" ht="76.5" customHeight="1">
      <c r="A86" s="6" t="e">
        <f t="shared" si="4"/>
        <v>#REF!</v>
      </c>
      <c r="B86" s="1491" t="s">
        <v>32</v>
      </c>
      <c r="C86" s="1491" t="s">
        <v>65</v>
      </c>
      <c r="D86" s="1491" t="s">
        <v>935</v>
      </c>
      <c r="E86" s="1491">
        <v>4621009155</v>
      </c>
      <c r="F86" s="1491" t="s">
        <v>8</v>
      </c>
      <c r="G86" s="1491" t="s">
        <v>1030</v>
      </c>
      <c r="H86" s="1482">
        <v>3992.91</v>
      </c>
      <c r="I86" s="1482">
        <v>0</v>
      </c>
      <c r="J86" s="1482">
        <v>3992.91</v>
      </c>
      <c r="K86" s="1482">
        <v>0</v>
      </c>
      <c r="L86" s="1482"/>
      <c r="M86" s="1482">
        <v>0</v>
      </c>
      <c r="N86" s="1482">
        <v>4354.0600000000004</v>
      </c>
      <c r="O86" s="1482">
        <v>0</v>
      </c>
      <c r="P86" s="1482">
        <v>4354.0600000000004</v>
      </c>
      <c r="Q86" s="1482">
        <v>0</v>
      </c>
      <c r="R86" s="1482">
        <v>0</v>
      </c>
      <c r="S86" s="1482">
        <v>0</v>
      </c>
    </row>
    <row r="87" spans="1:61" s="871" customFormat="1" ht="78.75" customHeight="1">
      <c r="A87" s="6" t="e">
        <f t="shared" si="4"/>
        <v>#REF!</v>
      </c>
      <c r="B87" s="1491" t="s">
        <v>32</v>
      </c>
      <c r="C87" s="1491" t="s">
        <v>65</v>
      </c>
      <c r="D87" s="1491" t="s">
        <v>141</v>
      </c>
      <c r="E87" s="1491">
        <v>4632024035</v>
      </c>
      <c r="F87" s="1491" t="s">
        <v>8</v>
      </c>
      <c r="G87" s="1491" t="s">
        <v>1052</v>
      </c>
      <c r="H87" s="1482">
        <v>4580.9901999999993</v>
      </c>
      <c r="I87" s="1482">
        <v>4580.9901999999993</v>
      </c>
      <c r="J87" s="1482">
        <v>3059.67</v>
      </c>
      <c r="K87" s="1482"/>
      <c r="L87" s="1482">
        <v>4580.9901999999993</v>
      </c>
      <c r="M87" s="1482"/>
      <c r="N87" s="1482">
        <v>5497.1858000000002</v>
      </c>
      <c r="O87" s="1482">
        <v>5497.1858000000002</v>
      </c>
      <c r="P87" s="1482">
        <v>3549.22</v>
      </c>
      <c r="Q87" s="1482">
        <v>0</v>
      </c>
      <c r="R87" s="1482">
        <v>5497.1858000000002</v>
      </c>
      <c r="S87" s="1482">
        <v>0</v>
      </c>
    </row>
    <row r="88" spans="1:61" s="871" customFormat="1" ht="77.25" customHeight="1">
      <c r="A88" s="6" t="e">
        <f t="shared" si="4"/>
        <v>#REF!</v>
      </c>
      <c r="B88" s="1491" t="s">
        <v>32</v>
      </c>
      <c r="C88" s="1491" t="s">
        <v>115</v>
      </c>
      <c r="D88" s="1491" t="s">
        <v>142</v>
      </c>
      <c r="E88" s="1491">
        <v>4632024035</v>
      </c>
      <c r="F88" s="1491" t="s">
        <v>8</v>
      </c>
      <c r="G88" s="1491" t="s">
        <v>1052</v>
      </c>
      <c r="H88" s="1482">
        <v>4580.9901999999993</v>
      </c>
      <c r="I88" s="1482">
        <v>4580.9901999999993</v>
      </c>
      <c r="J88" s="1482"/>
      <c r="K88" s="1482"/>
      <c r="L88" s="1482">
        <v>4580.9901999999993</v>
      </c>
      <c r="M88" s="1482"/>
      <c r="N88" s="1482">
        <v>5497.1858000000002</v>
      </c>
      <c r="O88" s="1482">
        <v>5497.1858000000002</v>
      </c>
      <c r="P88" s="1482">
        <v>0</v>
      </c>
      <c r="Q88" s="1482">
        <v>0</v>
      </c>
      <c r="R88" s="1482">
        <v>5497.1858000000002</v>
      </c>
      <c r="S88" s="1482">
        <v>0</v>
      </c>
    </row>
    <row r="89" spans="1:61" s="871" customFormat="1" ht="77.25" customHeight="1">
      <c r="A89" s="6" t="e">
        <f t="shared" si="4"/>
        <v>#REF!</v>
      </c>
      <c r="B89" s="1491" t="s">
        <v>32</v>
      </c>
      <c r="C89" s="1491" t="s">
        <v>116</v>
      </c>
      <c r="D89" s="1491" t="s">
        <v>141</v>
      </c>
      <c r="E89" s="1491">
        <v>4632024035</v>
      </c>
      <c r="F89" s="1491" t="s">
        <v>8</v>
      </c>
      <c r="G89" s="1491" t="s">
        <v>1052</v>
      </c>
      <c r="H89" s="1482">
        <v>4580.9901999999993</v>
      </c>
      <c r="I89" s="1482">
        <v>4580.9901999999993</v>
      </c>
      <c r="J89" s="1482"/>
      <c r="K89" s="1482"/>
      <c r="L89" s="1482">
        <v>4580.9901999999993</v>
      </c>
      <c r="M89" s="1482"/>
      <c r="N89" s="1482">
        <v>5497.1858000000002</v>
      </c>
      <c r="O89" s="1482">
        <v>5497.1858000000002</v>
      </c>
      <c r="P89" s="1482">
        <v>0</v>
      </c>
      <c r="Q89" s="1482">
        <v>0</v>
      </c>
      <c r="R89" s="1482">
        <v>5497.1858000000002</v>
      </c>
      <c r="S89" s="1482">
        <v>0</v>
      </c>
    </row>
    <row r="90" spans="1:61" s="871" customFormat="1" ht="78" customHeight="1">
      <c r="A90" s="6" t="e">
        <f t="shared" si="4"/>
        <v>#REF!</v>
      </c>
      <c r="B90" s="1491" t="s">
        <v>32</v>
      </c>
      <c r="C90" s="1491" t="s">
        <v>117</v>
      </c>
      <c r="D90" s="1491" t="s">
        <v>141</v>
      </c>
      <c r="E90" s="1491">
        <v>4632024035</v>
      </c>
      <c r="F90" s="1491" t="s">
        <v>8</v>
      </c>
      <c r="G90" s="1491" t="s">
        <v>1052</v>
      </c>
      <c r="H90" s="1482">
        <v>4580.9901999999993</v>
      </c>
      <c r="I90" s="1482">
        <v>4580.9901999999993</v>
      </c>
      <c r="J90" s="1482"/>
      <c r="K90" s="1482"/>
      <c r="L90" s="1482">
        <v>4580.9901999999993</v>
      </c>
      <c r="M90" s="1482"/>
      <c r="N90" s="1482">
        <v>5497.1858000000002</v>
      </c>
      <c r="O90" s="1482">
        <v>5497.1858000000002</v>
      </c>
      <c r="P90" s="1482">
        <v>0</v>
      </c>
      <c r="Q90" s="1482">
        <v>0</v>
      </c>
      <c r="R90" s="1482">
        <v>5497.1858000000002</v>
      </c>
      <c r="S90" s="1482">
        <v>0</v>
      </c>
    </row>
    <row r="91" spans="1:61" s="871" customFormat="1" ht="82.5" customHeight="1">
      <c r="A91" s="6" t="e">
        <f t="shared" si="4"/>
        <v>#REF!</v>
      </c>
      <c r="B91" s="1490" t="s">
        <v>169</v>
      </c>
      <c r="C91" s="1491" t="s">
        <v>118</v>
      </c>
      <c r="D91" s="1491" t="s">
        <v>141</v>
      </c>
      <c r="E91" s="1491">
        <v>4632024035</v>
      </c>
      <c r="F91" s="1491" t="s">
        <v>8</v>
      </c>
      <c r="G91" s="1491" t="s">
        <v>1052</v>
      </c>
      <c r="H91" s="1482">
        <v>4580.9901999999993</v>
      </c>
      <c r="I91" s="1482">
        <v>4580.9901999999993</v>
      </c>
      <c r="J91" s="1482"/>
      <c r="K91" s="1482"/>
      <c r="L91" s="1482">
        <v>4580.9901999999993</v>
      </c>
      <c r="M91" s="1482"/>
      <c r="N91" s="1482">
        <v>5497.1858000000002</v>
      </c>
      <c r="O91" s="1482">
        <v>5497.1858000000002</v>
      </c>
      <c r="P91" s="1482">
        <v>0</v>
      </c>
      <c r="Q91" s="1482">
        <v>0</v>
      </c>
      <c r="R91" s="1482">
        <v>5497.1858000000002</v>
      </c>
      <c r="S91" s="1482">
        <v>0</v>
      </c>
    </row>
    <row r="92" spans="1:61" s="81" customFormat="1" ht="78" customHeight="1">
      <c r="A92" s="6" t="e">
        <f t="shared" si="4"/>
        <v>#REF!</v>
      </c>
      <c r="B92" s="1490" t="s">
        <v>169</v>
      </c>
      <c r="C92" s="1491" t="s">
        <v>118</v>
      </c>
      <c r="D92" s="1491" t="s">
        <v>140</v>
      </c>
      <c r="E92" s="1491">
        <v>4622005001</v>
      </c>
      <c r="F92" s="1491" t="s">
        <v>8</v>
      </c>
      <c r="G92" s="1491" t="s">
        <v>1042</v>
      </c>
      <c r="H92" s="1482">
        <v>4414.9399999999996</v>
      </c>
      <c r="I92" s="1482">
        <v>4414.9399999999996</v>
      </c>
      <c r="J92" s="1482">
        <v>4414.9399999999996</v>
      </c>
      <c r="K92" s="1482">
        <v>0</v>
      </c>
      <c r="L92" s="1482">
        <v>0</v>
      </c>
      <c r="M92" s="1482">
        <v>0</v>
      </c>
      <c r="N92" s="1482">
        <v>5130.16</v>
      </c>
      <c r="O92" s="1482">
        <v>5130.16</v>
      </c>
      <c r="P92" s="1482">
        <v>5130.16</v>
      </c>
      <c r="Q92" s="1482">
        <v>0</v>
      </c>
      <c r="R92" s="1482">
        <v>0</v>
      </c>
      <c r="S92" s="1482">
        <v>0</v>
      </c>
    </row>
    <row r="93" spans="1:61" s="871" customFormat="1" ht="75.75" customHeight="1">
      <c r="A93" s="6" t="e">
        <f>#REF!+1</f>
        <v>#REF!</v>
      </c>
      <c r="B93" s="672" t="s">
        <v>36</v>
      </c>
      <c r="C93" s="1491" t="s">
        <v>119</v>
      </c>
      <c r="D93" s="1491" t="s">
        <v>146</v>
      </c>
      <c r="E93" s="1491">
        <v>4632024035</v>
      </c>
      <c r="F93" s="1491" t="s">
        <v>8</v>
      </c>
      <c r="G93" s="1491" t="s">
        <v>1052</v>
      </c>
      <c r="H93" s="1482">
        <v>4580.9901999999993</v>
      </c>
      <c r="I93" s="1482">
        <v>4580.9901999999993</v>
      </c>
      <c r="J93" s="1482">
        <v>3059.67</v>
      </c>
      <c r="K93" s="1482"/>
      <c r="L93" s="1482">
        <v>4580.9901999999993</v>
      </c>
      <c r="M93" s="1482"/>
      <c r="N93" s="1482">
        <v>5497.1858000000002</v>
      </c>
      <c r="O93" s="1482">
        <v>5497.1858000000002</v>
      </c>
      <c r="P93" s="1482">
        <v>3549.22</v>
      </c>
      <c r="Q93" s="1482">
        <v>0</v>
      </c>
      <c r="R93" s="1482">
        <v>5497.1858000000002</v>
      </c>
      <c r="S93" s="1482">
        <v>0</v>
      </c>
    </row>
    <row r="94" spans="1:61" s="871" customFormat="1" ht="100.5" customHeight="1">
      <c r="A94" s="6" t="e">
        <f t="shared" si="4"/>
        <v>#REF!</v>
      </c>
      <c r="B94" s="1491" t="s">
        <v>37</v>
      </c>
      <c r="C94" s="1491" t="s">
        <v>61</v>
      </c>
      <c r="D94" s="1491" t="s">
        <v>146</v>
      </c>
      <c r="E94" s="1491">
        <v>4632024035</v>
      </c>
      <c r="F94" s="1491" t="s">
        <v>8</v>
      </c>
      <c r="G94" s="1491" t="s">
        <v>1052</v>
      </c>
      <c r="H94" s="1482">
        <v>4580.9901999999993</v>
      </c>
      <c r="I94" s="1482">
        <v>4580.9901999999993</v>
      </c>
      <c r="J94" s="1482"/>
      <c r="K94" s="1482"/>
      <c r="L94" s="1482">
        <v>4580.9901999999993</v>
      </c>
      <c r="M94" s="1482"/>
      <c r="N94" s="1482">
        <v>5497.1858000000002</v>
      </c>
      <c r="O94" s="1482">
        <v>5497.1858000000002</v>
      </c>
      <c r="P94" s="1482">
        <v>0</v>
      </c>
      <c r="Q94" s="1482">
        <v>0</v>
      </c>
      <c r="R94" s="1482">
        <v>5497.1858000000002</v>
      </c>
      <c r="S94" s="1482">
        <v>0</v>
      </c>
    </row>
    <row r="95" spans="1:61" s="81" customFormat="1" ht="72.75" customHeight="1">
      <c r="A95" s="6" t="e">
        <f t="shared" si="4"/>
        <v>#REF!</v>
      </c>
      <c r="B95" s="1491" t="s">
        <v>37</v>
      </c>
      <c r="C95" s="1491" t="s">
        <v>926</v>
      </c>
      <c r="D95" s="1491" t="s">
        <v>38</v>
      </c>
      <c r="E95" s="1491">
        <v>4625004944</v>
      </c>
      <c r="F95" s="1491" t="s">
        <v>8</v>
      </c>
      <c r="G95" s="1491" t="s">
        <v>1049</v>
      </c>
      <c r="H95" s="1482">
        <v>3737.27</v>
      </c>
      <c r="I95" s="1482">
        <v>3737.27</v>
      </c>
      <c r="J95" s="1482">
        <v>3559.2964621411083</v>
      </c>
      <c r="K95" s="1482">
        <v>0</v>
      </c>
      <c r="L95" s="1482">
        <v>3737.27</v>
      </c>
      <c r="M95" s="1482">
        <v>0</v>
      </c>
      <c r="N95" s="1482">
        <v>4476.6099999999997</v>
      </c>
      <c r="O95" s="1482">
        <v>4476.6099999999997</v>
      </c>
      <c r="P95" s="1482">
        <v>4135.8999999999996</v>
      </c>
      <c r="Q95" s="1482">
        <v>0</v>
      </c>
      <c r="R95" s="1482">
        <v>4476.6099999999997</v>
      </c>
      <c r="S95" s="1482">
        <v>0</v>
      </c>
    </row>
    <row r="96" spans="1:61" s="81" customFormat="1" ht="70.5" customHeight="1">
      <c r="A96" s="6" t="e">
        <f t="shared" si="4"/>
        <v>#REF!</v>
      </c>
      <c r="B96" s="1491" t="s">
        <v>37</v>
      </c>
      <c r="C96" s="1491" t="s">
        <v>61</v>
      </c>
      <c r="D96" s="1491" t="s">
        <v>38</v>
      </c>
      <c r="E96" s="1491">
        <v>4625004944</v>
      </c>
      <c r="F96" s="1491" t="s">
        <v>8</v>
      </c>
      <c r="G96" s="1491" t="s">
        <v>1049</v>
      </c>
      <c r="H96" s="1482">
        <v>3737.27</v>
      </c>
      <c r="I96" s="1482">
        <v>3737.27</v>
      </c>
      <c r="J96" s="1482">
        <v>3559.2964621411083</v>
      </c>
      <c r="K96" s="1482">
        <v>0</v>
      </c>
      <c r="L96" s="1482">
        <v>3737.27</v>
      </c>
      <c r="M96" s="1482">
        <v>0</v>
      </c>
      <c r="N96" s="1482">
        <v>4476.6099999999997</v>
      </c>
      <c r="O96" s="1482">
        <v>4476.6099999999997</v>
      </c>
      <c r="P96" s="1482">
        <v>4135.8999999999996</v>
      </c>
      <c r="Q96" s="1482">
        <v>0</v>
      </c>
      <c r="R96" s="1482">
        <v>4476.6099999999997</v>
      </c>
      <c r="S96" s="1482">
        <v>0</v>
      </c>
    </row>
    <row r="97" spans="1:19" s="1493" customFormat="1" ht="68.25" customHeight="1">
      <c r="A97" s="6" t="e">
        <f t="shared" si="4"/>
        <v>#REF!</v>
      </c>
      <c r="B97" s="1491" t="s">
        <v>39</v>
      </c>
      <c r="C97" s="1491" t="s">
        <v>133</v>
      </c>
      <c r="D97" s="1491" t="s">
        <v>920</v>
      </c>
      <c r="E97" s="1491">
        <v>4626006422</v>
      </c>
      <c r="F97" s="1491" t="s">
        <v>8</v>
      </c>
      <c r="G97" s="1491" t="s">
        <v>1025</v>
      </c>
      <c r="H97" s="1482">
        <v>3225.62</v>
      </c>
      <c r="I97" s="1482">
        <v>3225.62</v>
      </c>
      <c r="J97" s="1482">
        <v>3225.62</v>
      </c>
      <c r="K97" s="1482">
        <v>0</v>
      </c>
      <c r="L97" s="1482">
        <v>3225.62</v>
      </c>
      <c r="M97" s="1482">
        <v>0</v>
      </c>
      <c r="N97" s="1482">
        <v>3870.7440000000001</v>
      </c>
      <c r="O97" s="1482">
        <v>3870.7440000000001</v>
      </c>
      <c r="P97" s="1482">
        <v>3748.17</v>
      </c>
      <c r="Q97" s="1482"/>
      <c r="R97" s="1482">
        <v>3870.74</v>
      </c>
      <c r="S97" s="1482">
        <v>0</v>
      </c>
    </row>
    <row r="98" spans="1:19" s="81" customFormat="1" ht="84.75" customHeight="1">
      <c r="A98" s="6" t="e">
        <f t="shared" si="4"/>
        <v>#REF!</v>
      </c>
      <c r="B98" s="1491" t="s">
        <v>39</v>
      </c>
      <c r="C98" s="672" t="s">
        <v>64</v>
      </c>
      <c r="D98" s="1491" t="s">
        <v>866</v>
      </c>
      <c r="E98" s="1491">
        <v>4626006380</v>
      </c>
      <c r="F98" s="1491" t="s">
        <v>8</v>
      </c>
      <c r="G98" s="1491" t="s">
        <v>1057</v>
      </c>
      <c r="H98" s="1482">
        <v>3892.31</v>
      </c>
      <c r="I98" s="1482">
        <v>3892.31</v>
      </c>
      <c r="J98" s="1482">
        <v>3706.96</v>
      </c>
      <c r="K98" s="1482">
        <v>0</v>
      </c>
      <c r="L98" s="1482">
        <v>3892.31</v>
      </c>
      <c r="M98" s="1482">
        <v>0</v>
      </c>
      <c r="N98" s="1482">
        <v>4339.07</v>
      </c>
      <c r="O98" s="1482">
        <v>4339.07</v>
      </c>
      <c r="P98" s="1482">
        <v>4303.78</v>
      </c>
      <c r="Q98" s="1482">
        <v>0</v>
      </c>
      <c r="R98" s="1482">
        <v>4339.07</v>
      </c>
      <c r="S98" s="1482">
        <v>0</v>
      </c>
    </row>
    <row r="99" spans="1:19" s="871" customFormat="1" ht="77.25" customHeight="1">
      <c r="A99" s="6" t="e">
        <f t="shared" si="4"/>
        <v>#REF!</v>
      </c>
      <c r="B99" s="1491" t="s">
        <v>39</v>
      </c>
      <c r="C99" s="1491" t="s">
        <v>120</v>
      </c>
      <c r="D99" s="1491" t="s">
        <v>141</v>
      </c>
      <c r="E99" s="1491">
        <v>4632024035</v>
      </c>
      <c r="F99" s="1491" t="s">
        <v>8</v>
      </c>
      <c r="G99" s="1491" t="s">
        <v>1052</v>
      </c>
      <c r="H99" s="1482">
        <v>4580.9901999999993</v>
      </c>
      <c r="I99" s="1482">
        <v>4580.9901999999993</v>
      </c>
      <c r="J99" s="1482"/>
      <c r="K99" s="1482"/>
      <c r="L99" s="1482">
        <v>4580.9901999999993</v>
      </c>
      <c r="M99" s="1482"/>
      <c r="N99" s="1482">
        <v>5497.1858000000002</v>
      </c>
      <c r="O99" s="1482">
        <v>5497.1858000000002</v>
      </c>
      <c r="P99" s="1482">
        <v>0</v>
      </c>
      <c r="Q99" s="1482">
        <v>0</v>
      </c>
      <c r="R99" s="1482">
        <v>5497.1858000000002</v>
      </c>
      <c r="S99" s="1482">
        <v>0</v>
      </c>
    </row>
    <row r="100" spans="1:19" s="871" customFormat="1" ht="76.5" customHeight="1">
      <c r="A100" s="6" t="e">
        <f t="shared" si="4"/>
        <v>#REF!</v>
      </c>
      <c r="B100" s="1491" t="s">
        <v>39</v>
      </c>
      <c r="C100" s="1491" t="s">
        <v>121</v>
      </c>
      <c r="D100" s="1491" t="s">
        <v>141</v>
      </c>
      <c r="E100" s="1491">
        <v>4632024035</v>
      </c>
      <c r="F100" s="1491" t="s">
        <v>8</v>
      </c>
      <c r="G100" s="1491" t="s">
        <v>1052</v>
      </c>
      <c r="H100" s="1482">
        <v>4580.9901999999993</v>
      </c>
      <c r="I100" s="1482">
        <v>4580.9901999999993</v>
      </c>
      <c r="J100" s="1482"/>
      <c r="K100" s="1482"/>
      <c r="L100" s="1482">
        <v>4580.9901999999993</v>
      </c>
      <c r="M100" s="1482"/>
      <c r="N100" s="1482">
        <v>5497.1858000000002</v>
      </c>
      <c r="O100" s="1482">
        <v>5497.1858000000002</v>
      </c>
      <c r="P100" s="1482">
        <v>0</v>
      </c>
      <c r="Q100" s="1482">
        <v>0</v>
      </c>
      <c r="R100" s="1482">
        <v>5497.1858000000002</v>
      </c>
      <c r="S100" s="1482">
        <v>0</v>
      </c>
    </row>
    <row r="101" spans="1:19" s="871" customFormat="1" ht="80.25" customHeight="1">
      <c r="A101" s="6" t="e">
        <f t="shared" si="4"/>
        <v>#REF!</v>
      </c>
      <c r="B101" s="1491" t="s">
        <v>41</v>
      </c>
      <c r="C101" s="1491" t="s">
        <v>122</v>
      </c>
      <c r="D101" s="1491" t="s">
        <v>147</v>
      </c>
      <c r="E101" s="1491">
        <v>4632024035</v>
      </c>
      <c r="F101" s="1491" t="s">
        <v>8</v>
      </c>
      <c r="G101" s="1491" t="s">
        <v>1052</v>
      </c>
      <c r="H101" s="1482">
        <v>4580.9901999999993</v>
      </c>
      <c r="I101" s="1482">
        <v>4580.9901999999993</v>
      </c>
      <c r="J101" s="1482">
        <v>3059.67</v>
      </c>
      <c r="K101" s="1482"/>
      <c r="L101" s="1482">
        <v>4580.9901999999993</v>
      </c>
      <c r="M101" s="1482"/>
      <c r="N101" s="1482">
        <v>5497.1858000000002</v>
      </c>
      <c r="O101" s="1482">
        <v>5497.1858000000002</v>
      </c>
      <c r="P101" s="1482">
        <v>3549.22</v>
      </c>
      <c r="Q101" s="1482">
        <v>0</v>
      </c>
      <c r="R101" s="1482">
        <v>5497.1858000000002</v>
      </c>
      <c r="S101" s="1482">
        <v>0</v>
      </c>
    </row>
    <row r="102" spans="1:19" s="871" customFormat="1" ht="79.5" customHeight="1">
      <c r="A102" s="6" t="e">
        <f t="shared" si="4"/>
        <v>#REF!</v>
      </c>
      <c r="B102" s="1491" t="s">
        <v>41</v>
      </c>
      <c r="C102" s="1491" t="s">
        <v>123</v>
      </c>
      <c r="D102" s="1491" t="s">
        <v>141</v>
      </c>
      <c r="E102" s="1491">
        <v>4632024035</v>
      </c>
      <c r="F102" s="1491" t="s">
        <v>8</v>
      </c>
      <c r="G102" s="1491" t="s">
        <v>1052</v>
      </c>
      <c r="H102" s="1482">
        <v>4580.9901999999993</v>
      </c>
      <c r="I102" s="1482">
        <v>4580.9901999999993</v>
      </c>
      <c r="J102" s="1482"/>
      <c r="K102" s="1482"/>
      <c r="L102" s="1482">
        <v>4580.9901999999993</v>
      </c>
      <c r="M102" s="1482"/>
      <c r="N102" s="1482">
        <v>5497.1858000000002</v>
      </c>
      <c r="O102" s="1482">
        <v>5497.1858000000002</v>
      </c>
      <c r="P102" s="1482">
        <v>0</v>
      </c>
      <c r="Q102" s="1482">
        <v>0</v>
      </c>
      <c r="R102" s="1482">
        <v>5497.1858000000002</v>
      </c>
      <c r="S102" s="1482">
        <v>0</v>
      </c>
    </row>
    <row r="103" spans="1:19" s="1493" customFormat="1" ht="76.5" customHeight="1">
      <c r="A103" s="6" t="e">
        <f t="shared" si="4"/>
        <v>#REF!</v>
      </c>
      <c r="B103" s="1491" t="s">
        <v>42</v>
      </c>
      <c r="C103" s="1491" t="s">
        <v>170</v>
      </c>
      <c r="D103" s="1491" t="s">
        <v>145</v>
      </c>
      <c r="E103" s="1491">
        <v>4632024035</v>
      </c>
      <c r="F103" s="1491" t="s">
        <v>8</v>
      </c>
      <c r="G103" s="1491" t="s">
        <v>1052</v>
      </c>
      <c r="H103" s="1482">
        <v>4580.9901999999993</v>
      </c>
      <c r="I103" s="1482">
        <v>4580.9901999999993</v>
      </c>
      <c r="J103" s="1482">
        <v>3059.67</v>
      </c>
      <c r="K103" s="1482">
        <v>2357.63</v>
      </c>
      <c r="L103" s="1482">
        <v>4580.9901999999993</v>
      </c>
      <c r="M103" s="1482"/>
      <c r="N103" s="1482">
        <v>5497.1858000000002</v>
      </c>
      <c r="O103" s="1482">
        <v>5497.1858000000002</v>
      </c>
      <c r="P103" s="1482">
        <v>3549.22</v>
      </c>
      <c r="Q103" s="1482">
        <v>2734.85</v>
      </c>
      <c r="R103" s="1482">
        <v>5497.1858000000002</v>
      </c>
      <c r="S103" s="1482">
        <v>0</v>
      </c>
    </row>
    <row r="104" spans="1:19" s="871" customFormat="1" ht="76.5" customHeight="1">
      <c r="A104" s="6" t="e">
        <f t="shared" si="4"/>
        <v>#REF!</v>
      </c>
      <c r="B104" s="1491" t="s">
        <v>42</v>
      </c>
      <c r="C104" s="1491" t="s">
        <v>124</v>
      </c>
      <c r="D104" s="1491" t="s">
        <v>141</v>
      </c>
      <c r="E104" s="1491">
        <v>4632024035</v>
      </c>
      <c r="F104" s="1491" t="s">
        <v>8</v>
      </c>
      <c r="G104" s="1491" t="s">
        <v>1052</v>
      </c>
      <c r="H104" s="1482">
        <v>4580.9901999999993</v>
      </c>
      <c r="I104" s="1482">
        <v>4580.9901999999993</v>
      </c>
      <c r="J104" s="1482"/>
      <c r="K104" s="1482"/>
      <c r="L104" s="1482">
        <v>4580.9901999999993</v>
      </c>
      <c r="M104" s="1482"/>
      <c r="N104" s="1482">
        <v>5497.1858000000002</v>
      </c>
      <c r="O104" s="1482">
        <v>5497.1858000000002</v>
      </c>
      <c r="P104" s="1482">
        <v>0</v>
      </c>
      <c r="Q104" s="1482">
        <v>0</v>
      </c>
      <c r="R104" s="1482">
        <v>5497.1858000000002</v>
      </c>
      <c r="S104" s="1482">
        <v>0</v>
      </c>
    </row>
    <row r="105" spans="1:19" s="871" customFormat="1" ht="77.25" customHeight="1">
      <c r="A105" s="6" t="e">
        <f t="shared" si="4"/>
        <v>#REF!</v>
      </c>
      <c r="B105" s="1491" t="s">
        <v>42</v>
      </c>
      <c r="C105" s="1491" t="s">
        <v>125</v>
      </c>
      <c r="D105" s="1491" t="s">
        <v>141</v>
      </c>
      <c r="E105" s="1491">
        <v>4632024035</v>
      </c>
      <c r="F105" s="1491" t="s">
        <v>8</v>
      </c>
      <c r="G105" s="1491" t="s">
        <v>1052</v>
      </c>
      <c r="H105" s="1482">
        <v>4580.9901999999993</v>
      </c>
      <c r="I105" s="1482">
        <v>4580.9901999999993</v>
      </c>
      <c r="J105" s="1482"/>
      <c r="K105" s="1482"/>
      <c r="L105" s="1482">
        <v>4580.9901999999993</v>
      </c>
      <c r="M105" s="1482"/>
      <c r="N105" s="1482">
        <v>5497.1858000000002</v>
      </c>
      <c r="O105" s="1482">
        <v>5497.1858000000002</v>
      </c>
      <c r="P105" s="1482">
        <v>0</v>
      </c>
      <c r="Q105" s="1482">
        <v>0</v>
      </c>
      <c r="R105" s="1482">
        <v>5497.1858000000002</v>
      </c>
      <c r="S105" s="1482">
        <v>0</v>
      </c>
    </row>
    <row r="106" spans="1:19" s="871" customFormat="1" ht="67.5" customHeight="1">
      <c r="A106" s="6" t="e">
        <f t="shared" si="4"/>
        <v>#REF!</v>
      </c>
      <c r="B106" s="1491" t="s">
        <v>42</v>
      </c>
      <c r="C106" s="1491" t="s">
        <v>126</v>
      </c>
      <c r="D106" s="1491" t="s">
        <v>141</v>
      </c>
      <c r="E106" s="1491">
        <v>4632024035</v>
      </c>
      <c r="F106" s="1491" t="s">
        <v>8</v>
      </c>
      <c r="G106" s="1491" t="s">
        <v>1052</v>
      </c>
      <c r="H106" s="1482">
        <v>4580.9901999999993</v>
      </c>
      <c r="I106" s="1482">
        <v>4580.9901999999993</v>
      </c>
      <c r="J106" s="1482"/>
      <c r="K106" s="1482"/>
      <c r="L106" s="1482">
        <v>4580.9901999999993</v>
      </c>
      <c r="M106" s="1482"/>
      <c r="N106" s="1482">
        <v>5497.1858000000002</v>
      </c>
      <c r="O106" s="1482">
        <v>5497.1858000000002</v>
      </c>
      <c r="P106" s="1482">
        <v>0</v>
      </c>
      <c r="Q106" s="1482">
        <v>0</v>
      </c>
      <c r="R106" s="1482">
        <v>5497.1858000000002</v>
      </c>
      <c r="S106" s="1482">
        <v>0</v>
      </c>
    </row>
    <row r="107" spans="1:19" s="871" customFormat="1" ht="77.25" customHeight="1">
      <c r="A107" s="6" t="e">
        <f t="shared" si="4"/>
        <v>#REF!</v>
      </c>
      <c r="B107" s="1491" t="s">
        <v>42</v>
      </c>
      <c r="C107" s="1491" t="s">
        <v>127</v>
      </c>
      <c r="D107" s="1491" t="s">
        <v>142</v>
      </c>
      <c r="E107" s="1491">
        <v>4632024035</v>
      </c>
      <c r="F107" s="1491" t="s">
        <v>8</v>
      </c>
      <c r="G107" s="1491" t="s">
        <v>1052</v>
      </c>
      <c r="H107" s="1482">
        <v>4580.9901999999993</v>
      </c>
      <c r="I107" s="1482">
        <v>4580.9901999999993</v>
      </c>
      <c r="J107" s="1482"/>
      <c r="K107" s="1482"/>
      <c r="L107" s="1482">
        <v>4580.9901999999993</v>
      </c>
      <c r="M107" s="1482"/>
      <c r="N107" s="1482">
        <v>5497.1858000000002</v>
      </c>
      <c r="O107" s="1482">
        <v>5497.1858000000002</v>
      </c>
      <c r="P107" s="1482">
        <v>0</v>
      </c>
      <c r="Q107" s="1482">
        <v>0</v>
      </c>
      <c r="R107" s="1482">
        <v>5497.1858000000002</v>
      </c>
      <c r="S107" s="1482">
        <v>0</v>
      </c>
    </row>
    <row r="108" spans="1:19" s="871" customFormat="1" ht="71.25" customHeight="1">
      <c r="A108" s="6" t="e">
        <f t="shared" si="4"/>
        <v>#REF!</v>
      </c>
      <c r="B108" s="1491" t="s">
        <v>42</v>
      </c>
      <c r="C108" s="1491" t="s">
        <v>128</v>
      </c>
      <c r="D108" s="1491" t="s">
        <v>141</v>
      </c>
      <c r="E108" s="1491">
        <v>4632024035</v>
      </c>
      <c r="F108" s="1491" t="s">
        <v>8</v>
      </c>
      <c r="G108" s="1491" t="s">
        <v>1052</v>
      </c>
      <c r="H108" s="1482">
        <v>4580.9901999999993</v>
      </c>
      <c r="I108" s="1482">
        <v>4580.9901999999993</v>
      </c>
      <c r="J108" s="1482"/>
      <c r="K108" s="1482"/>
      <c r="L108" s="1482">
        <v>4580.9901999999993</v>
      </c>
      <c r="M108" s="1482"/>
      <c r="N108" s="1482">
        <v>5497.1858000000002</v>
      </c>
      <c r="O108" s="1482">
        <v>5497.1858000000002</v>
      </c>
      <c r="P108" s="1482">
        <v>0</v>
      </c>
      <c r="Q108" s="1482">
        <v>0</v>
      </c>
      <c r="R108" s="1482">
        <v>5497.1858000000002</v>
      </c>
      <c r="S108" s="1482">
        <v>0</v>
      </c>
    </row>
    <row r="109" spans="1:19" s="871" customFormat="1" ht="75.75" customHeight="1">
      <c r="A109" s="6" t="e">
        <f t="shared" si="4"/>
        <v>#REF!</v>
      </c>
      <c r="B109" s="1491" t="s">
        <v>42</v>
      </c>
      <c r="C109" s="1491" t="s">
        <v>129</v>
      </c>
      <c r="D109" s="1491" t="s">
        <v>141</v>
      </c>
      <c r="E109" s="1491">
        <v>4632024035</v>
      </c>
      <c r="F109" s="1491" t="s">
        <v>8</v>
      </c>
      <c r="G109" s="1491" t="s">
        <v>1052</v>
      </c>
      <c r="H109" s="1482">
        <v>4580.9901999999993</v>
      </c>
      <c r="I109" s="1482">
        <v>4580.9901999999993</v>
      </c>
      <c r="J109" s="1482"/>
      <c r="K109" s="1482"/>
      <c r="L109" s="1482">
        <v>4580.9901999999993</v>
      </c>
      <c r="M109" s="1482"/>
      <c r="N109" s="1482">
        <v>5497.1858000000002</v>
      </c>
      <c r="O109" s="1482">
        <v>5497.1858000000002</v>
      </c>
      <c r="P109" s="1482">
        <v>0</v>
      </c>
      <c r="Q109" s="1482">
        <v>0</v>
      </c>
      <c r="R109" s="1482">
        <v>5497.1858000000002</v>
      </c>
      <c r="S109" s="1482">
        <v>0</v>
      </c>
    </row>
    <row r="110" spans="1:19" s="871" customFormat="1" ht="72.75" customHeight="1">
      <c r="A110" s="6" t="e">
        <f t="shared" si="4"/>
        <v>#REF!</v>
      </c>
      <c r="B110" s="1491" t="s">
        <v>42</v>
      </c>
      <c r="C110" s="1491" t="s">
        <v>130</v>
      </c>
      <c r="D110" s="1491" t="s">
        <v>141</v>
      </c>
      <c r="E110" s="1491">
        <v>4632024035</v>
      </c>
      <c r="F110" s="1491" t="s">
        <v>8</v>
      </c>
      <c r="G110" s="1491" t="s">
        <v>1052</v>
      </c>
      <c r="H110" s="1482">
        <v>4580.9901999999993</v>
      </c>
      <c r="I110" s="1482">
        <v>4580.9901999999993</v>
      </c>
      <c r="J110" s="1482"/>
      <c r="K110" s="1482"/>
      <c r="L110" s="1482">
        <v>4580.9901999999993</v>
      </c>
      <c r="M110" s="1482"/>
      <c r="N110" s="1482">
        <v>5497.1858000000002</v>
      </c>
      <c r="O110" s="1482">
        <v>5497.1858000000002</v>
      </c>
      <c r="P110" s="1482">
        <v>0</v>
      </c>
      <c r="Q110" s="1482">
        <v>0</v>
      </c>
      <c r="R110" s="1482">
        <v>5497.1858000000002</v>
      </c>
      <c r="S110" s="1482">
        <v>0</v>
      </c>
    </row>
    <row r="111" spans="1:19" s="871" customFormat="1" ht="72.75" customHeight="1">
      <c r="A111" s="6" t="e">
        <f t="shared" si="4"/>
        <v>#REF!</v>
      </c>
      <c r="B111" s="1491" t="s">
        <v>42</v>
      </c>
      <c r="C111" s="1491" t="s">
        <v>131</v>
      </c>
      <c r="D111" s="1491" t="s">
        <v>141</v>
      </c>
      <c r="E111" s="1491">
        <v>4632024035</v>
      </c>
      <c r="F111" s="1491" t="s">
        <v>8</v>
      </c>
      <c r="G111" s="1491" t="s">
        <v>1052</v>
      </c>
      <c r="H111" s="1482">
        <v>4580.9901999999993</v>
      </c>
      <c r="I111" s="1482">
        <v>4580.9901999999993</v>
      </c>
      <c r="J111" s="1482"/>
      <c r="K111" s="1482"/>
      <c r="L111" s="1482">
        <v>4580.9901999999993</v>
      </c>
      <c r="M111" s="1482"/>
      <c r="N111" s="1482">
        <v>5497.1858000000002</v>
      </c>
      <c r="O111" s="1482">
        <v>5497.1858000000002</v>
      </c>
      <c r="P111" s="1482">
        <v>0</v>
      </c>
      <c r="Q111" s="1482">
        <v>0</v>
      </c>
      <c r="R111" s="1482">
        <v>5497.1858000000002</v>
      </c>
      <c r="S111" s="1482">
        <v>0</v>
      </c>
    </row>
    <row r="112" spans="1:19" s="1493" customFormat="1" ht="111.75" customHeight="1">
      <c r="A112" s="6" t="e">
        <f t="shared" si="4"/>
        <v>#REF!</v>
      </c>
      <c r="B112" s="1491" t="s">
        <v>43</v>
      </c>
      <c r="C112" s="1491" t="s">
        <v>53</v>
      </c>
      <c r="D112" s="1491" t="s">
        <v>256</v>
      </c>
      <c r="E112" s="1491">
        <v>4633002394</v>
      </c>
      <c r="F112" s="1491" t="s">
        <v>8</v>
      </c>
      <c r="G112" s="1491" t="s">
        <v>1058</v>
      </c>
      <c r="H112" s="1482">
        <v>2614.4233999999997</v>
      </c>
      <c r="I112" s="1482">
        <v>2614.4233999999997</v>
      </c>
      <c r="J112" s="1482">
        <v>2614.4233999999997</v>
      </c>
      <c r="K112" s="1482">
        <v>2614.4233999999997</v>
      </c>
      <c r="L112" s="1482">
        <v>2614.4233999999997</v>
      </c>
      <c r="M112" s="1482"/>
      <c r="N112" s="1482">
        <v>3137.3031999999998</v>
      </c>
      <c r="O112" s="1482">
        <v>3137.3031999999998</v>
      </c>
      <c r="P112" s="1482">
        <v>3113.51</v>
      </c>
      <c r="Q112" s="1482">
        <v>3113.51</v>
      </c>
      <c r="R112" s="1482">
        <v>3137.3031999999998</v>
      </c>
      <c r="S112" s="1482">
        <v>0</v>
      </c>
    </row>
    <row r="113" spans="1:19" s="81" customFormat="1" ht="70.5" customHeight="1">
      <c r="A113" s="6" t="e">
        <f t="shared" si="4"/>
        <v>#REF!</v>
      </c>
      <c r="B113" s="1491" t="s">
        <v>43</v>
      </c>
      <c r="C113" s="1491" t="s">
        <v>53</v>
      </c>
      <c r="D113" s="1491" t="s">
        <v>276</v>
      </c>
      <c r="E113" s="1491">
        <v>4633001577</v>
      </c>
      <c r="F113" s="1491" t="s">
        <v>8</v>
      </c>
      <c r="G113" s="1491" t="s">
        <v>1054</v>
      </c>
      <c r="H113" s="1482">
        <v>2712.13</v>
      </c>
      <c r="I113" s="1482">
        <v>0</v>
      </c>
      <c r="J113" s="1482">
        <v>0</v>
      </c>
      <c r="K113" s="1482">
        <v>0</v>
      </c>
      <c r="L113" s="1482">
        <v>2712.13</v>
      </c>
      <c r="M113" s="1482">
        <v>0</v>
      </c>
      <c r="N113" s="1482">
        <v>3201.96</v>
      </c>
      <c r="O113" s="1482">
        <v>0</v>
      </c>
      <c r="P113" s="1482">
        <v>0</v>
      </c>
      <c r="Q113" s="1482">
        <v>0</v>
      </c>
      <c r="R113" s="1482">
        <v>3201.96</v>
      </c>
      <c r="S113" s="1482">
        <v>0</v>
      </c>
    </row>
    <row r="114" spans="1:19" s="81" customFormat="1" ht="63.75" customHeight="1">
      <c r="A114" s="6" t="e">
        <f t="shared" si="4"/>
        <v>#REF!</v>
      </c>
      <c r="B114" s="1491" t="s">
        <v>43</v>
      </c>
      <c r="C114" s="1491" t="s">
        <v>53</v>
      </c>
      <c r="D114" s="1486" t="s">
        <v>44</v>
      </c>
      <c r="E114" s="1491">
        <v>4633016372</v>
      </c>
      <c r="F114" s="1491" t="s">
        <v>45</v>
      </c>
      <c r="G114" s="1491" t="s">
        <v>1055</v>
      </c>
      <c r="H114" s="1482">
        <v>2477.8200000000002</v>
      </c>
      <c r="I114" s="1482">
        <v>0</v>
      </c>
      <c r="J114" s="1482">
        <v>0</v>
      </c>
      <c r="K114" s="1482">
        <v>0</v>
      </c>
      <c r="L114" s="1482">
        <v>2477.8200000000002</v>
      </c>
      <c r="M114" s="1482">
        <v>0</v>
      </c>
      <c r="N114" s="1482">
        <v>2849.49</v>
      </c>
      <c r="O114" s="1482">
        <v>0</v>
      </c>
      <c r="P114" s="1482">
        <v>0</v>
      </c>
      <c r="Q114" s="1482">
        <v>0</v>
      </c>
      <c r="R114" s="1482">
        <v>2849.49</v>
      </c>
      <c r="S114" s="1482">
        <v>0</v>
      </c>
    </row>
    <row r="115" spans="1:19" s="81" customFormat="1" ht="69.75" customHeight="1">
      <c r="A115" s="6" t="e">
        <f t="shared" si="4"/>
        <v>#REF!</v>
      </c>
      <c r="B115" s="1491" t="s">
        <v>43</v>
      </c>
      <c r="C115" s="1491" t="s">
        <v>53</v>
      </c>
      <c r="D115" s="1486" t="s">
        <v>44</v>
      </c>
      <c r="E115" s="1491">
        <v>4633016372</v>
      </c>
      <c r="F115" s="1491" t="s">
        <v>8</v>
      </c>
      <c r="G115" s="1491" t="s">
        <v>1055</v>
      </c>
      <c r="H115" s="1482">
        <v>2960.88</v>
      </c>
      <c r="I115" s="1482">
        <v>0</v>
      </c>
      <c r="J115" s="1482">
        <v>0</v>
      </c>
      <c r="K115" s="1482">
        <v>0</v>
      </c>
      <c r="L115" s="1482">
        <v>2960.88</v>
      </c>
      <c r="M115" s="1482">
        <v>0</v>
      </c>
      <c r="N115" s="1482">
        <v>3500.97</v>
      </c>
      <c r="O115" s="1482">
        <v>0</v>
      </c>
      <c r="P115" s="1482">
        <v>0</v>
      </c>
      <c r="Q115" s="1482">
        <v>0</v>
      </c>
      <c r="R115" s="1482">
        <v>3500.97</v>
      </c>
      <c r="S115" s="1482">
        <v>0</v>
      </c>
    </row>
    <row r="116" spans="1:19" s="81" customFormat="1" ht="73.5" customHeight="1">
      <c r="A116" s="6" t="e">
        <f t="shared" si="4"/>
        <v>#REF!</v>
      </c>
      <c r="B116" s="1491" t="s">
        <v>43</v>
      </c>
      <c r="C116" s="1491" t="s">
        <v>53</v>
      </c>
      <c r="D116" s="1486" t="s">
        <v>46</v>
      </c>
      <c r="E116" s="1491">
        <v>4633022993</v>
      </c>
      <c r="F116" s="1491" t="s">
        <v>8</v>
      </c>
      <c r="G116" s="1491" t="s">
        <v>1033</v>
      </c>
      <c r="H116" s="1482">
        <v>1997.3</v>
      </c>
      <c r="I116" s="1482"/>
      <c r="J116" s="1482">
        <v>1997.3</v>
      </c>
      <c r="K116" s="1482">
        <v>1997.3</v>
      </c>
      <c r="L116" s="1482">
        <v>1997.3</v>
      </c>
      <c r="M116" s="1482">
        <v>0</v>
      </c>
      <c r="N116" s="1482">
        <v>2376.7800000000002</v>
      </c>
      <c r="O116" s="1482"/>
      <c r="P116" s="1482">
        <v>2376.7800000000002</v>
      </c>
      <c r="Q116" s="1482">
        <v>2376.7800000000002</v>
      </c>
      <c r="R116" s="1482">
        <v>2376.7800000000002</v>
      </c>
      <c r="S116" s="1482">
        <v>0</v>
      </c>
    </row>
    <row r="117" spans="1:19" s="1493" customFormat="1" ht="78" customHeight="1">
      <c r="A117" s="6" t="e">
        <f>#REF!+1</f>
        <v>#REF!</v>
      </c>
      <c r="B117" s="1491" t="s">
        <v>47</v>
      </c>
      <c r="C117" s="1491" t="s">
        <v>56</v>
      </c>
      <c r="D117" s="1491" t="s">
        <v>984</v>
      </c>
      <c r="E117" s="1491">
        <v>4632121159</v>
      </c>
      <c r="F117" s="1491" t="s">
        <v>8</v>
      </c>
      <c r="G117" s="1491" t="s">
        <v>1036</v>
      </c>
      <c r="H117" s="1482">
        <v>2712.32</v>
      </c>
      <c r="I117" s="1482">
        <v>2712.32</v>
      </c>
      <c r="J117" s="1482">
        <v>2712.32</v>
      </c>
      <c r="K117" s="1482">
        <v>0</v>
      </c>
      <c r="L117" s="1482">
        <v>2712.32</v>
      </c>
      <c r="M117" s="1482">
        <v>0</v>
      </c>
      <c r="N117" s="1482">
        <v>3004.96</v>
      </c>
      <c r="O117" s="1482">
        <v>3004.96</v>
      </c>
      <c r="P117" s="1482">
        <v>3004.96</v>
      </c>
      <c r="Q117" s="1482">
        <v>0</v>
      </c>
      <c r="R117" s="1482">
        <v>3004.96</v>
      </c>
      <c r="S117" s="1482">
        <v>0</v>
      </c>
    </row>
    <row r="118" spans="1:19" s="81" customFormat="1" ht="72" customHeight="1">
      <c r="A118" s="6" t="e">
        <f t="shared" si="4"/>
        <v>#REF!</v>
      </c>
      <c r="B118" s="1491" t="s">
        <v>47</v>
      </c>
      <c r="C118" s="1491" t="s">
        <v>56</v>
      </c>
      <c r="D118" s="1491" t="s">
        <v>224</v>
      </c>
      <c r="E118" s="1491">
        <v>4632113278</v>
      </c>
      <c r="F118" s="1" t="s">
        <v>8</v>
      </c>
      <c r="G118" s="1" t="s">
        <v>1022</v>
      </c>
      <c r="H118" s="1482">
        <v>1889.3294496547715</v>
      </c>
      <c r="I118" s="1482"/>
      <c r="J118" s="1482">
        <v>1889.3294496547715</v>
      </c>
      <c r="K118" s="1482"/>
      <c r="L118" s="1482"/>
      <c r="M118" s="1482"/>
      <c r="N118" s="1482">
        <v>2195.4</v>
      </c>
      <c r="O118" s="1482"/>
      <c r="P118" s="1482">
        <v>2195.4</v>
      </c>
      <c r="Q118" s="1482"/>
      <c r="R118" s="1482"/>
      <c r="S118" s="1482"/>
    </row>
    <row r="119" spans="1:19" s="81" customFormat="1" ht="87" customHeight="1">
      <c r="A119" s="6" t="e">
        <f t="shared" si="4"/>
        <v>#REF!</v>
      </c>
      <c r="B119" s="1491" t="s">
        <v>47</v>
      </c>
      <c r="C119" s="1491" t="s">
        <v>56</v>
      </c>
      <c r="D119" s="1491" t="s">
        <v>162</v>
      </c>
      <c r="E119" s="1491">
        <v>5261077695</v>
      </c>
      <c r="F119" s="1491" t="s">
        <v>8</v>
      </c>
      <c r="G119" s="1491" t="s">
        <v>1041</v>
      </c>
      <c r="H119" s="1484">
        <v>3672</v>
      </c>
      <c r="I119" s="1484">
        <v>3672</v>
      </c>
      <c r="J119" s="1484">
        <v>0</v>
      </c>
      <c r="K119" s="1484">
        <v>0</v>
      </c>
      <c r="L119" s="1484">
        <v>0</v>
      </c>
      <c r="M119" s="1484">
        <v>0</v>
      </c>
      <c r="N119" s="1484">
        <v>4406.41</v>
      </c>
      <c r="O119" s="1484">
        <v>4406.41</v>
      </c>
      <c r="P119" s="1484">
        <v>0</v>
      </c>
      <c r="Q119" s="1484">
        <v>0</v>
      </c>
      <c r="R119" s="1482">
        <v>0</v>
      </c>
      <c r="S119" s="1484">
        <v>0</v>
      </c>
    </row>
    <row r="120" spans="1:19" s="81" customFormat="1" ht="81" customHeight="1">
      <c r="A120" s="6" t="e">
        <f t="shared" si="4"/>
        <v>#REF!</v>
      </c>
      <c r="B120" s="1491" t="s">
        <v>47</v>
      </c>
      <c r="C120" s="1491" t="s">
        <v>56</v>
      </c>
      <c r="D120" s="1491" t="s">
        <v>254</v>
      </c>
      <c r="E120" s="1491">
        <v>4632000330</v>
      </c>
      <c r="F120" s="1491" t="s">
        <v>8</v>
      </c>
      <c r="G120" s="1491" t="s">
        <v>1029</v>
      </c>
      <c r="H120" s="1482">
        <v>3038.4344000000001</v>
      </c>
      <c r="I120" s="1482">
        <v>3038.4344000000001</v>
      </c>
      <c r="J120" s="1482">
        <v>2755.7847999999999</v>
      </c>
      <c r="K120" s="1482">
        <v>0</v>
      </c>
      <c r="L120" s="1482">
        <v>3038.4344000000001</v>
      </c>
      <c r="M120" s="1482">
        <v>3726.7209179570359</v>
      </c>
      <c r="N120" s="1482">
        <v>3646.1163999999999</v>
      </c>
      <c r="O120" s="1482">
        <v>3646.1163999999999</v>
      </c>
      <c r="P120" s="1482">
        <v>3089.76</v>
      </c>
      <c r="Q120" s="1482"/>
      <c r="R120" s="1482">
        <v>3646.1163999999999</v>
      </c>
      <c r="S120" s="1484">
        <v>5640.0477999999994</v>
      </c>
    </row>
    <row r="121" spans="1:19" s="1494" customFormat="1" ht="84.75" customHeight="1">
      <c r="A121" s="6" t="e">
        <f t="shared" si="4"/>
        <v>#REF!</v>
      </c>
      <c r="B121" s="1491" t="s">
        <v>47</v>
      </c>
      <c r="C121" s="1491" t="s">
        <v>56</v>
      </c>
      <c r="D121" s="1491" t="s">
        <v>154</v>
      </c>
      <c r="E121" s="1491">
        <v>7729314745</v>
      </c>
      <c r="F121" s="1491" t="s">
        <v>8</v>
      </c>
      <c r="G121" s="1491" t="s">
        <v>1051</v>
      </c>
      <c r="H121" s="1482">
        <v>4693.5839999999998</v>
      </c>
      <c r="I121" s="1482">
        <v>4693.5839999999998</v>
      </c>
      <c r="J121" s="1482"/>
      <c r="K121" s="1482"/>
      <c r="L121" s="1482">
        <v>4693.5839999999998</v>
      </c>
      <c r="M121" s="1482"/>
      <c r="N121" s="1482">
        <v>5518.0355999999992</v>
      </c>
      <c r="O121" s="1482">
        <v>5518.0355999999992</v>
      </c>
      <c r="P121" s="1482">
        <v>0</v>
      </c>
      <c r="Q121" s="1482">
        <v>0</v>
      </c>
      <c r="R121" s="1482">
        <v>5518.0355999999992</v>
      </c>
      <c r="S121" s="1482">
        <v>0</v>
      </c>
    </row>
    <row r="122" spans="1:19" s="81" customFormat="1" ht="83.25" customHeight="1">
      <c r="A122" s="6" t="e">
        <f t="shared" si="4"/>
        <v>#REF!</v>
      </c>
      <c r="B122" s="1491" t="s">
        <v>47</v>
      </c>
      <c r="C122" s="1491" t="s">
        <v>56</v>
      </c>
      <c r="D122" s="1491" t="s">
        <v>137</v>
      </c>
      <c r="E122" s="1491">
        <v>4632001454</v>
      </c>
      <c r="F122" s="1491" t="s">
        <v>8</v>
      </c>
      <c r="G122" s="1491" t="s">
        <v>1026</v>
      </c>
      <c r="H122" s="1482">
        <v>4897.9218000000001</v>
      </c>
      <c r="I122" s="1482">
        <v>0</v>
      </c>
      <c r="J122" s="1482">
        <v>0</v>
      </c>
      <c r="K122" s="1482">
        <v>0</v>
      </c>
      <c r="L122" s="1482">
        <v>4897.92</v>
      </c>
      <c r="M122" s="1482">
        <v>0</v>
      </c>
      <c r="N122" s="1482">
        <v>5830.7338</v>
      </c>
      <c r="O122" s="1482"/>
      <c r="P122" s="1482"/>
      <c r="Q122" s="1482"/>
      <c r="R122" s="1482">
        <v>5830.7338</v>
      </c>
      <c r="S122" s="1482">
        <v>0</v>
      </c>
    </row>
    <row r="123" spans="1:19" s="81" customFormat="1" ht="83.25" customHeight="1">
      <c r="A123" s="6" t="e">
        <f t="shared" ref="A123:A132" si="6">A122+1</f>
        <v>#REF!</v>
      </c>
      <c r="B123" s="1491" t="s">
        <v>47</v>
      </c>
      <c r="C123" s="1491" t="s">
        <v>56</v>
      </c>
      <c r="D123" s="1491" t="s">
        <v>49</v>
      </c>
      <c r="E123" s="1491">
        <v>4632033706</v>
      </c>
      <c r="F123" s="1491" t="s">
        <v>184</v>
      </c>
      <c r="G123" s="1491" t="s">
        <v>1027</v>
      </c>
      <c r="H123" s="1482">
        <v>242.88980000000001</v>
      </c>
      <c r="I123" s="1482"/>
      <c r="J123" s="1482"/>
      <c r="K123" s="1482"/>
      <c r="L123" s="1482">
        <v>242.88980000000001</v>
      </c>
      <c r="M123" s="1482"/>
      <c r="N123" s="1482">
        <v>248.35539999999997</v>
      </c>
      <c r="O123" s="1482"/>
      <c r="P123" s="1482"/>
      <c r="Q123" s="1482"/>
      <c r="R123" s="1482">
        <v>248.35539999999997</v>
      </c>
      <c r="S123" s="1482">
        <v>0</v>
      </c>
    </row>
    <row r="124" spans="1:19" s="81" customFormat="1" ht="83.25" customHeight="1">
      <c r="A124" s="6" t="e">
        <f t="shared" si="6"/>
        <v>#REF!</v>
      </c>
      <c r="B124" s="1491" t="s">
        <v>47</v>
      </c>
      <c r="C124" s="1491" t="s">
        <v>56</v>
      </c>
      <c r="D124" s="1491" t="s">
        <v>50</v>
      </c>
      <c r="E124" s="1491">
        <v>4632032678</v>
      </c>
      <c r="F124" s="1491" t="s">
        <v>8</v>
      </c>
      <c r="G124" s="1491" t="s">
        <v>1050</v>
      </c>
      <c r="H124" s="1482">
        <v>3067.51</v>
      </c>
      <c r="I124" s="1482">
        <v>0</v>
      </c>
      <c r="J124" s="1482">
        <v>0</v>
      </c>
      <c r="K124" s="1482">
        <v>0</v>
      </c>
      <c r="L124" s="1482">
        <v>3067.51</v>
      </c>
      <c r="M124" s="1482">
        <v>0</v>
      </c>
      <c r="N124" s="1482">
        <v>3599.83</v>
      </c>
      <c r="O124" s="1482">
        <v>0</v>
      </c>
      <c r="P124" s="1482">
        <v>0</v>
      </c>
      <c r="Q124" s="1482">
        <v>0</v>
      </c>
      <c r="R124" s="1482">
        <v>3599.83</v>
      </c>
      <c r="S124" s="1482">
        <v>0</v>
      </c>
    </row>
    <row r="125" spans="1:19" s="81" customFormat="1" ht="76.5" customHeight="1">
      <c r="A125" s="6" t="e">
        <f t="shared" si="6"/>
        <v>#REF!</v>
      </c>
      <c r="B125" s="1491" t="s">
        <v>47</v>
      </c>
      <c r="C125" s="1491" t="s">
        <v>56</v>
      </c>
      <c r="D125" s="1491" t="s">
        <v>921</v>
      </c>
      <c r="E125" s="1491" t="s">
        <v>1002</v>
      </c>
      <c r="F125" s="1491" t="s">
        <v>8</v>
      </c>
      <c r="G125" s="1491" t="s">
        <v>1037</v>
      </c>
      <c r="H125" s="1482">
        <v>3189.74</v>
      </c>
      <c r="I125" s="1482">
        <v>3189.74</v>
      </c>
      <c r="J125" s="1482">
        <v>0</v>
      </c>
      <c r="K125" s="1482">
        <v>0</v>
      </c>
      <c r="L125" s="1482">
        <v>3189.74</v>
      </c>
      <c r="M125" s="1482">
        <v>0</v>
      </c>
      <c r="N125" s="1482">
        <v>3592.39</v>
      </c>
      <c r="O125" s="1482">
        <v>3592.39</v>
      </c>
      <c r="P125" s="1482">
        <v>0</v>
      </c>
      <c r="Q125" s="1482">
        <v>0</v>
      </c>
      <c r="R125" s="1482">
        <v>3592.39</v>
      </c>
      <c r="S125" s="1482">
        <v>0</v>
      </c>
    </row>
    <row r="126" spans="1:19" s="81" customFormat="1" ht="90" customHeight="1">
      <c r="A126" s="6" t="e">
        <f t="shared" si="6"/>
        <v>#REF!</v>
      </c>
      <c r="B126" s="1491" t="s">
        <v>47</v>
      </c>
      <c r="C126" s="1491" t="s">
        <v>56</v>
      </c>
      <c r="D126" s="1491" t="s">
        <v>54</v>
      </c>
      <c r="E126" s="1491">
        <v>4632068226</v>
      </c>
      <c r="F126" s="1491" t="s">
        <v>8</v>
      </c>
      <c r="G126" s="1491" t="s">
        <v>1048</v>
      </c>
      <c r="H126" s="1484">
        <v>2231.0749999999998</v>
      </c>
      <c r="I126" s="1484">
        <v>2231.0749999999998</v>
      </c>
      <c r="J126" s="1484">
        <v>2119.5100000000002</v>
      </c>
      <c r="K126" s="1484">
        <v>2119.5100000000002</v>
      </c>
      <c r="L126" s="1484">
        <v>2231.0749999999998</v>
      </c>
      <c r="M126" s="1484">
        <v>2231.0749999999998</v>
      </c>
      <c r="N126" s="1484">
        <v>2677.29</v>
      </c>
      <c r="O126" s="1484">
        <v>2677.29</v>
      </c>
      <c r="P126" s="1484">
        <v>2462.86</v>
      </c>
      <c r="Q126" s="1484">
        <v>2462.86</v>
      </c>
      <c r="R126" s="1484">
        <v>2677.29</v>
      </c>
      <c r="S126" s="1484">
        <v>2677.29</v>
      </c>
    </row>
    <row r="127" spans="1:19" s="1493" customFormat="1" ht="85.5" customHeight="1">
      <c r="A127" s="6" t="e">
        <f t="shared" si="6"/>
        <v>#REF!</v>
      </c>
      <c r="B127" s="1491" t="s">
        <v>47</v>
      </c>
      <c r="C127" s="1491" t="s">
        <v>56</v>
      </c>
      <c r="D127" s="1491" t="s">
        <v>141</v>
      </c>
      <c r="E127" s="1491">
        <v>4632024035</v>
      </c>
      <c r="F127" s="1491" t="s">
        <v>8</v>
      </c>
      <c r="G127" s="1491" t="s">
        <v>1052</v>
      </c>
      <c r="H127" s="1482">
        <v>4580.9901999999993</v>
      </c>
      <c r="I127" s="1482">
        <v>4580.9901999999993</v>
      </c>
      <c r="J127" s="1482">
        <v>3059.67</v>
      </c>
      <c r="K127" s="1482">
        <v>3059.67</v>
      </c>
      <c r="L127" s="1482">
        <v>4580.9901999999993</v>
      </c>
      <c r="M127" s="1482"/>
      <c r="N127" s="1482">
        <v>5497.1858000000002</v>
      </c>
      <c r="O127" s="1482">
        <v>5497.1858000000002</v>
      </c>
      <c r="P127" s="1482">
        <v>3549.22</v>
      </c>
      <c r="Q127" s="1482">
        <v>3549.22</v>
      </c>
      <c r="R127" s="1482">
        <v>5497.1858000000002</v>
      </c>
      <c r="S127" s="1482">
        <v>0</v>
      </c>
    </row>
    <row r="128" spans="1:19" s="871" customFormat="1" ht="84.75" customHeight="1">
      <c r="A128" s="6" t="e">
        <f t="shared" si="6"/>
        <v>#REF!</v>
      </c>
      <c r="B128" s="1491" t="s">
        <v>47</v>
      </c>
      <c r="C128" s="1491" t="s">
        <v>56</v>
      </c>
      <c r="D128" s="1491" t="s">
        <v>1017</v>
      </c>
      <c r="E128" s="1491">
        <v>6829012680</v>
      </c>
      <c r="F128" s="1491" t="s">
        <v>8</v>
      </c>
      <c r="G128" s="1491" t="s">
        <v>1034</v>
      </c>
      <c r="H128" s="1482">
        <v>3038.4344000000001</v>
      </c>
      <c r="I128" s="1482">
        <v>3038.4344000000001</v>
      </c>
      <c r="J128" s="1482">
        <v>2755.7847999999999</v>
      </c>
      <c r="K128" s="1482">
        <v>2755.7847999999999</v>
      </c>
      <c r="L128" s="1482">
        <v>3038.4344000000001</v>
      </c>
      <c r="M128" s="1482">
        <v>3038.4344000000001</v>
      </c>
      <c r="N128" s="1482">
        <v>3390.8924000000002</v>
      </c>
      <c r="O128" s="1482">
        <v>3390.8924000000002</v>
      </c>
      <c r="P128" s="1482">
        <v>3089.76</v>
      </c>
      <c r="Q128" s="1482">
        <v>3089.76</v>
      </c>
      <c r="R128" s="1482">
        <v>3390.8924000000002</v>
      </c>
      <c r="S128" s="1482">
        <v>3390.8924000000002</v>
      </c>
    </row>
    <row r="129" spans="1:19" s="1493" customFormat="1" ht="81" customHeight="1">
      <c r="A129" s="6" t="e">
        <f t="shared" si="6"/>
        <v>#REF!</v>
      </c>
      <c r="B129" s="1491" t="s">
        <v>47</v>
      </c>
      <c r="C129" s="1491" t="s">
        <v>56</v>
      </c>
      <c r="D129" s="1491" t="s">
        <v>272</v>
      </c>
      <c r="E129" s="1491">
        <v>4630001280</v>
      </c>
      <c r="F129" s="1491" t="s">
        <v>8</v>
      </c>
      <c r="G129" s="1491" t="s">
        <v>1035</v>
      </c>
      <c r="H129" s="1482">
        <v>2986.69</v>
      </c>
      <c r="I129" s="1482">
        <v>0</v>
      </c>
      <c r="J129" s="1482">
        <v>2986.69</v>
      </c>
      <c r="K129" s="1482">
        <v>0</v>
      </c>
      <c r="L129" s="1482">
        <v>0</v>
      </c>
      <c r="M129" s="1482">
        <v>0</v>
      </c>
      <c r="N129" s="1482">
        <v>3352.24</v>
      </c>
      <c r="O129" s="1482">
        <v>0</v>
      </c>
      <c r="P129" s="1482">
        <v>3352.24</v>
      </c>
      <c r="Q129" s="1482">
        <v>0</v>
      </c>
      <c r="R129" s="1482">
        <v>0</v>
      </c>
      <c r="S129" s="1482">
        <v>0</v>
      </c>
    </row>
    <row r="130" spans="1:19" s="81" customFormat="1" ht="75.75" customHeight="1">
      <c r="A130" s="6" t="e">
        <f>#REF!+1</f>
        <v>#REF!</v>
      </c>
      <c r="B130" s="1491" t="s">
        <v>47</v>
      </c>
      <c r="C130" s="1491" t="s">
        <v>56</v>
      </c>
      <c r="D130" s="1491" t="s">
        <v>189</v>
      </c>
      <c r="E130" s="1491">
        <v>3666120176</v>
      </c>
      <c r="F130" s="1491" t="s">
        <v>8</v>
      </c>
      <c r="G130" s="1491" t="s">
        <v>1053</v>
      </c>
      <c r="H130" s="1482">
        <v>2335.23</v>
      </c>
      <c r="I130" s="1482">
        <v>0</v>
      </c>
      <c r="J130" s="1482">
        <v>2335.23</v>
      </c>
      <c r="K130" s="1482">
        <v>2335.23</v>
      </c>
      <c r="L130" s="1482">
        <v>2335.23</v>
      </c>
      <c r="M130" s="1482">
        <v>0</v>
      </c>
      <c r="N130" s="1482">
        <v>2713.54</v>
      </c>
      <c r="O130" s="1482">
        <v>0</v>
      </c>
      <c r="P130" s="1482">
        <v>2713.54</v>
      </c>
      <c r="Q130" s="1482">
        <v>2713.54</v>
      </c>
      <c r="R130" s="1482">
        <v>2713.54</v>
      </c>
      <c r="S130" s="1482">
        <v>0</v>
      </c>
    </row>
    <row r="131" spans="1:19" s="81" customFormat="1" ht="83.25" customHeight="1">
      <c r="A131" s="6" t="e">
        <f t="shared" si="6"/>
        <v>#REF!</v>
      </c>
      <c r="B131" s="1491" t="s">
        <v>52</v>
      </c>
      <c r="C131" s="1491" t="s">
        <v>52</v>
      </c>
      <c r="D131" s="1491" t="s">
        <v>255</v>
      </c>
      <c r="E131" s="1491">
        <v>4634002573</v>
      </c>
      <c r="F131" s="1491" t="s">
        <v>8</v>
      </c>
      <c r="G131" s="1491" t="s">
        <v>1043</v>
      </c>
      <c r="H131" s="1482">
        <v>937.88720000000001</v>
      </c>
      <c r="I131" s="1482">
        <v>937.88720000000001</v>
      </c>
      <c r="J131" s="1482">
        <v>937.88720000000001</v>
      </c>
      <c r="K131" s="1482">
        <v>937.88720000000001</v>
      </c>
      <c r="L131" s="1482">
        <v>937.88720000000001</v>
      </c>
      <c r="M131" s="1482">
        <v>0</v>
      </c>
      <c r="N131" s="1482">
        <v>1153.7418</v>
      </c>
      <c r="O131" s="1482">
        <v>1153.7418</v>
      </c>
      <c r="P131" s="1482">
        <v>1153.7418</v>
      </c>
      <c r="Q131" s="1482">
        <v>1153.7418</v>
      </c>
      <c r="R131" s="1482">
        <v>1153.7418</v>
      </c>
      <c r="S131" s="1482">
        <v>0</v>
      </c>
    </row>
    <row r="132" spans="1:19" s="1493" customFormat="1" ht="82.5" customHeight="1">
      <c r="A132" s="6" t="e">
        <f t="shared" si="6"/>
        <v>#REF!</v>
      </c>
      <c r="B132" s="1491" t="s">
        <v>52</v>
      </c>
      <c r="C132" s="1491" t="s">
        <v>52</v>
      </c>
      <c r="D132" s="1491" t="s">
        <v>135</v>
      </c>
      <c r="E132" s="1491">
        <v>7721632827</v>
      </c>
      <c r="F132" s="1491" t="s">
        <v>8</v>
      </c>
      <c r="G132" s="1491" t="s">
        <v>1038</v>
      </c>
      <c r="H132" s="1482">
        <v>372.88</v>
      </c>
      <c r="I132" s="1482">
        <v>372.88</v>
      </c>
      <c r="J132" s="1482">
        <v>372.88</v>
      </c>
      <c r="K132" s="1482">
        <v>372.88</v>
      </c>
      <c r="L132" s="1482">
        <v>372.88</v>
      </c>
      <c r="M132" s="1482">
        <v>372.88</v>
      </c>
      <c r="N132" s="1482">
        <v>429.23</v>
      </c>
      <c r="O132" s="1482">
        <v>429.23</v>
      </c>
      <c r="P132" s="1482">
        <v>429.23</v>
      </c>
      <c r="Q132" s="1482">
        <v>429.23</v>
      </c>
      <c r="R132" s="1482">
        <v>429.23</v>
      </c>
      <c r="S132" s="1482">
        <v>429.23</v>
      </c>
    </row>
    <row r="134" spans="1:19">
      <c r="H134" s="754"/>
      <c r="I134" s="754"/>
      <c r="J134" s="754"/>
      <c r="K134" s="754"/>
      <c r="L134" s="754"/>
      <c r="M134" s="754"/>
      <c r="N134" s="754"/>
      <c r="O134" s="754"/>
      <c r="P134" s="754"/>
      <c r="Q134" s="754"/>
      <c r="R134" s="754"/>
      <c r="S134" s="754"/>
    </row>
    <row r="135" spans="1:19">
      <c r="H135" s="754"/>
      <c r="I135" s="754"/>
      <c r="J135" s="754"/>
      <c r="K135" s="754"/>
      <c r="L135" s="754"/>
      <c r="M135" s="754"/>
      <c r="N135" s="754"/>
      <c r="O135" s="754"/>
      <c r="P135" s="754"/>
      <c r="Q135" s="754"/>
      <c r="R135" s="754"/>
      <c r="S135" s="754"/>
    </row>
    <row r="137" spans="1:19"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</row>
    <row r="138" spans="1:19">
      <c r="N138" s="754"/>
    </row>
    <row r="139" spans="1:19">
      <c r="H139" s="1492"/>
      <c r="I139" s="1492"/>
      <c r="J139" s="1492"/>
      <c r="K139" s="1492"/>
      <c r="L139" s="1492"/>
      <c r="M139" s="1492"/>
      <c r="N139" s="1492"/>
      <c r="O139" s="1492"/>
      <c r="P139" s="1492"/>
      <c r="Q139" s="1492"/>
      <c r="R139" s="1492"/>
      <c r="S139" s="1492"/>
    </row>
  </sheetData>
  <autoFilter ref="A12:BI132"/>
  <dataConsolidate link="1"/>
  <mergeCells count="20">
    <mergeCell ref="O11:O12"/>
    <mergeCell ref="P11:Q11"/>
    <mergeCell ref="R11:R12"/>
    <mergeCell ref="S11:S12"/>
    <mergeCell ref="G9:G12"/>
    <mergeCell ref="H9:S9"/>
    <mergeCell ref="H10:M10"/>
    <mergeCell ref="N10:S10"/>
    <mergeCell ref="H11:H12"/>
    <mergeCell ref="I11:I12"/>
    <mergeCell ref="J11:K11"/>
    <mergeCell ref="L11:L12"/>
    <mergeCell ref="M11:M12"/>
    <mergeCell ref="N11:N12"/>
    <mergeCell ref="F9:F12"/>
    <mergeCell ref="A9:A12"/>
    <mergeCell ref="B9:B12"/>
    <mergeCell ref="C9:C12"/>
    <mergeCell ref="D9:D12"/>
    <mergeCell ref="E9:E12"/>
  </mergeCells>
  <pageMargins left="0.11811023622047245" right="0.11811023622047245" top="0.35433070866141736" bottom="0.35433070866141736" header="0.31496062992125984" footer="0.31496062992125984"/>
  <pageSetup paperSize="9" scale="54" fitToWidth="2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FFFF"/>
  </sheetPr>
  <dimension ref="A1:MB81"/>
  <sheetViews>
    <sheetView topLeftCell="A2" zoomScale="85" zoomScaleNormal="85" zoomScaleSheetLayoutView="100" workbookViewId="0">
      <pane xSplit="6" ySplit="4" topLeftCell="G6" activePane="bottomRight" state="frozen"/>
      <selection activeCell="A2" sqref="A2"/>
      <selection pane="topRight" activeCell="F2" sqref="F2"/>
      <selection pane="bottomLeft" activeCell="A6" sqref="A6"/>
      <selection pane="bottomRight" activeCell="H60" sqref="H60"/>
    </sheetView>
  </sheetViews>
  <sheetFormatPr defaultRowHeight="15" outlineLevelCol="3"/>
  <cols>
    <col min="1" max="1" width="9.5703125" style="14" hidden="1" customWidth="1"/>
    <col min="2" max="2" width="7.140625" style="14" customWidth="1"/>
    <col min="3" max="3" width="30" style="233" customWidth="1"/>
    <col min="4" max="4" width="14.5703125" style="96" customWidth="1" outlineLevel="1"/>
    <col min="5" max="5" width="18.42578125" style="96" customWidth="1"/>
    <col min="6" max="6" width="9.140625" style="14" customWidth="1"/>
    <col min="7" max="9" width="22.140625" style="234" customWidth="1"/>
    <col min="10" max="10" width="17.140625" style="14" customWidth="1"/>
    <col min="11" max="11" width="18.140625" style="14" customWidth="1"/>
    <col min="12" max="12" width="17.5703125" style="14" customWidth="1"/>
    <col min="13" max="13" width="17.140625" style="14" customWidth="1" outlineLevel="1"/>
    <col min="14" max="16" width="14.85546875" style="14" customWidth="1" outlineLevel="1"/>
    <col min="17" max="17" width="17.140625" style="14" customWidth="1"/>
    <col min="18" max="18" width="15.42578125" style="14" customWidth="1"/>
    <col min="19" max="19" width="17.7109375" style="14" customWidth="1"/>
    <col min="20" max="20" width="15.140625" style="14" customWidth="1"/>
    <col min="21" max="21" width="15.28515625" style="14" customWidth="1"/>
    <col min="22" max="22" width="17" style="14" customWidth="1"/>
    <col min="23" max="23" width="15.42578125" style="14" bestFit="1" customWidth="1"/>
    <col min="24" max="24" width="16.28515625" style="14" customWidth="1"/>
    <col min="25" max="25" width="16.42578125" style="14" customWidth="1"/>
    <col min="26" max="27" width="14.85546875" style="14" customWidth="1"/>
    <col min="28" max="28" width="1.7109375" style="96" customWidth="1"/>
    <col min="29" max="29" width="13.7109375" style="14" customWidth="1" outlineLevel="2"/>
    <col min="30" max="30" width="13.42578125" style="14" customWidth="1" outlineLevel="2"/>
    <col min="31" max="32" width="12.42578125" style="14" customWidth="1" outlineLevel="2"/>
    <col min="33" max="33" width="13.5703125" style="14" customWidth="1" outlineLevel="2"/>
    <col min="34" max="35" width="16.5703125" style="14" customWidth="1" outlineLevel="2"/>
    <col min="36" max="36" width="14.85546875" style="14" customWidth="1" outlineLevel="2"/>
    <col min="37" max="38" width="13.5703125" style="14" customWidth="1" outlineLevel="3"/>
    <col min="39" max="40" width="10.7109375" style="14" customWidth="1" outlineLevel="3"/>
    <col min="41" max="41" width="14.85546875" style="14" customWidth="1" outlineLevel="3"/>
    <col min="42" max="42" width="13.5703125" style="14" customWidth="1" outlineLevel="3"/>
    <col min="43" max="43" width="9.5703125" style="14" customWidth="1" outlineLevel="3"/>
    <col min="44" max="44" width="12.42578125" style="14" customWidth="1" outlineLevel="3"/>
    <col min="45" max="45" width="14.85546875" style="14" customWidth="1" outlineLevel="3"/>
    <col min="46" max="46" width="10.7109375" style="14" customWidth="1" outlineLevel="3"/>
    <col min="47" max="47" width="12.42578125" style="14" customWidth="1" outlineLevel="3"/>
    <col min="48" max="51" width="9.5703125" style="14" customWidth="1" outlineLevel="3"/>
    <col min="52" max="52" width="12.42578125" style="14" customWidth="1" outlineLevel="2"/>
    <col min="53" max="53" width="14.85546875" style="14" customWidth="1" outlineLevel="2"/>
    <col min="54" max="54" width="13.5703125" style="14" customWidth="1" outlineLevel="3"/>
    <col min="55" max="55" width="9.5703125" style="14" customWidth="1" outlineLevel="3"/>
    <col min="56" max="56" width="13.5703125" style="14" customWidth="1" outlineLevel="3"/>
    <col min="57" max="57" width="9.5703125" style="14" customWidth="1" outlineLevel="3"/>
    <col min="58" max="58" width="12.42578125" style="14" customWidth="1" outlineLevel="3"/>
    <col min="59" max="61" width="9.5703125" style="14" customWidth="1" outlineLevel="3"/>
    <col min="62" max="62" width="14.85546875" style="14" customWidth="1" outlineLevel="3"/>
    <col min="63" max="63" width="9.5703125" style="14" customWidth="1" outlineLevel="3"/>
    <col min="64" max="64" width="13.5703125" style="14" customWidth="1" outlineLevel="3"/>
    <col min="65" max="67" width="9.5703125" style="14" customWidth="1" outlineLevel="3"/>
    <col min="68" max="68" width="10.7109375" style="14" customWidth="1" outlineLevel="3"/>
    <col min="69" max="73" width="9.5703125" style="14" customWidth="1" outlineLevel="3"/>
    <col min="74" max="74" width="12.42578125" style="14" customWidth="1" outlineLevel="3"/>
    <col min="75" max="75" width="9.5703125" style="14" customWidth="1" outlineLevel="3"/>
    <col min="76" max="76" width="10.7109375" style="14" customWidth="1" outlineLevel="3"/>
    <col min="77" max="79" width="9.5703125" style="14" customWidth="1" outlineLevel="3"/>
    <col min="80" max="80" width="10.7109375" style="14" customWidth="1" outlineLevel="2"/>
    <col min="81" max="81" width="9.5703125" style="14" customWidth="1" outlineLevel="2"/>
    <col min="82" max="82" width="10.7109375" style="14" customWidth="1" outlineLevel="2"/>
    <col min="83" max="84" width="9.5703125" style="14" customWidth="1" outlineLevel="3"/>
    <col min="85" max="85" width="10.7109375" style="14" customWidth="1" outlineLevel="3"/>
    <col min="86" max="90" width="9.5703125" style="14" customWidth="1" outlineLevel="3"/>
    <col min="91" max="91" width="14.85546875" style="14" customWidth="1" outlineLevel="2"/>
    <col min="92" max="92" width="14.85546875" style="14" customWidth="1" outlineLevel="3"/>
    <col min="93" max="93" width="9.5703125" style="14" customWidth="1" outlineLevel="3"/>
    <col min="94" max="95" width="13.5703125" style="14" customWidth="1" outlineLevel="3"/>
    <col min="96" max="96" width="9.5703125" style="14" customWidth="1" outlineLevel="3"/>
    <col min="97" max="97" width="14.85546875" style="14" customWidth="1" outlineLevel="2"/>
    <col min="98" max="98" width="14.85546875" style="14" customWidth="1" outlineLevel="3"/>
    <col min="99" max="99" width="9.5703125" style="14" customWidth="1" outlineLevel="3"/>
    <col min="100" max="100" width="12.42578125" style="14" customWidth="1" outlineLevel="3"/>
    <col min="101" max="101" width="13.5703125" style="14" customWidth="1" outlineLevel="3"/>
    <col min="102" max="102" width="9.5703125" style="14" customWidth="1" outlineLevel="3"/>
    <col min="103" max="103" width="13.5703125" style="14" customWidth="1" outlineLevel="2"/>
    <col min="104" max="104" width="9.140625" style="14" customWidth="1" outlineLevel="2"/>
    <col min="105" max="105" width="12.42578125" style="14" customWidth="1" outlineLevel="2"/>
    <col min="106" max="106" width="10.7109375" style="14" customWidth="1" outlineLevel="2"/>
    <col min="107" max="107" width="9.140625" style="14" customWidth="1" outlineLevel="2"/>
    <col min="108" max="108" width="9.5703125" style="14" customWidth="1" outlineLevel="2"/>
    <col min="109" max="109" width="12.42578125" style="14" customWidth="1" outlineLevel="2"/>
    <col min="110" max="110" width="9.5703125" style="14" customWidth="1" outlineLevel="2"/>
    <col min="111" max="111" width="14.85546875" style="14" customWidth="1" outlineLevel="2"/>
    <col min="112" max="112" width="13.5703125" style="14" customWidth="1" outlineLevel="2"/>
    <col min="113" max="113" width="9.5703125" style="14" customWidth="1" outlineLevel="2"/>
    <col min="114" max="114" width="14.85546875" style="14" customWidth="1" outlineLevel="2"/>
    <col min="115" max="115" width="13.5703125" style="14" customWidth="1" outlineLevel="2"/>
    <col min="116" max="117" width="9.5703125" style="14" customWidth="1" outlineLevel="2"/>
    <col min="118" max="118" width="12.42578125" style="14" customWidth="1" outlineLevel="2"/>
    <col min="119" max="119" width="9.5703125" style="14" customWidth="1" outlineLevel="2"/>
    <col min="120" max="120" width="14.85546875" style="14" customWidth="1" outlineLevel="2"/>
    <col min="121" max="123" width="9.5703125" style="14" customWidth="1" outlineLevel="2"/>
    <col min="124" max="125" width="14.85546875" style="14" customWidth="1" outlineLevel="2"/>
    <col min="126" max="126" width="12.42578125" style="14" customWidth="1" outlineLevel="2"/>
    <col min="127" max="127" width="13.5703125" style="14" customWidth="1" outlineLevel="2"/>
    <col min="128" max="128" width="12.42578125" style="14" customWidth="1" outlineLevel="2"/>
    <col min="129" max="129" width="9.5703125" style="14" customWidth="1" outlineLevel="2"/>
    <col min="130" max="131" width="12.42578125" style="14" customWidth="1" outlineLevel="2"/>
    <col min="132" max="133" width="9.5703125" style="14" customWidth="1" outlineLevel="2"/>
    <col min="134" max="134" width="12.42578125" style="14" customWidth="1" outlineLevel="2"/>
    <col min="135" max="136" width="9.5703125" style="14" customWidth="1" outlineLevel="2"/>
    <col min="137" max="138" width="13.5703125" style="14" customWidth="1" outlineLevel="2"/>
    <col min="139" max="139" width="12.42578125" style="14" customWidth="1" outlineLevel="2"/>
    <col min="140" max="140" width="13.5703125" style="14" customWidth="1" outlineLevel="2"/>
    <col min="141" max="141" width="12.42578125" style="14" customWidth="1" outlineLevel="2"/>
    <col min="142" max="142" width="10.7109375" style="14" customWidth="1" outlineLevel="2"/>
    <col min="143" max="143" width="12.42578125" style="14" customWidth="1" outlineLevel="2"/>
    <col min="144" max="144" width="9.5703125" style="14" customWidth="1" outlineLevel="2"/>
    <col min="145" max="145" width="10.7109375" style="14" customWidth="1" outlineLevel="2"/>
    <col min="146" max="146" width="13.5703125" style="14" customWidth="1" outlineLevel="2"/>
    <col min="147" max="147" width="12.42578125" style="14" customWidth="1" outlineLevel="2"/>
    <col min="148" max="152" width="13.5703125" style="14" customWidth="1" outlineLevel="2"/>
    <col min="153" max="153" width="10.7109375" style="14" customWidth="1" outlineLevel="2"/>
    <col min="154" max="157" width="9.5703125" style="14" customWidth="1" outlineLevel="2"/>
    <col min="158" max="158" width="13.5703125" style="14" customWidth="1" outlineLevel="2"/>
    <col min="159" max="160" width="12.42578125" style="14" customWidth="1" outlineLevel="2"/>
    <col min="161" max="161" width="10.7109375" style="14" customWidth="1" outlineLevel="2"/>
    <col min="162" max="163" width="13.5703125" style="14" customWidth="1" outlineLevel="2"/>
    <col min="164" max="164" width="10.7109375" style="14" customWidth="1" outlineLevel="2"/>
    <col min="165" max="165" width="12.42578125" style="14" customWidth="1" outlineLevel="2"/>
    <col min="166" max="166" width="13.5703125" style="14" customWidth="1" outlineLevel="2"/>
    <col min="167" max="167" width="12.42578125" style="14" customWidth="1" outlineLevel="2"/>
    <col min="168" max="168" width="13.5703125" style="14" customWidth="1" outlineLevel="2"/>
    <col min="169" max="170" width="14.85546875" style="14" customWidth="1" outlineLevel="2"/>
    <col min="171" max="171" width="10.7109375" style="14" customWidth="1" outlineLevel="2"/>
    <col min="172" max="173" width="13.5703125" style="14" customWidth="1" outlineLevel="2"/>
    <col min="174" max="174" width="12.42578125" style="14" customWidth="1" outlineLevel="2"/>
    <col min="175" max="175" width="16.5703125" style="14" customWidth="1" outlineLevel="2"/>
    <col min="176" max="189" width="9.5703125" style="14" customWidth="1" outlineLevel="2"/>
    <col min="190" max="191" width="13.5703125" style="14" customWidth="1" outlineLevel="2"/>
    <col min="192" max="192" width="9.140625" style="14" customWidth="1" outlineLevel="2"/>
    <col min="193" max="193" width="13.5703125" style="14" customWidth="1" outlineLevel="2"/>
    <col min="194" max="194" width="9.140625" style="14" customWidth="1" outlineLevel="2"/>
    <col min="195" max="195" width="14.85546875" style="14" customWidth="1" outlineLevel="2"/>
    <col min="196" max="196" width="10.7109375" style="14" customWidth="1" outlineLevel="2"/>
    <col min="197" max="198" width="9.140625" style="14" customWidth="1" outlineLevel="2"/>
    <col min="199" max="199" width="9.5703125" style="14" customWidth="1" outlineLevel="2"/>
    <col min="200" max="201" width="9.140625" style="14" customWidth="1" outlineLevel="2"/>
    <col min="202" max="202" width="14.85546875" style="14" customWidth="1" outlineLevel="2"/>
    <col min="203" max="204" width="13.5703125" style="14" customWidth="1" outlineLevel="2"/>
    <col min="205" max="205" width="9.5703125" style="14" customWidth="1" outlineLevel="2"/>
    <col min="206" max="206" width="14.85546875" style="14" customWidth="1" outlineLevel="2"/>
    <col min="207" max="207" width="9.5703125" style="14" customWidth="1" outlineLevel="2"/>
    <col min="208" max="209" width="14.85546875" style="14" customWidth="1" outlineLevel="2"/>
    <col min="210" max="212" width="9.5703125" style="14" customWidth="1" outlineLevel="2"/>
    <col min="213" max="213" width="13.5703125" style="14" customWidth="1" outlineLevel="2"/>
    <col min="214" max="214" width="12.42578125" style="14" customWidth="1" outlineLevel="2"/>
    <col min="215" max="215" width="13.5703125" style="14" customWidth="1" outlineLevel="2"/>
    <col min="216" max="216" width="9.5703125" style="14" customWidth="1" outlineLevel="2"/>
    <col min="217" max="217" width="14.85546875" style="14" customWidth="1" outlineLevel="2"/>
    <col min="218" max="218" width="9.5703125" style="14" customWidth="1" outlineLevel="2"/>
    <col min="219" max="219" width="13.5703125" style="14" customWidth="1" outlineLevel="2"/>
    <col min="220" max="273" width="9.140625" style="14" customWidth="1" outlineLevel="1"/>
    <col min="274" max="274" width="16.5703125" style="14" customWidth="1" outlineLevel="1"/>
    <col min="275" max="275" width="14.85546875" style="14" customWidth="1" outlineLevel="1"/>
    <col min="276" max="276" width="16.5703125" style="14" customWidth="1" outlineLevel="1"/>
    <col min="277" max="277" width="9.5703125" style="14" customWidth="1" outlineLevel="1"/>
    <col min="278" max="278" width="13.5703125" style="14" customWidth="1" outlineLevel="1"/>
    <col min="279" max="279" width="23" style="14" customWidth="1" outlineLevel="1"/>
    <col min="280" max="280" width="23" style="234" customWidth="1" outlineLevel="1"/>
    <col min="281" max="285" width="16.5703125" style="14" customWidth="1" outlineLevel="1"/>
    <col min="286" max="286" width="9.5703125" style="14" customWidth="1" outlineLevel="1"/>
    <col min="287" max="287" width="16.5703125" style="14" customWidth="1" outlineLevel="1"/>
    <col min="288" max="289" width="9.5703125" style="14" customWidth="1" outlineLevel="1"/>
    <col min="290" max="291" width="16.5703125" style="14" customWidth="1" outlineLevel="1"/>
    <col min="292" max="292" width="14.85546875" style="14" customWidth="1" outlineLevel="1"/>
    <col min="293" max="293" width="10.7109375" style="14" customWidth="1" outlineLevel="1"/>
    <col min="294" max="294" width="14.85546875" style="14" customWidth="1" outlineLevel="1"/>
    <col min="295" max="295" width="16.5703125" style="14" customWidth="1" outlineLevel="1"/>
    <col min="296" max="296" width="12.42578125" style="14" customWidth="1" outlineLevel="1"/>
    <col min="297" max="297" width="14.85546875" style="14" customWidth="1" outlineLevel="1"/>
    <col min="298" max="298" width="16.5703125" style="14" customWidth="1" outlineLevel="1"/>
    <col min="299" max="299" width="12.42578125" style="14" customWidth="1" outlineLevel="1"/>
    <col min="300" max="300" width="16.5703125" style="14" customWidth="1" outlineLevel="1"/>
    <col min="301" max="301" width="14.85546875" style="14" customWidth="1" outlineLevel="1"/>
    <col min="302" max="302" width="12.42578125" style="14" customWidth="1" outlineLevel="1"/>
    <col min="303" max="303" width="14.85546875" style="14" customWidth="1" outlineLevel="1"/>
    <col min="304" max="305" width="9.140625" style="14" customWidth="1" outlineLevel="1"/>
    <col min="306" max="306" width="16.5703125" style="14" customWidth="1" outlineLevel="1"/>
    <col min="307" max="307" width="9.28515625" style="14" customWidth="1" outlineLevel="1"/>
    <col min="308" max="308" width="9.140625" style="14" customWidth="1" outlineLevel="1"/>
    <col min="309" max="309" width="16.5703125" style="14" customWidth="1" outlineLevel="1"/>
    <col min="310" max="310" width="12.42578125" style="14" customWidth="1" outlineLevel="1"/>
    <col min="311" max="311" width="10.7109375" style="14" customWidth="1" outlineLevel="1"/>
    <col min="312" max="312" width="9.140625" style="14" customWidth="1" outlineLevel="1"/>
    <col min="313" max="314" width="14.85546875" style="14" customWidth="1" outlineLevel="1"/>
    <col min="315" max="315" width="9.5703125" style="14" customWidth="1" outlineLevel="1"/>
    <col min="316" max="316" width="18.42578125" style="96" customWidth="1"/>
    <col min="317" max="319" width="17.140625" style="14" customWidth="1"/>
    <col min="320" max="320" width="7.85546875" style="14" customWidth="1" outlineLevel="1"/>
    <col min="321" max="321" width="17.140625" style="14" customWidth="1"/>
    <col min="322" max="322" width="9.140625" style="14" customWidth="1" outlineLevel="1"/>
    <col min="323" max="323" width="14" style="14" customWidth="1"/>
    <col min="324" max="324" width="12.42578125" style="14" customWidth="1" outlineLevel="1"/>
    <col min="325" max="325" width="13.85546875" style="14" customWidth="1"/>
    <col min="326" max="326" width="9.28515625" style="14" customWidth="1" outlineLevel="1"/>
    <col min="327" max="327" width="14.7109375" style="14" customWidth="1"/>
    <col min="328" max="328" width="11.5703125" style="14" customWidth="1" outlineLevel="1"/>
    <col min="329" max="329" width="17.28515625" style="14" customWidth="1"/>
    <col min="330" max="330" width="10.42578125" style="14" customWidth="1" outlineLevel="1"/>
    <col min="331" max="331" width="14.5703125" style="14" customWidth="1"/>
    <col min="332" max="332" width="16.85546875" style="14" customWidth="1"/>
    <col min="333" max="334" width="17" style="14" customWidth="1"/>
    <col min="335" max="335" width="16.42578125" style="14" customWidth="1"/>
    <col min="336" max="336" width="15.7109375" style="14" customWidth="1"/>
    <col min="337" max="337" width="16.42578125" style="14" customWidth="1"/>
    <col min="338" max="338" width="15.85546875" style="14" customWidth="1"/>
    <col min="339" max="340" width="14.85546875" style="14" customWidth="1"/>
    <col min="341" max="16384" width="9.140625" style="14"/>
  </cols>
  <sheetData>
    <row r="1" spans="1:340">
      <c r="A1" s="14">
        <v>1</v>
      </c>
    </row>
    <row r="2" spans="1:340" ht="19.5" thickBot="1">
      <c r="A2" s="14">
        <v>1</v>
      </c>
      <c r="B2" s="235" t="s">
        <v>317</v>
      </c>
      <c r="LE2" s="236" t="s">
        <v>318</v>
      </c>
      <c r="LF2" s="236"/>
    </row>
    <row r="3" spans="1:340" ht="23.25" customHeight="1" thickBot="1">
      <c r="A3" s="14">
        <v>1</v>
      </c>
      <c r="B3" s="237"/>
      <c r="C3" s="238"/>
      <c r="D3" s="238"/>
      <c r="E3" s="1681" t="s">
        <v>854</v>
      </c>
      <c r="F3" s="239"/>
      <c r="G3" s="588"/>
      <c r="H3" s="588"/>
      <c r="I3" s="588"/>
      <c r="J3" s="1683" t="s">
        <v>855</v>
      </c>
      <c r="K3" s="1685" t="s">
        <v>319</v>
      </c>
      <c r="L3" s="1687" t="s">
        <v>319</v>
      </c>
      <c r="M3" s="1688"/>
      <c r="N3" s="1688"/>
      <c r="O3" s="1688"/>
      <c r="P3" s="1688"/>
      <c r="Q3" s="1688"/>
      <c r="R3" s="1689"/>
      <c r="S3" s="1690" t="s">
        <v>320</v>
      </c>
      <c r="T3" s="1691"/>
      <c r="U3" s="1692"/>
      <c r="V3" s="1696" t="s">
        <v>321</v>
      </c>
      <c r="W3" s="1697"/>
      <c r="X3" s="1697"/>
      <c r="Y3" s="1698"/>
      <c r="Z3" s="1727" t="s">
        <v>322</v>
      </c>
      <c r="AA3" s="1729" t="s">
        <v>323</v>
      </c>
      <c r="AC3" s="240"/>
      <c r="AD3" s="240"/>
      <c r="AE3" s="240"/>
      <c r="AF3" s="240"/>
      <c r="AG3" s="240"/>
      <c r="AH3" s="240"/>
      <c r="AI3" s="240"/>
      <c r="AJ3" s="240"/>
      <c r="AK3" s="240"/>
      <c r="AL3" s="240"/>
      <c r="AM3" s="240"/>
      <c r="AN3" s="240"/>
      <c r="AO3" s="240"/>
      <c r="AP3" s="240"/>
      <c r="AQ3" s="240"/>
      <c r="AR3" s="240"/>
      <c r="AS3" s="240"/>
      <c r="AT3" s="240"/>
      <c r="AU3" s="240"/>
      <c r="AV3" s="240"/>
      <c r="AW3" s="240"/>
      <c r="AX3" s="240"/>
      <c r="AY3" s="240"/>
      <c r="AZ3" s="240"/>
      <c r="BA3" s="240"/>
      <c r="BB3" s="240"/>
      <c r="BC3" s="240"/>
      <c r="BD3" s="240"/>
      <c r="BE3" s="240"/>
      <c r="BF3" s="240"/>
      <c r="BG3" s="240"/>
      <c r="BH3" s="240"/>
      <c r="BI3" s="240"/>
      <c r="BJ3" s="240"/>
      <c r="BK3" s="240"/>
      <c r="BL3" s="240"/>
      <c r="BM3" s="240"/>
      <c r="BN3" s="240"/>
      <c r="BO3" s="240"/>
      <c r="BP3" s="240"/>
      <c r="BQ3" s="240"/>
      <c r="BR3" s="240"/>
      <c r="BS3" s="240"/>
      <c r="BT3" s="240"/>
      <c r="BU3" s="240"/>
      <c r="BV3" s="240"/>
      <c r="BW3" s="240"/>
      <c r="BX3" s="240"/>
      <c r="BY3" s="240"/>
      <c r="BZ3" s="240"/>
      <c r="CA3" s="240"/>
      <c r="CB3" s="240"/>
      <c r="CC3" s="240"/>
      <c r="CD3" s="240"/>
      <c r="CE3" s="240"/>
      <c r="CF3" s="240"/>
      <c r="CG3" s="240"/>
      <c r="CH3" s="240"/>
      <c r="CI3" s="240"/>
      <c r="CJ3" s="240"/>
      <c r="CK3" s="240"/>
      <c r="CL3" s="240"/>
      <c r="CM3" s="240"/>
      <c r="CN3" s="240"/>
      <c r="CO3" s="240"/>
      <c r="CP3" s="240"/>
      <c r="CQ3" s="240"/>
      <c r="CR3" s="240"/>
      <c r="CS3" s="240"/>
      <c r="CT3" s="240"/>
      <c r="CU3" s="240"/>
      <c r="CV3" s="240"/>
      <c r="CW3" s="240"/>
      <c r="CX3" s="240"/>
      <c r="CY3" s="240"/>
      <c r="CZ3" s="240"/>
      <c r="DA3" s="240"/>
      <c r="DB3" s="240"/>
      <c r="DC3" s="240"/>
      <c r="DD3" s="240"/>
      <c r="DE3" s="240"/>
      <c r="DF3" s="240"/>
      <c r="DG3" s="240"/>
      <c r="DH3" s="240"/>
      <c r="DI3" s="240"/>
      <c r="DJ3" s="240"/>
      <c r="DK3" s="240"/>
      <c r="DL3" s="240"/>
      <c r="DM3" s="240"/>
      <c r="DN3" s="240"/>
      <c r="DO3" s="240"/>
      <c r="DP3" s="240"/>
      <c r="DQ3" s="240"/>
      <c r="DR3" s="240"/>
      <c r="DS3" s="240"/>
      <c r="DT3" s="240"/>
      <c r="DU3" s="240"/>
      <c r="DV3" s="240"/>
      <c r="DW3" s="240"/>
      <c r="DX3" s="240"/>
      <c r="DY3" s="240"/>
      <c r="DZ3" s="240"/>
      <c r="EA3" s="240"/>
      <c r="EB3" s="240"/>
      <c r="EC3" s="240"/>
      <c r="ED3" s="240"/>
      <c r="EE3" s="240"/>
      <c r="EF3" s="240"/>
      <c r="EG3" s="240"/>
      <c r="EH3" s="240"/>
      <c r="EI3" s="240"/>
      <c r="EJ3" s="240"/>
      <c r="EK3" s="240"/>
      <c r="EL3" s="240"/>
      <c r="EM3" s="240"/>
      <c r="EN3" s="240"/>
      <c r="EO3" s="240"/>
      <c r="EP3" s="240"/>
      <c r="EQ3" s="240"/>
      <c r="ER3" s="240"/>
      <c r="ES3" s="240"/>
      <c r="ET3" s="240"/>
      <c r="EU3" s="240"/>
      <c r="EV3" s="240"/>
      <c r="EW3" s="240"/>
      <c r="EX3" s="240"/>
      <c r="EY3" s="240"/>
      <c r="EZ3" s="240"/>
      <c r="FA3" s="240"/>
      <c r="FB3" s="240"/>
      <c r="FC3" s="240"/>
      <c r="FD3" s="240"/>
      <c r="FE3" s="240"/>
      <c r="FF3" s="240"/>
      <c r="FG3" s="240"/>
      <c r="FH3" s="240"/>
      <c r="FI3" s="240"/>
      <c r="FJ3" s="240"/>
      <c r="FK3" s="240"/>
      <c r="FL3" s="240"/>
      <c r="FM3" s="240"/>
      <c r="FN3" s="240"/>
      <c r="FO3" s="240"/>
      <c r="FP3" s="240"/>
      <c r="FQ3" s="240"/>
      <c r="FR3" s="240"/>
      <c r="FS3" s="240"/>
      <c r="FT3" s="240"/>
      <c r="FU3" s="240"/>
      <c r="FV3" s="240"/>
      <c r="FW3" s="240"/>
      <c r="FX3" s="240"/>
      <c r="FY3" s="240"/>
      <c r="FZ3" s="240"/>
      <c r="GA3" s="240"/>
      <c r="GB3" s="240"/>
      <c r="GC3" s="240"/>
      <c r="GD3" s="240"/>
      <c r="GE3" s="240"/>
      <c r="GF3" s="240"/>
      <c r="GG3" s="240"/>
      <c r="GH3" s="240"/>
      <c r="GI3" s="240"/>
      <c r="GJ3" s="240"/>
      <c r="GK3" s="240"/>
      <c r="GL3" s="240"/>
      <c r="GM3" s="240"/>
      <c r="GN3" s="240"/>
      <c r="GO3" s="240"/>
      <c r="GP3" s="240"/>
      <c r="GQ3" s="240"/>
      <c r="GR3" s="240"/>
      <c r="GS3" s="240"/>
      <c r="GT3" s="240"/>
      <c r="GU3" s="240"/>
      <c r="GV3" s="240"/>
      <c r="GW3" s="240"/>
      <c r="GX3" s="240"/>
      <c r="GY3" s="240"/>
      <c r="GZ3" s="240"/>
      <c r="HA3" s="240"/>
      <c r="HB3" s="240"/>
      <c r="HC3" s="240"/>
      <c r="HD3" s="240"/>
      <c r="HE3" s="240"/>
      <c r="HF3" s="240"/>
      <c r="HG3" s="240"/>
      <c r="HH3" s="240"/>
      <c r="HI3" s="240"/>
      <c r="HJ3" s="240"/>
      <c r="HK3" s="240"/>
      <c r="HL3" s="240"/>
      <c r="HM3" s="240"/>
      <c r="HN3" s="240"/>
      <c r="HO3" s="240"/>
      <c r="HP3" s="240"/>
      <c r="HQ3" s="240"/>
      <c r="HR3" s="240"/>
      <c r="HS3" s="240"/>
      <c r="HT3" s="240"/>
      <c r="HU3" s="240"/>
      <c r="HV3" s="240"/>
      <c r="HW3" s="240"/>
      <c r="HX3" s="240"/>
      <c r="HY3" s="240"/>
      <c r="HZ3" s="240"/>
      <c r="IA3" s="240"/>
      <c r="IB3" s="240"/>
      <c r="IC3" s="240"/>
      <c r="ID3" s="240"/>
      <c r="IE3" s="240"/>
      <c r="IF3" s="240"/>
      <c r="IG3" s="240"/>
      <c r="IH3" s="240"/>
      <c r="II3" s="240"/>
      <c r="IJ3" s="240"/>
      <c r="IK3" s="240"/>
      <c r="IL3" s="240"/>
      <c r="IM3" s="240"/>
      <c r="IN3" s="240"/>
      <c r="IO3" s="240"/>
      <c r="IP3" s="240"/>
      <c r="IQ3" s="240"/>
      <c r="IR3" s="240"/>
      <c r="IS3" s="240"/>
      <c r="IT3" s="240"/>
      <c r="IU3" s="240"/>
      <c r="IV3" s="240"/>
      <c r="IW3" s="240"/>
      <c r="IX3" s="240"/>
      <c r="IY3" s="240"/>
      <c r="IZ3" s="240"/>
      <c r="JA3" s="240"/>
      <c r="JB3" s="240"/>
      <c r="JC3" s="240"/>
      <c r="JD3" s="240"/>
      <c r="JE3" s="240"/>
      <c r="JF3" s="240"/>
      <c r="JG3" s="240"/>
      <c r="JH3" s="240"/>
      <c r="JI3" s="240"/>
      <c r="JJ3" s="240"/>
      <c r="JK3" s="240"/>
      <c r="JL3" s="240"/>
      <c r="JM3" s="240"/>
      <c r="JN3" s="240"/>
      <c r="JO3" s="240"/>
      <c r="JP3" s="240"/>
      <c r="JQ3" s="240"/>
      <c r="JR3" s="240"/>
      <c r="JS3" s="240"/>
      <c r="JT3" s="241"/>
      <c r="JU3" s="240"/>
      <c r="JV3" s="240"/>
      <c r="JW3" s="240"/>
      <c r="JX3" s="240"/>
      <c r="JY3" s="240"/>
      <c r="JZ3" s="240"/>
      <c r="KA3" s="240"/>
      <c r="KB3" s="240"/>
      <c r="KC3" s="240"/>
      <c r="KD3" s="240"/>
      <c r="KE3" s="240"/>
      <c r="KF3" s="240"/>
      <c r="KG3" s="240"/>
      <c r="KH3" s="240"/>
      <c r="KI3" s="240"/>
      <c r="KJ3" s="240"/>
      <c r="KK3" s="240"/>
      <c r="KL3" s="240"/>
      <c r="KM3" s="240"/>
      <c r="KN3" s="240"/>
      <c r="KO3" s="240"/>
      <c r="KP3" s="240"/>
      <c r="KQ3" s="240"/>
      <c r="KR3" s="240"/>
      <c r="KS3" s="240"/>
      <c r="KT3" s="240"/>
      <c r="KU3" s="240"/>
      <c r="KV3" s="240"/>
      <c r="KW3" s="240"/>
      <c r="KX3" s="240"/>
      <c r="KY3" s="240"/>
      <c r="KZ3" s="240"/>
      <c r="LA3" s="240"/>
      <c r="LB3" s="240"/>
      <c r="LC3" s="240"/>
      <c r="LD3" s="1731" t="s">
        <v>324</v>
      </c>
      <c r="LE3" s="1733" t="s">
        <v>325</v>
      </c>
      <c r="LF3" s="1735" t="s">
        <v>326</v>
      </c>
      <c r="LG3" s="1737" t="s">
        <v>327</v>
      </c>
      <c r="LH3" s="1737"/>
      <c r="LI3" s="1737"/>
      <c r="LJ3" s="1737"/>
      <c r="LK3" s="1737"/>
      <c r="LL3" s="1737"/>
      <c r="LM3" s="1737"/>
      <c r="LN3" s="1737"/>
      <c r="LO3" s="1737"/>
      <c r="LP3" s="1737"/>
      <c r="LQ3" s="1737"/>
      <c r="LR3" s="1737"/>
      <c r="LS3" s="1738"/>
      <c r="LT3" s="1702" t="s">
        <v>328</v>
      </c>
      <c r="LU3" s="1703"/>
      <c r="LV3" s="1704"/>
      <c r="LW3" s="1708" t="s">
        <v>321</v>
      </c>
      <c r="LX3" s="1709"/>
      <c r="LY3" s="1709"/>
      <c r="LZ3" s="1709"/>
      <c r="MA3" s="1712" t="s">
        <v>322</v>
      </c>
      <c r="MB3" s="1714" t="s">
        <v>323</v>
      </c>
    </row>
    <row r="4" spans="1:340" ht="15.75" thickBot="1">
      <c r="A4" s="14">
        <v>1</v>
      </c>
      <c r="B4" s="242"/>
      <c r="C4" s="243"/>
      <c r="D4" s="244"/>
      <c r="E4" s="1682"/>
      <c r="F4" s="245"/>
      <c r="G4" s="589"/>
      <c r="H4" s="589"/>
      <c r="I4" s="589"/>
      <c r="J4" s="1684"/>
      <c r="K4" s="1686"/>
      <c r="L4" s="1716" t="s">
        <v>329</v>
      </c>
      <c r="M4" s="1717"/>
      <c r="N4" s="1717"/>
      <c r="O4" s="1717"/>
      <c r="P4" s="1717"/>
      <c r="Q4" s="1718" t="s">
        <v>330</v>
      </c>
      <c r="R4" s="1720" t="s">
        <v>331</v>
      </c>
      <c r="S4" s="1693"/>
      <c r="T4" s="1694"/>
      <c r="U4" s="1695"/>
      <c r="V4" s="1699"/>
      <c r="W4" s="1700"/>
      <c r="X4" s="1700"/>
      <c r="Y4" s="1701"/>
      <c r="Z4" s="1728"/>
      <c r="AA4" s="1730"/>
      <c r="AC4" s="246" t="s">
        <v>332</v>
      </c>
      <c r="AD4" s="247"/>
      <c r="AE4" s="247"/>
      <c r="AF4" s="247"/>
      <c r="AG4" s="247"/>
      <c r="AH4" s="248"/>
      <c r="AI4" s="248"/>
      <c r="AJ4" s="249" t="s">
        <v>332</v>
      </c>
      <c r="AK4" s="248"/>
      <c r="AL4" s="248"/>
      <c r="AM4" s="248"/>
      <c r="AN4" s="248"/>
      <c r="AO4" s="248"/>
      <c r="AP4" s="248"/>
      <c r="AQ4" s="248"/>
      <c r="AR4" s="248"/>
      <c r="AS4" s="248"/>
      <c r="AT4" s="248"/>
      <c r="AU4" s="248"/>
      <c r="AV4" s="248"/>
      <c r="AW4" s="248"/>
      <c r="AX4" s="248"/>
      <c r="AY4" s="248"/>
      <c r="AZ4" s="249" t="s">
        <v>332</v>
      </c>
      <c r="BA4" s="249" t="s">
        <v>332</v>
      </c>
      <c r="BB4" s="248"/>
      <c r="BC4" s="248"/>
      <c r="BD4" s="248"/>
      <c r="BE4" s="248"/>
      <c r="BF4" s="248"/>
      <c r="BG4" s="248"/>
      <c r="BH4" s="248"/>
      <c r="BI4" s="248"/>
      <c r="BJ4" s="248"/>
      <c r="BK4" s="248"/>
      <c r="BL4" s="248"/>
      <c r="BM4" s="248"/>
      <c r="BN4" s="248"/>
      <c r="BO4" s="248"/>
      <c r="BP4" s="248"/>
      <c r="BQ4" s="248"/>
      <c r="BR4" s="248"/>
      <c r="BS4" s="248"/>
      <c r="BT4" s="248"/>
      <c r="BU4" s="248"/>
      <c r="BV4" s="248"/>
      <c r="BW4" s="248"/>
      <c r="BX4" s="248"/>
      <c r="BY4" s="248"/>
      <c r="BZ4" s="248"/>
      <c r="CA4" s="248"/>
      <c r="CB4" s="248"/>
      <c r="CC4" s="249" t="s">
        <v>332</v>
      </c>
      <c r="CD4" s="249" t="s">
        <v>332</v>
      </c>
      <c r="CE4" s="248"/>
      <c r="CF4" s="248"/>
      <c r="CG4" s="248"/>
      <c r="CH4" s="248"/>
      <c r="CI4" s="248"/>
      <c r="CJ4" s="248"/>
      <c r="CK4" s="248"/>
      <c r="CL4" s="248"/>
      <c r="CM4" s="250" t="s">
        <v>333</v>
      </c>
      <c r="CN4" s="248"/>
      <c r="CO4" s="248"/>
      <c r="CP4" s="248"/>
      <c r="CQ4" s="248"/>
      <c r="CR4" s="248"/>
      <c r="CS4" s="251" t="s">
        <v>334</v>
      </c>
      <c r="CT4" s="248"/>
      <c r="CU4" s="248"/>
      <c r="CV4" s="248"/>
      <c r="CW4" s="248"/>
      <c r="CX4" s="248"/>
      <c r="CY4" s="249" t="s">
        <v>332</v>
      </c>
      <c r="CZ4" s="248"/>
      <c r="DA4" s="248"/>
      <c r="DB4" s="249" t="s">
        <v>332</v>
      </c>
      <c r="DC4" s="248"/>
      <c r="DD4" s="248"/>
      <c r="DE4" s="249" t="s">
        <v>332</v>
      </c>
      <c r="DF4" s="249" t="s">
        <v>332</v>
      </c>
      <c r="DG4" s="252" t="s">
        <v>333</v>
      </c>
      <c r="DH4" s="248"/>
      <c r="DI4" s="248"/>
      <c r="DJ4" s="248"/>
      <c r="DK4" s="248"/>
      <c r="DL4" s="248"/>
      <c r="DM4" s="248"/>
      <c r="DN4" s="248"/>
      <c r="DO4" s="252" t="s">
        <v>333</v>
      </c>
      <c r="DP4" s="252" t="s">
        <v>333</v>
      </c>
      <c r="DQ4" s="248"/>
      <c r="DR4" s="248"/>
      <c r="DS4" s="248"/>
      <c r="DT4" s="248"/>
      <c r="DU4" s="252" t="s">
        <v>333</v>
      </c>
      <c r="DV4" s="248"/>
      <c r="DW4" s="248"/>
      <c r="DX4" s="248"/>
      <c r="DY4" s="248"/>
      <c r="DZ4" s="248"/>
      <c r="EA4" s="248"/>
      <c r="EB4" s="248"/>
      <c r="EC4" s="248"/>
      <c r="ED4" s="248"/>
      <c r="EE4" s="248"/>
      <c r="EF4" s="248"/>
      <c r="EG4" s="248"/>
      <c r="EH4" s="248"/>
      <c r="EI4" s="248"/>
      <c r="EJ4" s="248"/>
      <c r="EK4" s="248"/>
      <c r="EL4" s="252" t="s">
        <v>333</v>
      </c>
      <c r="EM4" s="252" t="s">
        <v>333</v>
      </c>
      <c r="EN4" s="252" t="s">
        <v>333</v>
      </c>
      <c r="EO4" s="252" t="s">
        <v>333</v>
      </c>
      <c r="EP4" s="252" t="s">
        <v>333</v>
      </c>
      <c r="EQ4" s="248"/>
      <c r="ER4" s="248"/>
      <c r="ES4" s="253" t="s">
        <v>334</v>
      </c>
      <c r="ET4" s="248"/>
      <c r="EU4" s="253" t="s">
        <v>334</v>
      </c>
      <c r="EV4" s="252" t="s">
        <v>333</v>
      </c>
      <c r="EW4" s="253" t="s">
        <v>334</v>
      </c>
      <c r="EX4" s="248"/>
      <c r="EY4" s="253" t="s">
        <v>334</v>
      </c>
      <c r="EZ4" s="252" t="s">
        <v>333</v>
      </c>
      <c r="FA4" s="253" t="s">
        <v>334</v>
      </c>
      <c r="FB4" s="253" t="s">
        <v>334</v>
      </c>
      <c r="FC4" s="248"/>
      <c r="FD4" s="248"/>
      <c r="FE4" s="248"/>
      <c r="FF4" s="248"/>
      <c r="FG4" s="248"/>
      <c r="FH4" s="248"/>
      <c r="FI4" s="248"/>
      <c r="FJ4" s="248"/>
      <c r="FK4" s="248"/>
      <c r="FL4" s="253" t="s">
        <v>334</v>
      </c>
      <c r="FM4" s="253" t="s">
        <v>334</v>
      </c>
      <c r="FN4" s="248"/>
      <c r="FO4" s="248"/>
      <c r="FP4" s="253" t="s">
        <v>334</v>
      </c>
      <c r="FQ4" s="253" t="s">
        <v>334</v>
      </c>
      <c r="FR4" s="253" t="s">
        <v>334</v>
      </c>
      <c r="FS4" s="248"/>
      <c r="FT4" s="248"/>
      <c r="FU4" s="248"/>
      <c r="FV4" s="248"/>
      <c r="FW4" s="248"/>
      <c r="FX4" s="248"/>
      <c r="FY4" s="248"/>
      <c r="FZ4" s="248"/>
      <c r="GA4" s="248"/>
      <c r="GB4" s="248"/>
      <c r="GC4" s="248"/>
      <c r="GD4" s="248"/>
      <c r="GE4" s="248"/>
      <c r="GF4" s="248"/>
      <c r="GG4" s="248"/>
      <c r="GH4" s="254" t="s">
        <v>335</v>
      </c>
      <c r="GI4" s="248"/>
      <c r="GJ4" s="248"/>
      <c r="GK4" s="248"/>
      <c r="GL4" s="248"/>
      <c r="GM4" s="248"/>
      <c r="GN4" s="248"/>
      <c r="GO4" s="248"/>
      <c r="GP4" s="248"/>
      <c r="GQ4" s="248"/>
      <c r="GR4" s="248"/>
      <c r="GS4" s="255"/>
      <c r="GT4" s="248"/>
      <c r="GU4" s="248"/>
      <c r="GV4" s="248"/>
      <c r="GW4" s="248"/>
      <c r="GX4" s="248"/>
      <c r="GY4" s="248"/>
      <c r="GZ4" s="248"/>
      <c r="HA4" s="248"/>
      <c r="HB4" s="248"/>
      <c r="HC4" s="248"/>
      <c r="HD4" s="248"/>
      <c r="HE4" s="248"/>
      <c r="HF4" s="248"/>
      <c r="HG4" s="248"/>
      <c r="HH4" s="248"/>
      <c r="HI4" s="248"/>
      <c r="HJ4" s="248"/>
      <c r="HK4" s="248"/>
      <c r="HL4" s="255"/>
      <c r="HM4" s="253" t="s">
        <v>334</v>
      </c>
      <c r="HN4" s="248"/>
      <c r="HO4" s="253" t="s">
        <v>334</v>
      </c>
      <c r="HP4" s="253" t="s">
        <v>334</v>
      </c>
      <c r="HQ4" s="248"/>
      <c r="HR4" s="253" t="s">
        <v>334</v>
      </c>
      <c r="HS4" s="248"/>
      <c r="HT4" s="253" t="s">
        <v>334</v>
      </c>
      <c r="HU4" s="248"/>
      <c r="HV4" s="253" t="s">
        <v>334</v>
      </c>
      <c r="HW4" s="248"/>
      <c r="HX4" s="253" t="s">
        <v>334</v>
      </c>
      <c r="HY4" s="248"/>
      <c r="HZ4" s="253" t="s">
        <v>334</v>
      </c>
      <c r="IA4" s="248"/>
      <c r="IB4" s="253" t="s">
        <v>334</v>
      </c>
      <c r="IC4" s="248"/>
      <c r="ID4" s="248"/>
      <c r="IE4" s="255"/>
      <c r="IF4" s="255"/>
      <c r="IG4" s="255"/>
      <c r="IH4" s="255"/>
      <c r="II4" s="255"/>
      <c r="IJ4" s="255"/>
      <c r="IK4" s="255"/>
      <c r="IL4" s="255"/>
      <c r="IM4" s="255"/>
      <c r="IN4" s="255"/>
      <c r="IO4" s="255"/>
      <c r="IP4" s="255"/>
      <c r="IQ4" s="248"/>
      <c r="IR4" s="255"/>
      <c r="IS4" s="255"/>
      <c r="IT4" s="255"/>
      <c r="IU4" s="248"/>
      <c r="IV4" s="248"/>
      <c r="IW4" s="248"/>
      <c r="IX4" s="248"/>
      <c r="IY4" s="248"/>
      <c r="IZ4" s="248"/>
      <c r="JA4" s="248"/>
      <c r="JB4" s="248"/>
      <c r="JC4" s="248"/>
      <c r="JD4" s="248"/>
      <c r="JE4" s="248"/>
      <c r="JF4" s="248"/>
      <c r="JG4" s="256" t="s">
        <v>336</v>
      </c>
      <c r="JH4" s="255"/>
      <c r="JI4" s="248"/>
      <c r="JJ4" s="255"/>
      <c r="JK4" s="255"/>
      <c r="JL4" s="255"/>
      <c r="JM4" s="255"/>
      <c r="JN4" s="255"/>
      <c r="JO4" s="255"/>
      <c r="JP4" s="255"/>
      <c r="JQ4" s="255"/>
      <c r="JR4" s="255"/>
      <c r="JS4" s="248"/>
      <c r="JT4" s="257"/>
      <c r="JU4" s="248"/>
      <c r="JV4" s="248"/>
      <c r="JW4" s="248"/>
      <c r="JX4" s="248"/>
      <c r="JY4" s="248"/>
      <c r="JZ4" s="248"/>
      <c r="KA4" s="248"/>
      <c r="KB4" s="248"/>
      <c r="KC4" s="248"/>
      <c r="KD4" s="248"/>
      <c r="KE4" s="248"/>
      <c r="KF4" s="248"/>
      <c r="KG4" s="248"/>
      <c r="KH4" s="248"/>
      <c r="KI4" s="248"/>
      <c r="KJ4" s="248"/>
      <c r="KK4" s="248"/>
      <c r="KL4" s="248"/>
      <c r="KM4" s="248"/>
      <c r="KN4" s="248"/>
      <c r="KO4" s="248"/>
      <c r="KP4" s="248"/>
      <c r="KQ4" s="248"/>
      <c r="KR4" s="248"/>
      <c r="KS4" s="248"/>
      <c r="KT4" s="248"/>
      <c r="KU4" s="248"/>
      <c r="KV4" s="248"/>
      <c r="KW4" s="248"/>
      <c r="KX4" s="248"/>
      <c r="KY4" s="248"/>
      <c r="KZ4" s="248"/>
      <c r="LA4" s="248"/>
      <c r="LB4" s="248"/>
      <c r="LC4" s="248"/>
      <c r="LD4" s="1732"/>
      <c r="LE4" s="1734"/>
      <c r="LF4" s="1736"/>
      <c r="LG4" s="1722" t="s">
        <v>329</v>
      </c>
      <c r="LH4" s="1722"/>
      <c r="LI4" s="1722"/>
      <c r="LJ4" s="1722"/>
      <c r="LK4" s="1722"/>
      <c r="LL4" s="1722"/>
      <c r="LM4" s="1722"/>
      <c r="LN4" s="1722"/>
      <c r="LO4" s="1722"/>
      <c r="LP4" s="1723" t="s">
        <v>337</v>
      </c>
      <c r="LQ4" s="1725" t="s">
        <v>330</v>
      </c>
      <c r="LR4" s="1677" t="s">
        <v>337</v>
      </c>
      <c r="LS4" s="1679" t="s">
        <v>331</v>
      </c>
      <c r="LT4" s="1705"/>
      <c r="LU4" s="1706"/>
      <c r="LV4" s="1707"/>
      <c r="LW4" s="1710"/>
      <c r="LX4" s="1711"/>
      <c r="LY4" s="1711"/>
      <c r="LZ4" s="1711"/>
      <c r="MA4" s="1713"/>
      <c r="MB4" s="1715"/>
    </row>
    <row r="5" spans="1:340" ht="98.25" customHeight="1" thickBot="1">
      <c r="A5" s="14">
        <v>1</v>
      </c>
      <c r="B5" s="258" t="s">
        <v>338</v>
      </c>
      <c r="C5" s="259" t="s">
        <v>339</v>
      </c>
      <c r="D5" s="260" t="s">
        <v>223</v>
      </c>
      <c r="E5" s="1682"/>
      <c r="F5" s="261" t="s">
        <v>316</v>
      </c>
      <c r="G5" s="590" t="s">
        <v>856</v>
      </c>
      <c r="H5" s="590"/>
      <c r="I5" s="590"/>
      <c r="J5" s="1684"/>
      <c r="K5" s="1686"/>
      <c r="L5" s="262" t="s">
        <v>340</v>
      </c>
      <c r="M5" s="263" t="s">
        <v>341</v>
      </c>
      <c r="N5" s="264" t="s">
        <v>342</v>
      </c>
      <c r="O5" s="264" t="s">
        <v>343</v>
      </c>
      <c r="P5" s="265" t="s">
        <v>344</v>
      </c>
      <c r="Q5" s="1719"/>
      <c r="R5" s="1721"/>
      <c r="S5" s="266" t="s">
        <v>345</v>
      </c>
      <c r="T5" s="263" t="s">
        <v>346</v>
      </c>
      <c r="U5" s="267" t="s">
        <v>347</v>
      </c>
      <c r="V5" s="266" t="s">
        <v>348</v>
      </c>
      <c r="W5" s="264" t="s">
        <v>349</v>
      </c>
      <c r="X5" s="263" t="s">
        <v>350</v>
      </c>
      <c r="Y5" s="267" t="s">
        <v>351</v>
      </c>
      <c r="Z5" s="268" t="s">
        <v>352</v>
      </c>
      <c r="AA5" s="269" t="s">
        <v>353</v>
      </c>
      <c r="AC5" s="270" t="s">
        <v>340</v>
      </c>
      <c r="AD5" s="271" t="s">
        <v>354</v>
      </c>
      <c r="AE5" s="272" t="s">
        <v>342</v>
      </c>
      <c r="AF5" s="271" t="s">
        <v>343</v>
      </c>
      <c r="AG5" s="273" t="s">
        <v>344</v>
      </c>
      <c r="AH5" s="274" t="s">
        <v>355</v>
      </c>
      <c r="AI5" s="275" t="s">
        <v>356</v>
      </c>
      <c r="AJ5" s="275" t="s">
        <v>357</v>
      </c>
      <c r="AK5" s="276" t="s">
        <v>358</v>
      </c>
      <c r="AL5" s="276" t="s">
        <v>359</v>
      </c>
      <c r="AM5" s="276" t="s">
        <v>360</v>
      </c>
      <c r="AN5" s="276" t="s">
        <v>361</v>
      </c>
      <c r="AO5" s="276" t="s">
        <v>362</v>
      </c>
      <c r="AP5" s="276" t="s">
        <v>359</v>
      </c>
      <c r="AQ5" s="276" t="s">
        <v>360</v>
      </c>
      <c r="AR5" s="276" t="s">
        <v>361</v>
      </c>
      <c r="AS5" s="276" t="s">
        <v>363</v>
      </c>
      <c r="AT5" s="276" t="s">
        <v>360</v>
      </c>
      <c r="AU5" s="276" t="s">
        <v>361</v>
      </c>
      <c r="AV5" s="276" t="s">
        <v>364</v>
      </c>
      <c r="AW5" s="276" t="s">
        <v>359</v>
      </c>
      <c r="AX5" s="276" t="s">
        <v>365</v>
      </c>
      <c r="AY5" s="276" t="s">
        <v>363</v>
      </c>
      <c r="AZ5" s="275" t="s">
        <v>366</v>
      </c>
      <c r="BA5" s="275" t="s">
        <v>367</v>
      </c>
      <c r="BB5" s="277" t="s">
        <v>368</v>
      </c>
      <c r="BC5" s="277" t="s">
        <v>369</v>
      </c>
      <c r="BD5" s="277" t="s">
        <v>370</v>
      </c>
      <c r="BE5" s="277" t="s">
        <v>371</v>
      </c>
      <c r="BF5" s="277" t="s">
        <v>368</v>
      </c>
      <c r="BG5" s="277" t="s">
        <v>372</v>
      </c>
      <c r="BH5" s="277" t="s">
        <v>373</v>
      </c>
      <c r="BI5" s="277" t="s">
        <v>374</v>
      </c>
      <c r="BJ5" s="277" t="s">
        <v>375</v>
      </c>
      <c r="BK5" s="277" t="s">
        <v>371</v>
      </c>
      <c r="BL5" s="277" t="s">
        <v>368</v>
      </c>
      <c r="BM5" s="277" t="s">
        <v>376</v>
      </c>
      <c r="BN5" s="277" t="s">
        <v>373</v>
      </c>
      <c r="BO5" s="277" t="s">
        <v>374</v>
      </c>
      <c r="BP5" s="277" t="s">
        <v>377</v>
      </c>
      <c r="BQ5" s="277" t="s">
        <v>371</v>
      </c>
      <c r="BR5" s="277" t="s">
        <v>368</v>
      </c>
      <c r="BS5" s="277" t="s">
        <v>378</v>
      </c>
      <c r="BT5" s="277" t="s">
        <v>373</v>
      </c>
      <c r="BU5" s="277" t="s">
        <v>374</v>
      </c>
      <c r="BV5" s="277" t="s">
        <v>379</v>
      </c>
      <c r="BW5" s="277" t="s">
        <v>371</v>
      </c>
      <c r="BX5" s="277" t="s">
        <v>368</v>
      </c>
      <c r="BY5" s="277" t="s">
        <v>380</v>
      </c>
      <c r="BZ5" s="277" t="s">
        <v>373</v>
      </c>
      <c r="CA5" s="277" t="s">
        <v>374</v>
      </c>
      <c r="CB5" s="275" t="s">
        <v>381</v>
      </c>
      <c r="CC5" s="275" t="s">
        <v>382</v>
      </c>
      <c r="CD5" s="275" t="s">
        <v>383</v>
      </c>
      <c r="CE5" s="277" t="s">
        <v>368</v>
      </c>
      <c r="CF5" s="277" t="s">
        <v>369</v>
      </c>
      <c r="CG5" s="277" t="s">
        <v>375</v>
      </c>
      <c r="CH5" s="277" t="s">
        <v>371</v>
      </c>
      <c r="CI5" s="277" t="s">
        <v>368</v>
      </c>
      <c r="CJ5" s="277" t="s">
        <v>380</v>
      </c>
      <c r="CK5" s="277" t="s">
        <v>373</v>
      </c>
      <c r="CL5" s="277" t="s">
        <v>374</v>
      </c>
      <c r="CM5" s="275" t="s">
        <v>384</v>
      </c>
      <c r="CN5" s="277" t="s">
        <v>385</v>
      </c>
      <c r="CO5" s="277" t="s">
        <v>386</v>
      </c>
      <c r="CP5" s="277" t="s">
        <v>387</v>
      </c>
      <c r="CQ5" s="277" t="s">
        <v>388</v>
      </c>
      <c r="CR5" s="277" t="s">
        <v>389</v>
      </c>
      <c r="CS5" s="275" t="s">
        <v>390</v>
      </c>
      <c r="CT5" s="277" t="s">
        <v>391</v>
      </c>
      <c r="CU5" s="277" t="s">
        <v>392</v>
      </c>
      <c r="CV5" s="277" t="s">
        <v>393</v>
      </c>
      <c r="CW5" s="277" t="s">
        <v>394</v>
      </c>
      <c r="CX5" s="277" t="s">
        <v>395</v>
      </c>
      <c r="CY5" s="275" t="s">
        <v>396</v>
      </c>
      <c r="CZ5" s="278" t="s">
        <v>397</v>
      </c>
      <c r="DA5" s="278" t="s">
        <v>398</v>
      </c>
      <c r="DB5" s="275" t="s">
        <v>399</v>
      </c>
      <c r="DC5" s="278" t="s">
        <v>397</v>
      </c>
      <c r="DD5" s="278" t="s">
        <v>398</v>
      </c>
      <c r="DE5" s="275" t="s">
        <v>400</v>
      </c>
      <c r="DF5" s="275" t="s">
        <v>401</v>
      </c>
      <c r="DG5" s="275" t="s">
        <v>402</v>
      </c>
      <c r="DH5" s="278" t="s">
        <v>403</v>
      </c>
      <c r="DI5" s="278" t="s">
        <v>404</v>
      </c>
      <c r="DJ5" s="278" t="s">
        <v>405</v>
      </c>
      <c r="DK5" s="278" t="s">
        <v>406</v>
      </c>
      <c r="DL5" s="278" t="s">
        <v>407</v>
      </c>
      <c r="DM5" s="278" t="s">
        <v>408</v>
      </c>
      <c r="DN5" s="278" t="s">
        <v>409</v>
      </c>
      <c r="DO5" s="275" t="s">
        <v>410</v>
      </c>
      <c r="DP5" s="275" t="s">
        <v>411</v>
      </c>
      <c r="DQ5" s="279" t="s">
        <v>412</v>
      </c>
      <c r="DR5" s="280" t="s">
        <v>413</v>
      </c>
      <c r="DS5" s="279" t="s">
        <v>414</v>
      </c>
      <c r="DT5" s="279" t="s">
        <v>415</v>
      </c>
      <c r="DU5" s="275" t="s">
        <v>416</v>
      </c>
      <c r="DV5" s="281" t="s">
        <v>417</v>
      </c>
      <c r="DW5" s="281" t="s">
        <v>418</v>
      </c>
      <c r="DX5" s="281" t="s">
        <v>419</v>
      </c>
      <c r="DY5" s="282" t="s">
        <v>420</v>
      </c>
      <c r="DZ5" s="282" t="s">
        <v>421</v>
      </c>
      <c r="EA5" s="282" t="s">
        <v>422</v>
      </c>
      <c r="EB5" s="282" t="s">
        <v>423</v>
      </c>
      <c r="EC5" s="281" t="s">
        <v>424</v>
      </c>
      <c r="ED5" s="282" t="s">
        <v>425</v>
      </c>
      <c r="EE5" s="282" t="s">
        <v>426</v>
      </c>
      <c r="EF5" s="282" t="s">
        <v>427</v>
      </c>
      <c r="EG5" s="281" t="s">
        <v>428</v>
      </c>
      <c r="EH5" s="275" t="s">
        <v>429</v>
      </c>
      <c r="EI5" s="277" t="s">
        <v>430</v>
      </c>
      <c r="EJ5" s="277" t="s">
        <v>431</v>
      </c>
      <c r="EK5" s="277" t="s">
        <v>432</v>
      </c>
      <c r="EL5" s="275" t="s">
        <v>433</v>
      </c>
      <c r="EM5" s="275" t="s">
        <v>434</v>
      </c>
      <c r="EN5" s="275" t="s">
        <v>435</v>
      </c>
      <c r="EO5" s="275" t="s">
        <v>436</v>
      </c>
      <c r="EP5" s="275" t="s">
        <v>437</v>
      </c>
      <c r="EQ5" s="283" t="s">
        <v>438</v>
      </c>
      <c r="ER5" s="283" t="s">
        <v>439</v>
      </c>
      <c r="ES5" s="275" t="s">
        <v>440</v>
      </c>
      <c r="ET5" s="275" t="s">
        <v>441</v>
      </c>
      <c r="EU5" s="284" t="s">
        <v>442</v>
      </c>
      <c r="EV5" s="284" t="s">
        <v>443</v>
      </c>
      <c r="EW5" s="275" t="s">
        <v>444</v>
      </c>
      <c r="EX5" s="275" t="s">
        <v>445</v>
      </c>
      <c r="EY5" s="284" t="s">
        <v>446</v>
      </c>
      <c r="EZ5" s="284" t="s">
        <v>447</v>
      </c>
      <c r="FA5" s="284" t="s">
        <v>448</v>
      </c>
      <c r="FB5" s="275" t="s">
        <v>449</v>
      </c>
      <c r="FC5" s="285" t="s">
        <v>450</v>
      </c>
      <c r="FD5" s="285" t="s">
        <v>451</v>
      </c>
      <c r="FE5" s="285" t="s">
        <v>452</v>
      </c>
      <c r="FF5" s="284" t="s">
        <v>453</v>
      </c>
      <c r="FG5" s="278" t="s">
        <v>454</v>
      </c>
      <c r="FH5" s="278" t="s">
        <v>455</v>
      </c>
      <c r="FI5" s="278" t="s">
        <v>456</v>
      </c>
      <c r="FJ5" s="278" t="s">
        <v>457</v>
      </c>
      <c r="FK5" s="278" t="s">
        <v>458</v>
      </c>
      <c r="FL5" s="275" t="s">
        <v>459</v>
      </c>
      <c r="FM5" s="275" t="s">
        <v>460</v>
      </c>
      <c r="FN5" s="286" t="s">
        <v>461</v>
      </c>
      <c r="FO5" s="286" t="s">
        <v>462</v>
      </c>
      <c r="FP5" s="275" t="s">
        <v>463</v>
      </c>
      <c r="FQ5" s="275" t="s">
        <v>351</v>
      </c>
      <c r="FR5" s="275" t="s">
        <v>464</v>
      </c>
      <c r="FS5" s="275" t="s">
        <v>465</v>
      </c>
      <c r="FT5" s="287" t="s">
        <v>466</v>
      </c>
      <c r="FU5" s="286" t="s">
        <v>467</v>
      </c>
      <c r="FV5" s="286" t="s">
        <v>468</v>
      </c>
      <c r="FW5" s="286" t="s">
        <v>469</v>
      </c>
      <c r="FX5" s="286" t="s">
        <v>470</v>
      </c>
      <c r="FY5" s="286" t="s">
        <v>471</v>
      </c>
      <c r="FZ5" s="286" t="s">
        <v>472</v>
      </c>
      <c r="GA5" s="286" t="s">
        <v>473</v>
      </c>
      <c r="GB5" s="278" t="s">
        <v>474</v>
      </c>
      <c r="GC5" s="278" t="s">
        <v>475</v>
      </c>
      <c r="GD5" s="288" t="s">
        <v>476</v>
      </c>
      <c r="GE5" s="288" t="s">
        <v>477</v>
      </c>
      <c r="GF5" s="282" t="s">
        <v>478</v>
      </c>
      <c r="GG5" s="282" t="s">
        <v>479</v>
      </c>
      <c r="GH5" s="287" t="s">
        <v>353</v>
      </c>
      <c r="GI5" s="289" t="s">
        <v>480</v>
      </c>
      <c r="GJ5" s="289" t="s">
        <v>481</v>
      </c>
      <c r="GK5" s="289" t="s">
        <v>482</v>
      </c>
      <c r="GL5" s="289" t="s">
        <v>483</v>
      </c>
      <c r="GM5" s="289" t="s">
        <v>484</v>
      </c>
      <c r="GN5" s="289" t="s">
        <v>485</v>
      </c>
      <c r="GO5" s="289" t="s">
        <v>486</v>
      </c>
      <c r="GP5" s="289" t="s">
        <v>487</v>
      </c>
      <c r="GQ5" s="289" t="s">
        <v>488</v>
      </c>
      <c r="GR5" s="289" t="s">
        <v>488</v>
      </c>
      <c r="GS5" s="275" t="s">
        <v>489</v>
      </c>
      <c r="GT5" s="289" t="s">
        <v>490</v>
      </c>
      <c r="GU5" s="289" t="s">
        <v>491</v>
      </c>
      <c r="GV5" s="289" t="s">
        <v>492</v>
      </c>
      <c r="GW5" s="289" t="s">
        <v>493</v>
      </c>
      <c r="GX5" s="289" t="s">
        <v>494</v>
      </c>
      <c r="GY5" s="289" t="s">
        <v>495</v>
      </c>
      <c r="GZ5" s="289" t="s">
        <v>496</v>
      </c>
      <c r="HA5" s="289" t="s">
        <v>497</v>
      </c>
      <c r="HB5" s="289" t="s">
        <v>498</v>
      </c>
      <c r="HC5" s="289" t="s">
        <v>499</v>
      </c>
      <c r="HD5" s="289" t="s">
        <v>353</v>
      </c>
      <c r="HE5" s="289" t="s">
        <v>500</v>
      </c>
      <c r="HF5" s="289" t="s">
        <v>501</v>
      </c>
      <c r="HG5" s="289" t="s">
        <v>502</v>
      </c>
      <c r="HH5" s="289" t="s">
        <v>432</v>
      </c>
      <c r="HI5" s="289" t="s">
        <v>503</v>
      </c>
      <c r="HJ5" s="289" t="s">
        <v>504</v>
      </c>
      <c r="HK5" s="289" t="s">
        <v>505</v>
      </c>
      <c r="HL5" s="275" t="s">
        <v>506</v>
      </c>
      <c r="HM5" s="290" t="s">
        <v>507</v>
      </c>
      <c r="HN5" s="290" t="s">
        <v>508</v>
      </c>
      <c r="HO5" s="290" t="s">
        <v>509</v>
      </c>
      <c r="HP5" s="290" t="s">
        <v>510</v>
      </c>
      <c r="HQ5" s="290" t="s">
        <v>508</v>
      </c>
      <c r="HR5" s="290" t="s">
        <v>511</v>
      </c>
      <c r="HS5" s="290" t="s">
        <v>508</v>
      </c>
      <c r="HT5" s="290" t="s">
        <v>512</v>
      </c>
      <c r="HU5" s="290" t="s">
        <v>508</v>
      </c>
      <c r="HV5" s="290" t="s">
        <v>513</v>
      </c>
      <c r="HW5" s="290" t="s">
        <v>508</v>
      </c>
      <c r="HX5" s="290" t="s">
        <v>514</v>
      </c>
      <c r="HY5" s="290" t="s">
        <v>508</v>
      </c>
      <c r="HZ5" s="290" t="s">
        <v>515</v>
      </c>
      <c r="IA5" s="290" t="s">
        <v>508</v>
      </c>
      <c r="IB5" s="290" t="s">
        <v>516</v>
      </c>
      <c r="IC5" s="290" t="s">
        <v>508</v>
      </c>
      <c r="ID5" s="275" t="s">
        <v>517</v>
      </c>
      <c r="IE5" s="291" t="s">
        <v>518</v>
      </c>
      <c r="IF5" s="291" t="s">
        <v>519</v>
      </c>
      <c r="IG5" s="291" t="s">
        <v>520</v>
      </c>
      <c r="IH5" s="278" t="s">
        <v>521</v>
      </c>
      <c r="II5" s="286" t="s">
        <v>522</v>
      </c>
      <c r="IJ5" s="286" t="s">
        <v>523</v>
      </c>
      <c r="IK5" s="286" t="s">
        <v>524</v>
      </c>
      <c r="IL5" s="277" t="s">
        <v>525</v>
      </c>
      <c r="IM5" s="277" t="s">
        <v>526</v>
      </c>
      <c r="IN5" s="277" t="s">
        <v>527</v>
      </c>
      <c r="IO5" s="277" t="s">
        <v>528</v>
      </c>
      <c r="IP5" s="277" t="s">
        <v>529</v>
      </c>
      <c r="IQ5" s="275" t="s">
        <v>530</v>
      </c>
      <c r="IR5" s="291" t="s">
        <v>518</v>
      </c>
      <c r="IS5" s="291" t="s">
        <v>519</v>
      </c>
      <c r="IT5" s="291" t="s">
        <v>520</v>
      </c>
      <c r="IU5" s="291" t="s">
        <v>531</v>
      </c>
      <c r="IV5" s="291" t="s">
        <v>532</v>
      </c>
      <c r="IW5" s="291" t="s">
        <v>533</v>
      </c>
      <c r="IX5" s="291" t="s">
        <v>534</v>
      </c>
      <c r="IY5" s="291" t="s">
        <v>535</v>
      </c>
      <c r="IZ5" s="291" t="s">
        <v>536</v>
      </c>
      <c r="JA5" s="291" t="s">
        <v>537</v>
      </c>
      <c r="JB5" s="291" t="s">
        <v>538</v>
      </c>
      <c r="JC5" s="291" t="s">
        <v>539</v>
      </c>
      <c r="JD5" s="291" t="s">
        <v>487</v>
      </c>
      <c r="JE5" s="291" t="s">
        <v>540</v>
      </c>
      <c r="JF5" s="291" t="s">
        <v>541</v>
      </c>
      <c r="JG5" s="292" t="s">
        <v>350</v>
      </c>
      <c r="JH5" s="277" t="s">
        <v>529</v>
      </c>
      <c r="JI5" s="275" t="s">
        <v>542</v>
      </c>
      <c r="JJ5" s="291" t="s">
        <v>518</v>
      </c>
      <c r="JK5" s="291" t="s">
        <v>519</v>
      </c>
      <c r="JL5" s="277" t="s">
        <v>543</v>
      </c>
      <c r="JM5" s="277" t="s">
        <v>544</v>
      </c>
      <c r="JN5" s="293" t="s">
        <v>545</v>
      </c>
      <c r="JO5" s="294" t="s">
        <v>348</v>
      </c>
      <c r="JP5" s="295" t="s">
        <v>546</v>
      </c>
      <c r="JQ5" s="256" t="s">
        <v>350</v>
      </c>
      <c r="JR5" s="296" t="s">
        <v>353</v>
      </c>
      <c r="JS5" s="275" t="s">
        <v>547</v>
      </c>
      <c r="JT5" s="297"/>
      <c r="JU5" s="275" t="s">
        <v>548</v>
      </c>
      <c r="JV5" s="275" t="s">
        <v>549</v>
      </c>
      <c r="JW5" s="275" t="s">
        <v>550</v>
      </c>
      <c r="JX5" s="277" t="s">
        <v>551</v>
      </c>
      <c r="JY5" s="298" t="s">
        <v>552</v>
      </c>
      <c r="JZ5" s="277" t="s">
        <v>553</v>
      </c>
      <c r="KA5" s="299" t="s">
        <v>554</v>
      </c>
      <c r="KB5" s="275" t="s">
        <v>555</v>
      </c>
      <c r="KC5" s="275" t="s">
        <v>556</v>
      </c>
      <c r="KD5" s="275" t="s">
        <v>557</v>
      </c>
      <c r="KE5" s="298" t="s">
        <v>558</v>
      </c>
      <c r="KF5" s="275" t="s">
        <v>559</v>
      </c>
      <c r="KG5" s="298" t="s">
        <v>560</v>
      </c>
      <c r="KH5" s="298" t="s">
        <v>561</v>
      </c>
      <c r="KI5" s="275" t="s">
        <v>562</v>
      </c>
      <c r="KJ5" s="298" t="s">
        <v>560</v>
      </c>
      <c r="KK5" s="298" t="s">
        <v>561</v>
      </c>
      <c r="KL5" s="275" t="s">
        <v>563</v>
      </c>
      <c r="KM5" s="298" t="s">
        <v>560</v>
      </c>
      <c r="KN5" s="298" t="s">
        <v>561</v>
      </c>
      <c r="KO5" s="275" t="s">
        <v>262</v>
      </c>
      <c r="KP5" s="298" t="s">
        <v>560</v>
      </c>
      <c r="KQ5" s="298" t="s">
        <v>561</v>
      </c>
      <c r="KR5" s="275" t="s">
        <v>564</v>
      </c>
      <c r="KS5" s="275" t="s">
        <v>565</v>
      </c>
      <c r="KT5" s="298" t="s">
        <v>566</v>
      </c>
      <c r="KU5" s="298" t="s">
        <v>567</v>
      </c>
      <c r="KV5" s="275" t="s">
        <v>568</v>
      </c>
      <c r="KW5" s="298" t="s">
        <v>569</v>
      </c>
      <c r="KX5" s="298" t="s">
        <v>570</v>
      </c>
      <c r="KY5" s="298" t="s">
        <v>571</v>
      </c>
      <c r="KZ5" s="275" t="s">
        <v>572</v>
      </c>
      <c r="LA5" s="298" t="s">
        <v>573</v>
      </c>
      <c r="LB5" s="298" t="s">
        <v>574</v>
      </c>
      <c r="LC5" s="298" t="s">
        <v>575</v>
      </c>
      <c r="LD5" s="1732"/>
      <c r="LE5" s="1734"/>
      <c r="LF5" s="1736"/>
      <c r="LG5" s="300" t="s">
        <v>340</v>
      </c>
      <c r="LH5" s="301" t="s">
        <v>337</v>
      </c>
      <c r="LI5" s="302" t="s">
        <v>341</v>
      </c>
      <c r="LJ5" s="301" t="s">
        <v>337</v>
      </c>
      <c r="LK5" s="302" t="s">
        <v>342</v>
      </c>
      <c r="LL5" s="301" t="s">
        <v>337</v>
      </c>
      <c r="LM5" s="302" t="s">
        <v>343</v>
      </c>
      <c r="LN5" s="301" t="s">
        <v>337</v>
      </c>
      <c r="LO5" s="302" t="s">
        <v>344</v>
      </c>
      <c r="LP5" s="1724"/>
      <c r="LQ5" s="1726"/>
      <c r="LR5" s="1678"/>
      <c r="LS5" s="1680"/>
      <c r="LT5" s="303" t="s">
        <v>345</v>
      </c>
      <c r="LU5" s="304" t="s">
        <v>346</v>
      </c>
      <c r="LV5" s="305" t="s">
        <v>347</v>
      </c>
      <c r="LW5" s="303" t="s">
        <v>348</v>
      </c>
      <c r="LX5" s="304" t="s">
        <v>349</v>
      </c>
      <c r="LY5" s="304" t="s">
        <v>350</v>
      </c>
      <c r="LZ5" s="306" t="s">
        <v>351</v>
      </c>
      <c r="MA5" s="307" t="s">
        <v>352</v>
      </c>
      <c r="MB5" s="308" t="s">
        <v>353</v>
      </c>
    </row>
    <row r="6" spans="1:340" ht="22.5">
      <c r="A6" s="14">
        <v>1</v>
      </c>
      <c r="B6" s="309"/>
      <c r="C6" s="310"/>
      <c r="D6" s="311"/>
      <c r="E6" s="312"/>
      <c r="F6" s="313"/>
      <c r="G6" s="595">
        <f>J8-G8</f>
        <v>265789.50441253372</v>
      </c>
      <c r="H6" s="596"/>
      <c r="I6" s="596"/>
      <c r="J6" s="314"/>
      <c r="K6" s="314"/>
      <c r="L6" s="315"/>
      <c r="M6" s="316"/>
      <c r="N6" s="317"/>
      <c r="O6" s="317"/>
      <c r="P6" s="318"/>
      <c r="Q6" s="314"/>
      <c r="R6" s="313"/>
      <c r="S6" s="319"/>
      <c r="T6" s="320"/>
      <c r="U6" s="321"/>
      <c r="V6" s="319"/>
      <c r="W6" s="322"/>
      <c r="X6" s="320"/>
      <c r="Y6" s="321"/>
      <c r="Z6" s="315"/>
      <c r="AA6" s="314"/>
      <c r="AC6" s="323" t="s">
        <v>253</v>
      </c>
      <c r="AD6" s="324" t="s">
        <v>253</v>
      </c>
      <c r="AE6" s="324" t="s">
        <v>253</v>
      </c>
      <c r="AF6" s="324" t="s">
        <v>253</v>
      </c>
      <c r="AG6" s="324" t="s">
        <v>253</v>
      </c>
      <c r="AH6" s="277" t="s">
        <v>253</v>
      </c>
      <c r="AI6" s="277" t="s">
        <v>253</v>
      </c>
      <c r="AJ6" s="277" t="s">
        <v>253</v>
      </c>
      <c r="AK6" s="277" t="s">
        <v>253</v>
      </c>
      <c r="AL6" s="277" t="s">
        <v>253</v>
      </c>
      <c r="AM6" s="277" t="s">
        <v>576</v>
      </c>
      <c r="AN6" s="277" t="s">
        <v>286</v>
      </c>
      <c r="AO6" s="277" t="s">
        <v>253</v>
      </c>
      <c r="AP6" s="277" t="s">
        <v>253</v>
      </c>
      <c r="AQ6" s="277" t="s">
        <v>576</v>
      </c>
      <c r="AR6" s="277" t="s">
        <v>286</v>
      </c>
      <c r="AS6" s="277" t="s">
        <v>253</v>
      </c>
      <c r="AT6" s="277" t="s">
        <v>576</v>
      </c>
      <c r="AU6" s="277" t="s">
        <v>286</v>
      </c>
      <c r="AV6" s="277" t="s">
        <v>253</v>
      </c>
      <c r="AW6" s="277" t="s">
        <v>253</v>
      </c>
      <c r="AX6" s="277" t="s">
        <v>253</v>
      </c>
      <c r="AY6" s="277" t="s">
        <v>253</v>
      </c>
      <c r="AZ6" s="277" t="s">
        <v>253</v>
      </c>
      <c r="BA6" s="277" t="s">
        <v>253</v>
      </c>
      <c r="BB6" s="277" t="s">
        <v>577</v>
      </c>
      <c r="BC6" s="277" t="s">
        <v>578</v>
      </c>
      <c r="BD6" s="277" t="s">
        <v>253</v>
      </c>
      <c r="BE6" s="277" t="s">
        <v>579</v>
      </c>
      <c r="BF6" s="277" t="s">
        <v>577</v>
      </c>
      <c r="BG6" s="277" t="s">
        <v>253</v>
      </c>
      <c r="BH6" s="277" t="s">
        <v>580</v>
      </c>
      <c r="BI6" s="277" t="s">
        <v>578</v>
      </c>
      <c r="BJ6" s="277" t="s">
        <v>253</v>
      </c>
      <c r="BK6" s="277" t="s">
        <v>579</v>
      </c>
      <c r="BL6" s="277" t="s">
        <v>577</v>
      </c>
      <c r="BM6" s="277" t="s">
        <v>253</v>
      </c>
      <c r="BN6" s="277" t="s">
        <v>580</v>
      </c>
      <c r="BO6" s="277" t="s">
        <v>578</v>
      </c>
      <c r="BP6" s="277" t="s">
        <v>253</v>
      </c>
      <c r="BQ6" s="277" t="s">
        <v>579</v>
      </c>
      <c r="BR6" s="277" t="s">
        <v>577</v>
      </c>
      <c r="BS6" s="277" t="s">
        <v>253</v>
      </c>
      <c r="BT6" s="277" t="s">
        <v>580</v>
      </c>
      <c r="BU6" s="277" t="s">
        <v>578</v>
      </c>
      <c r="BV6" s="277" t="s">
        <v>253</v>
      </c>
      <c r="BW6" s="277" t="s">
        <v>579</v>
      </c>
      <c r="BX6" s="277" t="s">
        <v>577</v>
      </c>
      <c r="BY6" s="277" t="s">
        <v>253</v>
      </c>
      <c r="BZ6" s="277" t="s">
        <v>580</v>
      </c>
      <c r="CA6" s="277" t="s">
        <v>578</v>
      </c>
      <c r="CB6" s="277" t="s">
        <v>253</v>
      </c>
      <c r="CC6" s="277" t="s">
        <v>253</v>
      </c>
      <c r="CD6" s="277" t="s">
        <v>253</v>
      </c>
      <c r="CE6" s="277" t="s">
        <v>577</v>
      </c>
      <c r="CF6" s="277" t="s">
        <v>578</v>
      </c>
      <c r="CG6" s="277" t="s">
        <v>253</v>
      </c>
      <c r="CH6" s="277" t="s">
        <v>579</v>
      </c>
      <c r="CI6" s="277" t="s">
        <v>577</v>
      </c>
      <c r="CJ6" s="277" t="s">
        <v>253</v>
      </c>
      <c r="CK6" s="277" t="s">
        <v>580</v>
      </c>
      <c r="CL6" s="277" t="s">
        <v>578</v>
      </c>
      <c r="CM6" s="277" t="s">
        <v>253</v>
      </c>
      <c r="CN6" s="277" t="s">
        <v>253</v>
      </c>
      <c r="CO6" s="277" t="s">
        <v>253</v>
      </c>
      <c r="CP6" s="277" t="s">
        <v>253</v>
      </c>
      <c r="CQ6" s="277" t="s">
        <v>253</v>
      </c>
      <c r="CR6" s="277" t="s">
        <v>253</v>
      </c>
      <c r="CS6" s="277" t="s">
        <v>253</v>
      </c>
      <c r="CT6" s="277" t="s">
        <v>253</v>
      </c>
      <c r="CU6" s="277" t="s">
        <v>253</v>
      </c>
      <c r="CV6" s="277" t="s">
        <v>253</v>
      </c>
      <c r="CW6" s="277" t="s">
        <v>253</v>
      </c>
      <c r="CX6" s="277" t="s">
        <v>253</v>
      </c>
      <c r="CY6" s="277" t="s">
        <v>253</v>
      </c>
      <c r="CZ6" s="277" t="s">
        <v>581</v>
      </c>
      <c r="DA6" s="277" t="s">
        <v>582</v>
      </c>
      <c r="DB6" s="277" t="s">
        <v>253</v>
      </c>
      <c r="DC6" s="277" t="s">
        <v>581</v>
      </c>
      <c r="DD6" s="277" t="s">
        <v>582</v>
      </c>
      <c r="DE6" s="277" t="s">
        <v>253</v>
      </c>
      <c r="DF6" s="325" t="s">
        <v>253</v>
      </c>
      <c r="DG6" s="325" t="s">
        <v>253</v>
      </c>
      <c r="DH6" s="325" t="s">
        <v>253</v>
      </c>
      <c r="DI6" s="325" t="s">
        <v>253</v>
      </c>
      <c r="DJ6" s="325" t="s">
        <v>253</v>
      </c>
      <c r="DK6" s="325" t="s">
        <v>253</v>
      </c>
      <c r="DL6" s="325" t="s">
        <v>253</v>
      </c>
      <c r="DM6" s="325" t="s">
        <v>253</v>
      </c>
      <c r="DN6" s="325" t="s">
        <v>253</v>
      </c>
      <c r="DO6" s="325" t="s">
        <v>253</v>
      </c>
      <c r="DP6" s="325" t="s">
        <v>253</v>
      </c>
      <c r="DQ6" s="325" t="s">
        <v>253</v>
      </c>
      <c r="DR6" s="325" t="s">
        <v>253</v>
      </c>
      <c r="DS6" s="325" t="s">
        <v>253</v>
      </c>
      <c r="DT6" s="325" t="s">
        <v>253</v>
      </c>
      <c r="DU6" s="325" t="s">
        <v>253</v>
      </c>
      <c r="DV6" s="325" t="s">
        <v>253</v>
      </c>
      <c r="DW6" s="325" t="s">
        <v>253</v>
      </c>
      <c r="DX6" s="325" t="s">
        <v>253</v>
      </c>
      <c r="DY6" s="325" t="s">
        <v>253</v>
      </c>
      <c r="DZ6" s="277" t="s">
        <v>253</v>
      </c>
      <c r="EA6" s="277" t="s">
        <v>253</v>
      </c>
      <c r="EB6" s="277" t="s">
        <v>253</v>
      </c>
      <c r="EC6" s="277" t="s">
        <v>253</v>
      </c>
      <c r="ED6" s="277" t="s">
        <v>253</v>
      </c>
      <c r="EE6" s="277" t="s">
        <v>253</v>
      </c>
      <c r="EF6" s="277" t="s">
        <v>253</v>
      </c>
      <c r="EG6" s="325" t="s">
        <v>253</v>
      </c>
      <c r="EH6" s="277" t="s">
        <v>253</v>
      </c>
      <c r="EI6" s="277" t="s">
        <v>253</v>
      </c>
      <c r="EJ6" s="277" t="s">
        <v>253</v>
      </c>
      <c r="EK6" s="277" t="s">
        <v>253</v>
      </c>
      <c r="EL6" s="325" t="s">
        <v>253</v>
      </c>
      <c r="EM6" s="325" t="s">
        <v>253</v>
      </c>
      <c r="EN6" s="325" t="s">
        <v>253</v>
      </c>
      <c r="EO6" s="325" t="s">
        <v>253</v>
      </c>
      <c r="EP6" s="325" t="s">
        <v>253</v>
      </c>
      <c r="EQ6" s="325" t="s">
        <v>253</v>
      </c>
      <c r="ER6" s="325" t="s">
        <v>253</v>
      </c>
      <c r="ES6" s="325" t="s">
        <v>253</v>
      </c>
      <c r="ET6" s="325" t="s">
        <v>253</v>
      </c>
      <c r="EU6" s="325" t="s">
        <v>253</v>
      </c>
      <c r="EV6" s="325" t="s">
        <v>253</v>
      </c>
      <c r="EW6" s="325" t="s">
        <v>253</v>
      </c>
      <c r="EX6" s="325" t="s">
        <v>253</v>
      </c>
      <c r="EY6" s="325" t="s">
        <v>253</v>
      </c>
      <c r="EZ6" s="325" t="s">
        <v>253</v>
      </c>
      <c r="FA6" s="325" t="s">
        <v>253</v>
      </c>
      <c r="FB6" s="325" t="s">
        <v>253</v>
      </c>
      <c r="FC6" s="325" t="s">
        <v>253</v>
      </c>
      <c r="FD6" s="325" t="s">
        <v>253</v>
      </c>
      <c r="FE6" s="325" t="s">
        <v>253</v>
      </c>
      <c r="FF6" s="325" t="s">
        <v>253</v>
      </c>
      <c r="FG6" s="325" t="s">
        <v>253</v>
      </c>
      <c r="FH6" s="325" t="s">
        <v>253</v>
      </c>
      <c r="FI6" s="325" t="s">
        <v>253</v>
      </c>
      <c r="FJ6" s="325" t="s">
        <v>253</v>
      </c>
      <c r="FK6" s="325" t="s">
        <v>253</v>
      </c>
      <c r="FL6" s="325" t="s">
        <v>253</v>
      </c>
      <c r="FM6" s="325" t="s">
        <v>253</v>
      </c>
      <c r="FN6" s="325" t="s">
        <v>253</v>
      </c>
      <c r="FO6" s="325" t="s">
        <v>253</v>
      </c>
      <c r="FP6" s="325" t="s">
        <v>253</v>
      </c>
      <c r="FQ6" s="325" t="s">
        <v>253</v>
      </c>
      <c r="FR6" s="325" t="s">
        <v>253</v>
      </c>
      <c r="FS6" s="277" t="s">
        <v>253</v>
      </c>
      <c r="FT6" s="325" t="s">
        <v>253</v>
      </c>
      <c r="FU6" s="325" t="s">
        <v>253</v>
      </c>
      <c r="FV6" s="277" t="s">
        <v>253</v>
      </c>
      <c r="FW6" s="277" t="s">
        <v>253</v>
      </c>
      <c r="FX6" s="277" t="s">
        <v>253</v>
      </c>
      <c r="FY6" s="277" t="s">
        <v>253</v>
      </c>
      <c r="FZ6" s="325" t="s">
        <v>253</v>
      </c>
      <c r="GA6" s="325" t="s">
        <v>253</v>
      </c>
      <c r="GB6" s="325" t="s">
        <v>253</v>
      </c>
      <c r="GC6" s="325" t="s">
        <v>253</v>
      </c>
      <c r="GD6" s="277" t="s">
        <v>253</v>
      </c>
      <c r="GE6" s="277" t="s">
        <v>253</v>
      </c>
      <c r="GF6" s="277" t="s">
        <v>253</v>
      </c>
      <c r="GG6" s="277" t="s">
        <v>253</v>
      </c>
      <c r="GH6" s="325" t="s">
        <v>253</v>
      </c>
      <c r="GI6" s="325" t="s">
        <v>253</v>
      </c>
      <c r="GJ6" s="325" t="s">
        <v>583</v>
      </c>
      <c r="GK6" s="325" t="s">
        <v>253</v>
      </c>
      <c r="GL6" s="325" t="s">
        <v>583</v>
      </c>
      <c r="GM6" s="325" t="s">
        <v>253</v>
      </c>
      <c r="GN6" s="325" t="s">
        <v>253</v>
      </c>
      <c r="GO6" s="325" t="s">
        <v>583</v>
      </c>
      <c r="GP6" s="325" t="s">
        <v>583</v>
      </c>
      <c r="GQ6" s="325" t="s">
        <v>253</v>
      </c>
      <c r="GR6" s="325" t="s">
        <v>583</v>
      </c>
      <c r="GS6" s="326"/>
      <c r="GT6" s="325" t="s">
        <v>253</v>
      </c>
      <c r="GU6" s="325" t="s">
        <v>253</v>
      </c>
      <c r="GV6" s="325" t="s">
        <v>253</v>
      </c>
      <c r="GW6" s="325" t="s">
        <v>253</v>
      </c>
      <c r="GX6" s="325" t="s">
        <v>253</v>
      </c>
      <c r="GY6" s="325" t="s">
        <v>253</v>
      </c>
      <c r="GZ6" s="325" t="s">
        <v>253</v>
      </c>
      <c r="HA6" s="325" t="s">
        <v>253</v>
      </c>
      <c r="HB6" s="325" t="s">
        <v>253</v>
      </c>
      <c r="HC6" s="325" t="s">
        <v>253</v>
      </c>
      <c r="HD6" s="325" t="s">
        <v>253</v>
      </c>
      <c r="HE6" s="325" t="s">
        <v>253</v>
      </c>
      <c r="HF6" s="325" t="s">
        <v>253</v>
      </c>
      <c r="HG6" s="325" t="s">
        <v>253</v>
      </c>
      <c r="HH6" s="325" t="s">
        <v>253</v>
      </c>
      <c r="HI6" s="325" t="s">
        <v>253</v>
      </c>
      <c r="HJ6" s="325" t="s">
        <v>253</v>
      </c>
      <c r="HK6" s="325" t="s">
        <v>253</v>
      </c>
      <c r="HL6" s="326"/>
      <c r="HM6" s="325" t="s">
        <v>253</v>
      </c>
      <c r="HN6" s="325" t="s">
        <v>253</v>
      </c>
      <c r="HO6" s="325" t="s">
        <v>253</v>
      </c>
      <c r="HP6" s="277" t="s">
        <v>253</v>
      </c>
      <c r="HQ6" s="277" t="s">
        <v>253</v>
      </c>
      <c r="HR6" s="277" t="s">
        <v>253</v>
      </c>
      <c r="HS6" s="277" t="s">
        <v>253</v>
      </c>
      <c r="HT6" s="277" t="s">
        <v>253</v>
      </c>
      <c r="HU6" s="277" t="s">
        <v>253</v>
      </c>
      <c r="HV6" s="277" t="s">
        <v>253</v>
      </c>
      <c r="HW6" s="277" t="s">
        <v>253</v>
      </c>
      <c r="HX6" s="277" t="s">
        <v>253</v>
      </c>
      <c r="HY6" s="277" t="s">
        <v>253</v>
      </c>
      <c r="HZ6" s="277" t="s">
        <v>253</v>
      </c>
      <c r="IA6" s="277" t="s">
        <v>253</v>
      </c>
      <c r="IB6" s="277" t="s">
        <v>253</v>
      </c>
      <c r="IC6" s="277" t="s">
        <v>253</v>
      </c>
      <c r="ID6" s="327"/>
      <c r="IE6" s="277" t="s">
        <v>583</v>
      </c>
      <c r="IF6" s="277" t="s">
        <v>583</v>
      </c>
      <c r="IG6" s="277" t="s">
        <v>583</v>
      </c>
      <c r="IH6" s="325" t="s">
        <v>253</v>
      </c>
      <c r="II6" s="325" t="s">
        <v>253</v>
      </c>
      <c r="IJ6" s="325" t="s">
        <v>253</v>
      </c>
      <c r="IK6" s="325" t="s">
        <v>253</v>
      </c>
      <c r="IL6" s="277" t="s">
        <v>253</v>
      </c>
      <c r="IM6" s="277" t="s">
        <v>253</v>
      </c>
      <c r="IN6" s="277" t="s">
        <v>253</v>
      </c>
      <c r="IO6" s="277" t="s">
        <v>253</v>
      </c>
      <c r="IP6" s="277" t="s">
        <v>253</v>
      </c>
      <c r="IQ6" s="327"/>
      <c r="IR6" s="277" t="s">
        <v>583</v>
      </c>
      <c r="IS6" s="277" t="s">
        <v>583</v>
      </c>
      <c r="IT6" s="277" t="s">
        <v>583</v>
      </c>
      <c r="IU6" s="328" t="s">
        <v>253</v>
      </c>
      <c r="IV6" s="328" t="s">
        <v>253</v>
      </c>
      <c r="IW6" s="328" t="s">
        <v>584</v>
      </c>
      <c r="IX6" s="328" t="s">
        <v>253</v>
      </c>
      <c r="IY6" s="328" t="s">
        <v>253</v>
      </c>
      <c r="IZ6" s="328" t="s">
        <v>583</v>
      </c>
      <c r="JA6" s="328" t="s">
        <v>253</v>
      </c>
      <c r="JB6" s="328" t="s">
        <v>253</v>
      </c>
      <c r="JC6" s="328" t="s">
        <v>583</v>
      </c>
      <c r="JD6" s="328" t="s">
        <v>583</v>
      </c>
      <c r="JE6" s="328" t="s">
        <v>583</v>
      </c>
      <c r="JF6" s="328" t="s">
        <v>583</v>
      </c>
      <c r="JG6" s="277" t="s">
        <v>253</v>
      </c>
      <c r="JH6" s="277" t="s">
        <v>253</v>
      </c>
      <c r="JI6" s="327"/>
      <c r="JJ6" s="277" t="s">
        <v>583</v>
      </c>
      <c r="JK6" s="277" t="s">
        <v>583</v>
      </c>
      <c r="JL6" s="277" t="s">
        <v>253</v>
      </c>
      <c r="JM6" s="277" t="s">
        <v>253</v>
      </c>
      <c r="JN6" s="328" t="s">
        <v>253</v>
      </c>
      <c r="JO6" s="328" t="s">
        <v>253</v>
      </c>
      <c r="JP6" s="328" t="s">
        <v>253</v>
      </c>
      <c r="JQ6" s="328" t="s">
        <v>253</v>
      </c>
      <c r="JR6" s="328" t="s">
        <v>253</v>
      </c>
      <c r="JS6" s="277" t="s">
        <v>253</v>
      </c>
      <c r="JT6" s="329"/>
      <c r="JU6" s="277" t="s">
        <v>253</v>
      </c>
      <c r="JV6" s="277" t="s">
        <v>253</v>
      </c>
      <c r="JW6" s="277" t="s">
        <v>253</v>
      </c>
      <c r="JX6" s="277" t="s">
        <v>252</v>
      </c>
      <c r="JY6" s="277" t="s">
        <v>252</v>
      </c>
      <c r="JZ6" s="277"/>
      <c r="KA6" s="277" t="s">
        <v>252</v>
      </c>
      <c r="KB6" s="277" t="s">
        <v>583</v>
      </c>
      <c r="KC6" s="277" t="s">
        <v>253</v>
      </c>
      <c r="KD6" s="277" t="s">
        <v>253</v>
      </c>
      <c r="KE6" s="277" t="s">
        <v>252</v>
      </c>
      <c r="KF6" s="277" t="s">
        <v>253</v>
      </c>
      <c r="KG6" s="277" t="s">
        <v>585</v>
      </c>
      <c r="KH6" s="277" t="s">
        <v>252</v>
      </c>
      <c r="KI6" s="277" t="s">
        <v>253</v>
      </c>
      <c r="KJ6" s="277" t="s">
        <v>585</v>
      </c>
      <c r="KK6" s="277" t="s">
        <v>252</v>
      </c>
      <c r="KL6" s="277" t="s">
        <v>253</v>
      </c>
      <c r="KM6" s="277" t="s">
        <v>585</v>
      </c>
      <c r="KN6" s="277" t="s">
        <v>252</v>
      </c>
      <c r="KO6" s="277" t="s">
        <v>253</v>
      </c>
      <c r="KP6" s="277" t="s">
        <v>585</v>
      </c>
      <c r="KQ6" s="277" t="s">
        <v>252</v>
      </c>
      <c r="KR6" s="326"/>
      <c r="KS6" s="326"/>
      <c r="KT6" s="277" t="s">
        <v>253</v>
      </c>
      <c r="KU6" s="277" t="s">
        <v>583</v>
      </c>
      <c r="KV6" s="326"/>
      <c r="KW6" s="277" t="s">
        <v>253</v>
      </c>
      <c r="KX6" s="277" t="s">
        <v>586</v>
      </c>
      <c r="KY6" s="277" t="s">
        <v>586</v>
      </c>
      <c r="KZ6" s="326"/>
      <c r="LA6" s="277" t="s">
        <v>252</v>
      </c>
      <c r="LB6" s="277" t="s">
        <v>587</v>
      </c>
      <c r="LC6" s="277" t="s">
        <v>588</v>
      </c>
      <c r="LD6" s="312"/>
      <c r="LE6" s="314"/>
      <c r="LF6" s="330"/>
      <c r="LG6" s="318"/>
      <c r="LH6" s="331"/>
      <c r="LI6" s="332"/>
      <c r="LJ6" s="331"/>
      <c r="LK6" s="332"/>
      <c r="LL6" s="331"/>
      <c r="LM6" s="332"/>
      <c r="LN6" s="331"/>
      <c r="LO6" s="332"/>
      <c r="LP6" s="331"/>
      <c r="LQ6" s="332"/>
      <c r="LR6" s="331"/>
      <c r="LS6" s="332"/>
      <c r="LT6" s="333"/>
      <c r="LU6" s="334"/>
      <c r="LV6" s="335"/>
      <c r="LW6" s="333"/>
      <c r="LX6" s="334"/>
      <c r="LY6" s="334"/>
      <c r="LZ6" s="336"/>
      <c r="MA6" s="314"/>
      <c r="MB6" s="313"/>
    </row>
    <row r="7" spans="1:340" ht="15.75" thickBot="1">
      <c r="A7" s="14">
        <v>1</v>
      </c>
      <c r="B7" s="337"/>
      <c r="C7" s="338"/>
      <c r="D7" s="339"/>
      <c r="E7" s="340">
        <f>E8/J8</f>
        <v>1.18670216143857</v>
      </c>
      <c r="F7" s="341"/>
      <c r="G7" s="591"/>
      <c r="H7" s="591"/>
      <c r="I7" s="591"/>
      <c r="J7" s="342">
        <f>JS8</f>
        <v>7248625.2881854139</v>
      </c>
      <c r="K7" s="343"/>
      <c r="L7" s="344"/>
      <c r="M7" s="345"/>
      <c r="N7" s="346"/>
      <c r="O7" s="346"/>
      <c r="P7" s="347"/>
      <c r="Q7" s="343"/>
      <c r="R7" s="341"/>
      <c r="S7" s="337"/>
      <c r="T7" s="348"/>
      <c r="U7" s="349"/>
      <c r="V7" s="337"/>
      <c r="W7" s="350"/>
      <c r="X7" s="348"/>
      <c r="Y7" s="349"/>
      <c r="Z7" s="344"/>
      <c r="AA7" s="343"/>
      <c r="AC7" s="351" t="s">
        <v>589</v>
      </c>
      <c r="AD7" s="352" t="s">
        <v>590</v>
      </c>
      <c r="AE7" s="352" t="s">
        <v>591</v>
      </c>
      <c r="AF7" s="352" t="s">
        <v>592</v>
      </c>
      <c r="AG7" s="352" t="s">
        <v>593</v>
      </c>
      <c r="AH7" s="275" t="s">
        <v>594</v>
      </c>
      <c r="AI7" s="275" t="s">
        <v>595</v>
      </c>
      <c r="AJ7" s="275" t="s">
        <v>596</v>
      </c>
      <c r="AK7" s="299" t="s">
        <v>597</v>
      </c>
      <c r="AL7" s="299" t="s">
        <v>598</v>
      </c>
      <c r="AM7" s="299" t="s">
        <v>599</v>
      </c>
      <c r="AN7" s="299" t="s">
        <v>600</v>
      </c>
      <c r="AO7" s="299" t="s">
        <v>601</v>
      </c>
      <c r="AP7" s="299" t="s">
        <v>602</v>
      </c>
      <c r="AQ7" s="299" t="s">
        <v>603</v>
      </c>
      <c r="AR7" s="299" t="s">
        <v>604</v>
      </c>
      <c r="AS7" s="299" t="s">
        <v>605</v>
      </c>
      <c r="AT7" s="299" t="s">
        <v>606</v>
      </c>
      <c r="AU7" s="299" t="s">
        <v>607</v>
      </c>
      <c r="AV7" s="299" t="s">
        <v>608</v>
      </c>
      <c r="AW7" s="299" t="s">
        <v>609</v>
      </c>
      <c r="AX7" s="299" t="s">
        <v>610</v>
      </c>
      <c r="AY7" s="299" t="s">
        <v>611</v>
      </c>
      <c r="AZ7" s="275" t="s">
        <v>612</v>
      </c>
      <c r="BA7" s="275" t="s">
        <v>613</v>
      </c>
      <c r="BB7" s="277" t="s">
        <v>614</v>
      </c>
      <c r="BC7" s="277" t="s">
        <v>615</v>
      </c>
      <c r="BD7" s="277" t="s">
        <v>616</v>
      </c>
      <c r="BE7" s="277" t="s">
        <v>617</v>
      </c>
      <c r="BF7" s="277" t="s">
        <v>618</v>
      </c>
      <c r="BG7" s="277" t="s">
        <v>619</v>
      </c>
      <c r="BH7" s="277" t="s">
        <v>620</v>
      </c>
      <c r="BI7" s="277" t="s">
        <v>621</v>
      </c>
      <c r="BJ7" s="277" t="s">
        <v>622</v>
      </c>
      <c r="BK7" s="277" t="s">
        <v>623</v>
      </c>
      <c r="BL7" s="277" t="s">
        <v>624</v>
      </c>
      <c r="BM7" s="277" t="s">
        <v>625</v>
      </c>
      <c r="BN7" s="277" t="s">
        <v>626</v>
      </c>
      <c r="BO7" s="277" t="s">
        <v>627</v>
      </c>
      <c r="BP7" s="277" t="s">
        <v>628</v>
      </c>
      <c r="BQ7" s="277" t="s">
        <v>629</v>
      </c>
      <c r="BR7" s="277" t="s">
        <v>630</v>
      </c>
      <c r="BS7" s="277" t="s">
        <v>631</v>
      </c>
      <c r="BT7" s="277" t="s">
        <v>632</v>
      </c>
      <c r="BU7" s="277" t="s">
        <v>633</v>
      </c>
      <c r="BV7" s="277" t="s">
        <v>634</v>
      </c>
      <c r="BW7" s="277" t="s">
        <v>635</v>
      </c>
      <c r="BX7" s="277" t="s">
        <v>636</v>
      </c>
      <c r="BY7" s="277" t="s">
        <v>637</v>
      </c>
      <c r="BZ7" s="277" t="s">
        <v>638</v>
      </c>
      <c r="CA7" s="277" t="s">
        <v>639</v>
      </c>
      <c r="CB7" s="275" t="s">
        <v>640</v>
      </c>
      <c r="CC7" s="275" t="s">
        <v>641</v>
      </c>
      <c r="CD7" s="275" t="s">
        <v>642</v>
      </c>
      <c r="CE7" s="277" t="s">
        <v>643</v>
      </c>
      <c r="CF7" s="277" t="s">
        <v>644</v>
      </c>
      <c r="CG7" s="277" t="s">
        <v>645</v>
      </c>
      <c r="CH7" s="277" t="s">
        <v>646</v>
      </c>
      <c r="CI7" s="277" t="s">
        <v>647</v>
      </c>
      <c r="CJ7" s="277" t="s">
        <v>648</v>
      </c>
      <c r="CK7" s="277" t="s">
        <v>649</v>
      </c>
      <c r="CL7" s="277" t="s">
        <v>650</v>
      </c>
      <c r="CM7" s="275" t="s">
        <v>651</v>
      </c>
      <c r="CN7" s="277" t="s">
        <v>652</v>
      </c>
      <c r="CO7" s="277" t="s">
        <v>653</v>
      </c>
      <c r="CP7" s="277" t="s">
        <v>654</v>
      </c>
      <c r="CQ7" s="277" t="s">
        <v>655</v>
      </c>
      <c r="CR7" s="277" t="s">
        <v>656</v>
      </c>
      <c r="CS7" s="275" t="s">
        <v>657</v>
      </c>
      <c r="CT7" s="277" t="s">
        <v>658</v>
      </c>
      <c r="CU7" s="277" t="s">
        <v>659</v>
      </c>
      <c r="CV7" s="277" t="s">
        <v>660</v>
      </c>
      <c r="CW7" s="277" t="s">
        <v>661</v>
      </c>
      <c r="CX7" s="277" t="s">
        <v>662</v>
      </c>
      <c r="CY7" s="275" t="s">
        <v>663</v>
      </c>
      <c r="CZ7" s="286" t="s">
        <v>664</v>
      </c>
      <c r="DA7" s="286" t="s">
        <v>665</v>
      </c>
      <c r="DB7" s="275" t="s">
        <v>666</v>
      </c>
      <c r="DC7" s="286" t="s">
        <v>667</v>
      </c>
      <c r="DD7" s="286" t="s">
        <v>668</v>
      </c>
      <c r="DE7" s="275" t="s">
        <v>669</v>
      </c>
      <c r="DF7" s="275" t="s">
        <v>670</v>
      </c>
      <c r="DG7" s="275" t="s">
        <v>671</v>
      </c>
      <c r="DH7" s="353" t="s">
        <v>672</v>
      </c>
      <c r="DI7" s="353" t="s">
        <v>673</v>
      </c>
      <c r="DJ7" s="353" t="s">
        <v>674</v>
      </c>
      <c r="DK7" s="353" t="s">
        <v>675</v>
      </c>
      <c r="DL7" s="353" t="s">
        <v>676</v>
      </c>
      <c r="DM7" s="353" t="s">
        <v>677</v>
      </c>
      <c r="DN7" s="353" t="s">
        <v>678</v>
      </c>
      <c r="DO7" s="275" t="s">
        <v>679</v>
      </c>
      <c r="DP7" s="275" t="s">
        <v>680</v>
      </c>
      <c r="DQ7" s="353" t="s">
        <v>681</v>
      </c>
      <c r="DR7" s="353" t="s">
        <v>682</v>
      </c>
      <c r="DS7" s="353" t="s">
        <v>683</v>
      </c>
      <c r="DT7" s="353" t="s">
        <v>684</v>
      </c>
      <c r="DU7" s="275" t="s">
        <v>685</v>
      </c>
      <c r="DV7" s="353" t="s">
        <v>686</v>
      </c>
      <c r="DW7" s="353" t="s">
        <v>687</v>
      </c>
      <c r="DX7" s="353" t="s">
        <v>688</v>
      </c>
      <c r="DY7" s="353" t="s">
        <v>689</v>
      </c>
      <c r="DZ7" s="353" t="s">
        <v>690</v>
      </c>
      <c r="EA7" s="353" t="s">
        <v>691</v>
      </c>
      <c r="EB7" s="353" t="s">
        <v>692</v>
      </c>
      <c r="EC7" s="353" t="s">
        <v>693</v>
      </c>
      <c r="ED7" s="353" t="s">
        <v>694</v>
      </c>
      <c r="EE7" s="353" t="s">
        <v>695</v>
      </c>
      <c r="EF7" s="353" t="s">
        <v>696</v>
      </c>
      <c r="EG7" s="353" t="s">
        <v>697</v>
      </c>
      <c r="EH7" s="354" t="s">
        <v>698</v>
      </c>
      <c r="EI7" s="355" t="s">
        <v>699</v>
      </c>
      <c r="EJ7" s="355" t="s">
        <v>700</v>
      </c>
      <c r="EK7" s="355" t="s">
        <v>701</v>
      </c>
      <c r="EL7" s="275" t="s">
        <v>702</v>
      </c>
      <c r="EM7" s="275" t="s">
        <v>703</v>
      </c>
      <c r="EN7" s="275" t="s">
        <v>704</v>
      </c>
      <c r="EO7" s="275" t="s">
        <v>705</v>
      </c>
      <c r="EP7" s="275" t="s">
        <v>706</v>
      </c>
      <c r="EQ7" s="353" t="s">
        <v>707</v>
      </c>
      <c r="ER7" s="353" t="s">
        <v>708</v>
      </c>
      <c r="ES7" s="275" t="s">
        <v>709</v>
      </c>
      <c r="ET7" s="275" t="s">
        <v>710</v>
      </c>
      <c r="EU7" s="353" t="s">
        <v>711</v>
      </c>
      <c r="EV7" s="353" t="s">
        <v>712</v>
      </c>
      <c r="EW7" s="275" t="s">
        <v>713</v>
      </c>
      <c r="EX7" s="275" t="s">
        <v>714</v>
      </c>
      <c r="EY7" s="353" t="s">
        <v>715</v>
      </c>
      <c r="EZ7" s="353" t="s">
        <v>716</v>
      </c>
      <c r="FA7" s="353" t="s">
        <v>717</v>
      </c>
      <c r="FB7" s="275" t="s">
        <v>718</v>
      </c>
      <c r="FC7" s="353" t="s">
        <v>719</v>
      </c>
      <c r="FD7" s="353" t="s">
        <v>720</v>
      </c>
      <c r="FE7" s="353" t="s">
        <v>721</v>
      </c>
      <c r="FF7" s="353" t="s">
        <v>722</v>
      </c>
      <c r="FG7" s="353" t="s">
        <v>723</v>
      </c>
      <c r="FH7" s="353" t="s">
        <v>724</v>
      </c>
      <c r="FI7" s="353" t="s">
        <v>725</v>
      </c>
      <c r="FJ7" s="353" t="s">
        <v>726</v>
      </c>
      <c r="FK7" s="353" t="s">
        <v>727</v>
      </c>
      <c r="FL7" s="275" t="s">
        <v>728</v>
      </c>
      <c r="FM7" s="275" t="s">
        <v>729</v>
      </c>
      <c r="FN7" s="353" t="s">
        <v>730</v>
      </c>
      <c r="FO7" s="353" t="s">
        <v>731</v>
      </c>
      <c r="FP7" s="275" t="s">
        <v>732</v>
      </c>
      <c r="FQ7" s="275" t="s">
        <v>733</v>
      </c>
      <c r="FR7" s="275" t="s">
        <v>734</v>
      </c>
      <c r="FS7" s="275" t="s">
        <v>735</v>
      </c>
      <c r="FT7" s="275" t="s">
        <v>736</v>
      </c>
      <c r="FU7" s="353" t="s">
        <v>737</v>
      </c>
      <c r="FV7" s="353" t="s">
        <v>738</v>
      </c>
      <c r="FW7" s="353" t="s">
        <v>739</v>
      </c>
      <c r="FX7" s="353" t="s">
        <v>740</v>
      </c>
      <c r="FY7" s="353" t="s">
        <v>741</v>
      </c>
      <c r="FZ7" s="353" t="s">
        <v>742</v>
      </c>
      <c r="GA7" s="353" t="s">
        <v>743</v>
      </c>
      <c r="GB7" s="353" t="s">
        <v>744</v>
      </c>
      <c r="GC7" s="353" t="s">
        <v>745</v>
      </c>
      <c r="GD7" s="275" t="s">
        <v>746</v>
      </c>
      <c r="GE7" s="275" t="s">
        <v>747</v>
      </c>
      <c r="GF7" s="353" t="s">
        <v>748</v>
      </c>
      <c r="GG7" s="353" t="s">
        <v>749</v>
      </c>
      <c r="GH7" s="356" t="s">
        <v>750</v>
      </c>
      <c r="GI7" s="357" t="s">
        <v>751</v>
      </c>
      <c r="GJ7" s="357" t="s">
        <v>752</v>
      </c>
      <c r="GK7" s="357" t="s">
        <v>753</v>
      </c>
      <c r="GL7" s="357" t="s">
        <v>754</v>
      </c>
      <c r="GM7" s="357" t="s">
        <v>755</v>
      </c>
      <c r="GN7" s="357" t="s">
        <v>756</v>
      </c>
      <c r="GO7" s="357" t="s">
        <v>757</v>
      </c>
      <c r="GP7" s="357" t="s">
        <v>758</v>
      </c>
      <c r="GQ7" s="357" t="s">
        <v>759</v>
      </c>
      <c r="GR7" s="357" t="s">
        <v>760</v>
      </c>
      <c r="GS7" s="356"/>
      <c r="GT7" s="357" t="s">
        <v>761</v>
      </c>
      <c r="GU7" s="357" t="s">
        <v>762</v>
      </c>
      <c r="GV7" s="357" t="s">
        <v>763</v>
      </c>
      <c r="GW7" s="357" t="s">
        <v>764</v>
      </c>
      <c r="GX7" s="357" t="s">
        <v>765</v>
      </c>
      <c r="GY7" s="357" t="s">
        <v>766</v>
      </c>
      <c r="GZ7" s="357" t="s">
        <v>767</v>
      </c>
      <c r="HA7" s="357" t="s">
        <v>768</v>
      </c>
      <c r="HB7" s="357" t="s">
        <v>769</v>
      </c>
      <c r="HC7" s="357" t="s">
        <v>770</v>
      </c>
      <c r="HD7" s="357" t="s">
        <v>771</v>
      </c>
      <c r="HE7" s="357" t="s">
        <v>772</v>
      </c>
      <c r="HF7" s="357" t="s">
        <v>773</v>
      </c>
      <c r="HG7" s="357" t="s">
        <v>774</v>
      </c>
      <c r="HH7" s="357" t="s">
        <v>775</v>
      </c>
      <c r="HI7" s="357" t="s">
        <v>776</v>
      </c>
      <c r="HJ7" s="357" t="s">
        <v>777</v>
      </c>
      <c r="HK7" s="357" t="s">
        <v>778</v>
      </c>
      <c r="HL7" s="275"/>
      <c r="HM7" s="328" t="s">
        <v>779</v>
      </c>
      <c r="HN7" s="358" t="s">
        <v>780</v>
      </c>
      <c r="HO7" s="328" t="s">
        <v>781</v>
      </c>
      <c r="HP7" s="328" t="s">
        <v>782</v>
      </c>
      <c r="HQ7" s="358" t="s">
        <v>783</v>
      </c>
      <c r="HR7" s="328" t="s">
        <v>784</v>
      </c>
      <c r="HS7" s="358" t="s">
        <v>785</v>
      </c>
      <c r="HT7" s="328" t="s">
        <v>786</v>
      </c>
      <c r="HU7" s="358" t="s">
        <v>787</v>
      </c>
      <c r="HV7" s="328" t="s">
        <v>788</v>
      </c>
      <c r="HW7" s="358" t="s">
        <v>789</v>
      </c>
      <c r="HX7" s="328" t="s">
        <v>790</v>
      </c>
      <c r="HY7" s="358" t="s">
        <v>791</v>
      </c>
      <c r="HZ7" s="328" t="s">
        <v>792</v>
      </c>
      <c r="IA7" s="358" t="s">
        <v>793</v>
      </c>
      <c r="IB7" s="328" t="s">
        <v>794</v>
      </c>
      <c r="IC7" s="358" t="s">
        <v>795</v>
      </c>
      <c r="ID7" s="328"/>
      <c r="IE7" s="328" t="s">
        <v>796</v>
      </c>
      <c r="IF7" s="328" t="s">
        <v>797</v>
      </c>
      <c r="IG7" s="328" t="s">
        <v>798</v>
      </c>
      <c r="IH7" s="328" t="s">
        <v>799</v>
      </c>
      <c r="II7" s="328" t="s">
        <v>800</v>
      </c>
      <c r="IJ7" s="328" t="s">
        <v>801</v>
      </c>
      <c r="IK7" s="328" t="s">
        <v>802</v>
      </c>
      <c r="IL7" s="328" t="s">
        <v>803</v>
      </c>
      <c r="IM7" s="328" t="s">
        <v>804</v>
      </c>
      <c r="IN7" s="328" t="s">
        <v>805</v>
      </c>
      <c r="IO7" s="328" t="s">
        <v>806</v>
      </c>
      <c r="IP7" s="328" t="s">
        <v>807</v>
      </c>
      <c r="IQ7" s="328"/>
      <c r="IR7" s="359" t="s">
        <v>808</v>
      </c>
      <c r="IS7" s="359" t="s">
        <v>809</v>
      </c>
      <c r="IT7" s="359" t="s">
        <v>810</v>
      </c>
      <c r="IU7" s="359" t="s">
        <v>809</v>
      </c>
      <c r="IV7" s="359" t="s">
        <v>811</v>
      </c>
      <c r="IW7" s="359" t="s">
        <v>812</v>
      </c>
      <c r="IX7" s="359" t="s">
        <v>810</v>
      </c>
      <c r="IY7" s="359" t="s">
        <v>813</v>
      </c>
      <c r="IZ7" s="359" t="s">
        <v>814</v>
      </c>
      <c r="JA7" s="359" t="s">
        <v>815</v>
      </c>
      <c r="JB7" s="359" t="s">
        <v>816</v>
      </c>
      <c r="JC7" s="359" t="s">
        <v>817</v>
      </c>
      <c r="JD7" s="359" t="s">
        <v>818</v>
      </c>
      <c r="JE7" s="359" t="s">
        <v>819</v>
      </c>
      <c r="JF7" s="359" t="s">
        <v>820</v>
      </c>
      <c r="JG7" s="359" t="s">
        <v>821</v>
      </c>
      <c r="JH7" s="359" t="s">
        <v>822</v>
      </c>
      <c r="JI7" s="328"/>
      <c r="JJ7" s="359" t="s">
        <v>823</v>
      </c>
      <c r="JK7" s="359" t="s">
        <v>824</v>
      </c>
      <c r="JL7" s="359" t="s">
        <v>825</v>
      </c>
      <c r="JM7" s="359" t="s">
        <v>826</v>
      </c>
      <c r="JN7" s="293" t="s">
        <v>333</v>
      </c>
      <c r="JO7" s="294" t="s">
        <v>334</v>
      </c>
      <c r="JP7" s="295" t="s">
        <v>332</v>
      </c>
      <c r="JQ7" s="256" t="s">
        <v>336</v>
      </c>
      <c r="JR7" s="296" t="s">
        <v>335</v>
      </c>
      <c r="JS7" s="275" t="s">
        <v>827</v>
      </c>
      <c r="JT7" s="297"/>
      <c r="JU7" s="275" t="s">
        <v>828</v>
      </c>
      <c r="JV7" s="275" t="s">
        <v>829</v>
      </c>
      <c r="JW7" s="275" t="s">
        <v>830</v>
      </c>
      <c r="JX7" s="355" t="s">
        <v>831</v>
      </c>
      <c r="JY7" s="355" t="s">
        <v>832</v>
      </c>
      <c r="JZ7" s="355" t="s">
        <v>833</v>
      </c>
      <c r="KA7" s="355" t="s">
        <v>834</v>
      </c>
      <c r="KB7" s="355" t="s">
        <v>835</v>
      </c>
      <c r="KC7" s="277" t="s">
        <v>836</v>
      </c>
      <c r="KD7" s="298" t="s">
        <v>837</v>
      </c>
      <c r="KE7" s="298" t="s">
        <v>838</v>
      </c>
      <c r="KF7" s="298" t="s">
        <v>839</v>
      </c>
      <c r="KG7" s="277" t="s">
        <v>840</v>
      </c>
      <c r="KH7" s="277" t="s">
        <v>841</v>
      </c>
      <c r="KI7" s="298" t="s">
        <v>842</v>
      </c>
      <c r="KJ7" s="277" t="s">
        <v>843</v>
      </c>
      <c r="KK7" s="277" t="s">
        <v>844</v>
      </c>
      <c r="KL7" s="298" t="s">
        <v>845</v>
      </c>
      <c r="KM7" s="277" t="s">
        <v>846</v>
      </c>
      <c r="KN7" s="277" t="s">
        <v>847</v>
      </c>
      <c r="KO7" s="298" t="s">
        <v>848</v>
      </c>
      <c r="KP7" s="277" t="s">
        <v>849</v>
      </c>
      <c r="KQ7" s="277" t="s">
        <v>850</v>
      </c>
      <c r="KR7" s="328"/>
      <c r="KS7" s="328"/>
      <c r="KT7" s="355"/>
      <c r="KU7" s="355"/>
      <c r="KV7" s="328"/>
      <c r="KW7" s="355"/>
      <c r="KX7" s="355"/>
      <c r="KY7" s="355"/>
      <c r="KZ7" s="328"/>
      <c r="LA7" s="355"/>
      <c r="LB7" s="355"/>
      <c r="LC7" s="355"/>
      <c r="LD7" s="340">
        <f>LD8/LE8</f>
        <v>1.1867071746581233</v>
      </c>
      <c r="LE7" s="342">
        <f>VT8</f>
        <v>0</v>
      </c>
      <c r="LF7" s="360"/>
      <c r="LG7" s="347"/>
      <c r="LH7" s="361"/>
      <c r="LI7" s="362"/>
      <c r="LJ7" s="361"/>
      <c r="LK7" s="362"/>
      <c r="LL7" s="361"/>
      <c r="LM7" s="362"/>
      <c r="LN7" s="361"/>
      <c r="LO7" s="362"/>
      <c r="LP7" s="361"/>
      <c r="LQ7" s="362"/>
      <c r="LR7" s="361"/>
      <c r="LS7" s="362"/>
      <c r="LT7" s="363"/>
      <c r="LU7" s="364"/>
      <c r="LV7" s="365"/>
      <c r="LW7" s="363"/>
      <c r="LX7" s="364"/>
      <c r="LY7" s="364"/>
      <c r="LZ7" s="366"/>
      <c r="MA7" s="343"/>
      <c r="MB7" s="341"/>
    </row>
    <row r="8" spans="1:340" s="398" customFormat="1" ht="16.5" customHeight="1" thickTop="1" thickBot="1">
      <c r="A8" s="367">
        <v>1</v>
      </c>
      <c r="B8" s="368" t="s">
        <v>851</v>
      </c>
      <c r="C8" s="369" t="s">
        <v>852</v>
      </c>
      <c r="D8" s="370"/>
      <c r="E8" s="371">
        <f>SUM(E11:E53)</f>
        <v>8601959.2969479077</v>
      </c>
      <c r="F8" s="372" t="s">
        <v>227</v>
      </c>
      <c r="G8" s="371">
        <f>SUM(G11:G53)</f>
        <v>6982835.7837728802</v>
      </c>
      <c r="H8" s="371">
        <f>SUM(H11:H53)</f>
        <v>1619123.5131750286</v>
      </c>
      <c r="I8" s="371"/>
      <c r="J8" s="371">
        <f t="shared" ref="J8:AA8" si="0">SUM(J11:J53)</f>
        <v>7248625.2881854139</v>
      </c>
      <c r="K8" s="371">
        <f t="shared" si="0"/>
        <v>4758733.3663866781</v>
      </c>
      <c r="L8" s="373">
        <f t="shared" si="0"/>
        <v>3605765.2948596599</v>
      </c>
      <c r="M8" s="374">
        <f t="shared" si="0"/>
        <v>3552686.0171593991</v>
      </c>
      <c r="N8" s="375">
        <f t="shared" si="0"/>
        <v>8190.2746446587971</v>
      </c>
      <c r="O8" s="375">
        <f t="shared" si="0"/>
        <v>6393.3530556021515</v>
      </c>
      <c r="P8" s="376">
        <f t="shared" si="0"/>
        <v>38495.65</v>
      </c>
      <c r="Q8" s="371">
        <f t="shared" si="0"/>
        <v>1090924.6927155252</v>
      </c>
      <c r="R8" s="376">
        <f t="shared" si="0"/>
        <v>62043.378811492148</v>
      </c>
      <c r="S8" s="373">
        <f t="shared" si="0"/>
        <v>1434450.5470150607</v>
      </c>
      <c r="T8" s="373">
        <f t="shared" si="0"/>
        <v>915163.91925146396</v>
      </c>
      <c r="U8" s="371">
        <f t="shared" si="0"/>
        <v>519286.62776359648</v>
      </c>
      <c r="V8" s="373">
        <f t="shared" si="0"/>
        <v>907567.30210981308</v>
      </c>
      <c r="W8" s="373">
        <f t="shared" si="0"/>
        <v>277663.82898318995</v>
      </c>
      <c r="X8" s="373">
        <f t="shared" si="0"/>
        <v>400538.71388044988</v>
      </c>
      <c r="Y8" s="371">
        <f t="shared" si="0"/>
        <v>229364.75924617323</v>
      </c>
      <c r="Z8" s="373">
        <f t="shared" si="0"/>
        <v>63996.710439830422</v>
      </c>
      <c r="AA8" s="371">
        <f t="shared" si="0"/>
        <v>83877.362234032073</v>
      </c>
      <c r="AB8" s="96"/>
      <c r="AC8" s="377">
        <v>3605765.2948596599</v>
      </c>
      <c r="AD8" s="378">
        <v>3552686.0171593991</v>
      </c>
      <c r="AE8" s="378">
        <v>8190.2746446587971</v>
      </c>
      <c r="AF8" s="378">
        <v>6393.3530556021515</v>
      </c>
      <c r="AG8" s="379">
        <v>38495.65</v>
      </c>
      <c r="AH8" s="380">
        <v>1090924.6927155252</v>
      </c>
      <c r="AI8" s="381">
        <v>1090229.3280455451</v>
      </c>
      <c r="AJ8" s="381">
        <v>590992.16097854672</v>
      </c>
      <c r="AK8" s="381">
        <v>89203.989733837108</v>
      </c>
      <c r="AL8" s="381">
        <v>89203.989733837108</v>
      </c>
      <c r="AM8" s="381">
        <v>368.59811999999999</v>
      </c>
      <c r="AN8" s="382">
        <v>242.00880279540522</v>
      </c>
      <c r="AO8" s="381">
        <v>501788.17124470964</v>
      </c>
      <c r="AP8" s="381">
        <v>17794.736693439969</v>
      </c>
      <c r="AQ8" s="381">
        <v>11.14</v>
      </c>
      <c r="AR8" s="382">
        <v>1597.3731322657063</v>
      </c>
      <c r="AS8" s="381">
        <v>483993.43455126963</v>
      </c>
      <c r="AT8" s="381">
        <v>336.64200000000005</v>
      </c>
      <c r="AU8" s="382">
        <v>1437.7095981822517</v>
      </c>
      <c r="AV8" s="381">
        <v>0</v>
      </c>
      <c r="AW8" s="381">
        <v>0</v>
      </c>
      <c r="AX8" s="381">
        <v>0</v>
      </c>
      <c r="AY8" s="381">
        <v>0</v>
      </c>
      <c r="AZ8" s="381">
        <v>3007.8829999999994</v>
      </c>
      <c r="BA8" s="381">
        <v>496229.28406699828</v>
      </c>
      <c r="BB8" s="381">
        <v>86383.553266509538</v>
      </c>
      <c r="BC8" s="381">
        <v>0</v>
      </c>
      <c r="BD8" s="381">
        <v>37032.236601019446</v>
      </c>
      <c r="BE8" s="381">
        <v>7.7487189151218843</v>
      </c>
      <c r="BF8" s="381">
        <v>4779.1431082562303</v>
      </c>
      <c r="BG8" s="381">
        <v>0</v>
      </c>
      <c r="BH8" s="381">
        <v>0</v>
      </c>
      <c r="BI8" s="381">
        <v>0</v>
      </c>
      <c r="BJ8" s="381">
        <v>457720.63916317886</v>
      </c>
      <c r="BK8" s="381">
        <v>5.6317628802272379</v>
      </c>
      <c r="BL8" s="381">
        <v>81274.842158253319</v>
      </c>
      <c r="BM8" s="381">
        <v>0</v>
      </c>
      <c r="BN8" s="381">
        <v>0</v>
      </c>
      <c r="BO8" s="381">
        <v>0</v>
      </c>
      <c r="BP8" s="381">
        <v>337.64073999999999</v>
      </c>
      <c r="BQ8" s="381">
        <v>4.8441999999999998</v>
      </c>
      <c r="BR8" s="381">
        <v>69.7</v>
      </c>
      <c r="BS8" s="381">
        <v>0</v>
      </c>
      <c r="BT8" s="381">
        <v>0</v>
      </c>
      <c r="BU8" s="381">
        <v>0</v>
      </c>
      <c r="BV8" s="381">
        <v>1138.7675628000002</v>
      </c>
      <c r="BW8" s="381">
        <v>4.3821000000000003</v>
      </c>
      <c r="BX8" s="381">
        <v>259.86799999999999</v>
      </c>
      <c r="BY8" s="381">
        <v>0</v>
      </c>
      <c r="BZ8" s="381">
        <v>0</v>
      </c>
      <c r="CA8" s="381">
        <v>0</v>
      </c>
      <c r="CB8" s="381">
        <v>695.36466998000003</v>
      </c>
      <c r="CC8" s="381">
        <v>0</v>
      </c>
      <c r="CD8" s="381">
        <v>695.36466998000003</v>
      </c>
      <c r="CE8" s="381">
        <v>63.158200000000001</v>
      </c>
      <c r="CF8" s="381">
        <v>16.481999999999999</v>
      </c>
      <c r="CG8" s="381">
        <v>619.95457538000005</v>
      </c>
      <c r="CH8" s="381">
        <v>9.815900000000001</v>
      </c>
      <c r="CI8" s="381">
        <v>63.158200000000001</v>
      </c>
      <c r="CJ8" s="381">
        <v>75.410094599999994</v>
      </c>
      <c r="CK8" s="381">
        <v>4.5752999999999995</v>
      </c>
      <c r="CL8" s="381">
        <v>16.481999999999999</v>
      </c>
      <c r="CM8" s="381">
        <v>915163.91925146396</v>
      </c>
      <c r="CN8" s="381">
        <v>837639.74120722373</v>
      </c>
      <c r="CO8" s="381">
        <v>0</v>
      </c>
      <c r="CP8" s="381">
        <v>22330.495133060365</v>
      </c>
      <c r="CQ8" s="381">
        <v>55193.682911180025</v>
      </c>
      <c r="CR8" s="381">
        <v>0</v>
      </c>
      <c r="CS8" s="381">
        <v>277663.82898318995</v>
      </c>
      <c r="CT8" s="381">
        <v>254231.95544342932</v>
      </c>
      <c r="CU8" s="381">
        <v>0</v>
      </c>
      <c r="CV8" s="381">
        <v>6759.669430584232</v>
      </c>
      <c r="CW8" s="381">
        <v>16672.204109176368</v>
      </c>
      <c r="CX8" s="381">
        <v>0</v>
      </c>
      <c r="CY8" s="381">
        <v>55904.89054178146</v>
      </c>
      <c r="CZ8" s="383"/>
      <c r="DA8" s="381">
        <v>3294.2859255665076</v>
      </c>
      <c r="DB8" s="381">
        <v>758.83476172149369</v>
      </c>
      <c r="DC8" s="383"/>
      <c r="DD8" s="381">
        <v>45.328133695671518</v>
      </c>
      <c r="DE8" s="381">
        <v>5379.6535079891983</v>
      </c>
      <c r="DF8" s="381">
        <v>0</v>
      </c>
      <c r="DG8" s="381">
        <v>253995.28877741538</v>
      </c>
      <c r="DH8" s="381">
        <v>51189.855304368728</v>
      </c>
      <c r="DI8" s="381">
        <v>0</v>
      </c>
      <c r="DJ8" s="381">
        <v>184494.53792136666</v>
      </c>
      <c r="DK8" s="381">
        <v>13729.83</v>
      </c>
      <c r="DL8" s="381">
        <v>0</v>
      </c>
      <c r="DM8" s="381">
        <v>0</v>
      </c>
      <c r="DN8" s="381">
        <v>4581.0655516799998</v>
      </c>
      <c r="DO8" s="381">
        <v>0</v>
      </c>
      <c r="DP8" s="381">
        <v>124376.36355837766</v>
      </c>
      <c r="DQ8" s="381">
        <v>0</v>
      </c>
      <c r="DR8" s="381">
        <v>0</v>
      </c>
      <c r="DS8" s="381">
        <v>0</v>
      </c>
      <c r="DT8" s="381">
        <v>124376.36355837766</v>
      </c>
      <c r="DU8" s="381">
        <v>101788.98650878662</v>
      </c>
      <c r="DV8" s="381">
        <v>7779.5960814526852</v>
      </c>
      <c r="DW8" s="381">
        <v>15182.2692626968</v>
      </c>
      <c r="DX8" s="381">
        <v>4526.9262154652806</v>
      </c>
      <c r="DY8" s="381">
        <v>17.332000000000001</v>
      </c>
      <c r="DZ8" s="381">
        <v>1872.0536091304</v>
      </c>
      <c r="EA8" s="381">
        <v>2140.2972091140082</v>
      </c>
      <c r="EB8" s="381">
        <v>0</v>
      </c>
      <c r="EC8" s="381">
        <v>0</v>
      </c>
      <c r="ED8" s="381">
        <v>2480.8098190264495</v>
      </c>
      <c r="EE8" s="381">
        <v>0</v>
      </c>
      <c r="EF8" s="381">
        <v>0</v>
      </c>
      <c r="EG8" s="381">
        <v>67789.702311901041</v>
      </c>
      <c r="EH8" s="381">
        <v>27166.136827615232</v>
      </c>
      <c r="EI8" s="381">
        <v>3005.3109856680348</v>
      </c>
      <c r="EJ8" s="381">
        <v>15508.914139156675</v>
      </c>
      <c r="EK8" s="381">
        <v>8651.9117027905195</v>
      </c>
      <c r="EL8" s="381">
        <v>564.2541355674507</v>
      </c>
      <c r="EM8" s="381">
        <v>2166.6104209401983</v>
      </c>
      <c r="EN8" s="381">
        <v>0</v>
      </c>
      <c r="EO8" s="381">
        <v>269.62</v>
      </c>
      <c r="EP8" s="381">
        <v>20972.630014591839</v>
      </c>
      <c r="EQ8" s="381">
        <v>4638.0948772992033</v>
      </c>
      <c r="ER8" s="381">
        <v>16334.535137292642</v>
      </c>
      <c r="ES8" s="381">
        <v>33644.634121359217</v>
      </c>
      <c r="ET8" s="381">
        <v>29249.95919216211</v>
      </c>
      <c r="EU8" s="381">
        <v>14097.084844244686</v>
      </c>
      <c r="EV8" s="381">
        <v>15152.874347917425</v>
      </c>
      <c r="EW8" s="381">
        <v>153.19999999999999</v>
      </c>
      <c r="EX8" s="381">
        <v>0</v>
      </c>
      <c r="EY8" s="381">
        <v>0</v>
      </c>
      <c r="EZ8" s="381">
        <v>0</v>
      </c>
      <c r="FA8" s="381">
        <v>0</v>
      </c>
      <c r="FB8" s="381">
        <v>97718.233214991982</v>
      </c>
      <c r="FC8" s="381">
        <v>2452.1275189806452</v>
      </c>
      <c r="FD8" s="381">
        <v>6040.8535999999876</v>
      </c>
      <c r="FE8" s="381">
        <v>468.17499999999995</v>
      </c>
      <c r="FF8" s="381">
        <v>88757.077096011359</v>
      </c>
      <c r="FG8" s="381">
        <v>71432.715999999185</v>
      </c>
      <c r="FH8" s="381">
        <v>152.12036308855889</v>
      </c>
      <c r="FI8" s="381">
        <v>1139.2779999999998</v>
      </c>
      <c r="FJ8" s="381">
        <v>11165.25</v>
      </c>
      <c r="FK8" s="381">
        <v>4867.7127329236173</v>
      </c>
      <c r="FL8" s="381">
        <v>13789.057040199999</v>
      </c>
      <c r="FM8" s="381">
        <v>400538.71388044988</v>
      </c>
      <c r="FN8" s="381">
        <v>399777.38840044988</v>
      </c>
      <c r="FO8" s="381">
        <v>761.3254800000002</v>
      </c>
      <c r="FP8" s="381">
        <v>11783.577200148757</v>
      </c>
      <c r="FQ8" s="381">
        <v>51732.393252430295</v>
      </c>
      <c r="FR8" s="381">
        <v>6446.5795727983486</v>
      </c>
      <c r="FS8" s="384">
        <v>7100751.2155115502</v>
      </c>
      <c r="FT8" s="381">
        <v>0</v>
      </c>
      <c r="FU8" s="381">
        <v>0</v>
      </c>
      <c r="FV8" s="381">
        <v>0</v>
      </c>
      <c r="FW8" s="381">
        <v>0</v>
      </c>
      <c r="FX8" s="381">
        <v>0</v>
      </c>
      <c r="FY8" s="381">
        <v>0</v>
      </c>
      <c r="FZ8" s="381">
        <v>0</v>
      </c>
      <c r="GA8" s="381">
        <v>0</v>
      </c>
      <c r="GB8" s="381">
        <v>0</v>
      </c>
      <c r="GC8" s="381">
        <v>0</v>
      </c>
      <c r="GD8" s="381">
        <v>0</v>
      </c>
      <c r="GE8" s="381">
        <v>0</v>
      </c>
      <c r="GF8" s="381">
        <v>0</v>
      </c>
      <c r="GG8" s="381">
        <v>0</v>
      </c>
      <c r="GH8" s="381">
        <v>83877.362234032073</v>
      </c>
      <c r="GI8" s="381">
        <v>63481.314831279095</v>
      </c>
      <c r="GJ8" s="383"/>
      <c r="GK8" s="381">
        <v>20396.047402752982</v>
      </c>
      <c r="GL8" s="383"/>
      <c r="GM8" s="381">
        <v>483196.90000000008</v>
      </c>
      <c r="GN8" s="381">
        <v>304.32380000000001</v>
      </c>
      <c r="GO8" s="383"/>
      <c r="GP8" s="383"/>
      <c r="GQ8" s="381">
        <v>0</v>
      </c>
      <c r="GR8" s="383"/>
      <c r="GS8" s="383"/>
      <c r="GT8" s="381">
        <v>483196.90000000008</v>
      </c>
      <c r="GU8" s="381">
        <v>13425.4</v>
      </c>
      <c r="GV8" s="381">
        <v>51333.9</v>
      </c>
      <c r="GW8" s="381">
        <v>0</v>
      </c>
      <c r="GX8" s="381">
        <v>418437.60000000009</v>
      </c>
      <c r="GY8" s="381">
        <v>0</v>
      </c>
      <c r="GZ8" s="381">
        <v>483196.9</v>
      </c>
      <c r="HA8" s="381">
        <v>218715.60000000003</v>
      </c>
      <c r="HB8" s="381">
        <v>0</v>
      </c>
      <c r="HC8" s="381">
        <v>0</v>
      </c>
      <c r="HD8" s="381">
        <v>0</v>
      </c>
      <c r="HE8" s="381">
        <v>83030.250000000015</v>
      </c>
      <c r="HF8" s="381">
        <v>2250</v>
      </c>
      <c r="HG8" s="381">
        <v>25426.750000000004</v>
      </c>
      <c r="HH8" s="381">
        <v>0</v>
      </c>
      <c r="HI8" s="381">
        <v>141547.10000000003</v>
      </c>
      <c r="HJ8" s="381">
        <v>0</v>
      </c>
      <c r="HK8" s="381">
        <v>12227.200000000003</v>
      </c>
      <c r="HL8" s="385"/>
      <c r="HM8" s="385"/>
      <c r="HN8" s="385"/>
      <c r="HO8" s="385"/>
      <c r="HP8" s="385"/>
      <c r="HQ8" s="385"/>
      <c r="HR8" s="385"/>
      <c r="HS8" s="385"/>
      <c r="HT8" s="385"/>
      <c r="HU8" s="385"/>
      <c r="HV8" s="385"/>
      <c r="HW8" s="385"/>
      <c r="HX8" s="385"/>
      <c r="HY8" s="385"/>
      <c r="HZ8" s="385"/>
      <c r="IA8" s="385"/>
      <c r="IB8" s="385"/>
      <c r="IC8" s="385"/>
      <c r="ID8" s="385"/>
      <c r="IE8" s="385"/>
      <c r="IF8" s="385"/>
      <c r="IG8" s="385"/>
      <c r="IH8" s="385"/>
      <c r="II8" s="385"/>
      <c r="IJ8" s="385"/>
      <c r="IK8" s="385"/>
      <c r="IL8" s="385"/>
      <c r="IM8" s="385"/>
      <c r="IN8" s="385"/>
      <c r="IO8" s="385"/>
      <c r="IP8" s="385"/>
      <c r="IQ8" s="385"/>
      <c r="IR8" s="385"/>
      <c r="IS8" s="385"/>
      <c r="IT8" s="385"/>
      <c r="IU8" s="385"/>
      <c r="IV8" s="385"/>
      <c r="IW8" s="385"/>
      <c r="IX8" s="385"/>
      <c r="IY8" s="385"/>
      <c r="IZ8" s="385"/>
      <c r="JA8" s="385"/>
      <c r="JB8" s="385"/>
      <c r="JC8" s="385"/>
      <c r="JD8" s="385"/>
      <c r="JE8" s="385"/>
      <c r="JF8" s="385"/>
      <c r="JG8" s="385"/>
      <c r="JH8" s="385"/>
      <c r="JI8" s="385"/>
      <c r="JJ8" s="385"/>
      <c r="JK8" s="385"/>
      <c r="JL8" s="385"/>
      <c r="JM8" s="385"/>
      <c r="JN8" s="381">
        <v>1434450.5470150607</v>
      </c>
      <c r="JO8" s="381">
        <v>907567.3021098132</v>
      </c>
      <c r="JP8" s="381">
        <v>4758733.3663866781</v>
      </c>
      <c r="JQ8" s="381">
        <v>0</v>
      </c>
      <c r="JR8" s="381">
        <v>83877.362234032073</v>
      </c>
      <c r="JS8" s="384">
        <v>7248625.2881854139</v>
      </c>
      <c r="JT8" s="386">
        <f>SUM(JT11:JT53)</f>
        <v>63996.710439830422</v>
      </c>
      <c r="JU8" s="381">
        <v>8601959.2969479077</v>
      </c>
      <c r="JV8" s="381">
        <v>6508764.7584093772</v>
      </c>
      <c r="JW8" s="381">
        <v>7714126.6612166641</v>
      </c>
      <c r="JX8" s="381">
        <v>5071358.0136845252</v>
      </c>
      <c r="JY8" s="381">
        <v>4641349.7236845251</v>
      </c>
      <c r="JZ8" s="387">
        <v>0.73639809960315694</v>
      </c>
      <c r="KA8" s="381">
        <v>3734538.4036845248</v>
      </c>
      <c r="KB8" s="388">
        <v>1.1812463173023504</v>
      </c>
      <c r="KC8" s="381">
        <v>24.019526732164877</v>
      </c>
      <c r="KD8" s="381">
        <v>6508740.738882646</v>
      </c>
      <c r="KE8" s="381">
        <v>4641349.7236845251</v>
      </c>
      <c r="KF8" s="381">
        <v>609317.77564359992</v>
      </c>
      <c r="KG8" s="387">
        <v>671.93446112207766</v>
      </c>
      <c r="KH8" s="381">
        <v>906811.32</v>
      </c>
      <c r="KI8" s="381">
        <v>1135778.2886742922</v>
      </c>
      <c r="KJ8" s="387">
        <v>1835.6529727075131</v>
      </c>
      <c r="KK8" s="381">
        <v>618732.57394564373</v>
      </c>
      <c r="KL8" s="381">
        <v>4204139.2463961029</v>
      </c>
      <c r="KM8" s="387">
        <v>1567.2064869399535</v>
      </c>
      <c r="KN8" s="381">
        <v>2682568.8136378815</v>
      </c>
      <c r="KO8" s="381">
        <v>559505.42816864944</v>
      </c>
      <c r="KP8" s="387">
        <v>1291.4534247420186</v>
      </c>
      <c r="KQ8" s="381">
        <v>433237.01610099996</v>
      </c>
      <c r="KR8" s="385"/>
      <c r="KS8" s="385"/>
      <c r="KT8" s="381">
        <v>7089072.0539300004</v>
      </c>
      <c r="KU8" s="385"/>
      <c r="KV8" s="385"/>
      <c r="KW8" s="381">
        <v>3035185.3256399999</v>
      </c>
      <c r="KX8" s="381">
        <v>1190.9450101000002</v>
      </c>
      <c r="KY8" s="381">
        <v>245.444211</v>
      </c>
      <c r="KZ8" s="385"/>
      <c r="LA8" s="381">
        <v>969232.321</v>
      </c>
      <c r="LB8" s="389">
        <v>459966</v>
      </c>
      <c r="LC8" s="389">
        <v>18.052</v>
      </c>
      <c r="LD8" s="371">
        <f>SUM(LD11:LD53)</f>
        <v>8866751.3561650608</v>
      </c>
      <c r="LE8" s="371">
        <f>SUM(LE11:LE53)</f>
        <v>7471726.425450718</v>
      </c>
      <c r="LF8" s="390">
        <f>SUM(LF11:LF53)</f>
        <v>4907868.582117049</v>
      </c>
      <c r="LG8" s="376">
        <f>SUM(LG11:LG53)</f>
        <v>3714236.4111925294</v>
      </c>
      <c r="LH8" s="391"/>
      <c r="LI8" s="392">
        <f>SUM(LI11:LI53)</f>
        <v>3659266.5976741812</v>
      </c>
      <c r="LJ8" s="391"/>
      <c r="LK8" s="392">
        <f>SUM(LK11:LK53)</f>
        <v>8509.6953558004898</v>
      </c>
      <c r="LL8" s="391"/>
      <c r="LM8" s="392">
        <f>SUM(LM11:LM53)</f>
        <v>6617.1204125482263</v>
      </c>
      <c r="LN8" s="391"/>
      <c r="LO8" s="392">
        <f>SUM(LO11:LO53)</f>
        <v>39842.997749999995</v>
      </c>
      <c r="LP8" s="391"/>
      <c r="LQ8" s="392">
        <f>SUM(LQ11:LQ53)</f>
        <v>1129107.0569605681</v>
      </c>
      <c r="LR8" s="391"/>
      <c r="LS8" s="392">
        <f t="shared" ref="LS8:MB8" si="1">SUM(LS11:LS53)</f>
        <v>64525.113963951837</v>
      </c>
      <c r="LT8" s="393">
        <f t="shared" si="1"/>
        <v>1475490.1771651616</v>
      </c>
      <c r="LU8" s="394">
        <f t="shared" si="1"/>
        <v>941346.75898124848</v>
      </c>
      <c r="LV8" s="395">
        <f t="shared" si="1"/>
        <v>534143.41818391287</v>
      </c>
      <c r="LW8" s="393">
        <f t="shared" si="1"/>
        <v>937557.88581645396</v>
      </c>
      <c r="LX8" s="394">
        <f t="shared" si="1"/>
        <v>285607.79113039892</v>
      </c>
      <c r="LY8" s="394">
        <f t="shared" si="1"/>
        <v>414557.56886626547</v>
      </c>
      <c r="LZ8" s="396">
        <f t="shared" si="1"/>
        <v>237392.52581978933</v>
      </c>
      <c r="MA8" s="371">
        <f t="shared" si="1"/>
        <v>63996.710439830422</v>
      </c>
      <c r="MB8" s="397">
        <f t="shared" si="1"/>
        <v>86813.069912223189</v>
      </c>
    </row>
    <row r="9" spans="1:340" s="432" customFormat="1" ht="16.5" customHeight="1" thickTop="1" thickBot="1">
      <c r="A9" s="14">
        <v>1</v>
      </c>
      <c r="B9" s="399"/>
      <c r="C9" s="400" t="s">
        <v>853</v>
      </c>
      <c r="D9" s="401"/>
      <c r="E9" s="402"/>
      <c r="F9" s="403"/>
      <c r="G9" s="592"/>
      <c r="H9" s="592"/>
      <c r="I9" s="592"/>
      <c r="J9" s="404"/>
      <c r="K9" s="404"/>
      <c r="L9" s="405"/>
      <c r="M9" s="406"/>
      <c r="N9" s="407"/>
      <c r="O9" s="407"/>
      <c r="P9" s="408"/>
      <c r="Q9" s="404"/>
      <c r="R9" s="408"/>
      <c r="S9" s="405"/>
      <c r="T9" s="408"/>
      <c r="U9" s="409"/>
      <c r="V9" s="405"/>
      <c r="W9" s="408"/>
      <c r="X9" s="408"/>
      <c r="Y9" s="409"/>
      <c r="Z9" s="405"/>
      <c r="AA9" s="404"/>
      <c r="AB9" s="96"/>
      <c r="AC9" s="410"/>
      <c r="AD9" s="411"/>
      <c r="AE9" s="411"/>
      <c r="AF9" s="411"/>
      <c r="AG9" s="412"/>
      <c r="AH9" s="413"/>
      <c r="AI9" s="414"/>
      <c r="AJ9" s="414"/>
      <c r="AK9" s="414"/>
      <c r="AL9" s="414"/>
      <c r="AM9" s="414"/>
      <c r="AN9" s="415"/>
      <c r="AO9" s="414"/>
      <c r="AP9" s="414"/>
      <c r="AQ9" s="414"/>
      <c r="AR9" s="415"/>
      <c r="AS9" s="414"/>
      <c r="AT9" s="414"/>
      <c r="AU9" s="415"/>
      <c r="AV9" s="414"/>
      <c r="AW9" s="414"/>
      <c r="AX9" s="414"/>
      <c r="AY9" s="414"/>
      <c r="AZ9" s="414"/>
      <c r="BA9" s="414"/>
      <c r="BB9" s="414"/>
      <c r="BC9" s="414"/>
      <c r="BD9" s="414"/>
      <c r="BE9" s="414"/>
      <c r="BF9" s="414"/>
      <c r="BG9" s="414"/>
      <c r="BH9" s="414"/>
      <c r="BI9" s="414"/>
      <c r="BJ9" s="414"/>
      <c r="BK9" s="414"/>
      <c r="BL9" s="414"/>
      <c r="BM9" s="414"/>
      <c r="BN9" s="414"/>
      <c r="BO9" s="414"/>
      <c r="BP9" s="414"/>
      <c r="BQ9" s="414"/>
      <c r="BR9" s="414"/>
      <c r="BS9" s="414"/>
      <c r="BT9" s="414"/>
      <c r="BU9" s="414"/>
      <c r="BV9" s="414"/>
      <c r="BW9" s="414"/>
      <c r="BX9" s="414"/>
      <c r="BY9" s="414"/>
      <c r="BZ9" s="414"/>
      <c r="CA9" s="414"/>
      <c r="CB9" s="414"/>
      <c r="CC9" s="414"/>
      <c r="CD9" s="414"/>
      <c r="CE9" s="414"/>
      <c r="CF9" s="414"/>
      <c r="CG9" s="414"/>
      <c r="CH9" s="414"/>
      <c r="CI9" s="414"/>
      <c r="CJ9" s="414"/>
      <c r="CK9" s="414"/>
      <c r="CL9" s="414"/>
      <c r="CM9" s="414"/>
      <c r="CN9" s="414"/>
      <c r="CO9" s="414"/>
      <c r="CP9" s="414"/>
      <c r="CQ9" s="414"/>
      <c r="CR9" s="414"/>
      <c r="CS9" s="414"/>
      <c r="CT9" s="414"/>
      <c r="CU9" s="414"/>
      <c r="CV9" s="414"/>
      <c r="CW9" s="414"/>
      <c r="CX9" s="414"/>
      <c r="CY9" s="414"/>
      <c r="CZ9" s="416"/>
      <c r="DA9" s="414"/>
      <c r="DB9" s="414"/>
      <c r="DC9" s="416"/>
      <c r="DD9" s="414"/>
      <c r="DE9" s="414"/>
      <c r="DF9" s="414"/>
      <c r="DG9" s="414"/>
      <c r="DH9" s="414"/>
      <c r="DI9" s="414"/>
      <c r="DJ9" s="414"/>
      <c r="DK9" s="414"/>
      <c r="DL9" s="414"/>
      <c r="DM9" s="414"/>
      <c r="DN9" s="414"/>
      <c r="DO9" s="414"/>
      <c r="DP9" s="414"/>
      <c r="DQ9" s="414"/>
      <c r="DR9" s="414"/>
      <c r="DS9" s="414"/>
      <c r="DT9" s="414"/>
      <c r="DU9" s="414"/>
      <c r="DV9" s="414"/>
      <c r="DW9" s="414"/>
      <c r="DX9" s="414"/>
      <c r="DY9" s="414"/>
      <c r="DZ9" s="414"/>
      <c r="EA9" s="414"/>
      <c r="EB9" s="414"/>
      <c r="EC9" s="414"/>
      <c r="ED9" s="414"/>
      <c r="EE9" s="414"/>
      <c r="EF9" s="414"/>
      <c r="EG9" s="414"/>
      <c r="EH9" s="414"/>
      <c r="EI9" s="414"/>
      <c r="EJ9" s="414"/>
      <c r="EK9" s="414"/>
      <c r="EL9" s="414"/>
      <c r="EM9" s="414"/>
      <c r="EN9" s="414"/>
      <c r="EO9" s="414"/>
      <c r="EP9" s="414"/>
      <c r="EQ9" s="414"/>
      <c r="ER9" s="414"/>
      <c r="ES9" s="414"/>
      <c r="ET9" s="414"/>
      <c r="EU9" s="414"/>
      <c r="EV9" s="414"/>
      <c r="EW9" s="414"/>
      <c r="EX9" s="414"/>
      <c r="EY9" s="414"/>
      <c r="EZ9" s="414"/>
      <c r="FA9" s="414"/>
      <c r="FB9" s="414"/>
      <c r="FC9" s="414"/>
      <c r="FD9" s="414"/>
      <c r="FE9" s="414"/>
      <c r="FF9" s="414"/>
      <c r="FG9" s="414"/>
      <c r="FH9" s="414"/>
      <c r="FI9" s="414"/>
      <c r="FJ9" s="414"/>
      <c r="FK9" s="414"/>
      <c r="FL9" s="414"/>
      <c r="FM9" s="414"/>
      <c r="FN9" s="414"/>
      <c r="FO9" s="414"/>
      <c r="FP9" s="414"/>
      <c r="FQ9" s="414"/>
      <c r="FR9" s="414"/>
      <c r="FS9" s="417"/>
      <c r="FT9" s="414"/>
      <c r="FU9" s="414"/>
      <c r="FV9" s="414"/>
      <c r="FW9" s="414"/>
      <c r="FX9" s="414"/>
      <c r="FY9" s="414"/>
      <c r="FZ9" s="414"/>
      <c r="GA9" s="414"/>
      <c r="GB9" s="414"/>
      <c r="GC9" s="414"/>
      <c r="GD9" s="414"/>
      <c r="GE9" s="414"/>
      <c r="GF9" s="414"/>
      <c r="GG9" s="414"/>
      <c r="GH9" s="414"/>
      <c r="GI9" s="414"/>
      <c r="GJ9" s="416"/>
      <c r="GK9" s="414"/>
      <c r="GL9" s="416"/>
      <c r="GM9" s="414"/>
      <c r="GN9" s="414"/>
      <c r="GO9" s="416"/>
      <c r="GP9" s="416"/>
      <c r="GQ9" s="414"/>
      <c r="GR9" s="416"/>
      <c r="GS9" s="416"/>
      <c r="GT9" s="414"/>
      <c r="GU9" s="414"/>
      <c r="GV9" s="414"/>
      <c r="GW9" s="414"/>
      <c r="GX9" s="414"/>
      <c r="GY9" s="414"/>
      <c r="GZ9" s="414"/>
      <c r="HA9" s="414"/>
      <c r="HB9" s="414"/>
      <c r="HC9" s="414"/>
      <c r="HD9" s="414"/>
      <c r="HE9" s="414"/>
      <c r="HF9" s="414"/>
      <c r="HG9" s="414"/>
      <c r="HH9" s="414"/>
      <c r="HI9" s="414"/>
      <c r="HJ9" s="414"/>
      <c r="HK9" s="414"/>
      <c r="HL9" s="418"/>
      <c r="HM9" s="418"/>
      <c r="HN9" s="418"/>
      <c r="HO9" s="418"/>
      <c r="HP9" s="418"/>
      <c r="HQ9" s="418"/>
      <c r="HR9" s="418"/>
      <c r="HS9" s="418"/>
      <c r="HT9" s="418"/>
      <c r="HU9" s="418"/>
      <c r="HV9" s="418"/>
      <c r="HW9" s="418"/>
      <c r="HX9" s="418"/>
      <c r="HY9" s="418"/>
      <c r="HZ9" s="418"/>
      <c r="IA9" s="418"/>
      <c r="IB9" s="418"/>
      <c r="IC9" s="418"/>
      <c r="ID9" s="418"/>
      <c r="IE9" s="418"/>
      <c r="IF9" s="418"/>
      <c r="IG9" s="418"/>
      <c r="IH9" s="418"/>
      <c r="II9" s="418"/>
      <c r="IJ9" s="418"/>
      <c r="IK9" s="418"/>
      <c r="IL9" s="418"/>
      <c r="IM9" s="418"/>
      <c r="IN9" s="418"/>
      <c r="IO9" s="418"/>
      <c r="IP9" s="418"/>
      <c r="IQ9" s="418"/>
      <c r="IR9" s="418"/>
      <c r="IS9" s="418"/>
      <c r="IT9" s="418"/>
      <c r="IU9" s="418"/>
      <c r="IV9" s="418"/>
      <c r="IW9" s="418"/>
      <c r="IX9" s="418"/>
      <c r="IY9" s="418"/>
      <c r="IZ9" s="418"/>
      <c r="JA9" s="418"/>
      <c r="JB9" s="418"/>
      <c r="JC9" s="418"/>
      <c r="JD9" s="418"/>
      <c r="JE9" s="418"/>
      <c r="JF9" s="418"/>
      <c r="JG9" s="418"/>
      <c r="JH9" s="418"/>
      <c r="JI9" s="418"/>
      <c r="JJ9" s="418"/>
      <c r="JK9" s="418"/>
      <c r="JL9" s="418"/>
      <c r="JM9" s="418"/>
      <c r="JN9" s="414"/>
      <c r="JO9" s="414"/>
      <c r="JP9" s="414"/>
      <c r="JQ9" s="414"/>
      <c r="JR9" s="414"/>
      <c r="JS9" s="417"/>
      <c r="JT9" s="408"/>
      <c r="JU9" s="414"/>
      <c r="JV9" s="414"/>
      <c r="JW9" s="414"/>
      <c r="JX9" s="414"/>
      <c r="JY9" s="414"/>
      <c r="JZ9" s="419"/>
      <c r="KA9" s="414"/>
      <c r="KB9" s="420"/>
      <c r="KC9" s="414"/>
      <c r="KD9" s="414"/>
      <c r="KE9" s="414"/>
      <c r="KF9" s="414"/>
      <c r="KG9" s="419"/>
      <c r="KH9" s="414"/>
      <c r="KI9" s="414"/>
      <c r="KJ9" s="419"/>
      <c r="KK9" s="414"/>
      <c r="KL9" s="414"/>
      <c r="KM9" s="419"/>
      <c r="KN9" s="414"/>
      <c r="KO9" s="414"/>
      <c r="KP9" s="419"/>
      <c r="KQ9" s="414"/>
      <c r="KR9" s="418"/>
      <c r="KS9" s="418"/>
      <c r="KT9" s="414"/>
      <c r="KU9" s="418"/>
      <c r="KV9" s="418"/>
      <c r="KW9" s="414"/>
      <c r="KX9" s="414"/>
      <c r="KY9" s="414"/>
      <c r="KZ9" s="418"/>
      <c r="LA9" s="414"/>
      <c r="LB9" s="419"/>
      <c r="LC9" s="419"/>
      <c r="LD9" s="421">
        <f>LD8/E8</f>
        <v>1.0307827612380245</v>
      </c>
      <c r="LE9" s="421">
        <f>LE8/J8</f>
        <v>1.0307784067178831</v>
      </c>
      <c r="LF9" s="422">
        <f>LF8/K8</f>
        <v>1.0313392670376929</v>
      </c>
      <c r="LG9" s="423">
        <f>LG8/L8</f>
        <v>1.0300826891000101</v>
      </c>
      <c r="LH9" s="424"/>
      <c r="LI9" s="425">
        <f>LI8/M8</f>
        <v>1.03</v>
      </c>
      <c r="LJ9" s="424"/>
      <c r="LK9" s="425">
        <f>LK8/N8</f>
        <v>1.0389999999999999</v>
      </c>
      <c r="LL9" s="424"/>
      <c r="LM9" s="425">
        <f>LM8/O8</f>
        <v>1.0349999999999999</v>
      </c>
      <c r="LN9" s="424"/>
      <c r="LO9" s="425">
        <f>LO8/P8</f>
        <v>1.0349999999999999</v>
      </c>
      <c r="LP9" s="424"/>
      <c r="LQ9" s="425">
        <f>LQ8/Q8</f>
        <v>1.0349999999999995</v>
      </c>
      <c r="LR9" s="424"/>
      <c r="LS9" s="426">
        <f t="shared" ref="LS9:MB9" si="2">LS8/R8</f>
        <v>1.04</v>
      </c>
      <c r="LT9" s="427">
        <f t="shared" si="2"/>
        <v>1.02861</v>
      </c>
      <c r="LU9" s="428">
        <f t="shared" si="2"/>
        <v>1.0286100000000002</v>
      </c>
      <c r="LV9" s="429">
        <f t="shared" si="2"/>
        <v>1.0286099999999998</v>
      </c>
      <c r="LW9" s="427">
        <f t="shared" si="2"/>
        <v>1.0330450244702758</v>
      </c>
      <c r="LX9" s="428">
        <f t="shared" si="2"/>
        <v>1.0286099999999996</v>
      </c>
      <c r="LY9" s="428">
        <f t="shared" si="2"/>
        <v>1.0349999999999997</v>
      </c>
      <c r="LZ9" s="430">
        <f t="shared" si="2"/>
        <v>1.0350000000000001</v>
      </c>
      <c r="MA9" s="431">
        <f t="shared" si="2"/>
        <v>1</v>
      </c>
      <c r="MB9" s="426">
        <f t="shared" si="2"/>
        <v>1.0349999999999999</v>
      </c>
    </row>
    <row r="10" spans="1:340" s="96" customFormat="1" ht="16.5" customHeight="1" thickTop="1">
      <c r="A10" s="433">
        <v>1</v>
      </c>
      <c r="B10" s="434"/>
      <c r="C10" s="435"/>
      <c r="D10" s="436"/>
      <c r="E10" s="437"/>
      <c r="F10" s="438"/>
      <c r="G10" s="593"/>
      <c r="H10" s="593"/>
      <c r="I10" s="593"/>
      <c r="J10" s="437"/>
      <c r="K10" s="437"/>
      <c r="L10" s="439"/>
      <c r="M10" s="440"/>
      <c r="N10" s="441"/>
      <c r="O10" s="441"/>
      <c r="P10" s="442"/>
      <c r="Q10" s="437"/>
      <c r="R10" s="438"/>
      <c r="S10" s="443"/>
      <c r="T10" s="444"/>
      <c r="U10" s="445"/>
      <c r="V10" s="443"/>
      <c r="W10" s="446"/>
      <c r="X10" s="447"/>
      <c r="Y10" s="445"/>
      <c r="Z10" s="439"/>
      <c r="AA10" s="448"/>
      <c r="AC10" s="449"/>
      <c r="AD10" s="449"/>
      <c r="AE10" s="449"/>
      <c r="AF10" s="449"/>
      <c r="AG10" s="449"/>
      <c r="AH10" s="449"/>
      <c r="AI10" s="449"/>
      <c r="AJ10" s="449"/>
      <c r="AK10" s="449"/>
      <c r="AL10" s="449"/>
      <c r="AM10" s="449"/>
      <c r="AN10" s="450"/>
      <c r="AO10" s="449"/>
      <c r="AP10" s="449"/>
      <c r="AQ10" s="449"/>
      <c r="AR10" s="450"/>
      <c r="AS10" s="449"/>
      <c r="AT10" s="449"/>
      <c r="AU10" s="450"/>
      <c r="AV10" s="449"/>
      <c r="AW10" s="449"/>
      <c r="AX10" s="449"/>
      <c r="AY10" s="449"/>
      <c r="AZ10" s="449"/>
      <c r="BA10" s="449"/>
      <c r="BB10" s="449"/>
      <c r="BC10" s="449"/>
      <c r="BD10" s="449"/>
      <c r="BE10" s="449"/>
      <c r="BF10" s="449"/>
      <c r="BG10" s="449"/>
      <c r="BH10" s="449"/>
      <c r="BI10" s="449"/>
      <c r="BJ10" s="449"/>
      <c r="BK10" s="449"/>
      <c r="BL10" s="449"/>
      <c r="BM10" s="449"/>
      <c r="BN10" s="449"/>
      <c r="BO10" s="449"/>
      <c r="BP10" s="449"/>
      <c r="BQ10" s="449"/>
      <c r="BR10" s="449"/>
      <c r="BS10" s="449"/>
      <c r="BT10" s="449"/>
      <c r="BU10" s="449"/>
      <c r="BV10" s="449"/>
      <c r="BW10" s="449"/>
      <c r="BX10" s="449"/>
      <c r="BY10" s="449"/>
      <c r="BZ10" s="449"/>
      <c r="CA10" s="449"/>
      <c r="CB10" s="449"/>
      <c r="CC10" s="449"/>
      <c r="CD10" s="449"/>
      <c r="CE10" s="449"/>
      <c r="CF10" s="449"/>
      <c r="CG10" s="449"/>
      <c r="CH10" s="449"/>
      <c r="CI10" s="449"/>
      <c r="CJ10" s="449"/>
      <c r="CK10" s="449"/>
      <c r="CL10" s="449"/>
      <c r="CM10" s="449"/>
      <c r="CN10" s="449"/>
      <c r="CO10" s="449"/>
      <c r="CP10" s="449"/>
      <c r="CQ10" s="449"/>
      <c r="CR10" s="449"/>
      <c r="CS10" s="449"/>
      <c r="CT10" s="449"/>
      <c r="CU10" s="449"/>
      <c r="CV10" s="449"/>
      <c r="CW10" s="449"/>
      <c r="CX10" s="449"/>
      <c r="CY10" s="449"/>
      <c r="CZ10" s="451"/>
      <c r="DA10" s="449"/>
      <c r="DB10" s="449"/>
      <c r="DC10" s="451"/>
      <c r="DD10" s="449"/>
      <c r="DE10" s="449"/>
      <c r="DF10" s="449"/>
      <c r="DG10" s="449"/>
      <c r="DH10" s="449"/>
      <c r="DI10" s="449"/>
      <c r="DJ10" s="449"/>
      <c r="DK10" s="449"/>
      <c r="DL10" s="449"/>
      <c r="DM10" s="449"/>
      <c r="DN10" s="449"/>
      <c r="DO10" s="449"/>
      <c r="DP10" s="449"/>
      <c r="DQ10" s="449"/>
      <c r="DR10" s="449"/>
      <c r="DS10" s="449"/>
      <c r="DT10" s="449"/>
      <c r="DU10" s="449"/>
      <c r="DV10" s="449"/>
      <c r="DW10" s="449"/>
      <c r="DX10" s="449"/>
      <c r="DY10" s="449"/>
      <c r="DZ10" s="449"/>
      <c r="EA10" s="449"/>
      <c r="EB10" s="449"/>
      <c r="EC10" s="449"/>
      <c r="ED10" s="449"/>
      <c r="EE10" s="449"/>
      <c r="EF10" s="449"/>
      <c r="EG10" s="449"/>
      <c r="EH10" s="449"/>
      <c r="EI10" s="449"/>
      <c r="EJ10" s="449"/>
      <c r="EK10" s="449"/>
      <c r="EL10" s="449"/>
      <c r="EM10" s="449"/>
      <c r="EN10" s="449"/>
      <c r="EO10" s="449"/>
      <c r="EP10" s="449"/>
      <c r="EQ10" s="449"/>
      <c r="ER10" s="449"/>
      <c r="ES10" s="449"/>
      <c r="ET10" s="449"/>
      <c r="EU10" s="449"/>
      <c r="EV10" s="449"/>
      <c r="EW10" s="449"/>
      <c r="EX10" s="449"/>
      <c r="EY10" s="449"/>
      <c r="EZ10" s="449"/>
      <c r="FA10" s="449"/>
      <c r="FB10" s="449"/>
      <c r="FC10" s="449"/>
      <c r="FD10" s="449"/>
      <c r="FE10" s="449"/>
      <c r="FF10" s="449"/>
      <c r="FG10" s="449"/>
      <c r="FH10" s="449"/>
      <c r="FI10" s="449"/>
      <c r="FJ10" s="449"/>
      <c r="FK10" s="449"/>
      <c r="FL10" s="449"/>
      <c r="FM10" s="449"/>
      <c r="FN10" s="449"/>
      <c r="FO10" s="449"/>
      <c r="FP10" s="449"/>
      <c r="FQ10" s="449"/>
      <c r="FR10" s="449"/>
      <c r="FS10" s="452"/>
      <c r="FT10" s="449"/>
      <c r="FU10" s="449"/>
      <c r="FV10" s="449"/>
      <c r="FW10" s="449"/>
      <c r="FX10" s="449"/>
      <c r="FY10" s="449"/>
      <c r="FZ10" s="449"/>
      <c r="GA10" s="449"/>
      <c r="GB10" s="449"/>
      <c r="GC10" s="449"/>
      <c r="GD10" s="449"/>
      <c r="GE10" s="449"/>
      <c r="GF10" s="449"/>
      <c r="GG10" s="449"/>
      <c r="GH10" s="449"/>
      <c r="GI10" s="449"/>
      <c r="GJ10" s="451"/>
      <c r="GK10" s="449"/>
      <c r="GL10" s="451"/>
      <c r="GM10" s="449"/>
      <c r="GN10" s="449"/>
      <c r="GO10" s="451"/>
      <c r="GP10" s="451"/>
      <c r="GQ10" s="449"/>
      <c r="GR10" s="451"/>
      <c r="GS10" s="451"/>
      <c r="GT10" s="449"/>
      <c r="GU10" s="449"/>
      <c r="GV10" s="449"/>
      <c r="GW10" s="449"/>
      <c r="GX10" s="449"/>
      <c r="GY10" s="449"/>
      <c r="GZ10" s="449"/>
      <c r="HA10" s="449"/>
      <c r="HB10" s="449"/>
      <c r="HC10" s="449"/>
      <c r="HD10" s="449"/>
      <c r="HE10" s="449"/>
      <c r="HF10" s="449"/>
      <c r="HG10" s="449"/>
      <c r="HH10" s="449"/>
      <c r="HI10" s="449"/>
      <c r="HJ10" s="449"/>
      <c r="HK10" s="449"/>
      <c r="HL10" s="435"/>
      <c r="HM10" s="435"/>
      <c r="HN10" s="435"/>
      <c r="HO10" s="435"/>
      <c r="HP10" s="435"/>
      <c r="HQ10" s="435"/>
      <c r="HR10" s="435"/>
      <c r="HS10" s="435"/>
      <c r="HT10" s="435"/>
      <c r="HU10" s="435"/>
      <c r="HV10" s="435"/>
      <c r="HW10" s="435"/>
      <c r="HX10" s="435"/>
      <c r="HY10" s="435"/>
      <c r="HZ10" s="435"/>
      <c r="IA10" s="435"/>
      <c r="IB10" s="435"/>
      <c r="IC10" s="435"/>
      <c r="ID10" s="435"/>
      <c r="IE10" s="435"/>
      <c r="IF10" s="435"/>
      <c r="IG10" s="435"/>
      <c r="IH10" s="435"/>
      <c r="II10" s="435"/>
      <c r="IJ10" s="435"/>
      <c r="IK10" s="435"/>
      <c r="IL10" s="435"/>
      <c r="IM10" s="435"/>
      <c r="IN10" s="435"/>
      <c r="IO10" s="435"/>
      <c r="IP10" s="435"/>
      <c r="IQ10" s="435"/>
      <c r="IR10" s="435"/>
      <c r="IS10" s="435"/>
      <c r="IT10" s="435"/>
      <c r="IU10" s="435"/>
      <c r="IV10" s="435"/>
      <c r="IW10" s="435"/>
      <c r="IX10" s="435"/>
      <c r="IY10" s="435"/>
      <c r="IZ10" s="435"/>
      <c r="JA10" s="435"/>
      <c r="JB10" s="435"/>
      <c r="JC10" s="435"/>
      <c r="JD10" s="435"/>
      <c r="JE10" s="435"/>
      <c r="JF10" s="435"/>
      <c r="JG10" s="435"/>
      <c r="JH10" s="435"/>
      <c r="JI10" s="435"/>
      <c r="JJ10" s="435"/>
      <c r="JK10" s="435"/>
      <c r="JL10" s="435"/>
      <c r="JM10" s="435"/>
      <c r="JN10" s="449"/>
      <c r="JO10" s="449"/>
      <c r="JP10" s="449"/>
      <c r="JQ10" s="449"/>
      <c r="JR10" s="449"/>
      <c r="JS10" s="452"/>
      <c r="JT10" s="453"/>
      <c r="JU10" s="449"/>
      <c r="JV10" s="449"/>
      <c r="JW10" s="449"/>
      <c r="JX10" s="449"/>
      <c r="JY10" s="449"/>
      <c r="JZ10" s="454"/>
      <c r="KA10" s="449"/>
      <c r="KB10" s="455"/>
      <c r="KC10" s="449"/>
      <c r="KD10" s="449"/>
      <c r="KE10" s="449"/>
      <c r="KF10" s="449"/>
      <c r="KG10" s="454"/>
      <c r="KH10" s="449"/>
      <c r="KI10" s="449"/>
      <c r="KJ10" s="454"/>
      <c r="KK10" s="449"/>
      <c r="KL10" s="449"/>
      <c r="KM10" s="454"/>
      <c r="KN10" s="449"/>
      <c r="KO10" s="449"/>
      <c r="KP10" s="454"/>
      <c r="KQ10" s="449"/>
      <c r="KR10" s="435"/>
      <c r="KS10" s="435"/>
      <c r="KT10" s="449"/>
      <c r="KU10" s="435"/>
      <c r="KV10" s="435"/>
      <c r="KW10" s="449"/>
      <c r="KX10" s="449"/>
      <c r="KY10" s="449"/>
      <c r="KZ10" s="435"/>
      <c r="LA10" s="449"/>
      <c r="LB10" s="456"/>
      <c r="LC10" s="457"/>
      <c r="LD10" s="437"/>
      <c r="LE10" s="437"/>
      <c r="LF10" s="458"/>
      <c r="LG10" s="442"/>
      <c r="LH10" s="424"/>
      <c r="LI10" s="459"/>
      <c r="LJ10" s="424"/>
      <c r="LK10" s="459"/>
      <c r="LL10" s="424"/>
      <c r="LM10" s="459"/>
      <c r="LN10" s="424"/>
      <c r="LO10" s="459"/>
      <c r="LP10" s="424"/>
      <c r="LQ10" s="459"/>
      <c r="LR10" s="424"/>
      <c r="LS10" s="459"/>
      <c r="LT10" s="460"/>
      <c r="LU10" s="461"/>
      <c r="LV10" s="462"/>
      <c r="LW10" s="460"/>
      <c r="LX10" s="461"/>
      <c r="LY10" s="463"/>
      <c r="LZ10" s="464"/>
      <c r="MA10" s="437"/>
      <c r="MB10" s="438"/>
    </row>
    <row r="11" spans="1:340" ht="16.5" customHeight="1">
      <c r="A11" s="465">
        <v>1</v>
      </c>
      <c r="B11" s="466">
        <v>1</v>
      </c>
      <c r="C11" s="467" t="s">
        <v>314</v>
      </c>
      <c r="D11" s="468">
        <v>4629043694</v>
      </c>
      <c r="E11" s="469">
        <f t="shared" ref="E11:E53" si="3">IF(F11="да",J11*1.2,J11)</f>
        <v>938.34942648975368</v>
      </c>
      <c r="F11" s="470" t="s">
        <v>281</v>
      </c>
      <c r="G11" s="595">
        <v>0</v>
      </c>
      <c r="H11" s="597">
        <f>E11-G11</f>
        <v>938.34942648975368</v>
      </c>
      <c r="I11" s="597" t="s">
        <v>861</v>
      </c>
      <c r="J11" s="471">
        <f t="shared" ref="J11:J53" si="4">K11+S11+V11+Z11+AA11</f>
        <v>781.95785540812813</v>
      </c>
      <c r="K11" s="472">
        <f t="shared" ref="K11:K53" si="5">L11+Q11+R11</f>
        <v>38.6</v>
      </c>
      <c r="L11" s="473">
        <f t="shared" ref="L11:L53" si="6">M11+N11+O11+P11</f>
        <v>0</v>
      </c>
      <c r="M11" s="474">
        <v>0</v>
      </c>
      <c r="N11" s="475">
        <v>0</v>
      </c>
      <c r="O11" s="475">
        <v>0</v>
      </c>
      <c r="P11" s="476">
        <v>0</v>
      </c>
      <c r="Q11" s="477">
        <v>38.6</v>
      </c>
      <c r="R11" s="478">
        <f t="shared" ref="R11:R53" si="7">CY11+DB11+DE11</f>
        <v>0</v>
      </c>
      <c r="S11" s="479">
        <f t="shared" ref="S11:S53" si="8">T11+U11</f>
        <v>127.61999999999998</v>
      </c>
      <c r="T11" s="479">
        <v>0</v>
      </c>
      <c r="U11" s="480">
        <v>127.61999999999998</v>
      </c>
      <c r="V11" s="481">
        <f t="shared" ref="V11:V53" si="9">W11+X11+Y11</f>
        <v>557.7378554081281</v>
      </c>
      <c r="W11" s="482">
        <v>0</v>
      </c>
      <c r="X11" s="479">
        <v>353.96785540812806</v>
      </c>
      <c r="Y11" s="483">
        <v>203.77000000000004</v>
      </c>
      <c r="Z11" s="484">
        <v>58.000000000000021</v>
      </c>
      <c r="AA11" s="485">
        <v>0</v>
      </c>
      <c r="AB11" s="486"/>
      <c r="AC11" s="487">
        <v>0</v>
      </c>
      <c r="AD11" s="487">
        <v>0</v>
      </c>
      <c r="AE11" s="487">
        <v>0</v>
      </c>
      <c r="AF11" s="487">
        <v>0</v>
      </c>
      <c r="AG11" s="487">
        <v>0</v>
      </c>
      <c r="AH11" s="487">
        <v>38.6</v>
      </c>
      <c r="AI11" s="487">
        <v>38.6</v>
      </c>
      <c r="AJ11" s="487">
        <v>0</v>
      </c>
      <c r="AK11" s="487">
        <v>0</v>
      </c>
      <c r="AL11" s="487">
        <v>0</v>
      </c>
      <c r="AM11" s="487">
        <v>0</v>
      </c>
      <c r="AN11" s="487">
        <v>0</v>
      </c>
      <c r="AO11" s="487">
        <v>0</v>
      </c>
      <c r="AP11" s="487">
        <v>0</v>
      </c>
      <c r="AQ11" s="487">
        <v>0</v>
      </c>
      <c r="AR11" s="487">
        <v>0</v>
      </c>
      <c r="AS11" s="487">
        <v>0</v>
      </c>
      <c r="AT11" s="487">
        <v>0</v>
      </c>
      <c r="AU11" s="487">
        <v>0</v>
      </c>
      <c r="AV11" s="487">
        <v>0</v>
      </c>
      <c r="AW11" s="487">
        <v>0</v>
      </c>
      <c r="AX11" s="487">
        <v>0</v>
      </c>
      <c r="AY11" s="487">
        <v>0</v>
      </c>
      <c r="AZ11" s="487">
        <v>38.6</v>
      </c>
      <c r="BA11" s="487">
        <v>0</v>
      </c>
      <c r="BB11" s="487">
        <v>0</v>
      </c>
      <c r="BC11" s="487">
        <v>0</v>
      </c>
      <c r="BD11" s="487">
        <v>0</v>
      </c>
      <c r="BE11" s="487">
        <v>0</v>
      </c>
      <c r="BF11" s="487">
        <v>0</v>
      </c>
      <c r="BG11" s="487">
        <v>0</v>
      </c>
      <c r="BH11" s="487">
        <v>0</v>
      </c>
      <c r="BI11" s="487">
        <v>0</v>
      </c>
      <c r="BJ11" s="487">
        <v>0</v>
      </c>
      <c r="BK11" s="487">
        <v>0</v>
      </c>
      <c r="BL11" s="487">
        <v>0</v>
      </c>
      <c r="BM11" s="487">
        <v>0</v>
      </c>
      <c r="BN11" s="487">
        <v>0</v>
      </c>
      <c r="BO11" s="487">
        <v>0</v>
      </c>
      <c r="BP11" s="487">
        <v>0</v>
      </c>
      <c r="BQ11" s="487">
        <v>0</v>
      </c>
      <c r="BR11" s="487">
        <v>0</v>
      </c>
      <c r="BS11" s="487">
        <v>0</v>
      </c>
      <c r="BT11" s="487">
        <v>0</v>
      </c>
      <c r="BU11" s="487">
        <v>0</v>
      </c>
      <c r="BV11" s="487">
        <v>0</v>
      </c>
      <c r="BW11" s="487">
        <v>0</v>
      </c>
      <c r="BX11" s="487">
        <v>0</v>
      </c>
      <c r="BY11" s="487">
        <v>0</v>
      </c>
      <c r="BZ11" s="487">
        <v>0</v>
      </c>
      <c r="CA11" s="487">
        <v>0</v>
      </c>
      <c r="CB11" s="487">
        <v>0</v>
      </c>
      <c r="CC11" s="487">
        <v>0</v>
      </c>
      <c r="CD11" s="487">
        <v>0</v>
      </c>
      <c r="CE11" s="487">
        <v>0</v>
      </c>
      <c r="CF11" s="487">
        <v>0</v>
      </c>
      <c r="CG11" s="487">
        <v>0</v>
      </c>
      <c r="CH11" s="487">
        <v>0</v>
      </c>
      <c r="CI11" s="487">
        <v>0</v>
      </c>
      <c r="CJ11" s="487">
        <v>0</v>
      </c>
      <c r="CK11" s="487">
        <v>0</v>
      </c>
      <c r="CL11" s="487">
        <v>0</v>
      </c>
      <c r="CM11" s="487">
        <v>0</v>
      </c>
      <c r="CN11" s="487">
        <v>0</v>
      </c>
      <c r="CO11" s="487">
        <v>0</v>
      </c>
      <c r="CP11" s="487">
        <v>0</v>
      </c>
      <c r="CQ11" s="487">
        <v>0</v>
      </c>
      <c r="CR11" s="487">
        <v>0</v>
      </c>
      <c r="CS11" s="487">
        <v>0</v>
      </c>
      <c r="CT11" s="487">
        <v>0</v>
      </c>
      <c r="CU11" s="487">
        <v>0</v>
      </c>
      <c r="CV11" s="487">
        <v>0</v>
      </c>
      <c r="CW11" s="487">
        <v>0</v>
      </c>
      <c r="CX11" s="487">
        <v>0</v>
      </c>
      <c r="CY11" s="487">
        <v>0</v>
      </c>
      <c r="CZ11" s="467"/>
      <c r="DA11" s="487">
        <v>0</v>
      </c>
      <c r="DB11" s="487">
        <v>0</v>
      </c>
      <c r="DC11" s="467"/>
      <c r="DD11" s="487">
        <v>0</v>
      </c>
      <c r="DE11" s="487">
        <v>0</v>
      </c>
      <c r="DF11" s="487">
        <v>0</v>
      </c>
      <c r="DG11" s="487">
        <v>0</v>
      </c>
      <c r="DH11" s="487">
        <v>0</v>
      </c>
      <c r="DI11" s="487">
        <v>0</v>
      </c>
      <c r="DJ11" s="487">
        <v>0</v>
      </c>
      <c r="DK11" s="487">
        <v>0</v>
      </c>
      <c r="DL11" s="487">
        <v>0</v>
      </c>
      <c r="DM11" s="487">
        <v>0</v>
      </c>
      <c r="DN11" s="487">
        <v>0</v>
      </c>
      <c r="DO11" s="487">
        <v>0</v>
      </c>
      <c r="DP11" s="487">
        <v>127.61999999999998</v>
      </c>
      <c r="DQ11" s="487">
        <v>0</v>
      </c>
      <c r="DR11" s="487">
        <v>0</v>
      </c>
      <c r="DS11" s="487">
        <v>0</v>
      </c>
      <c r="DT11" s="487">
        <v>127.61999999999998</v>
      </c>
      <c r="DU11" s="487">
        <v>0</v>
      </c>
      <c r="DV11" s="487">
        <v>0</v>
      </c>
      <c r="DW11" s="487">
        <v>0</v>
      </c>
      <c r="DX11" s="487">
        <v>0</v>
      </c>
      <c r="DY11" s="487">
        <v>0</v>
      </c>
      <c r="DZ11" s="487">
        <v>0</v>
      </c>
      <c r="EA11" s="487">
        <v>0</v>
      </c>
      <c r="EB11" s="487">
        <v>0</v>
      </c>
      <c r="EC11" s="487">
        <v>0</v>
      </c>
      <c r="ED11" s="487">
        <v>0</v>
      </c>
      <c r="EE11" s="487">
        <v>0</v>
      </c>
      <c r="EF11" s="487">
        <v>0</v>
      </c>
      <c r="EG11" s="487">
        <v>0</v>
      </c>
      <c r="EH11" s="487">
        <v>0</v>
      </c>
      <c r="EI11" s="487">
        <v>0</v>
      </c>
      <c r="EJ11" s="487">
        <v>0</v>
      </c>
      <c r="EK11" s="487">
        <v>0</v>
      </c>
      <c r="EL11" s="487">
        <v>0</v>
      </c>
      <c r="EM11" s="487">
        <v>0</v>
      </c>
      <c r="EN11" s="487">
        <v>0</v>
      </c>
      <c r="EO11" s="487">
        <v>0</v>
      </c>
      <c r="EP11" s="487">
        <v>0</v>
      </c>
      <c r="EQ11" s="487">
        <v>0</v>
      </c>
      <c r="ER11" s="487">
        <v>0</v>
      </c>
      <c r="ES11" s="487">
        <v>0</v>
      </c>
      <c r="ET11" s="487">
        <v>0</v>
      </c>
      <c r="EU11" s="487">
        <v>0</v>
      </c>
      <c r="EV11" s="487">
        <v>0</v>
      </c>
      <c r="EW11" s="487">
        <v>0</v>
      </c>
      <c r="EX11" s="487">
        <v>0</v>
      </c>
      <c r="EY11" s="487">
        <v>0</v>
      </c>
      <c r="EZ11" s="487">
        <v>0</v>
      </c>
      <c r="FA11" s="487">
        <v>0</v>
      </c>
      <c r="FB11" s="487">
        <v>203.76999999999998</v>
      </c>
      <c r="FC11" s="487">
        <v>0</v>
      </c>
      <c r="FD11" s="487">
        <v>0</v>
      </c>
      <c r="FE11" s="487">
        <v>0</v>
      </c>
      <c r="FF11" s="487">
        <v>203.76999999999998</v>
      </c>
      <c r="FG11" s="487">
        <v>203.76999999999998</v>
      </c>
      <c r="FH11" s="487">
        <v>0</v>
      </c>
      <c r="FI11" s="487">
        <v>0</v>
      </c>
      <c r="FJ11" s="487">
        <v>0</v>
      </c>
      <c r="FK11" s="487">
        <v>0</v>
      </c>
      <c r="FL11" s="487">
        <v>0</v>
      </c>
      <c r="FM11" s="487">
        <v>353.96785540812806</v>
      </c>
      <c r="FN11" s="487">
        <v>353.96785540812806</v>
      </c>
      <c r="FO11" s="487">
        <v>0</v>
      </c>
      <c r="FP11" s="487">
        <v>0</v>
      </c>
      <c r="FQ11" s="487">
        <v>0</v>
      </c>
      <c r="FR11" s="487">
        <v>0</v>
      </c>
      <c r="FS11" s="488">
        <v>723.95785540812813</v>
      </c>
      <c r="FT11" s="487">
        <v>0</v>
      </c>
      <c r="FU11" s="487">
        <v>0</v>
      </c>
      <c r="FV11" s="487">
        <v>0</v>
      </c>
      <c r="FW11" s="487">
        <v>0</v>
      </c>
      <c r="FX11" s="487">
        <v>0</v>
      </c>
      <c r="FY11" s="487">
        <v>0</v>
      </c>
      <c r="FZ11" s="487">
        <v>0</v>
      </c>
      <c r="GA11" s="487">
        <v>0</v>
      </c>
      <c r="GB11" s="487">
        <v>0</v>
      </c>
      <c r="GC11" s="487">
        <v>0</v>
      </c>
      <c r="GD11" s="487">
        <v>0</v>
      </c>
      <c r="GE11" s="487">
        <v>0</v>
      </c>
      <c r="GF11" s="487">
        <v>0</v>
      </c>
      <c r="GG11" s="487">
        <v>0</v>
      </c>
      <c r="GH11" s="487">
        <v>0</v>
      </c>
      <c r="GI11" s="487">
        <v>0</v>
      </c>
      <c r="GJ11" s="467"/>
      <c r="GK11" s="487">
        <v>0</v>
      </c>
      <c r="GL11" s="467"/>
      <c r="GM11" s="487">
        <v>0</v>
      </c>
      <c r="GN11" s="487">
        <v>0</v>
      </c>
      <c r="GO11" s="467"/>
      <c r="GP11" s="467"/>
      <c r="GQ11" s="487">
        <v>0</v>
      </c>
      <c r="GR11" s="467"/>
      <c r="GS11" s="467"/>
      <c r="GT11" s="487">
        <v>0</v>
      </c>
      <c r="GU11" s="487">
        <v>0</v>
      </c>
      <c r="GV11" s="487">
        <v>0</v>
      </c>
      <c r="GW11" s="487">
        <v>0</v>
      </c>
      <c r="GX11" s="487">
        <v>0</v>
      </c>
      <c r="GY11" s="487">
        <v>0</v>
      </c>
      <c r="GZ11" s="487">
        <v>0</v>
      </c>
      <c r="HA11" s="487">
        <v>0</v>
      </c>
      <c r="HB11" s="487">
        <v>0</v>
      </c>
      <c r="HC11" s="487">
        <v>0</v>
      </c>
      <c r="HD11" s="487">
        <v>0</v>
      </c>
      <c r="HE11" s="487">
        <v>0</v>
      </c>
      <c r="HF11" s="487">
        <v>0</v>
      </c>
      <c r="HG11" s="487">
        <v>0</v>
      </c>
      <c r="HH11" s="487">
        <v>0</v>
      </c>
      <c r="HI11" s="487">
        <v>0</v>
      </c>
      <c r="HJ11" s="487">
        <v>0</v>
      </c>
      <c r="HK11" s="487">
        <v>0</v>
      </c>
      <c r="HL11" s="467"/>
      <c r="HM11" s="467"/>
      <c r="HN11" s="467"/>
      <c r="HO11" s="467"/>
      <c r="HP11" s="467"/>
      <c r="HQ11" s="467"/>
      <c r="HR11" s="467"/>
      <c r="HS11" s="467"/>
      <c r="HT11" s="467"/>
      <c r="HU11" s="467"/>
      <c r="HV11" s="467"/>
      <c r="HW11" s="467"/>
      <c r="HX11" s="467"/>
      <c r="HY11" s="467"/>
      <c r="HZ11" s="467"/>
      <c r="IA11" s="467"/>
      <c r="IB11" s="467"/>
      <c r="IC11" s="467"/>
      <c r="ID11" s="467"/>
      <c r="IE11" s="467"/>
      <c r="IF11" s="467"/>
      <c r="IG11" s="467"/>
      <c r="IH11" s="467"/>
      <c r="II11" s="467"/>
      <c r="IJ11" s="467"/>
      <c r="IK11" s="467"/>
      <c r="IL11" s="467"/>
      <c r="IM11" s="467"/>
      <c r="IN11" s="467"/>
      <c r="IO11" s="467"/>
      <c r="IP11" s="467"/>
      <c r="IQ11" s="467"/>
      <c r="IR11" s="467"/>
      <c r="IS11" s="467"/>
      <c r="IT11" s="467"/>
      <c r="IU11" s="467"/>
      <c r="IV11" s="467"/>
      <c r="IW11" s="467"/>
      <c r="IX11" s="467"/>
      <c r="IY11" s="467"/>
      <c r="IZ11" s="467"/>
      <c r="JA11" s="467"/>
      <c r="JB11" s="467"/>
      <c r="JC11" s="467"/>
      <c r="JD11" s="467"/>
      <c r="JE11" s="467"/>
      <c r="JF11" s="467"/>
      <c r="JG11" s="467"/>
      <c r="JH11" s="467"/>
      <c r="JI11" s="467"/>
      <c r="JJ11" s="467"/>
      <c r="JK11" s="467"/>
      <c r="JL11" s="467"/>
      <c r="JM11" s="467"/>
      <c r="JN11" s="487">
        <v>127.61999999999998</v>
      </c>
      <c r="JO11" s="487">
        <v>557.7378554081281</v>
      </c>
      <c r="JP11" s="487">
        <v>38.6</v>
      </c>
      <c r="JQ11" s="487">
        <v>0</v>
      </c>
      <c r="JR11" s="487">
        <v>0</v>
      </c>
      <c r="JS11" s="488">
        <v>781.95785540812813</v>
      </c>
      <c r="JT11" s="489">
        <f t="shared" ref="JT11:JT53" si="10">JS11-JN11-JO11-JP11-JQ11-JR11</f>
        <v>58.000000000000021</v>
      </c>
      <c r="JU11" s="487">
        <v>938.34942648975368</v>
      </c>
      <c r="JV11" s="487">
        <v>781.95785540812813</v>
      </c>
      <c r="JW11" s="487">
        <v>938.34942648975368</v>
      </c>
      <c r="JX11" s="487">
        <v>5797</v>
      </c>
      <c r="JY11" s="487">
        <v>5797</v>
      </c>
      <c r="JZ11" s="467"/>
      <c r="KA11" s="487">
        <v>0</v>
      </c>
      <c r="KB11" s="490">
        <v>0</v>
      </c>
      <c r="KC11" s="487">
        <v>-1.7933918719563735E-3</v>
      </c>
      <c r="KD11" s="487">
        <v>781.95964880000008</v>
      </c>
      <c r="KE11" s="487">
        <v>5797</v>
      </c>
      <c r="KF11" s="487">
        <v>781.95964880000008</v>
      </c>
      <c r="KG11" s="491">
        <v>134.89040000000003</v>
      </c>
      <c r="KH11" s="487">
        <v>5797</v>
      </c>
      <c r="KI11" s="487">
        <v>0</v>
      </c>
      <c r="KJ11" s="491">
        <v>0</v>
      </c>
      <c r="KK11" s="487">
        <v>0</v>
      </c>
      <c r="KL11" s="487">
        <v>0</v>
      </c>
      <c r="KM11" s="491">
        <v>0</v>
      </c>
      <c r="KN11" s="487">
        <v>0</v>
      </c>
      <c r="KO11" s="487">
        <v>0</v>
      </c>
      <c r="KP11" s="491">
        <v>0</v>
      </c>
      <c r="KQ11" s="487">
        <v>0</v>
      </c>
      <c r="KR11" s="467"/>
      <c r="KS11" s="467"/>
      <c r="KT11" s="487"/>
      <c r="KU11" s="487"/>
      <c r="KV11" s="467"/>
      <c r="KW11" s="487">
        <v>9793.14</v>
      </c>
      <c r="KX11" s="487">
        <v>0.61</v>
      </c>
      <c r="KY11" s="487"/>
      <c r="KZ11" s="467"/>
      <c r="LA11" s="487"/>
      <c r="LB11" s="492"/>
      <c r="LC11" s="493"/>
      <c r="LD11" s="494">
        <f t="shared" ref="LD11:LD53" si="11">IF(F11="да",LE11*1.2,LE11)</f>
        <v>967.77706625689495</v>
      </c>
      <c r="LE11" s="471">
        <f t="shared" ref="LE11:LE53" si="12">LF11+LT11+LW11+MA11+MB11</f>
        <v>806.48088854741252</v>
      </c>
      <c r="LF11" s="495">
        <f t="shared" ref="LF11:LF53" si="13">LG11+LQ11+LS11</f>
        <v>39.951000000000001</v>
      </c>
      <c r="LG11" s="476">
        <f t="shared" ref="LG11:LG53" si="14">LI11+LK11+LM11+LO11</f>
        <v>0</v>
      </c>
      <c r="LH11" s="496">
        <v>1.03</v>
      </c>
      <c r="LI11" s="497">
        <f t="shared" ref="LI11:LI53" si="15">LH11*M11</f>
        <v>0</v>
      </c>
      <c r="LJ11" s="498">
        <v>1.0389999999999999</v>
      </c>
      <c r="LK11" s="497">
        <f t="shared" ref="LK11:LK53" si="16">LJ11*N11</f>
        <v>0</v>
      </c>
      <c r="LL11" s="498">
        <v>1.0349999999999999</v>
      </c>
      <c r="LM11" s="497">
        <f t="shared" ref="LM11:LM53" si="17">LL11*O11</f>
        <v>0</v>
      </c>
      <c r="LN11" s="498">
        <v>1.0349999999999999</v>
      </c>
      <c r="LO11" s="497">
        <f t="shared" ref="LO11:LO53" si="18">LN11*P11</f>
        <v>0</v>
      </c>
      <c r="LP11" s="498">
        <v>1.0349999999999999</v>
      </c>
      <c r="LQ11" s="497">
        <f t="shared" ref="LQ11:LQ53" si="19">LP11*Q11</f>
        <v>39.951000000000001</v>
      </c>
      <c r="LR11" s="498">
        <v>1.04</v>
      </c>
      <c r="LS11" s="497">
        <f t="shared" ref="LS11:LS53" si="20">LR11*R11</f>
        <v>0</v>
      </c>
      <c r="LT11" s="499">
        <f t="shared" ref="LT11:LT53" si="21">LU11+LV11</f>
        <v>131.27120819999996</v>
      </c>
      <c r="LU11" s="500">
        <f t="shared" ref="LU11:LU53" si="22">T11*0.99*1.039</f>
        <v>0</v>
      </c>
      <c r="LV11" s="501">
        <f t="shared" ref="LV11:LV53" si="23">U11*0.99*1.039</f>
        <v>131.27120819999996</v>
      </c>
      <c r="LW11" s="499">
        <f t="shared" ref="LW11:LW53" si="24">LX11+LY11+LZ11</f>
        <v>577.25868034741256</v>
      </c>
      <c r="LX11" s="500">
        <f t="shared" ref="LX11:LX53" si="25">W11*0.99*1.039</f>
        <v>0</v>
      </c>
      <c r="LY11" s="500">
        <f t="shared" ref="LY11:LY53" si="26">X11*1.035</f>
        <v>366.35673034741251</v>
      </c>
      <c r="LZ11" s="502">
        <f t="shared" ref="LZ11:LZ53" si="27">Y11*1.035</f>
        <v>210.90195000000003</v>
      </c>
      <c r="MA11" s="503">
        <f t="shared" ref="MA11:MA53" si="28">Z11</f>
        <v>58.000000000000021</v>
      </c>
      <c r="MB11" s="504">
        <f t="shared" ref="MB11:MB53" si="29">AA11*1.035</f>
        <v>0</v>
      </c>
    </row>
    <row r="12" spans="1:340" ht="16.5" customHeight="1">
      <c r="A12" s="505">
        <v>1</v>
      </c>
      <c r="B12" s="506">
        <v>2</v>
      </c>
      <c r="C12" s="507" t="s">
        <v>288</v>
      </c>
      <c r="D12" s="508">
        <v>7721632827</v>
      </c>
      <c r="E12" s="469">
        <f t="shared" si="3"/>
        <v>120906.03673199998</v>
      </c>
      <c r="F12" s="470" t="s">
        <v>281</v>
      </c>
      <c r="G12" s="595">
        <v>15650.781241919998</v>
      </c>
      <c r="H12" s="597">
        <f t="shared" ref="H12:H53" si="30">E12-G12</f>
        <v>105255.25549007999</v>
      </c>
      <c r="I12" s="597" t="s">
        <v>857</v>
      </c>
      <c r="J12" s="509">
        <f t="shared" si="4"/>
        <v>100755.03060999999</v>
      </c>
      <c r="K12" s="510">
        <f t="shared" si="5"/>
        <v>38495.65</v>
      </c>
      <c r="L12" s="511">
        <f t="shared" si="6"/>
        <v>38495.65</v>
      </c>
      <c r="M12" s="512">
        <v>0</v>
      </c>
      <c r="N12" s="513">
        <v>0</v>
      </c>
      <c r="O12" s="513">
        <v>0</v>
      </c>
      <c r="P12" s="514">
        <v>38495.65</v>
      </c>
      <c r="Q12" s="515">
        <v>0</v>
      </c>
      <c r="R12" s="516">
        <f t="shared" si="7"/>
        <v>0</v>
      </c>
      <c r="S12" s="517">
        <f t="shared" si="8"/>
        <v>28285.350000000002</v>
      </c>
      <c r="T12" s="518">
        <v>17928.330000000002</v>
      </c>
      <c r="U12" s="519">
        <v>10357.02</v>
      </c>
      <c r="V12" s="520">
        <f t="shared" si="9"/>
        <v>33761.860610000003</v>
      </c>
      <c r="W12" s="521">
        <v>5683.2806099999998</v>
      </c>
      <c r="X12" s="518">
        <v>27480.83</v>
      </c>
      <c r="Y12" s="522">
        <v>597.75</v>
      </c>
      <c r="Z12" s="523">
        <v>-981.22000000000912</v>
      </c>
      <c r="AA12" s="524">
        <v>1193.3900000000001</v>
      </c>
      <c r="AB12" s="486"/>
      <c r="AC12" s="525">
        <v>38495.65</v>
      </c>
      <c r="AD12" s="525">
        <v>0</v>
      </c>
      <c r="AE12" s="525">
        <v>0</v>
      </c>
      <c r="AF12" s="525">
        <v>0</v>
      </c>
      <c r="AG12" s="525">
        <v>38495.65</v>
      </c>
      <c r="AH12" s="525">
        <v>0</v>
      </c>
      <c r="AI12" s="525">
        <v>0</v>
      </c>
      <c r="AJ12" s="525">
        <v>0</v>
      </c>
      <c r="AK12" s="525">
        <v>0</v>
      </c>
      <c r="AL12" s="525">
        <v>0</v>
      </c>
      <c r="AM12" s="525">
        <v>0</v>
      </c>
      <c r="AN12" s="525">
        <v>0</v>
      </c>
      <c r="AO12" s="525">
        <v>0</v>
      </c>
      <c r="AP12" s="525">
        <v>0</v>
      </c>
      <c r="AQ12" s="525">
        <v>0</v>
      </c>
      <c r="AR12" s="525">
        <v>0</v>
      </c>
      <c r="AS12" s="525">
        <v>0</v>
      </c>
      <c r="AT12" s="525">
        <v>0</v>
      </c>
      <c r="AU12" s="525">
        <v>0</v>
      </c>
      <c r="AV12" s="525">
        <v>0</v>
      </c>
      <c r="AW12" s="525">
        <v>0</v>
      </c>
      <c r="AX12" s="525">
        <v>0</v>
      </c>
      <c r="AY12" s="525">
        <v>0</v>
      </c>
      <c r="AZ12" s="525">
        <v>0</v>
      </c>
      <c r="BA12" s="525">
        <v>0</v>
      </c>
      <c r="BB12" s="525">
        <v>0</v>
      </c>
      <c r="BC12" s="525">
        <v>0</v>
      </c>
      <c r="BD12" s="525">
        <v>0</v>
      </c>
      <c r="BE12" s="525">
        <v>0</v>
      </c>
      <c r="BF12" s="525">
        <v>0</v>
      </c>
      <c r="BG12" s="525">
        <v>0</v>
      </c>
      <c r="BH12" s="525">
        <v>0</v>
      </c>
      <c r="BI12" s="525">
        <v>0</v>
      </c>
      <c r="BJ12" s="525">
        <v>0</v>
      </c>
      <c r="BK12" s="525">
        <v>0</v>
      </c>
      <c r="BL12" s="525">
        <v>0</v>
      </c>
      <c r="BM12" s="525">
        <v>0</v>
      </c>
      <c r="BN12" s="525">
        <v>0</v>
      </c>
      <c r="BO12" s="525">
        <v>0</v>
      </c>
      <c r="BP12" s="525">
        <v>0</v>
      </c>
      <c r="BQ12" s="525">
        <v>0</v>
      </c>
      <c r="BR12" s="525">
        <v>0</v>
      </c>
      <c r="BS12" s="525">
        <v>0</v>
      </c>
      <c r="BT12" s="525">
        <v>0</v>
      </c>
      <c r="BU12" s="525">
        <v>0</v>
      </c>
      <c r="BV12" s="525">
        <v>0</v>
      </c>
      <c r="BW12" s="525">
        <v>0</v>
      </c>
      <c r="BX12" s="525">
        <v>0</v>
      </c>
      <c r="BY12" s="525">
        <v>0</v>
      </c>
      <c r="BZ12" s="525">
        <v>0</v>
      </c>
      <c r="CA12" s="525">
        <v>0</v>
      </c>
      <c r="CB12" s="525">
        <v>0</v>
      </c>
      <c r="CC12" s="525">
        <v>0</v>
      </c>
      <c r="CD12" s="525">
        <v>0</v>
      </c>
      <c r="CE12" s="525">
        <v>0</v>
      </c>
      <c r="CF12" s="525">
        <v>0</v>
      </c>
      <c r="CG12" s="525">
        <v>0</v>
      </c>
      <c r="CH12" s="525">
        <v>0</v>
      </c>
      <c r="CI12" s="525">
        <v>0</v>
      </c>
      <c r="CJ12" s="525">
        <v>0</v>
      </c>
      <c r="CK12" s="525">
        <v>0</v>
      </c>
      <c r="CL12" s="525">
        <v>0</v>
      </c>
      <c r="CM12" s="525">
        <v>17928.330000000002</v>
      </c>
      <c r="CN12" s="525">
        <v>17928.330000000002</v>
      </c>
      <c r="CO12" s="525">
        <v>0</v>
      </c>
      <c r="CP12" s="525">
        <v>0</v>
      </c>
      <c r="CQ12" s="525">
        <v>0</v>
      </c>
      <c r="CR12" s="525">
        <v>0</v>
      </c>
      <c r="CS12" s="525">
        <v>5683.2806099999998</v>
      </c>
      <c r="CT12" s="525">
        <v>5683.2806099999998</v>
      </c>
      <c r="CU12" s="525">
        <v>0</v>
      </c>
      <c r="CV12" s="525">
        <v>0</v>
      </c>
      <c r="CW12" s="525">
        <v>0</v>
      </c>
      <c r="CX12" s="525">
        <v>0</v>
      </c>
      <c r="CY12" s="525">
        <v>0</v>
      </c>
      <c r="CZ12" s="526"/>
      <c r="DA12" s="525">
        <v>0</v>
      </c>
      <c r="DB12" s="525">
        <v>0</v>
      </c>
      <c r="DC12" s="526"/>
      <c r="DD12" s="525">
        <v>0</v>
      </c>
      <c r="DE12" s="525">
        <v>0</v>
      </c>
      <c r="DF12" s="525">
        <v>0</v>
      </c>
      <c r="DG12" s="525">
        <v>5791.34</v>
      </c>
      <c r="DH12" s="525">
        <v>1617.97</v>
      </c>
      <c r="DI12" s="525">
        <v>0</v>
      </c>
      <c r="DJ12" s="525">
        <v>4173.37</v>
      </c>
      <c r="DK12" s="525">
        <v>0</v>
      </c>
      <c r="DL12" s="525">
        <v>0</v>
      </c>
      <c r="DM12" s="525">
        <v>0</v>
      </c>
      <c r="DN12" s="525">
        <v>0</v>
      </c>
      <c r="DO12" s="525">
        <v>0</v>
      </c>
      <c r="DP12" s="525">
        <v>1912.96</v>
      </c>
      <c r="DQ12" s="525">
        <v>0</v>
      </c>
      <c r="DR12" s="525">
        <v>0</v>
      </c>
      <c r="DS12" s="525">
        <v>0</v>
      </c>
      <c r="DT12" s="525">
        <v>1912.96</v>
      </c>
      <c r="DU12" s="525">
        <v>2259.04</v>
      </c>
      <c r="DV12" s="525">
        <v>2.7299999999999995</v>
      </c>
      <c r="DW12" s="525">
        <v>414.89</v>
      </c>
      <c r="DX12" s="525">
        <v>0</v>
      </c>
      <c r="DY12" s="525">
        <v>0</v>
      </c>
      <c r="DZ12" s="525">
        <v>267.70999999999998</v>
      </c>
      <c r="EA12" s="525">
        <v>0</v>
      </c>
      <c r="EB12" s="525">
        <v>0</v>
      </c>
      <c r="EC12" s="525">
        <v>0</v>
      </c>
      <c r="ED12" s="525">
        <v>0</v>
      </c>
      <c r="EE12" s="525">
        <v>0</v>
      </c>
      <c r="EF12" s="525">
        <v>0</v>
      </c>
      <c r="EG12" s="525">
        <v>1573.71</v>
      </c>
      <c r="EH12" s="525">
        <v>0</v>
      </c>
      <c r="EI12" s="525">
        <v>0</v>
      </c>
      <c r="EJ12" s="525">
        <v>0</v>
      </c>
      <c r="EK12" s="525">
        <v>0</v>
      </c>
      <c r="EL12" s="525">
        <v>144.87</v>
      </c>
      <c r="EM12" s="525">
        <v>248.81</v>
      </c>
      <c r="EN12" s="525">
        <v>0</v>
      </c>
      <c r="EO12" s="525">
        <v>0</v>
      </c>
      <c r="EP12" s="525">
        <v>0</v>
      </c>
      <c r="EQ12" s="525">
        <v>0</v>
      </c>
      <c r="ER12" s="525">
        <v>0</v>
      </c>
      <c r="ES12" s="525">
        <v>0</v>
      </c>
      <c r="ET12" s="525">
        <v>0</v>
      </c>
      <c r="EU12" s="525">
        <v>0</v>
      </c>
      <c r="EV12" s="525">
        <v>0</v>
      </c>
      <c r="EW12" s="525">
        <v>0</v>
      </c>
      <c r="EX12" s="525">
        <v>0</v>
      </c>
      <c r="EY12" s="525">
        <v>0</v>
      </c>
      <c r="EZ12" s="525">
        <v>0</v>
      </c>
      <c r="FA12" s="525">
        <v>0</v>
      </c>
      <c r="FB12" s="525">
        <v>597.75</v>
      </c>
      <c r="FC12" s="525">
        <v>20.010000000000002</v>
      </c>
      <c r="FD12" s="525">
        <v>577.74</v>
      </c>
      <c r="FE12" s="525">
        <v>0</v>
      </c>
      <c r="FF12" s="525">
        <v>0</v>
      </c>
      <c r="FG12" s="525">
        <v>0</v>
      </c>
      <c r="FH12" s="525">
        <v>0</v>
      </c>
      <c r="FI12" s="525">
        <v>0</v>
      </c>
      <c r="FJ12" s="525">
        <v>0</v>
      </c>
      <c r="FK12" s="525">
        <v>0</v>
      </c>
      <c r="FL12" s="525">
        <v>0</v>
      </c>
      <c r="FM12" s="525">
        <v>27480.83</v>
      </c>
      <c r="FN12" s="525">
        <v>27480.83</v>
      </c>
      <c r="FO12" s="525">
        <v>0</v>
      </c>
      <c r="FP12" s="525">
        <v>0</v>
      </c>
      <c r="FQ12" s="525">
        <v>0</v>
      </c>
      <c r="FR12" s="525">
        <v>0</v>
      </c>
      <c r="FS12" s="527">
        <v>100542.86061</v>
      </c>
      <c r="FT12" s="525">
        <v>0</v>
      </c>
      <c r="FU12" s="525">
        <v>0</v>
      </c>
      <c r="FV12" s="525">
        <v>0</v>
      </c>
      <c r="FW12" s="525">
        <v>0</v>
      </c>
      <c r="FX12" s="525">
        <v>0</v>
      </c>
      <c r="FY12" s="525">
        <v>0</v>
      </c>
      <c r="FZ12" s="525">
        <v>0</v>
      </c>
      <c r="GA12" s="525">
        <v>0</v>
      </c>
      <c r="GB12" s="525">
        <v>0</v>
      </c>
      <c r="GC12" s="525">
        <v>0</v>
      </c>
      <c r="GD12" s="525">
        <v>0</v>
      </c>
      <c r="GE12" s="525">
        <v>0</v>
      </c>
      <c r="GF12" s="525">
        <v>0</v>
      </c>
      <c r="GG12" s="525">
        <v>0</v>
      </c>
      <c r="GH12" s="525">
        <v>1193.3900000000001</v>
      </c>
      <c r="GI12" s="525">
        <v>0</v>
      </c>
      <c r="GJ12" s="526"/>
      <c r="GK12" s="525">
        <v>1193.3900000000001</v>
      </c>
      <c r="GL12" s="526"/>
      <c r="GM12" s="525">
        <v>0</v>
      </c>
      <c r="GN12" s="525">
        <v>0</v>
      </c>
      <c r="GO12" s="526"/>
      <c r="GP12" s="526"/>
      <c r="GQ12" s="525">
        <v>0</v>
      </c>
      <c r="GR12" s="526"/>
      <c r="GS12" s="526"/>
      <c r="GT12" s="525">
        <v>0</v>
      </c>
      <c r="GU12" s="525">
        <v>0</v>
      </c>
      <c r="GV12" s="525">
        <v>0</v>
      </c>
      <c r="GW12" s="525">
        <v>0</v>
      </c>
      <c r="GX12" s="525">
        <v>0</v>
      </c>
      <c r="GY12" s="525">
        <v>0</v>
      </c>
      <c r="GZ12" s="525">
        <v>0</v>
      </c>
      <c r="HA12" s="525">
        <v>0</v>
      </c>
      <c r="HB12" s="525">
        <v>0</v>
      </c>
      <c r="HC12" s="525">
        <v>0</v>
      </c>
      <c r="HD12" s="525">
        <v>0</v>
      </c>
      <c r="HE12" s="525">
        <v>0</v>
      </c>
      <c r="HF12" s="525">
        <v>0</v>
      </c>
      <c r="HG12" s="525">
        <v>0</v>
      </c>
      <c r="HH12" s="525">
        <v>0</v>
      </c>
      <c r="HI12" s="525">
        <v>0</v>
      </c>
      <c r="HJ12" s="525">
        <v>0</v>
      </c>
      <c r="HK12" s="525">
        <v>0</v>
      </c>
      <c r="HL12" s="526"/>
      <c r="HM12" s="526"/>
      <c r="HN12" s="526"/>
      <c r="HO12" s="526"/>
      <c r="HP12" s="526"/>
      <c r="HQ12" s="526"/>
      <c r="HR12" s="526"/>
      <c r="HS12" s="526"/>
      <c r="HT12" s="526"/>
      <c r="HU12" s="526"/>
      <c r="HV12" s="526"/>
      <c r="HW12" s="526"/>
      <c r="HX12" s="526"/>
      <c r="HY12" s="526"/>
      <c r="HZ12" s="526"/>
      <c r="IA12" s="526"/>
      <c r="IB12" s="526"/>
      <c r="IC12" s="526"/>
      <c r="ID12" s="526"/>
      <c r="IE12" s="526"/>
      <c r="IF12" s="526"/>
      <c r="IG12" s="526"/>
      <c r="IH12" s="526"/>
      <c r="II12" s="526"/>
      <c r="IJ12" s="526"/>
      <c r="IK12" s="526"/>
      <c r="IL12" s="526"/>
      <c r="IM12" s="526"/>
      <c r="IN12" s="526"/>
      <c r="IO12" s="526"/>
      <c r="IP12" s="526"/>
      <c r="IQ12" s="526"/>
      <c r="IR12" s="526"/>
      <c r="IS12" s="526"/>
      <c r="IT12" s="526"/>
      <c r="IU12" s="526"/>
      <c r="IV12" s="526"/>
      <c r="IW12" s="526"/>
      <c r="IX12" s="526"/>
      <c r="IY12" s="526"/>
      <c r="IZ12" s="526"/>
      <c r="JA12" s="526"/>
      <c r="JB12" s="526"/>
      <c r="JC12" s="526"/>
      <c r="JD12" s="526"/>
      <c r="JE12" s="526"/>
      <c r="JF12" s="526"/>
      <c r="JG12" s="526"/>
      <c r="JH12" s="526"/>
      <c r="JI12" s="526"/>
      <c r="JJ12" s="526"/>
      <c r="JK12" s="526"/>
      <c r="JL12" s="526"/>
      <c r="JM12" s="526"/>
      <c r="JN12" s="525">
        <v>28285.350000000002</v>
      </c>
      <c r="JO12" s="525">
        <v>33761.860610000003</v>
      </c>
      <c r="JP12" s="525">
        <v>38495.65</v>
      </c>
      <c r="JQ12" s="525">
        <v>0</v>
      </c>
      <c r="JR12" s="525">
        <v>1193.3900000000001</v>
      </c>
      <c r="JS12" s="527">
        <v>100755.03061</v>
      </c>
      <c r="JT12" s="528">
        <f t="shared" si="10"/>
        <v>-981.22000000000912</v>
      </c>
      <c r="JU12" s="525">
        <v>120906.03673199999</v>
      </c>
      <c r="JV12" s="525">
        <v>100755.03061</v>
      </c>
      <c r="JW12" s="525">
        <v>120906.03673199999</v>
      </c>
      <c r="JX12" s="525">
        <v>423656</v>
      </c>
      <c r="JY12" s="525">
        <v>423656</v>
      </c>
      <c r="JZ12" s="526"/>
      <c r="KA12" s="525">
        <v>55057.880000000005</v>
      </c>
      <c r="KB12" s="529">
        <v>1.1869465348008066</v>
      </c>
      <c r="KC12" s="525">
        <v>-4.5099999842932448E-3</v>
      </c>
      <c r="KD12" s="525">
        <v>100755.03511999999</v>
      </c>
      <c r="KE12" s="525">
        <v>423656</v>
      </c>
      <c r="KF12" s="525">
        <v>87712.673622000002</v>
      </c>
      <c r="KG12" s="530">
        <v>237.96288928983145</v>
      </c>
      <c r="KH12" s="525">
        <v>368598.12</v>
      </c>
      <c r="KI12" s="525">
        <v>0</v>
      </c>
      <c r="KJ12" s="530">
        <v>0</v>
      </c>
      <c r="KK12" s="525">
        <v>0</v>
      </c>
      <c r="KL12" s="525">
        <v>123.43103099999999</v>
      </c>
      <c r="KM12" s="530">
        <v>237.68733102253032</v>
      </c>
      <c r="KN12" s="525">
        <v>519.29999999999995</v>
      </c>
      <c r="KO12" s="525">
        <v>12918.930467000002</v>
      </c>
      <c r="KP12" s="530">
        <v>236.8769129485953</v>
      </c>
      <c r="KQ12" s="525">
        <v>54538.58</v>
      </c>
      <c r="KR12" s="526"/>
      <c r="KS12" s="526"/>
      <c r="KT12" s="531">
        <v>315844.8</v>
      </c>
      <c r="KU12" s="531">
        <v>58.82</v>
      </c>
      <c r="KV12" s="526"/>
      <c r="KW12" s="531"/>
      <c r="KX12" s="531"/>
      <c r="KY12" s="531"/>
      <c r="KZ12" s="526"/>
      <c r="LA12" s="531"/>
      <c r="LB12" s="532"/>
      <c r="LC12" s="533"/>
      <c r="LD12" s="494">
        <f t="shared" si="11"/>
        <v>124918.48779810248</v>
      </c>
      <c r="LE12" s="509">
        <f t="shared" si="12"/>
        <v>104098.73983175207</v>
      </c>
      <c r="LF12" s="534">
        <f t="shared" si="13"/>
        <v>39842.997749999995</v>
      </c>
      <c r="LG12" s="535">
        <f t="shared" si="14"/>
        <v>39842.997749999995</v>
      </c>
      <c r="LH12" s="536">
        <f t="shared" ref="LH12:LH53" si="31">LH11</f>
        <v>1.03</v>
      </c>
      <c r="LI12" s="537">
        <f t="shared" si="15"/>
        <v>0</v>
      </c>
      <c r="LJ12" s="538">
        <f t="shared" ref="LJ12:LJ53" si="32">LJ11</f>
        <v>1.0389999999999999</v>
      </c>
      <c r="LK12" s="537">
        <f t="shared" si="16"/>
        <v>0</v>
      </c>
      <c r="LL12" s="538">
        <f t="shared" ref="LL12:LL53" si="33">LL11</f>
        <v>1.0349999999999999</v>
      </c>
      <c r="LM12" s="537">
        <f t="shared" si="17"/>
        <v>0</v>
      </c>
      <c r="LN12" s="538">
        <f t="shared" ref="LN12:LN53" si="34">LN11</f>
        <v>1.0349999999999999</v>
      </c>
      <c r="LO12" s="537">
        <f t="shared" si="18"/>
        <v>39842.997749999995</v>
      </c>
      <c r="LP12" s="538">
        <f t="shared" ref="LP12:LP53" si="35">LP11</f>
        <v>1.0349999999999999</v>
      </c>
      <c r="LQ12" s="537">
        <f t="shared" si="19"/>
        <v>0</v>
      </c>
      <c r="LR12" s="538">
        <f t="shared" ref="LR12:LR53" si="36">LR11</f>
        <v>1.04</v>
      </c>
      <c r="LS12" s="537">
        <f t="shared" si="20"/>
        <v>0</v>
      </c>
      <c r="LT12" s="539">
        <f t="shared" si="21"/>
        <v>29094.593863500002</v>
      </c>
      <c r="LU12" s="540">
        <f t="shared" si="22"/>
        <v>18441.259521300002</v>
      </c>
      <c r="LV12" s="541">
        <f t="shared" si="23"/>
        <v>10653.3343422</v>
      </c>
      <c r="LW12" s="542">
        <f t="shared" si="24"/>
        <v>34907.209568252096</v>
      </c>
      <c r="LX12" s="540">
        <f t="shared" si="25"/>
        <v>5845.8792682520989</v>
      </c>
      <c r="LY12" s="540">
        <f t="shared" si="26"/>
        <v>28442.659049999998</v>
      </c>
      <c r="LZ12" s="543">
        <f t="shared" si="27"/>
        <v>618.67124999999999</v>
      </c>
      <c r="MA12" s="544">
        <f t="shared" si="28"/>
        <v>-981.22000000000912</v>
      </c>
      <c r="MB12" s="545">
        <f t="shared" si="29"/>
        <v>1235.1586500000001</v>
      </c>
    </row>
    <row r="13" spans="1:340" ht="16.5" customHeight="1">
      <c r="A13" s="465">
        <v>1</v>
      </c>
      <c r="B13" s="466">
        <v>3</v>
      </c>
      <c r="C13" s="467" t="s">
        <v>142</v>
      </c>
      <c r="D13" s="468">
        <v>4632024035</v>
      </c>
      <c r="E13" s="469">
        <f t="shared" si="3"/>
        <v>604153.83413657767</v>
      </c>
      <c r="F13" s="470" t="s">
        <v>281</v>
      </c>
      <c r="G13" s="595">
        <v>604153.83413657686</v>
      </c>
      <c r="H13" s="597">
        <f t="shared" si="30"/>
        <v>0</v>
      </c>
      <c r="I13" s="597"/>
      <c r="J13" s="471">
        <f t="shared" si="4"/>
        <v>503461.52844714804</v>
      </c>
      <c r="K13" s="472">
        <f t="shared" si="5"/>
        <v>279721.09166290093</v>
      </c>
      <c r="L13" s="473">
        <f t="shared" si="6"/>
        <v>211034.30162324008</v>
      </c>
      <c r="M13" s="474">
        <v>202769.40716963715</v>
      </c>
      <c r="N13" s="475">
        <v>1871.54139800078</v>
      </c>
      <c r="O13" s="475">
        <v>6393.3530556021515</v>
      </c>
      <c r="P13" s="476">
        <v>0</v>
      </c>
      <c r="Q13" s="477">
        <v>62220.503053820154</v>
      </c>
      <c r="R13" s="478">
        <f t="shared" si="7"/>
        <v>6466.2869858407057</v>
      </c>
      <c r="S13" s="479">
        <f t="shared" si="8"/>
        <v>130767.66434634423</v>
      </c>
      <c r="T13" s="479">
        <v>115451.43924269661</v>
      </c>
      <c r="U13" s="480">
        <v>15316.225103647623</v>
      </c>
      <c r="V13" s="481">
        <f t="shared" si="9"/>
        <v>78595.424731628591</v>
      </c>
      <c r="W13" s="482">
        <v>34866.334651294375</v>
      </c>
      <c r="X13" s="479">
        <v>29650.231678374996</v>
      </c>
      <c r="Y13" s="483">
        <v>14078.85840195922</v>
      </c>
      <c r="Z13" s="484">
        <v>11855.688275074246</v>
      </c>
      <c r="AA13" s="485">
        <v>2521.6594312000002</v>
      </c>
      <c r="AB13" s="486"/>
      <c r="AC13" s="487">
        <v>211034.30162324008</v>
      </c>
      <c r="AD13" s="487">
        <v>202769.40716963715</v>
      </c>
      <c r="AE13" s="487">
        <v>1871.54139800078</v>
      </c>
      <c r="AF13" s="487">
        <v>6393.3530556021515</v>
      </c>
      <c r="AG13" s="487">
        <v>0</v>
      </c>
      <c r="AH13" s="487">
        <v>62220.503053820154</v>
      </c>
      <c r="AI13" s="487">
        <v>62220.503053820154</v>
      </c>
      <c r="AJ13" s="487">
        <v>0</v>
      </c>
      <c r="AK13" s="487">
        <v>0</v>
      </c>
      <c r="AL13" s="487">
        <v>0</v>
      </c>
      <c r="AM13" s="487">
        <v>0</v>
      </c>
      <c r="AN13" s="487">
        <v>0</v>
      </c>
      <c r="AO13" s="487">
        <v>0</v>
      </c>
      <c r="AP13" s="487">
        <v>0</v>
      </c>
      <c r="AQ13" s="487">
        <v>0</v>
      </c>
      <c r="AR13" s="487">
        <v>0</v>
      </c>
      <c r="AS13" s="487">
        <v>0</v>
      </c>
      <c r="AT13" s="487">
        <v>0</v>
      </c>
      <c r="AU13" s="487">
        <v>0</v>
      </c>
      <c r="AV13" s="487">
        <v>0</v>
      </c>
      <c r="AW13" s="487">
        <v>0</v>
      </c>
      <c r="AX13" s="487">
        <v>0</v>
      </c>
      <c r="AY13" s="487">
        <v>0</v>
      </c>
      <c r="AZ13" s="487">
        <v>0</v>
      </c>
      <c r="BA13" s="487">
        <v>62220.503053820154</v>
      </c>
      <c r="BB13" s="487">
        <v>7910.5007313643591</v>
      </c>
      <c r="BC13" s="487">
        <v>0</v>
      </c>
      <c r="BD13" s="487">
        <v>0</v>
      </c>
      <c r="BE13" s="487">
        <v>0</v>
      </c>
      <c r="BF13" s="487">
        <v>0</v>
      </c>
      <c r="BG13" s="487">
        <v>0</v>
      </c>
      <c r="BH13" s="487">
        <v>0</v>
      </c>
      <c r="BI13" s="487">
        <v>0</v>
      </c>
      <c r="BJ13" s="487">
        <v>62220.503053820154</v>
      </c>
      <c r="BK13" s="487">
        <v>7.8655580938286205</v>
      </c>
      <c r="BL13" s="487">
        <v>7910.5007313643591</v>
      </c>
      <c r="BM13" s="487">
        <v>0</v>
      </c>
      <c r="BN13" s="487">
        <v>0</v>
      </c>
      <c r="BO13" s="487">
        <v>0</v>
      </c>
      <c r="BP13" s="487">
        <v>0</v>
      </c>
      <c r="BQ13" s="487">
        <v>0</v>
      </c>
      <c r="BR13" s="487">
        <v>0</v>
      </c>
      <c r="BS13" s="487">
        <v>0</v>
      </c>
      <c r="BT13" s="487">
        <v>0</v>
      </c>
      <c r="BU13" s="487">
        <v>0</v>
      </c>
      <c r="BV13" s="487">
        <v>0</v>
      </c>
      <c r="BW13" s="487">
        <v>0</v>
      </c>
      <c r="BX13" s="487">
        <v>0</v>
      </c>
      <c r="BY13" s="487">
        <v>0</v>
      </c>
      <c r="BZ13" s="487">
        <v>0</v>
      </c>
      <c r="CA13" s="487">
        <v>0</v>
      </c>
      <c r="CB13" s="487">
        <v>0</v>
      </c>
      <c r="CC13" s="487">
        <v>0</v>
      </c>
      <c r="CD13" s="487">
        <v>0</v>
      </c>
      <c r="CE13" s="487">
        <v>0</v>
      </c>
      <c r="CF13" s="487">
        <v>0</v>
      </c>
      <c r="CG13" s="487">
        <v>0</v>
      </c>
      <c r="CH13" s="487">
        <v>0</v>
      </c>
      <c r="CI13" s="487">
        <v>0</v>
      </c>
      <c r="CJ13" s="487">
        <v>0</v>
      </c>
      <c r="CK13" s="487">
        <v>0</v>
      </c>
      <c r="CL13" s="487">
        <v>0</v>
      </c>
      <c r="CM13" s="487">
        <v>115451.43924269661</v>
      </c>
      <c r="CN13" s="487">
        <v>94670.180179011193</v>
      </c>
      <c r="CO13" s="487">
        <v>0</v>
      </c>
      <c r="CP13" s="487">
        <v>0</v>
      </c>
      <c r="CQ13" s="487">
        <v>20781.259063685382</v>
      </c>
      <c r="CR13" s="487">
        <v>0</v>
      </c>
      <c r="CS13" s="487">
        <v>34866.334651294375</v>
      </c>
      <c r="CT13" s="487">
        <v>28590.394414061386</v>
      </c>
      <c r="CU13" s="487">
        <v>0</v>
      </c>
      <c r="CV13" s="487">
        <v>0</v>
      </c>
      <c r="CW13" s="487">
        <v>6275.940237232986</v>
      </c>
      <c r="CX13" s="487">
        <v>0</v>
      </c>
      <c r="CY13" s="487">
        <v>6466.2869858407057</v>
      </c>
      <c r="CZ13" s="467"/>
      <c r="DA13" s="487">
        <v>176.48040934656061</v>
      </c>
      <c r="DB13" s="487">
        <v>0</v>
      </c>
      <c r="DC13" s="467"/>
      <c r="DD13" s="487">
        <v>0</v>
      </c>
      <c r="DE13" s="487">
        <v>0</v>
      </c>
      <c r="DF13" s="487">
        <v>0</v>
      </c>
      <c r="DG13" s="487">
        <v>7003.85528711402</v>
      </c>
      <c r="DH13" s="487">
        <v>3515.0909547942401</v>
      </c>
      <c r="DI13" s="487">
        <v>0</v>
      </c>
      <c r="DJ13" s="487">
        <v>3488.7643323197794</v>
      </c>
      <c r="DK13" s="487">
        <v>0</v>
      </c>
      <c r="DL13" s="487">
        <v>0</v>
      </c>
      <c r="DM13" s="487">
        <v>0</v>
      </c>
      <c r="DN13" s="487">
        <v>0</v>
      </c>
      <c r="DO13" s="487">
        <v>0</v>
      </c>
      <c r="DP13" s="487">
        <v>0</v>
      </c>
      <c r="DQ13" s="487">
        <v>0</v>
      </c>
      <c r="DR13" s="487">
        <v>0</v>
      </c>
      <c r="DS13" s="487">
        <v>0</v>
      </c>
      <c r="DT13" s="487">
        <v>0</v>
      </c>
      <c r="DU13" s="487">
        <v>3443.9387179717091</v>
      </c>
      <c r="DV13" s="487">
        <v>198.559911141215</v>
      </c>
      <c r="DW13" s="487">
        <v>0</v>
      </c>
      <c r="DX13" s="487">
        <v>591.36544909003601</v>
      </c>
      <c r="DY13" s="487">
        <v>0</v>
      </c>
      <c r="DZ13" s="487">
        <v>0</v>
      </c>
      <c r="EA13" s="487">
        <v>218.203538714008</v>
      </c>
      <c r="EB13" s="487">
        <v>0</v>
      </c>
      <c r="EC13" s="487">
        <v>0</v>
      </c>
      <c r="ED13" s="487">
        <v>2435.8098190264495</v>
      </c>
      <c r="EE13" s="487">
        <v>0</v>
      </c>
      <c r="EF13" s="487">
        <v>0</v>
      </c>
      <c r="EG13" s="487">
        <v>0</v>
      </c>
      <c r="EH13" s="487">
        <v>1633.68038</v>
      </c>
      <c r="EI13" s="487">
        <v>1633.68038</v>
      </c>
      <c r="EJ13" s="487">
        <v>0</v>
      </c>
      <c r="EK13" s="487">
        <v>0</v>
      </c>
      <c r="EL13" s="487">
        <v>0</v>
      </c>
      <c r="EM13" s="487">
        <v>86.0072342376384</v>
      </c>
      <c r="EN13" s="487">
        <v>0</v>
      </c>
      <c r="EO13" s="487">
        <v>0</v>
      </c>
      <c r="EP13" s="487">
        <v>4782.4238643242397</v>
      </c>
      <c r="EQ13" s="487">
        <v>0</v>
      </c>
      <c r="ER13" s="487">
        <v>4782.4238643242397</v>
      </c>
      <c r="ES13" s="487">
        <v>1552.5130141592233</v>
      </c>
      <c r="ET13" s="487">
        <v>1633.68038</v>
      </c>
      <c r="EU13" s="487">
        <v>1633.68038</v>
      </c>
      <c r="EV13" s="487">
        <v>0</v>
      </c>
      <c r="EW13" s="487">
        <v>0</v>
      </c>
      <c r="EX13" s="487">
        <v>0</v>
      </c>
      <c r="EY13" s="487">
        <v>0</v>
      </c>
      <c r="EZ13" s="487">
        <v>0</v>
      </c>
      <c r="FA13" s="487">
        <v>0</v>
      </c>
      <c r="FB13" s="487">
        <v>9473.7569999999978</v>
      </c>
      <c r="FC13" s="487">
        <v>202.59999999999997</v>
      </c>
      <c r="FD13" s="487">
        <v>645</v>
      </c>
      <c r="FE13" s="487">
        <v>0</v>
      </c>
      <c r="FF13" s="487">
        <v>8626.1569999999992</v>
      </c>
      <c r="FG13" s="487">
        <v>8377.7569999999978</v>
      </c>
      <c r="FH13" s="487">
        <v>0</v>
      </c>
      <c r="FI13" s="487">
        <v>248.4</v>
      </c>
      <c r="FJ13" s="487">
        <v>0</v>
      </c>
      <c r="FK13" s="487">
        <v>0</v>
      </c>
      <c r="FL13" s="487">
        <v>0</v>
      </c>
      <c r="FM13" s="487">
        <v>29650.231678374996</v>
      </c>
      <c r="FN13" s="487">
        <v>29650.231678374996</v>
      </c>
      <c r="FO13" s="487">
        <v>0</v>
      </c>
      <c r="FP13" s="487">
        <v>788.49315000000013</v>
      </c>
      <c r="FQ13" s="487">
        <v>0</v>
      </c>
      <c r="FR13" s="487">
        <v>630.41485780000005</v>
      </c>
      <c r="FS13" s="488">
        <v>489084.1807408738</v>
      </c>
      <c r="FT13" s="487">
        <v>0</v>
      </c>
      <c r="FU13" s="487">
        <v>0</v>
      </c>
      <c r="FV13" s="487">
        <v>0</v>
      </c>
      <c r="FW13" s="487">
        <v>0</v>
      </c>
      <c r="FX13" s="487">
        <v>0</v>
      </c>
      <c r="FY13" s="487">
        <v>0</v>
      </c>
      <c r="FZ13" s="487">
        <v>0</v>
      </c>
      <c r="GA13" s="487">
        <v>0</v>
      </c>
      <c r="GB13" s="487">
        <v>0</v>
      </c>
      <c r="GC13" s="487">
        <v>0</v>
      </c>
      <c r="GD13" s="487">
        <v>0</v>
      </c>
      <c r="GE13" s="487">
        <v>0</v>
      </c>
      <c r="GF13" s="487">
        <v>0</v>
      </c>
      <c r="GG13" s="487">
        <v>0</v>
      </c>
      <c r="GH13" s="487">
        <v>2521.6594312000002</v>
      </c>
      <c r="GI13" s="487">
        <v>2521.6594312000002</v>
      </c>
      <c r="GJ13" s="467"/>
      <c r="GK13" s="487">
        <v>0</v>
      </c>
      <c r="GL13" s="467"/>
      <c r="GM13" s="487">
        <v>0</v>
      </c>
      <c r="GN13" s="487">
        <v>0</v>
      </c>
      <c r="GO13" s="467"/>
      <c r="GP13" s="467"/>
      <c r="GQ13" s="487">
        <v>0</v>
      </c>
      <c r="GR13" s="467"/>
      <c r="GS13" s="467"/>
      <c r="GT13" s="487">
        <v>0</v>
      </c>
      <c r="GU13" s="487">
        <v>0</v>
      </c>
      <c r="GV13" s="487">
        <v>0</v>
      </c>
      <c r="GW13" s="487">
        <v>0</v>
      </c>
      <c r="GX13" s="487">
        <v>0</v>
      </c>
      <c r="GY13" s="487">
        <v>0</v>
      </c>
      <c r="GZ13" s="487">
        <v>0</v>
      </c>
      <c r="HA13" s="487">
        <v>0</v>
      </c>
      <c r="HB13" s="487">
        <v>0</v>
      </c>
      <c r="HC13" s="487">
        <v>0</v>
      </c>
      <c r="HD13" s="487">
        <v>0</v>
      </c>
      <c r="HE13" s="487">
        <v>0</v>
      </c>
      <c r="HF13" s="487">
        <v>0</v>
      </c>
      <c r="HG13" s="487">
        <v>0</v>
      </c>
      <c r="HH13" s="487">
        <v>0</v>
      </c>
      <c r="HI13" s="487">
        <v>0</v>
      </c>
      <c r="HJ13" s="487">
        <v>0</v>
      </c>
      <c r="HK13" s="487">
        <v>0</v>
      </c>
      <c r="HL13" s="467"/>
      <c r="HM13" s="467"/>
      <c r="HN13" s="467"/>
      <c r="HO13" s="467"/>
      <c r="HP13" s="467"/>
      <c r="HQ13" s="467"/>
      <c r="HR13" s="467"/>
      <c r="HS13" s="467"/>
      <c r="HT13" s="467"/>
      <c r="HU13" s="467"/>
      <c r="HV13" s="467"/>
      <c r="HW13" s="467"/>
      <c r="HX13" s="467"/>
      <c r="HY13" s="467"/>
      <c r="HZ13" s="467"/>
      <c r="IA13" s="467"/>
      <c r="IB13" s="467"/>
      <c r="IC13" s="467"/>
      <c r="ID13" s="467"/>
      <c r="IE13" s="467"/>
      <c r="IF13" s="467"/>
      <c r="IG13" s="467"/>
      <c r="IH13" s="467"/>
      <c r="II13" s="467"/>
      <c r="IJ13" s="467"/>
      <c r="IK13" s="467"/>
      <c r="IL13" s="467"/>
      <c r="IM13" s="467"/>
      <c r="IN13" s="467"/>
      <c r="IO13" s="467"/>
      <c r="IP13" s="467"/>
      <c r="IQ13" s="467"/>
      <c r="IR13" s="467"/>
      <c r="IS13" s="467"/>
      <c r="IT13" s="467"/>
      <c r="IU13" s="467"/>
      <c r="IV13" s="467"/>
      <c r="IW13" s="467"/>
      <c r="IX13" s="467"/>
      <c r="IY13" s="467"/>
      <c r="IZ13" s="467"/>
      <c r="JA13" s="467"/>
      <c r="JB13" s="467"/>
      <c r="JC13" s="467"/>
      <c r="JD13" s="467"/>
      <c r="JE13" s="467"/>
      <c r="JF13" s="467"/>
      <c r="JG13" s="467"/>
      <c r="JH13" s="467"/>
      <c r="JI13" s="467"/>
      <c r="JJ13" s="467"/>
      <c r="JK13" s="467"/>
      <c r="JL13" s="467"/>
      <c r="JM13" s="467"/>
      <c r="JN13" s="487">
        <v>130767.66434634423</v>
      </c>
      <c r="JO13" s="487">
        <v>78595.424731628591</v>
      </c>
      <c r="JP13" s="487">
        <v>279721.09166290099</v>
      </c>
      <c r="JQ13" s="487">
        <v>0</v>
      </c>
      <c r="JR13" s="487">
        <v>2521.6594312000002</v>
      </c>
      <c r="JS13" s="488">
        <v>503461.5284471481</v>
      </c>
      <c r="JT13" s="489">
        <f t="shared" si="10"/>
        <v>11855.688275074246</v>
      </c>
      <c r="JU13" s="487">
        <v>604153.83413657767</v>
      </c>
      <c r="JV13" s="487">
        <v>503461.5284471481</v>
      </c>
      <c r="JW13" s="487">
        <v>604153.83413657767</v>
      </c>
      <c r="JX13" s="487">
        <v>192500.71899999998</v>
      </c>
      <c r="JY13" s="487">
        <v>192500.71899999998</v>
      </c>
      <c r="JZ13" s="467"/>
      <c r="KA13" s="487">
        <v>192500.71899999998</v>
      </c>
      <c r="KB13" s="490">
        <v>0.51558801746156335</v>
      </c>
      <c r="KC13" s="487">
        <v>0.34982034801578266</v>
      </c>
      <c r="KD13" s="487">
        <v>503461.17862680001</v>
      </c>
      <c r="KE13" s="487">
        <v>192500.71899999998</v>
      </c>
      <c r="KF13" s="487">
        <v>0</v>
      </c>
      <c r="KG13" s="491">
        <v>0</v>
      </c>
      <c r="KH13" s="487">
        <v>0</v>
      </c>
      <c r="KI13" s="487">
        <v>258699.61406711998</v>
      </c>
      <c r="KJ13" s="491">
        <v>2645.3775870772529</v>
      </c>
      <c r="KK13" s="487">
        <v>97793.07699999999</v>
      </c>
      <c r="KL13" s="487">
        <v>244761.56455968003</v>
      </c>
      <c r="KM13" s="491">
        <v>2584.3908621405649</v>
      </c>
      <c r="KN13" s="487">
        <v>94707.642000000022</v>
      </c>
      <c r="KO13" s="487">
        <v>0</v>
      </c>
      <c r="KP13" s="491">
        <v>0</v>
      </c>
      <c r="KQ13" s="487">
        <v>0</v>
      </c>
      <c r="KR13" s="467"/>
      <c r="KS13" s="467"/>
      <c r="KT13" s="487">
        <v>631384</v>
      </c>
      <c r="KU13" s="487">
        <v>53</v>
      </c>
      <c r="KV13" s="467"/>
      <c r="KW13" s="487">
        <v>74796</v>
      </c>
      <c r="KX13" s="487">
        <v>224.49</v>
      </c>
      <c r="KY13" s="487">
        <v>40</v>
      </c>
      <c r="KZ13" s="467"/>
      <c r="LA13" s="487">
        <v>2500</v>
      </c>
      <c r="LB13" s="492">
        <v>12200</v>
      </c>
      <c r="LC13" s="493">
        <v>1.0960000000000001</v>
      </c>
      <c r="LD13" s="494">
        <f t="shared" si="11"/>
        <v>622362.36259709834</v>
      </c>
      <c r="LE13" s="471">
        <f t="shared" si="12"/>
        <v>518635.30216424866</v>
      </c>
      <c r="LF13" s="495">
        <f t="shared" si="13"/>
        <v>288537.30043577548</v>
      </c>
      <c r="LG13" s="476">
        <f t="shared" si="14"/>
        <v>217414.1413097973</v>
      </c>
      <c r="LH13" s="496">
        <f t="shared" si="31"/>
        <v>1.03</v>
      </c>
      <c r="LI13" s="497">
        <f t="shared" si="15"/>
        <v>208852.48938472627</v>
      </c>
      <c r="LJ13" s="496">
        <f t="shared" si="32"/>
        <v>1.0389999999999999</v>
      </c>
      <c r="LK13" s="497">
        <f t="shared" si="16"/>
        <v>1944.5315125228103</v>
      </c>
      <c r="LL13" s="496">
        <f t="shared" si="33"/>
        <v>1.0349999999999999</v>
      </c>
      <c r="LM13" s="497">
        <f t="shared" si="17"/>
        <v>6617.1204125482263</v>
      </c>
      <c r="LN13" s="496">
        <f t="shared" si="34"/>
        <v>1.0349999999999999</v>
      </c>
      <c r="LO13" s="497">
        <f t="shared" si="18"/>
        <v>0</v>
      </c>
      <c r="LP13" s="496">
        <f t="shared" si="35"/>
        <v>1.0349999999999999</v>
      </c>
      <c r="LQ13" s="497">
        <f t="shared" si="19"/>
        <v>64398.220660703853</v>
      </c>
      <c r="LR13" s="496">
        <f t="shared" si="36"/>
        <v>1.04</v>
      </c>
      <c r="LS13" s="497">
        <f t="shared" si="20"/>
        <v>6724.9384652743338</v>
      </c>
      <c r="LT13" s="499">
        <f t="shared" si="21"/>
        <v>134508.92722329314</v>
      </c>
      <c r="LU13" s="500">
        <f t="shared" si="22"/>
        <v>118754.50491943015</v>
      </c>
      <c r="LV13" s="501">
        <f t="shared" si="23"/>
        <v>15754.422303862981</v>
      </c>
      <c r="LW13" s="499">
        <f t="shared" si="24"/>
        <v>81123.468718813805</v>
      </c>
      <c r="LX13" s="500">
        <f t="shared" si="25"/>
        <v>35863.860485667909</v>
      </c>
      <c r="LY13" s="500">
        <f t="shared" si="26"/>
        <v>30687.989787118117</v>
      </c>
      <c r="LZ13" s="502">
        <f t="shared" si="27"/>
        <v>14571.618446027791</v>
      </c>
      <c r="MA13" s="503">
        <f t="shared" si="28"/>
        <v>11855.688275074246</v>
      </c>
      <c r="MB13" s="504">
        <f t="shared" si="29"/>
        <v>2609.9175112920002</v>
      </c>
    </row>
    <row r="14" spans="1:340" ht="16.5" customHeight="1">
      <c r="A14" s="505">
        <v>1</v>
      </c>
      <c r="B14" s="506">
        <v>4</v>
      </c>
      <c r="C14" s="507" t="s">
        <v>232</v>
      </c>
      <c r="D14" s="508">
        <v>4603004186</v>
      </c>
      <c r="E14" s="469">
        <f t="shared" si="3"/>
        <v>15737.742589217998</v>
      </c>
      <c r="F14" s="470" t="s">
        <v>287</v>
      </c>
      <c r="G14" s="595">
        <v>15737.760104438665</v>
      </c>
      <c r="H14" s="595">
        <f t="shared" si="30"/>
        <v>-1.7515220666609821E-2</v>
      </c>
      <c r="I14" s="595"/>
      <c r="J14" s="509">
        <f t="shared" si="4"/>
        <v>15737.742589217998</v>
      </c>
      <c r="K14" s="510">
        <f t="shared" si="5"/>
        <v>10543.979662551339</v>
      </c>
      <c r="L14" s="511">
        <f t="shared" si="6"/>
        <v>8644.3421800790784</v>
      </c>
      <c r="M14" s="512">
        <v>8644.3421800790784</v>
      </c>
      <c r="N14" s="513">
        <v>0</v>
      </c>
      <c r="O14" s="513">
        <v>0</v>
      </c>
      <c r="P14" s="514">
        <v>0</v>
      </c>
      <c r="Q14" s="515">
        <v>1835.0052584722605</v>
      </c>
      <c r="R14" s="516">
        <f t="shared" si="7"/>
        <v>64.632224000000008</v>
      </c>
      <c r="S14" s="517">
        <f t="shared" si="8"/>
        <v>3756.6930000000002</v>
      </c>
      <c r="T14" s="518">
        <v>3313.88</v>
      </c>
      <c r="U14" s="519">
        <v>442.8130000000001</v>
      </c>
      <c r="V14" s="520">
        <f t="shared" si="9"/>
        <v>1184.069926666657</v>
      </c>
      <c r="W14" s="521">
        <v>1000.79176</v>
      </c>
      <c r="X14" s="518">
        <v>10.083166666657116</v>
      </c>
      <c r="Y14" s="522">
        <v>173.19499999999994</v>
      </c>
      <c r="Z14" s="523">
        <v>1.8189894035458565E-12</v>
      </c>
      <c r="AA14" s="524">
        <v>253</v>
      </c>
      <c r="AB14" s="486"/>
      <c r="AC14" s="525">
        <v>8644.3421800790784</v>
      </c>
      <c r="AD14" s="525">
        <v>8644.3421800790784</v>
      </c>
      <c r="AE14" s="525">
        <v>0</v>
      </c>
      <c r="AF14" s="525">
        <v>0</v>
      </c>
      <c r="AG14" s="525">
        <v>0</v>
      </c>
      <c r="AH14" s="525">
        <v>1835.0052584722605</v>
      </c>
      <c r="AI14" s="525">
        <v>1835.0052584722605</v>
      </c>
      <c r="AJ14" s="525">
        <v>0</v>
      </c>
      <c r="AK14" s="525">
        <v>0</v>
      </c>
      <c r="AL14" s="525">
        <v>0</v>
      </c>
      <c r="AM14" s="525">
        <v>0</v>
      </c>
      <c r="AN14" s="525">
        <v>0</v>
      </c>
      <c r="AO14" s="525">
        <v>0</v>
      </c>
      <c r="AP14" s="525">
        <v>0</v>
      </c>
      <c r="AQ14" s="525">
        <v>0</v>
      </c>
      <c r="AR14" s="525">
        <v>0</v>
      </c>
      <c r="AS14" s="525">
        <v>0</v>
      </c>
      <c r="AT14" s="525">
        <v>0</v>
      </c>
      <c r="AU14" s="525">
        <v>0</v>
      </c>
      <c r="AV14" s="525">
        <v>0</v>
      </c>
      <c r="AW14" s="525">
        <v>0</v>
      </c>
      <c r="AX14" s="525">
        <v>0</v>
      </c>
      <c r="AY14" s="525">
        <v>0</v>
      </c>
      <c r="AZ14" s="525">
        <v>0</v>
      </c>
      <c r="BA14" s="525">
        <v>1835.0052584722605</v>
      </c>
      <c r="BB14" s="525">
        <v>219.18100100001917</v>
      </c>
      <c r="BC14" s="525">
        <v>0</v>
      </c>
      <c r="BD14" s="525">
        <v>0</v>
      </c>
      <c r="BE14" s="525">
        <v>0</v>
      </c>
      <c r="BF14" s="525">
        <v>0</v>
      </c>
      <c r="BG14" s="525">
        <v>0</v>
      </c>
      <c r="BH14" s="525">
        <v>0</v>
      </c>
      <c r="BI14" s="525">
        <v>0</v>
      </c>
      <c r="BJ14" s="525">
        <v>1835.0052584722605</v>
      </c>
      <c r="BK14" s="525">
        <v>8.3720999999999997</v>
      </c>
      <c r="BL14" s="525">
        <v>219.18100100001917</v>
      </c>
      <c r="BM14" s="525">
        <v>0</v>
      </c>
      <c r="BN14" s="525">
        <v>0</v>
      </c>
      <c r="BO14" s="525">
        <v>0</v>
      </c>
      <c r="BP14" s="525">
        <v>0</v>
      </c>
      <c r="BQ14" s="525">
        <v>0</v>
      </c>
      <c r="BR14" s="525">
        <v>0</v>
      </c>
      <c r="BS14" s="525">
        <v>0</v>
      </c>
      <c r="BT14" s="525">
        <v>0</v>
      </c>
      <c r="BU14" s="525">
        <v>0</v>
      </c>
      <c r="BV14" s="525">
        <v>0</v>
      </c>
      <c r="BW14" s="525">
        <v>0</v>
      </c>
      <c r="BX14" s="525">
        <v>0</v>
      </c>
      <c r="BY14" s="525">
        <v>0</v>
      </c>
      <c r="BZ14" s="525">
        <v>0</v>
      </c>
      <c r="CA14" s="525">
        <v>0</v>
      </c>
      <c r="CB14" s="525">
        <v>0</v>
      </c>
      <c r="CC14" s="525">
        <v>0</v>
      </c>
      <c r="CD14" s="525">
        <v>0</v>
      </c>
      <c r="CE14" s="525">
        <v>0</v>
      </c>
      <c r="CF14" s="525">
        <v>0</v>
      </c>
      <c r="CG14" s="525">
        <v>0</v>
      </c>
      <c r="CH14" s="525">
        <v>0</v>
      </c>
      <c r="CI14" s="525">
        <v>0</v>
      </c>
      <c r="CJ14" s="525">
        <v>0</v>
      </c>
      <c r="CK14" s="525">
        <v>0</v>
      </c>
      <c r="CL14" s="525">
        <v>0</v>
      </c>
      <c r="CM14" s="525">
        <v>3313.88</v>
      </c>
      <c r="CN14" s="525">
        <v>2021.98</v>
      </c>
      <c r="CO14" s="525">
        <v>0</v>
      </c>
      <c r="CP14" s="525">
        <v>522</v>
      </c>
      <c r="CQ14" s="525">
        <v>769.89999999999986</v>
      </c>
      <c r="CR14" s="525">
        <v>0</v>
      </c>
      <c r="CS14" s="525">
        <v>1000.79176</v>
      </c>
      <c r="CT14" s="525">
        <v>610.63796000000002</v>
      </c>
      <c r="CU14" s="525">
        <v>0</v>
      </c>
      <c r="CV14" s="525">
        <v>157.64400000000001</v>
      </c>
      <c r="CW14" s="525">
        <v>232.50979999999998</v>
      </c>
      <c r="CX14" s="525">
        <v>0</v>
      </c>
      <c r="CY14" s="525">
        <v>64.632224000000008</v>
      </c>
      <c r="CZ14" s="526"/>
      <c r="DA14" s="525">
        <v>0.95569999999999999</v>
      </c>
      <c r="DB14" s="525">
        <v>0</v>
      </c>
      <c r="DC14" s="526"/>
      <c r="DD14" s="525">
        <v>0</v>
      </c>
      <c r="DE14" s="525">
        <v>0</v>
      </c>
      <c r="DF14" s="525">
        <v>0</v>
      </c>
      <c r="DG14" s="525">
        <v>89.458000000000013</v>
      </c>
      <c r="DH14" s="525">
        <v>28.87</v>
      </c>
      <c r="DI14" s="525">
        <v>0</v>
      </c>
      <c r="DJ14" s="525">
        <v>60.588000000000008</v>
      </c>
      <c r="DK14" s="525">
        <v>0</v>
      </c>
      <c r="DL14" s="525">
        <v>0</v>
      </c>
      <c r="DM14" s="525">
        <v>0</v>
      </c>
      <c r="DN14" s="525">
        <v>0</v>
      </c>
      <c r="DO14" s="525">
        <v>0</v>
      </c>
      <c r="DP14" s="525">
        <v>163.41900000000001</v>
      </c>
      <c r="DQ14" s="525">
        <v>0</v>
      </c>
      <c r="DR14" s="525">
        <v>0</v>
      </c>
      <c r="DS14" s="525">
        <v>0</v>
      </c>
      <c r="DT14" s="525">
        <v>163.41900000000001</v>
      </c>
      <c r="DU14" s="525">
        <v>21.126000000000005</v>
      </c>
      <c r="DV14" s="525">
        <v>3.7940000000000005</v>
      </c>
      <c r="DW14" s="525">
        <v>0</v>
      </c>
      <c r="DX14" s="525">
        <v>0</v>
      </c>
      <c r="DY14" s="525">
        <v>17.332000000000001</v>
      </c>
      <c r="DZ14" s="525">
        <v>0</v>
      </c>
      <c r="EA14" s="525">
        <v>0</v>
      </c>
      <c r="EB14" s="525">
        <v>0</v>
      </c>
      <c r="EC14" s="525">
        <v>0</v>
      </c>
      <c r="ED14" s="525">
        <v>0</v>
      </c>
      <c r="EE14" s="525">
        <v>0</v>
      </c>
      <c r="EF14" s="525">
        <v>0</v>
      </c>
      <c r="EG14" s="525">
        <v>0</v>
      </c>
      <c r="EH14" s="525">
        <v>0</v>
      </c>
      <c r="EI14" s="525">
        <v>0</v>
      </c>
      <c r="EJ14" s="525">
        <v>0</v>
      </c>
      <c r="EK14" s="525">
        <v>0</v>
      </c>
      <c r="EL14" s="525">
        <v>0</v>
      </c>
      <c r="EM14" s="525">
        <v>27.36</v>
      </c>
      <c r="EN14" s="525">
        <v>0</v>
      </c>
      <c r="EO14" s="525">
        <v>0</v>
      </c>
      <c r="EP14" s="525">
        <v>141.44999999999999</v>
      </c>
      <c r="EQ14" s="525">
        <v>141.44999999999999</v>
      </c>
      <c r="ER14" s="525">
        <v>0</v>
      </c>
      <c r="ES14" s="525">
        <v>0</v>
      </c>
      <c r="ET14" s="525">
        <v>0</v>
      </c>
      <c r="EU14" s="525">
        <v>0</v>
      </c>
      <c r="EV14" s="525">
        <v>0</v>
      </c>
      <c r="EW14" s="525">
        <v>0</v>
      </c>
      <c r="EX14" s="525">
        <v>0</v>
      </c>
      <c r="EY14" s="525">
        <v>0</v>
      </c>
      <c r="EZ14" s="525">
        <v>0</v>
      </c>
      <c r="FA14" s="525">
        <v>0</v>
      </c>
      <c r="FB14" s="525">
        <v>166.435</v>
      </c>
      <c r="FC14" s="525">
        <v>0</v>
      </c>
      <c r="FD14" s="525">
        <v>11.59</v>
      </c>
      <c r="FE14" s="525">
        <v>0</v>
      </c>
      <c r="FF14" s="525">
        <v>154.84499999999997</v>
      </c>
      <c r="FG14" s="525">
        <v>0</v>
      </c>
      <c r="FH14" s="525">
        <v>0</v>
      </c>
      <c r="FI14" s="525">
        <v>0</v>
      </c>
      <c r="FJ14" s="525">
        <v>0</v>
      </c>
      <c r="FK14" s="525">
        <v>154.84499999999997</v>
      </c>
      <c r="FL14" s="525">
        <v>0</v>
      </c>
      <c r="FM14" s="525">
        <v>10.083166666657116</v>
      </c>
      <c r="FN14" s="525">
        <v>10.083166666657116</v>
      </c>
      <c r="FO14" s="525">
        <v>0</v>
      </c>
      <c r="FP14" s="525">
        <v>0</v>
      </c>
      <c r="FQ14" s="525">
        <v>6.76</v>
      </c>
      <c r="FR14" s="525">
        <v>0</v>
      </c>
      <c r="FS14" s="527">
        <v>15484.742589217996</v>
      </c>
      <c r="FT14" s="525">
        <v>0</v>
      </c>
      <c r="FU14" s="525">
        <v>0</v>
      </c>
      <c r="FV14" s="525">
        <v>0</v>
      </c>
      <c r="FW14" s="525">
        <v>0</v>
      </c>
      <c r="FX14" s="525">
        <v>0</v>
      </c>
      <c r="FY14" s="525">
        <v>0</v>
      </c>
      <c r="FZ14" s="525">
        <v>0</v>
      </c>
      <c r="GA14" s="525">
        <v>0</v>
      </c>
      <c r="GB14" s="525">
        <v>0</v>
      </c>
      <c r="GC14" s="525">
        <v>0</v>
      </c>
      <c r="GD14" s="525">
        <v>0</v>
      </c>
      <c r="GE14" s="525">
        <v>0</v>
      </c>
      <c r="GF14" s="525">
        <v>0</v>
      </c>
      <c r="GG14" s="525">
        <v>0</v>
      </c>
      <c r="GH14" s="525">
        <v>253</v>
      </c>
      <c r="GI14" s="525">
        <v>0</v>
      </c>
      <c r="GJ14" s="526"/>
      <c r="GK14" s="525">
        <v>253</v>
      </c>
      <c r="GL14" s="526"/>
      <c r="GM14" s="525">
        <v>0</v>
      </c>
      <c r="GN14" s="525">
        <v>0</v>
      </c>
      <c r="GO14" s="526"/>
      <c r="GP14" s="526"/>
      <c r="GQ14" s="525">
        <v>0</v>
      </c>
      <c r="GR14" s="526"/>
      <c r="GS14" s="526"/>
      <c r="GT14" s="525">
        <v>0</v>
      </c>
      <c r="GU14" s="525">
        <v>0</v>
      </c>
      <c r="GV14" s="525">
        <v>0</v>
      </c>
      <c r="GW14" s="525">
        <v>0</v>
      </c>
      <c r="GX14" s="525">
        <v>0</v>
      </c>
      <c r="GY14" s="525">
        <v>0</v>
      </c>
      <c r="GZ14" s="525">
        <v>0</v>
      </c>
      <c r="HA14" s="525">
        <v>0</v>
      </c>
      <c r="HB14" s="525">
        <v>0</v>
      </c>
      <c r="HC14" s="525">
        <v>0</v>
      </c>
      <c r="HD14" s="525">
        <v>0</v>
      </c>
      <c r="HE14" s="525">
        <v>0</v>
      </c>
      <c r="HF14" s="525">
        <v>0</v>
      </c>
      <c r="HG14" s="525">
        <v>0</v>
      </c>
      <c r="HH14" s="525">
        <v>0</v>
      </c>
      <c r="HI14" s="525">
        <v>0</v>
      </c>
      <c r="HJ14" s="525">
        <v>0</v>
      </c>
      <c r="HK14" s="525">
        <v>0</v>
      </c>
      <c r="HL14" s="526"/>
      <c r="HM14" s="526"/>
      <c r="HN14" s="526"/>
      <c r="HO14" s="526"/>
      <c r="HP14" s="526"/>
      <c r="HQ14" s="526"/>
      <c r="HR14" s="526"/>
      <c r="HS14" s="526"/>
      <c r="HT14" s="526"/>
      <c r="HU14" s="526"/>
      <c r="HV14" s="526"/>
      <c r="HW14" s="526"/>
      <c r="HX14" s="526"/>
      <c r="HY14" s="526"/>
      <c r="HZ14" s="526"/>
      <c r="IA14" s="526"/>
      <c r="IB14" s="526"/>
      <c r="IC14" s="526"/>
      <c r="ID14" s="526"/>
      <c r="IE14" s="526"/>
      <c r="IF14" s="526"/>
      <c r="IG14" s="526"/>
      <c r="IH14" s="526"/>
      <c r="II14" s="526"/>
      <c r="IJ14" s="526"/>
      <c r="IK14" s="526"/>
      <c r="IL14" s="526"/>
      <c r="IM14" s="526"/>
      <c r="IN14" s="526"/>
      <c r="IO14" s="526"/>
      <c r="IP14" s="526"/>
      <c r="IQ14" s="526"/>
      <c r="IR14" s="526"/>
      <c r="IS14" s="526"/>
      <c r="IT14" s="526"/>
      <c r="IU14" s="526"/>
      <c r="IV14" s="526"/>
      <c r="IW14" s="526"/>
      <c r="IX14" s="526"/>
      <c r="IY14" s="526"/>
      <c r="IZ14" s="526"/>
      <c r="JA14" s="526"/>
      <c r="JB14" s="526"/>
      <c r="JC14" s="526"/>
      <c r="JD14" s="526"/>
      <c r="JE14" s="526"/>
      <c r="JF14" s="526"/>
      <c r="JG14" s="526"/>
      <c r="JH14" s="526"/>
      <c r="JI14" s="526"/>
      <c r="JJ14" s="526"/>
      <c r="JK14" s="526"/>
      <c r="JL14" s="526"/>
      <c r="JM14" s="526"/>
      <c r="JN14" s="525">
        <v>3756.6930000000002</v>
      </c>
      <c r="JO14" s="525">
        <v>1184.069926666657</v>
      </c>
      <c r="JP14" s="525">
        <v>10543.979662551339</v>
      </c>
      <c r="JQ14" s="525">
        <v>0</v>
      </c>
      <c r="JR14" s="525">
        <v>253</v>
      </c>
      <c r="JS14" s="527">
        <v>15737.742589217996</v>
      </c>
      <c r="JT14" s="528">
        <f t="shared" si="10"/>
        <v>1.8189894035458565E-12</v>
      </c>
      <c r="JU14" s="525">
        <v>15737.742589217996</v>
      </c>
      <c r="JV14" s="525">
        <v>15737.742589217996</v>
      </c>
      <c r="JW14" s="525">
        <v>15737.742589217996</v>
      </c>
      <c r="JX14" s="525">
        <v>6942.9999999996999</v>
      </c>
      <c r="JY14" s="525">
        <v>6942.9999999996999</v>
      </c>
      <c r="JZ14" s="526"/>
      <c r="KA14" s="525">
        <v>6942.9999999996999</v>
      </c>
      <c r="KB14" s="529">
        <v>1.6338663593682436</v>
      </c>
      <c r="KC14" s="525">
        <v>-1.2280781305889832E-2</v>
      </c>
      <c r="KD14" s="525">
        <v>15737.754869999302</v>
      </c>
      <c r="KE14" s="525">
        <v>6942.9999999996999</v>
      </c>
      <c r="KF14" s="525">
        <v>0</v>
      </c>
      <c r="KG14" s="530">
        <v>0</v>
      </c>
      <c r="KH14" s="525">
        <v>0</v>
      </c>
      <c r="KI14" s="525">
        <v>9368.7567499997676</v>
      </c>
      <c r="KJ14" s="530">
        <v>2265.7211003627554</v>
      </c>
      <c r="KK14" s="525">
        <v>4134.9999999999</v>
      </c>
      <c r="KL14" s="525">
        <v>4991.9171299997688</v>
      </c>
      <c r="KM14" s="530">
        <v>2269.0532409090893</v>
      </c>
      <c r="KN14" s="525">
        <v>2199.9999999999</v>
      </c>
      <c r="KO14" s="525">
        <v>1377.0809899997689</v>
      </c>
      <c r="KP14" s="530">
        <v>2264.9358388157821</v>
      </c>
      <c r="KQ14" s="525">
        <v>607.99999999989996</v>
      </c>
      <c r="KR14" s="526"/>
      <c r="KS14" s="526"/>
      <c r="KT14" s="531">
        <v>7283.68</v>
      </c>
      <c r="KU14" s="531">
        <v>65</v>
      </c>
      <c r="KV14" s="526"/>
      <c r="KW14" s="531">
        <v>1970.92</v>
      </c>
      <c r="KX14" s="531">
        <v>3.89</v>
      </c>
      <c r="KY14" s="531">
        <v>0.2</v>
      </c>
      <c r="KZ14" s="526"/>
      <c r="LA14" s="531">
        <v>1707.2</v>
      </c>
      <c r="LB14" s="532">
        <v>527</v>
      </c>
      <c r="LC14" s="533">
        <v>0.30599999999999999</v>
      </c>
      <c r="LD14" s="494">
        <f t="shared" si="11"/>
        <v>16215.264702443832</v>
      </c>
      <c r="LE14" s="509">
        <f t="shared" si="12"/>
        <v>16215.264702443832</v>
      </c>
      <c r="LF14" s="534">
        <f t="shared" si="13"/>
        <v>10870.120400960241</v>
      </c>
      <c r="LG14" s="535">
        <f t="shared" si="14"/>
        <v>8903.6724454814503</v>
      </c>
      <c r="LH14" s="536">
        <f t="shared" si="31"/>
        <v>1.03</v>
      </c>
      <c r="LI14" s="537">
        <f t="shared" si="15"/>
        <v>8903.6724454814503</v>
      </c>
      <c r="LJ14" s="536">
        <f t="shared" si="32"/>
        <v>1.0389999999999999</v>
      </c>
      <c r="LK14" s="537">
        <f t="shared" si="16"/>
        <v>0</v>
      </c>
      <c r="LL14" s="536">
        <f t="shared" si="33"/>
        <v>1.0349999999999999</v>
      </c>
      <c r="LM14" s="537">
        <f t="shared" si="17"/>
        <v>0</v>
      </c>
      <c r="LN14" s="536">
        <f t="shared" si="34"/>
        <v>1.0349999999999999</v>
      </c>
      <c r="LO14" s="537">
        <f t="shared" si="18"/>
        <v>0</v>
      </c>
      <c r="LP14" s="536">
        <f t="shared" si="35"/>
        <v>1.0349999999999999</v>
      </c>
      <c r="LQ14" s="537">
        <f t="shared" si="19"/>
        <v>1899.2304425187895</v>
      </c>
      <c r="LR14" s="536">
        <f t="shared" si="36"/>
        <v>1.04</v>
      </c>
      <c r="LS14" s="537">
        <f t="shared" si="20"/>
        <v>67.217512960000008</v>
      </c>
      <c r="LT14" s="539">
        <f t="shared" si="21"/>
        <v>3864.1719867299998</v>
      </c>
      <c r="LU14" s="540">
        <f t="shared" si="22"/>
        <v>3408.6901067999997</v>
      </c>
      <c r="LV14" s="541">
        <f t="shared" si="23"/>
        <v>455.48187993000005</v>
      </c>
      <c r="LW14" s="542">
        <f t="shared" si="24"/>
        <v>1219.1173147535899</v>
      </c>
      <c r="LX14" s="540">
        <f t="shared" si="25"/>
        <v>1029.4244122535999</v>
      </c>
      <c r="LY14" s="540">
        <f t="shared" si="26"/>
        <v>10.436077499990114</v>
      </c>
      <c r="LZ14" s="543">
        <f t="shared" si="27"/>
        <v>179.25682499999991</v>
      </c>
      <c r="MA14" s="544">
        <f t="shared" si="28"/>
        <v>1.8189894035458565E-12</v>
      </c>
      <c r="MB14" s="545">
        <f t="shared" si="29"/>
        <v>261.85499999999996</v>
      </c>
    </row>
    <row r="15" spans="1:340" ht="16.5" customHeight="1">
      <c r="A15" s="465">
        <v>1</v>
      </c>
      <c r="B15" s="466">
        <v>5</v>
      </c>
      <c r="C15" s="467" t="s">
        <v>289</v>
      </c>
      <c r="D15" s="468">
        <v>4621009099</v>
      </c>
      <c r="E15" s="469">
        <f t="shared" si="3"/>
        <v>159.61113459210546</v>
      </c>
      <c r="F15" s="470" t="s">
        <v>287</v>
      </c>
      <c r="G15" s="595">
        <v>159.62118720000001</v>
      </c>
      <c r="H15" s="595">
        <f t="shared" si="30"/>
        <v>-1.0052607894550647E-2</v>
      </c>
      <c r="I15" s="595"/>
      <c r="J15" s="471">
        <f t="shared" si="4"/>
        <v>159.61113459210546</v>
      </c>
      <c r="K15" s="472">
        <f t="shared" si="5"/>
        <v>61.698134592105468</v>
      </c>
      <c r="L15" s="473">
        <f t="shared" si="6"/>
        <v>61.698134592105468</v>
      </c>
      <c r="M15" s="474">
        <v>61.698134592105468</v>
      </c>
      <c r="N15" s="475">
        <v>0</v>
      </c>
      <c r="O15" s="475">
        <v>0</v>
      </c>
      <c r="P15" s="476">
        <v>0</v>
      </c>
      <c r="Q15" s="477">
        <v>0</v>
      </c>
      <c r="R15" s="478">
        <f t="shared" si="7"/>
        <v>0</v>
      </c>
      <c r="S15" s="479">
        <f t="shared" si="8"/>
        <v>58.54</v>
      </c>
      <c r="T15" s="479">
        <v>58.54</v>
      </c>
      <c r="U15" s="480">
        <v>0</v>
      </c>
      <c r="V15" s="481">
        <f t="shared" si="9"/>
        <v>37.828000000000003</v>
      </c>
      <c r="W15" s="482">
        <v>17.678000000000001</v>
      </c>
      <c r="X15" s="479">
        <v>18.399999999999999</v>
      </c>
      <c r="Y15" s="483">
        <v>1.7500000000000036</v>
      </c>
      <c r="Z15" s="484">
        <v>1.5449999999999946</v>
      </c>
      <c r="AA15" s="485">
        <v>0</v>
      </c>
      <c r="AB15" s="486"/>
      <c r="AC15" s="487">
        <v>61.698134592105468</v>
      </c>
      <c r="AD15" s="487">
        <v>61.698134592105468</v>
      </c>
      <c r="AE15" s="487">
        <v>0</v>
      </c>
      <c r="AF15" s="487">
        <v>0</v>
      </c>
      <c r="AG15" s="487">
        <v>0</v>
      </c>
      <c r="AH15" s="487">
        <v>0</v>
      </c>
      <c r="AI15" s="487">
        <v>0</v>
      </c>
      <c r="AJ15" s="487">
        <v>0</v>
      </c>
      <c r="AK15" s="487">
        <v>0</v>
      </c>
      <c r="AL15" s="487">
        <v>0</v>
      </c>
      <c r="AM15" s="487">
        <v>0</v>
      </c>
      <c r="AN15" s="487">
        <v>0</v>
      </c>
      <c r="AO15" s="487">
        <v>0</v>
      </c>
      <c r="AP15" s="487">
        <v>0</v>
      </c>
      <c r="AQ15" s="487">
        <v>0</v>
      </c>
      <c r="AR15" s="487">
        <v>0</v>
      </c>
      <c r="AS15" s="487">
        <v>0</v>
      </c>
      <c r="AT15" s="487">
        <v>0</v>
      </c>
      <c r="AU15" s="487">
        <v>0</v>
      </c>
      <c r="AV15" s="487">
        <v>0</v>
      </c>
      <c r="AW15" s="487">
        <v>0</v>
      </c>
      <c r="AX15" s="487">
        <v>0</v>
      </c>
      <c r="AY15" s="487">
        <v>0</v>
      </c>
      <c r="AZ15" s="487">
        <v>0</v>
      </c>
      <c r="BA15" s="487">
        <v>0</v>
      </c>
      <c r="BB15" s="487">
        <v>0</v>
      </c>
      <c r="BC15" s="487">
        <v>0</v>
      </c>
      <c r="BD15" s="487">
        <v>0</v>
      </c>
      <c r="BE15" s="487">
        <v>0</v>
      </c>
      <c r="BF15" s="487">
        <v>0</v>
      </c>
      <c r="BG15" s="487">
        <v>0</v>
      </c>
      <c r="BH15" s="487">
        <v>0</v>
      </c>
      <c r="BI15" s="487">
        <v>0</v>
      </c>
      <c r="BJ15" s="487">
        <v>0</v>
      </c>
      <c r="BK15" s="487">
        <v>0</v>
      </c>
      <c r="BL15" s="487">
        <v>0</v>
      </c>
      <c r="BM15" s="487">
        <v>0</v>
      </c>
      <c r="BN15" s="487">
        <v>0</v>
      </c>
      <c r="BO15" s="487">
        <v>0</v>
      </c>
      <c r="BP15" s="487">
        <v>0</v>
      </c>
      <c r="BQ15" s="487">
        <v>0</v>
      </c>
      <c r="BR15" s="487">
        <v>0</v>
      </c>
      <c r="BS15" s="487">
        <v>0</v>
      </c>
      <c r="BT15" s="487">
        <v>0</v>
      </c>
      <c r="BU15" s="487">
        <v>0</v>
      </c>
      <c r="BV15" s="487">
        <v>0</v>
      </c>
      <c r="BW15" s="487">
        <v>0</v>
      </c>
      <c r="BX15" s="487">
        <v>0</v>
      </c>
      <c r="BY15" s="487">
        <v>0</v>
      </c>
      <c r="BZ15" s="487">
        <v>0</v>
      </c>
      <c r="CA15" s="487">
        <v>0</v>
      </c>
      <c r="CB15" s="487">
        <v>0</v>
      </c>
      <c r="CC15" s="487">
        <v>0</v>
      </c>
      <c r="CD15" s="487">
        <v>0</v>
      </c>
      <c r="CE15" s="487">
        <v>0</v>
      </c>
      <c r="CF15" s="487">
        <v>0</v>
      </c>
      <c r="CG15" s="487">
        <v>0</v>
      </c>
      <c r="CH15" s="487">
        <v>0</v>
      </c>
      <c r="CI15" s="487">
        <v>0</v>
      </c>
      <c r="CJ15" s="487">
        <v>0</v>
      </c>
      <c r="CK15" s="487">
        <v>0</v>
      </c>
      <c r="CL15" s="487">
        <v>0</v>
      </c>
      <c r="CM15" s="487">
        <v>58.54</v>
      </c>
      <c r="CN15" s="487">
        <v>58.54</v>
      </c>
      <c r="CO15" s="487">
        <v>0</v>
      </c>
      <c r="CP15" s="487">
        <v>0</v>
      </c>
      <c r="CQ15" s="487">
        <v>0</v>
      </c>
      <c r="CR15" s="487">
        <v>0</v>
      </c>
      <c r="CS15" s="487">
        <v>17.678000000000001</v>
      </c>
      <c r="CT15" s="487">
        <v>17.678000000000001</v>
      </c>
      <c r="CU15" s="487">
        <v>0</v>
      </c>
      <c r="CV15" s="487">
        <v>0</v>
      </c>
      <c r="CW15" s="487">
        <v>0</v>
      </c>
      <c r="CX15" s="487">
        <v>0</v>
      </c>
      <c r="CY15" s="487">
        <v>0</v>
      </c>
      <c r="CZ15" s="467"/>
      <c r="DA15" s="487">
        <v>0</v>
      </c>
      <c r="DB15" s="487">
        <v>0</v>
      </c>
      <c r="DC15" s="467"/>
      <c r="DD15" s="487">
        <v>0</v>
      </c>
      <c r="DE15" s="487">
        <v>0</v>
      </c>
      <c r="DF15" s="487">
        <v>0</v>
      </c>
      <c r="DG15" s="487">
        <v>0</v>
      </c>
      <c r="DH15" s="487">
        <v>0</v>
      </c>
      <c r="DI15" s="487">
        <v>0</v>
      </c>
      <c r="DJ15" s="487">
        <v>0</v>
      </c>
      <c r="DK15" s="487">
        <v>0</v>
      </c>
      <c r="DL15" s="487">
        <v>0</v>
      </c>
      <c r="DM15" s="487">
        <v>0</v>
      </c>
      <c r="DN15" s="487">
        <v>0</v>
      </c>
      <c r="DO15" s="487">
        <v>0</v>
      </c>
      <c r="DP15" s="487">
        <v>0</v>
      </c>
      <c r="DQ15" s="487">
        <v>0</v>
      </c>
      <c r="DR15" s="487">
        <v>0</v>
      </c>
      <c r="DS15" s="487">
        <v>0</v>
      </c>
      <c r="DT15" s="487">
        <v>0</v>
      </c>
      <c r="DU15" s="487">
        <v>0</v>
      </c>
      <c r="DV15" s="487">
        <v>0</v>
      </c>
      <c r="DW15" s="487">
        <v>0</v>
      </c>
      <c r="DX15" s="487">
        <v>0</v>
      </c>
      <c r="DY15" s="487">
        <v>0</v>
      </c>
      <c r="DZ15" s="487">
        <v>0</v>
      </c>
      <c r="EA15" s="487">
        <v>0</v>
      </c>
      <c r="EB15" s="487">
        <v>0</v>
      </c>
      <c r="EC15" s="487">
        <v>0</v>
      </c>
      <c r="ED15" s="487">
        <v>0</v>
      </c>
      <c r="EE15" s="487">
        <v>0</v>
      </c>
      <c r="EF15" s="487">
        <v>0</v>
      </c>
      <c r="EG15" s="487">
        <v>0</v>
      </c>
      <c r="EH15" s="487">
        <v>0</v>
      </c>
      <c r="EI15" s="487">
        <v>0</v>
      </c>
      <c r="EJ15" s="487">
        <v>0</v>
      </c>
      <c r="EK15" s="487">
        <v>0</v>
      </c>
      <c r="EL15" s="487">
        <v>0</v>
      </c>
      <c r="EM15" s="487">
        <v>0</v>
      </c>
      <c r="EN15" s="487">
        <v>0</v>
      </c>
      <c r="EO15" s="487">
        <v>0</v>
      </c>
      <c r="EP15" s="487">
        <v>0</v>
      </c>
      <c r="EQ15" s="487">
        <v>0</v>
      </c>
      <c r="ER15" s="487">
        <v>0</v>
      </c>
      <c r="ES15" s="487">
        <v>0</v>
      </c>
      <c r="ET15" s="487">
        <v>0</v>
      </c>
      <c r="EU15" s="487">
        <v>0</v>
      </c>
      <c r="EV15" s="487">
        <v>0</v>
      </c>
      <c r="EW15" s="487">
        <v>0</v>
      </c>
      <c r="EX15" s="487">
        <v>0</v>
      </c>
      <c r="EY15" s="487">
        <v>0</v>
      </c>
      <c r="EZ15" s="487">
        <v>0</v>
      </c>
      <c r="FA15" s="487">
        <v>0</v>
      </c>
      <c r="FB15" s="487">
        <v>1.7499999999999998</v>
      </c>
      <c r="FC15" s="487">
        <v>0</v>
      </c>
      <c r="FD15" s="487">
        <v>0.17</v>
      </c>
      <c r="FE15" s="487">
        <v>0</v>
      </c>
      <c r="FF15" s="487">
        <v>1.58</v>
      </c>
      <c r="FG15" s="487">
        <v>0</v>
      </c>
      <c r="FH15" s="487">
        <v>0</v>
      </c>
      <c r="FI15" s="487">
        <v>0</v>
      </c>
      <c r="FJ15" s="487">
        <v>0</v>
      </c>
      <c r="FK15" s="487">
        <v>1.58</v>
      </c>
      <c r="FL15" s="487">
        <v>0</v>
      </c>
      <c r="FM15" s="487">
        <v>18.399999999999999</v>
      </c>
      <c r="FN15" s="487">
        <v>18.399999999999999</v>
      </c>
      <c r="FO15" s="487">
        <v>0</v>
      </c>
      <c r="FP15" s="487">
        <v>0</v>
      </c>
      <c r="FQ15" s="487">
        <v>0</v>
      </c>
      <c r="FR15" s="487">
        <v>0</v>
      </c>
      <c r="FS15" s="488">
        <v>158.06613459210547</v>
      </c>
      <c r="FT15" s="487">
        <v>0</v>
      </c>
      <c r="FU15" s="487">
        <v>0</v>
      </c>
      <c r="FV15" s="487">
        <v>0</v>
      </c>
      <c r="FW15" s="487">
        <v>0</v>
      </c>
      <c r="FX15" s="487">
        <v>0</v>
      </c>
      <c r="FY15" s="487">
        <v>0</v>
      </c>
      <c r="FZ15" s="487">
        <v>0</v>
      </c>
      <c r="GA15" s="487">
        <v>0</v>
      </c>
      <c r="GB15" s="487">
        <v>0</v>
      </c>
      <c r="GC15" s="487">
        <v>0</v>
      </c>
      <c r="GD15" s="487">
        <v>0</v>
      </c>
      <c r="GE15" s="487">
        <v>0</v>
      </c>
      <c r="GF15" s="487">
        <v>0</v>
      </c>
      <c r="GG15" s="487">
        <v>0</v>
      </c>
      <c r="GH15" s="487">
        <v>0</v>
      </c>
      <c r="GI15" s="487">
        <v>0</v>
      </c>
      <c r="GJ15" s="467"/>
      <c r="GK15" s="487">
        <v>0</v>
      </c>
      <c r="GL15" s="467"/>
      <c r="GM15" s="487">
        <v>0</v>
      </c>
      <c r="GN15" s="487">
        <v>0</v>
      </c>
      <c r="GO15" s="467"/>
      <c r="GP15" s="467"/>
      <c r="GQ15" s="487">
        <v>0</v>
      </c>
      <c r="GR15" s="467"/>
      <c r="GS15" s="467"/>
      <c r="GT15" s="487">
        <v>0</v>
      </c>
      <c r="GU15" s="487">
        <v>0</v>
      </c>
      <c r="GV15" s="487">
        <v>0</v>
      </c>
      <c r="GW15" s="487">
        <v>0</v>
      </c>
      <c r="GX15" s="487">
        <v>0</v>
      </c>
      <c r="GY15" s="487">
        <v>0</v>
      </c>
      <c r="GZ15" s="487">
        <v>0</v>
      </c>
      <c r="HA15" s="487">
        <v>0</v>
      </c>
      <c r="HB15" s="487">
        <v>0</v>
      </c>
      <c r="HC15" s="487">
        <v>0</v>
      </c>
      <c r="HD15" s="487">
        <v>0</v>
      </c>
      <c r="HE15" s="487">
        <v>0</v>
      </c>
      <c r="HF15" s="487">
        <v>0</v>
      </c>
      <c r="HG15" s="487">
        <v>0</v>
      </c>
      <c r="HH15" s="487">
        <v>0</v>
      </c>
      <c r="HI15" s="487">
        <v>0</v>
      </c>
      <c r="HJ15" s="487">
        <v>0</v>
      </c>
      <c r="HK15" s="487">
        <v>0</v>
      </c>
      <c r="HL15" s="467"/>
      <c r="HM15" s="467"/>
      <c r="HN15" s="467"/>
      <c r="HO15" s="467"/>
      <c r="HP15" s="467"/>
      <c r="HQ15" s="467"/>
      <c r="HR15" s="467"/>
      <c r="HS15" s="467"/>
      <c r="HT15" s="467"/>
      <c r="HU15" s="467"/>
      <c r="HV15" s="467"/>
      <c r="HW15" s="467"/>
      <c r="HX15" s="467"/>
      <c r="HY15" s="467"/>
      <c r="HZ15" s="467"/>
      <c r="IA15" s="467"/>
      <c r="IB15" s="467"/>
      <c r="IC15" s="467"/>
      <c r="ID15" s="467"/>
      <c r="IE15" s="467"/>
      <c r="IF15" s="467"/>
      <c r="IG15" s="467"/>
      <c r="IH15" s="467"/>
      <c r="II15" s="467"/>
      <c r="IJ15" s="467"/>
      <c r="IK15" s="467"/>
      <c r="IL15" s="467"/>
      <c r="IM15" s="467"/>
      <c r="IN15" s="467"/>
      <c r="IO15" s="467"/>
      <c r="IP15" s="467"/>
      <c r="IQ15" s="467"/>
      <c r="IR15" s="467"/>
      <c r="IS15" s="467"/>
      <c r="IT15" s="467"/>
      <c r="IU15" s="467"/>
      <c r="IV15" s="467"/>
      <c r="IW15" s="467"/>
      <c r="IX15" s="467"/>
      <c r="IY15" s="467"/>
      <c r="IZ15" s="467"/>
      <c r="JA15" s="467"/>
      <c r="JB15" s="467"/>
      <c r="JC15" s="467"/>
      <c r="JD15" s="467"/>
      <c r="JE15" s="467"/>
      <c r="JF15" s="467"/>
      <c r="JG15" s="467"/>
      <c r="JH15" s="467"/>
      <c r="JI15" s="467"/>
      <c r="JJ15" s="467"/>
      <c r="JK15" s="467"/>
      <c r="JL15" s="467"/>
      <c r="JM15" s="467"/>
      <c r="JN15" s="487">
        <v>58.54</v>
      </c>
      <c r="JO15" s="487">
        <v>37.828000000000003</v>
      </c>
      <c r="JP15" s="487">
        <v>61.698134592105468</v>
      </c>
      <c r="JQ15" s="487">
        <v>0</v>
      </c>
      <c r="JR15" s="487">
        <v>0</v>
      </c>
      <c r="JS15" s="488">
        <v>159.61113459210546</v>
      </c>
      <c r="JT15" s="489">
        <f t="shared" si="10"/>
        <v>1.5449999999999946</v>
      </c>
      <c r="JU15" s="487">
        <v>159.61113459210546</v>
      </c>
      <c r="JV15" s="487">
        <v>159.61113459210546</v>
      </c>
      <c r="JW15" s="487">
        <v>159.61113459210546</v>
      </c>
      <c r="JX15" s="487">
        <v>57.115982000000002</v>
      </c>
      <c r="JY15" s="487">
        <v>57.115982000000002</v>
      </c>
      <c r="JZ15" s="467"/>
      <c r="KA15" s="487">
        <v>57.115982000000002</v>
      </c>
      <c r="KB15" s="490">
        <v>0</v>
      </c>
      <c r="KC15" s="487">
        <v>1.1756471854766914E-3</v>
      </c>
      <c r="KD15" s="487">
        <v>159.60995894491998</v>
      </c>
      <c r="KE15" s="487">
        <v>57.115982000000002</v>
      </c>
      <c r="KF15" s="487">
        <v>0</v>
      </c>
      <c r="KG15" s="491">
        <v>0</v>
      </c>
      <c r="KH15" s="487">
        <v>0</v>
      </c>
      <c r="KI15" s="487">
        <v>0</v>
      </c>
      <c r="KJ15" s="491">
        <v>0</v>
      </c>
      <c r="KK15" s="487">
        <v>0</v>
      </c>
      <c r="KL15" s="487">
        <v>159.60995894491998</v>
      </c>
      <c r="KM15" s="491">
        <v>2794.488571428571</v>
      </c>
      <c r="KN15" s="487">
        <v>57.115982000000002</v>
      </c>
      <c r="KO15" s="487">
        <v>0</v>
      </c>
      <c r="KP15" s="491">
        <v>0</v>
      </c>
      <c r="KQ15" s="487">
        <v>0</v>
      </c>
      <c r="KR15" s="467"/>
      <c r="KS15" s="467"/>
      <c r="KT15" s="487">
        <v>326.05</v>
      </c>
      <c r="KU15" s="487">
        <v>25</v>
      </c>
      <c r="KV15" s="467"/>
      <c r="KW15" s="487"/>
      <c r="KX15" s="487">
        <v>1.0000000000000001E-5</v>
      </c>
      <c r="KY15" s="487">
        <v>1.0000000000000001E-5</v>
      </c>
      <c r="KZ15" s="467"/>
      <c r="LA15" s="487">
        <v>57.116</v>
      </c>
      <c r="LB15" s="492">
        <v>32</v>
      </c>
      <c r="LC15" s="493">
        <v>0.02</v>
      </c>
      <c r="LD15" s="494">
        <f t="shared" si="11"/>
        <v>164.34792560986861</v>
      </c>
      <c r="LE15" s="471">
        <f t="shared" si="12"/>
        <v>164.34792560986861</v>
      </c>
      <c r="LF15" s="495">
        <f t="shared" si="13"/>
        <v>63.549078629868632</v>
      </c>
      <c r="LG15" s="476">
        <f t="shared" si="14"/>
        <v>63.549078629868632</v>
      </c>
      <c r="LH15" s="496">
        <f t="shared" si="31"/>
        <v>1.03</v>
      </c>
      <c r="LI15" s="497">
        <f t="shared" si="15"/>
        <v>63.549078629868632</v>
      </c>
      <c r="LJ15" s="496">
        <f t="shared" si="32"/>
        <v>1.0389999999999999</v>
      </c>
      <c r="LK15" s="497">
        <f t="shared" si="16"/>
        <v>0</v>
      </c>
      <c r="LL15" s="496">
        <f t="shared" si="33"/>
        <v>1.0349999999999999</v>
      </c>
      <c r="LM15" s="497">
        <f t="shared" si="17"/>
        <v>0</v>
      </c>
      <c r="LN15" s="496">
        <f t="shared" si="34"/>
        <v>1.0349999999999999</v>
      </c>
      <c r="LO15" s="497">
        <f t="shared" si="18"/>
        <v>0</v>
      </c>
      <c r="LP15" s="496">
        <f t="shared" si="35"/>
        <v>1.0349999999999999</v>
      </c>
      <c r="LQ15" s="497">
        <f t="shared" si="19"/>
        <v>0</v>
      </c>
      <c r="LR15" s="496">
        <f t="shared" si="36"/>
        <v>1.04</v>
      </c>
      <c r="LS15" s="497">
        <f t="shared" si="20"/>
        <v>0</v>
      </c>
      <c r="LT15" s="499">
        <f t="shared" si="21"/>
        <v>60.214829399999992</v>
      </c>
      <c r="LU15" s="500">
        <f t="shared" si="22"/>
        <v>60.214829399999992</v>
      </c>
      <c r="LV15" s="501">
        <f t="shared" si="23"/>
        <v>0</v>
      </c>
      <c r="LW15" s="499">
        <f t="shared" si="24"/>
        <v>39.039017579999992</v>
      </c>
      <c r="LX15" s="500">
        <f t="shared" si="25"/>
        <v>18.183767579999998</v>
      </c>
      <c r="LY15" s="500">
        <f t="shared" si="26"/>
        <v>19.043999999999997</v>
      </c>
      <c r="LZ15" s="502">
        <f t="shared" si="27"/>
        <v>1.8112500000000036</v>
      </c>
      <c r="MA15" s="503">
        <f t="shared" si="28"/>
        <v>1.5449999999999946</v>
      </c>
      <c r="MB15" s="504">
        <f t="shared" si="29"/>
        <v>0</v>
      </c>
    </row>
    <row r="16" spans="1:340" ht="16.5" customHeight="1">
      <c r="A16" s="505">
        <v>1</v>
      </c>
      <c r="B16" s="506">
        <v>6</v>
      </c>
      <c r="C16" s="507" t="s">
        <v>315</v>
      </c>
      <c r="D16" s="508">
        <v>4633037132</v>
      </c>
      <c r="E16" s="469">
        <f t="shared" si="3"/>
        <v>47484.024566739747</v>
      </c>
      <c r="F16" s="470" t="s">
        <v>287</v>
      </c>
      <c r="G16" s="595">
        <v>47484.014832249661</v>
      </c>
      <c r="H16" s="595">
        <f t="shared" si="30"/>
        <v>9.734490085975267E-3</v>
      </c>
      <c r="I16" s="595"/>
      <c r="J16" s="509">
        <f t="shared" si="4"/>
        <v>47484.024566739747</v>
      </c>
      <c r="K16" s="510">
        <f t="shared" si="5"/>
        <v>35670.324795671615</v>
      </c>
      <c r="L16" s="511">
        <f t="shared" si="6"/>
        <v>28755.87299603676</v>
      </c>
      <c r="M16" s="512">
        <v>28755.87299603676</v>
      </c>
      <c r="N16" s="513">
        <v>0</v>
      </c>
      <c r="O16" s="513">
        <v>0</v>
      </c>
      <c r="P16" s="514">
        <v>0</v>
      </c>
      <c r="Q16" s="515">
        <v>6598.951411768925</v>
      </c>
      <c r="R16" s="516">
        <f t="shared" si="7"/>
        <v>315.50038786592717</v>
      </c>
      <c r="S16" s="517">
        <f t="shared" si="8"/>
        <v>9099.4833802082467</v>
      </c>
      <c r="T16" s="518">
        <v>7241.9071731863814</v>
      </c>
      <c r="U16" s="519">
        <v>1857.5762070218652</v>
      </c>
      <c r="V16" s="520">
        <f t="shared" si="9"/>
        <v>3364.243602081905</v>
      </c>
      <c r="W16" s="521">
        <v>2187.0559663022868</v>
      </c>
      <c r="X16" s="518">
        <v>668.25948000000017</v>
      </c>
      <c r="Y16" s="522">
        <v>508.92815577961801</v>
      </c>
      <c r="Z16" s="523">
        <v>-900.79101122202633</v>
      </c>
      <c r="AA16" s="524">
        <v>250.7638</v>
      </c>
      <c r="AB16" s="486"/>
      <c r="AC16" s="525">
        <v>28755.87299603676</v>
      </c>
      <c r="AD16" s="525">
        <v>28755.87299603676</v>
      </c>
      <c r="AE16" s="525">
        <v>0</v>
      </c>
      <c r="AF16" s="525">
        <v>0</v>
      </c>
      <c r="AG16" s="525">
        <v>0</v>
      </c>
      <c r="AH16" s="525">
        <v>6598.951411768925</v>
      </c>
      <c r="AI16" s="525">
        <v>6598.951411768925</v>
      </c>
      <c r="AJ16" s="525">
        <v>0</v>
      </c>
      <c r="AK16" s="525">
        <v>0</v>
      </c>
      <c r="AL16" s="525">
        <v>0</v>
      </c>
      <c r="AM16" s="525">
        <v>0</v>
      </c>
      <c r="AN16" s="525">
        <v>0</v>
      </c>
      <c r="AO16" s="525">
        <v>0</v>
      </c>
      <c r="AP16" s="525">
        <v>0</v>
      </c>
      <c r="AQ16" s="525">
        <v>0</v>
      </c>
      <c r="AR16" s="525">
        <v>0</v>
      </c>
      <c r="AS16" s="525">
        <v>0</v>
      </c>
      <c r="AT16" s="525">
        <v>0</v>
      </c>
      <c r="AU16" s="525">
        <v>0</v>
      </c>
      <c r="AV16" s="525">
        <v>0</v>
      </c>
      <c r="AW16" s="525">
        <v>0</v>
      </c>
      <c r="AX16" s="525">
        <v>0</v>
      </c>
      <c r="AY16" s="525">
        <v>0</v>
      </c>
      <c r="AZ16" s="525">
        <v>0</v>
      </c>
      <c r="BA16" s="525">
        <v>6598.951411768925</v>
      </c>
      <c r="BB16" s="525">
        <v>741.93180104646103</v>
      </c>
      <c r="BC16" s="525">
        <v>0</v>
      </c>
      <c r="BD16" s="525">
        <v>6598.951411768925</v>
      </c>
      <c r="BE16" s="525">
        <v>8.894283008844484</v>
      </c>
      <c r="BF16" s="525">
        <v>741.93180104646103</v>
      </c>
      <c r="BG16" s="525">
        <v>0</v>
      </c>
      <c r="BH16" s="525">
        <v>0</v>
      </c>
      <c r="BI16" s="525">
        <v>0</v>
      </c>
      <c r="BJ16" s="525">
        <v>0</v>
      </c>
      <c r="BK16" s="525">
        <v>0</v>
      </c>
      <c r="BL16" s="525">
        <v>0</v>
      </c>
      <c r="BM16" s="525">
        <v>0</v>
      </c>
      <c r="BN16" s="525">
        <v>0</v>
      </c>
      <c r="BO16" s="525">
        <v>0</v>
      </c>
      <c r="BP16" s="525">
        <v>0</v>
      </c>
      <c r="BQ16" s="525">
        <v>0</v>
      </c>
      <c r="BR16" s="525">
        <v>0</v>
      </c>
      <c r="BS16" s="525">
        <v>0</v>
      </c>
      <c r="BT16" s="525">
        <v>0</v>
      </c>
      <c r="BU16" s="525">
        <v>0</v>
      </c>
      <c r="BV16" s="525">
        <v>0</v>
      </c>
      <c r="BW16" s="525">
        <v>0</v>
      </c>
      <c r="BX16" s="525">
        <v>0</v>
      </c>
      <c r="BY16" s="525">
        <v>0</v>
      </c>
      <c r="BZ16" s="525">
        <v>0</v>
      </c>
      <c r="CA16" s="525">
        <v>0</v>
      </c>
      <c r="CB16" s="525">
        <v>0</v>
      </c>
      <c r="CC16" s="525">
        <v>0</v>
      </c>
      <c r="CD16" s="525">
        <v>0</v>
      </c>
      <c r="CE16" s="525">
        <v>0</v>
      </c>
      <c r="CF16" s="525">
        <v>0</v>
      </c>
      <c r="CG16" s="525">
        <v>0</v>
      </c>
      <c r="CH16" s="525">
        <v>0</v>
      </c>
      <c r="CI16" s="525">
        <v>0</v>
      </c>
      <c r="CJ16" s="525">
        <v>0</v>
      </c>
      <c r="CK16" s="525">
        <v>0</v>
      </c>
      <c r="CL16" s="525">
        <v>0</v>
      </c>
      <c r="CM16" s="525">
        <v>7241.9071731863814</v>
      </c>
      <c r="CN16" s="525">
        <v>5405.09485336128</v>
      </c>
      <c r="CO16" s="525">
        <v>0</v>
      </c>
      <c r="CP16" s="525">
        <v>0</v>
      </c>
      <c r="CQ16" s="525">
        <v>1836.8123198251001</v>
      </c>
      <c r="CR16" s="525">
        <v>0</v>
      </c>
      <c r="CS16" s="525">
        <v>2187.0559663022868</v>
      </c>
      <c r="CT16" s="525">
        <v>1632.3386457151064</v>
      </c>
      <c r="CU16" s="525">
        <v>0</v>
      </c>
      <c r="CV16" s="525">
        <v>0</v>
      </c>
      <c r="CW16" s="525">
        <v>554.71732058718021</v>
      </c>
      <c r="CX16" s="525">
        <v>0</v>
      </c>
      <c r="CY16" s="525">
        <v>315.50038786592717</v>
      </c>
      <c r="CZ16" s="526"/>
      <c r="DA16" s="525">
        <v>9.3035495790035085</v>
      </c>
      <c r="DB16" s="525">
        <v>0</v>
      </c>
      <c r="DC16" s="526"/>
      <c r="DD16" s="525">
        <v>0</v>
      </c>
      <c r="DE16" s="525">
        <v>0</v>
      </c>
      <c r="DF16" s="525">
        <v>0</v>
      </c>
      <c r="DG16" s="525">
        <v>467.020385161055</v>
      </c>
      <c r="DH16" s="525">
        <v>205.84323415655999</v>
      </c>
      <c r="DI16" s="525">
        <v>0</v>
      </c>
      <c r="DJ16" s="525">
        <v>261.17715100449499</v>
      </c>
      <c r="DK16" s="525">
        <v>0</v>
      </c>
      <c r="DL16" s="525">
        <v>0</v>
      </c>
      <c r="DM16" s="525">
        <v>0</v>
      </c>
      <c r="DN16" s="525">
        <v>0</v>
      </c>
      <c r="DO16" s="525">
        <v>0</v>
      </c>
      <c r="DP16" s="525">
        <v>1187.41695848265</v>
      </c>
      <c r="DQ16" s="525">
        <v>0</v>
      </c>
      <c r="DR16" s="525">
        <v>0</v>
      </c>
      <c r="DS16" s="525">
        <v>0</v>
      </c>
      <c r="DT16" s="525">
        <v>1187.41695848265</v>
      </c>
      <c r="DU16" s="525">
        <v>203.13886337816001</v>
      </c>
      <c r="DV16" s="525">
        <v>0</v>
      </c>
      <c r="DW16" s="525">
        <v>0</v>
      </c>
      <c r="DX16" s="525">
        <v>0</v>
      </c>
      <c r="DY16" s="525">
        <v>0</v>
      </c>
      <c r="DZ16" s="525">
        <v>0</v>
      </c>
      <c r="EA16" s="525">
        <v>0</v>
      </c>
      <c r="EB16" s="525">
        <v>0</v>
      </c>
      <c r="EC16" s="525">
        <v>0</v>
      </c>
      <c r="ED16" s="525">
        <v>0</v>
      </c>
      <c r="EE16" s="525">
        <v>0</v>
      </c>
      <c r="EF16" s="525">
        <v>0</v>
      </c>
      <c r="EG16" s="525">
        <v>203.13886337816001</v>
      </c>
      <c r="EH16" s="525">
        <v>0</v>
      </c>
      <c r="EI16" s="525">
        <v>0</v>
      </c>
      <c r="EJ16" s="525">
        <v>0</v>
      </c>
      <c r="EK16" s="525">
        <v>0</v>
      </c>
      <c r="EL16" s="525">
        <v>0</v>
      </c>
      <c r="EM16" s="525">
        <v>0</v>
      </c>
      <c r="EN16" s="525">
        <v>0</v>
      </c>
      <c r="EO16" s="525">
        <v>0</v>
      </c>
      <c r="EP16" s="525">
        <v>0</v>
      </c>
      <c r="EQ16" s="525">
        <v>0</v>
      </c>
      <c r="ER16" s="525">
        <v>0</v>
      </c>
      <c r="ES16" s="525">
        <v>0</v>
      </c>
      <c r="ET16" s="525">
        <v>0</v>
      </c>
      <c r="EU16" s="525">
        <v>0</v>
      </c>
      <c r="EV16" s="525">
        <v>0</v>
      </c>
      <c r="EW16" s="525">
        <v>0</v>
      </c>
      <c r="EX16" s="525">
        <v>0</v>
      </c>
      <c r="EY16" s="525">
        <v>0</v>
      </c>
      <c r="EZ16" s="525">
        <v>0</v>
      </c>
      <c r="FA16" s="525">
        <v>0</v>
      </c>
      <c r="FB16" s="525">
        <v>508.92815577961807</v>
      </c>
      <c r="FC16" s="525">
        <v>0</v>
      </c>
      <c r="FD16" s="525">
        <v>25.079999999999995</v>
      </c>
      <c r="FE16" s="525">
        <v>0</v>
      </c>
      <c r="FF16" s="525">
        <v>483.84815577961797</v>
      </c>
      <c r="FG16" s="525">
        <v>0</v>
      </c>
      <c r="FH16" s="525">
        <v>0</v>
      </c>
      <c r="FI16" s="525">
        <v>0</v>
      </c>
      <c r="FJ16" s="525">
        <v>0</v>
      </c>
      <c r="FK16" s="525">
        <v>483.84815577961797</v>
      </c>
      <c r="FL16" s="525">
        <v>0</v>
      </c>
      <c r="FM16" s="525">
        <v>668.25948000000017</v>
      </c>
      <c r="FN16" s="525">
        <v>0</v>
      </c>
      <c r="FO16" s="525">
        <v>668.25948000000017</v>
      </c>
      <c r="FP16" s="525">
        <v>0</v>
      </c>
      <c r="FQ16" s="525">
        <v>0</v>
      </c>
      <c r="FR16" s="525">
        <v>0</v>
      </c>
      <c r="FS16" s="527">
        <v>48134.051777961766</v>
      </c>
      <c r="FT16" s="525">
        <v>0</v>
      </c>
      <c r="FU16" s="525">
        <v>0</v>
      </c>
      <c r="FV16" s="525">
        <v>0</v>
      </c>
      <c r="FW16" s="525">
        <v>0</v>
      </c>
      <c r="FX16" s="525">
        <v>0</v>
      </c>
      <c r="FY16" s="525">
        <v>0</v>
      </c>
      <c r="FZ16" s="525">
        <v>0</v>
      </c>
      <c r="GA16" s="525">
        <v>0</v>
      </c>
      <c r="GB16" s="525">
        <v>0</v>
      </c>
      <c r="GC16" s="525">
        <v>0</v>
      </c>
      <c r="GD16" s="525">
        <v>0</v>
      </c>
      <c r="GE16" s="525">
        <v>0</v>
      </c>
      <c r="GF16" s="525">
        <v>0</v>
      </c>
      <c r="GG16" s="525">
        <v>0</v>
      </c>
      <c r="GH16" s="525">
        <v>250.7638</v>
      </c>
      <c r="GI16" s="525">
        <v>0</v>
      </c>
      <c r="GJ16" s="526"/>
      <c r="GK16" s="525">
        <v>250.7638</v>
      </c>
      <c r="GL16" s="526"/>
      <c r="GM16" s="525">
        <v>0</v>
      </c>
      <c r="GN16" s="525">
        <v>250.7638</v>
      </c>
      <c r="GO16" s="526"/>
      <c r="GP16" s="526"/>
      <c r="GQ16" s="525">
        <v>0</v>
      </c>
      <c r="GR16" s="526"/>
      <c r="GS16" s="526"/>
      <c r="GT16" s="525">
        <v>0</v>
      </c>
      <c r="GU16" s="525">
        <v>0</v>
      </c>
      <c r="GV16" s="525">
        <v>0</v>
      </c>
      <c r="GW16" s="525">
        <v>0</v>
      </c>
      <c r="GX16" s="525">
        <v>0</v>
      </c>
      <c r="GY16" s="525">
        <v>0</v>
      </c>
      <c r="GZ16" s="525">
        <v>0</v>
      </c>
      <c r="HA16" s="525">
        <v>0</v>
      </c>
      <c r="HB16" s="525">
        <v>0</v>
      </c>
      <c r="HC16" s="525">
        <v>0</v>
      </c>
      <c r="HD16" s="525">
        <v>0</v>
      </c>
      <c r="HE16" s="525">
        <v>0</v>
      </c>
      <c r="HF16" s="525">
        <v>0</v>
      </c>
      <c r="HG16" s="525">
        <v>0</v>
      </c>
      <c r="HH16" s="525">
        <v>0</v>
      </c>
      <c r="HI16" s="525">
        <v>0</v>
      </c>
      <c r="HJ16" s="525">
        <v>0</v>
      </c>
      <c r="HK16" s="525">
        <v>0</v>
      </c>
      <c r="HL16" s="526"/>
      <c r="HM16" s="526"/>
      <c r="HN16" s="526"/>
      <c r="HO16" s="526"/>
      <c r="HP16" s="526"/>
      <c r="HQ16" s="526"/>
      <c r="HR16" s="526"/>
      <c r="HS16" s="526"/>
      <c r="HT16" s="526"/>
      <c r="HU16" s="526"/>
      <c r="HV16" s="526"/>
      <c r="HW16" s="526"/>
      <c r="HX16" s="526"/>
      <c r="HY16" s="526"/>
      <c r="HZ16" s="526"/>
      <c r="IA16" s="526"/>
      <c r="IB16" s="526"/>
      <c r="IC16" s="526"/>
      <c r="ID16" s="526"/>
      <c r="IE16" s="526"/>
      <c r="IF16" s="526"/>
      <c r="IG16" s="526"/>
      <c r="IH16" s="526"/>
      <c r="II16" s="526"/>
      <c r="IJ16" s="526"/>
      <c r="IK16" s="526"/>
      <c r="IL16" s="526"/>
      <c r="IM16" s="526"/>
      <c r="IN16" s="526"/>
      <c r="IO16" s="526"/>
      <c r="IP16" s="526"/>
      <c r="IQ16" s="526"/>
      <c r="IR16" s="526"/>
      <c r="IS16" s="526"/>
      <c r="IT16" s="526"/>
      <c r="IU16" s="526"/>
      <c r="IV16" s="526"/>
      <c r="IW16" s="526"/>
      <c r="IX16" s="526"/>
      <c r="IY16" s="526"/>
      <c r="IZ16" s="526"/>
      <c r="JA16" s="526"/>
      <c r="JB16" s="526"/>
      <c r="JC16" s="526"/>
      <c r="JD16" s="526"/>
      <c r="JE16" s="526"/>
      <c r="JF16" s="526"/>
      <c r="JG16" s="526"/>
      <c r="JH16" s="526"/>
      <c r="JI16" s="526"/>
      <c r="JJ16" s="526"/>
      <c r="JK16" s="526"/>
      <c r="JL16" s="526"/>
      <c r="JM16" s="526"/>
      <c r="JN16" s="525">
        <v>9099.4833802082467</v>
      </c>
      <c r="JO16" s="525">
        <v>3364.243602081905</v>
      </c>
      <c r="JP16" s="525">
        <v>35670.324795671615</v>
      </c>
      <c r="JQ16" s="525">
        <v>0</v>
      </c>
      <c r="JR16" s="525">
        <v>250.7638</v>
      </c>
      <c r="JS16" s="527">
        <v>47484.024566739747</v>
      </c>
      <c r="JT16" s="528">
        <f t="shared" si="10"/>
        <v>-900.79101122202633</v>
      </c>
      <c r="JU16" s="525">
        <v>47484.024566739747</v>
      </c>
      <c r="JV16" s="525">
        <v>47484.024566739747</v>
      </c>
      <c r="JW16" s="525">
        <v>47484.024566739747</v>
      </c>
      <c r="JX16" s="525">
        <v>20010.693883756052</v>
      </c>
      <c r="JY16" s="525">
        <v>20010.693883756052</v>
      </c>
      <c r="JZ16" s="526"/>
      <c r="KA16" s="525">
        <v>20010.693883756052</v>
      </c>
      <c r="KB16" s="529">
        <v>0.52096964775945276</v>
      </c>
      <c r="KC16" s="525">
        <v>9.734490085975267E-3</v>
      </c>
      <c r="KD16" s="525">
        <v>47484.014832249661</v>
      </c>
      <c r="KE16" s="525">
        <v>20010.693883756052</v>
      </c>
      <c r="KF16" s="525">
        <v>0</v>
      </c>
      <c r="KG16" s="530">
        <v>0</v>
      </c>
      <c r="KH16" s="525">
        <v>0</v>
      </c>
      <c r="KI16" s="525">
        <v>8766.3979502793864</v>
      </c>
      <c r="KJ16" s="530">
        <v>2371.4099003526107</v>
      </c>
      <c r="KK16" s="525">
        <v>3696.7029398738232</v>
      </c>
      <c r="KL16" s="525">
        <v>38717.616881970273</v>
      </c>
      <c r="KM16" s="530">
        <v>2373.2768404220201</v>
      </c>
      <c r="KN16" s="525">
        <v>16313.990943882232</v>
      </c>
      <c r="KO16" s="525">
        <v>0</v>
      </c>
      <c r="KP16" s="530">
        <v>0</v>
      </c>
      <c r="KQ16" s="525">
        <v>0</v>
      </c>
      <c r="KR16" s="526"/>
      <c r="KS16" s="526"/>
      <c r="KT16" s="531">
        <v>38413.599999999999</v>
      </c>
      <c r="KU16" s="531">
        <v>54.1</v>
      </c>
      <c r="KV16" s="526"/>
      <c r="KW16" s="531">
        <v>18196.526000000002</v>
      </c>
      <c r="KX16" s="531">
        <v>10.82</v>
      </c>
      <c r="KY16" s="531">
        <v>7.4560000000000004</v>
      </c>
      <c r="KZ16" s="526"/>
      <c r="LA16" s="531">
        <v>1119</v>
      </c>
      <c r="LB16" s="532">
        <v>3684</v>
      </c>
      <c r="LC16" s="533">
        <v>1.9E-2</v>
      </c>
      <c r="LD16" s="494">
        <f t="shared" si="11"/>
        <v>48963.170262503336</v>
      </c>
      <c r="LE16" s="509">
        <f t="shared" si="12"/>
        <v>48963.170262503336</v>
      </c>
      <c r="LF16" s="534">
        <f t="shared" si="13"/>
        <v>36776.584300479262</v>
      </c>
      <c r="LG16" s="535">
        <f t="shared" si="14"/>
        <v>29618.549185917862</v>
      </c>
      <c r="LH16" s="536">
        <f t="shared" si="31"/>
        <v>1.03</v>
      </c>
      <c r="LI16" s="537">
        <f t="shared" si="15"/>
        <v>29618.549185917862</v>
      </c>
      <c r="LJ16" s="536">
        <f t="shared" si="32"/>
        <v>1.0389999999999999</v>
      </c>
      <c r="LK16" s="537">
        <f t="shared" si="16"/>
        <v>0</v>
      </c>
      <c r="LL16" s="536">
        <f t="shared" si="33"/>
        <v>1.0349999999999999</v>
      </c>
      <c r="LM16" s="537">
        <f t="shared" si="17"/>
        <v>0</v>
      </c>
      <c r="LN16" s="536">
        <f t="shared" si="34"/>
        <v>1.0349999999999999</v>
      </c>
      <c r="LO16" s="537">
        <f t="shared" si="18"/>
        <v>0</v>
      </c>
      <c r="LP16" s="536">
        <f t="shared" si="35"/>
        <v>1.0349999999999999</v>
      </c>
      <c r="LQ16" s="537">
        <f t="shared" si="19"/>
        <v>6829.914711180837</v>
      </c>
      <c r="LR16" s="536">
        <f t="shared" si="36"/>
        <v>1.04</v>
      </c>
      <c r="LS16" s="537">
        <f t="shared" si="20"/>
        <v>328.12040338056426</v>
      </c>
      <c r="LT16" s="539">
        <f t="shared" si="21"/>
        <v>9359.8195997160037</v>
      </c>
      <c r="LU16" s="540">
        <f t="shared" si="22"/>
        <v>7449.0981374112425</v>
      </c>
      <c r="LV16" s="541">
        <f t="shared" si="23"/>
        <v>1910.7214623047607</v>
      </c>
      <c r="LW16" s="542">
        <f t="shared" si="24"/>
        <v>3468.0168405300997</v>
      </c>
      <c r="LX16" s="540">
        <f t="shared" si="25"/>
        <v>2249.6276374981949</v>
      </c>
      <c r="LY16" s="540">
        <f t="shared" si="26"/>
        <v>691.64856180000015</v>
      </c>
      <c r="LZ16" s="543">
        <f t="shared" si="27"/>
        <v>526.74064123190465</v>
      </c>
      <c r="MA16" s="544">
        <f t="shared" si="28"/>
        <v>-900.79101122202633</v>
      </c>
      <c r="MB16" s="545">
        <f t="shared" si="29"/>
        <v>259.54053299999998</v>
      </c>
    </row>
    <row r="17" spans="1:340" ht="16.5" customHeight="1">
      <c r="A17" s="465">
        <v>1</v>
      </c>
      <c r="B17" s="466">
        <v>7</v>
      </c>
      <c r="C17" s="467" t="s">
        <v>310</v>
      </c>
      <c r="D17" s="468">
        <v>4633039010</v>
      </c>
      <c r="E17" s="469">
        <f t="shared" si="3"/>
        <v>10586.476939998807</v>
      </c>
      <c r="F17" s="470" t="s">
        <v>287</v>
      </c>
      <c r="G17" s="595">
        <v>10586.479298999999</v>
      </c>
      <c r="H17" s="595">
        <f t="shared" si="30"/>
        <v>-2.3590011915075593E-3</v>
      </c>
      <c r="I17" s="595"/>
      <c r="J17" s="471">
        <f t="shared" si="4"/>
        <v>10586.476939998807</v>
      </c>
      <c r="K17" s="472">
        <f t="shared" si="5"/>
        <v>7557.5484399988081</v>
      </c>
      <c r="L17" s="473">
        <f t="shared" si="6"/>
        <v>6949.5505616122082</v>
      </c>
      <c r="M17" s="474">
        <v>6949.5505616122082</v>
      </c>
      <c r="N17" s="475">
        <v>0</v>
      </c>
      <c r="O17" s="475">
        <v>0</v>
      </c>
      <c r="P17" s="476">
        <v>0</v>
      </c>
      <c r="Q17" s="477">
        <v>574.81988498660007</v>
      </c>
      <c r="R17" s="478">
        <f t="shared" si="7"/>
        <v>33.177993400000005</v>
      </c>
      <c r="S17" s="479">
        <f t="shared" si="8"/>
        <v>1437.31</v>
      </c>
      <c r="T17" s="479">
        <v>1296.75</v>
      </c>
      <c r="U17" s="480">
        <v>140.55999999999995</v>
      </c>
      <c r="V17" s="481">
        <f t="shared" si="9"/>
        <v>1591.6185</v>
      </c>
      <c r="W17" s="482">
        <v>391.61849999999993</v>
      </c>
      <c r="X17" s="479">
        <v>0</v>
      </c>
      <c r="Y17" s="483">
        <v>1200</v>
      </c>
      <c r="Z17" s="484">
        <v>-9.0949470177292824E-13</v>
      </c>
      <c r="AA17" s="485">
        <v>0</v>
      </c>
      <c r="AB17" s="486"/>
      <c r="AC17" s="487">
        <v>6949.5505616122082</v>
      </c>
      <c r="AD17" s="487">
        <v>6949.5505616122082</v>
      </c>
      <c r="AE17" s="487">
        <v>0</v>
      </c>
      <c r="AF17" s="487">
        <v>0</v>
      </c>
      <c r="AG17" s="487">
        <v>0</v>
      </c>
      <c r="AH17" s="487">
        <v>574.81988498660007</v>
      </c>
      <c r="AI17" s="487">
        <v>574.81988498660007</v>
      </c>
      <c r="AJ17" s="487">
        <v>0</v>
      </c>
      <c r="AK17" s="487">
        <v>0</v>
      </c>
      <c r="AL17" s="487">
        <v>0</v>
      </c>
      <c r="AM17" s="487">
        <v>0</v>
      </c>
      <c r="AN17" s="487">
        <v>0</v>
      </c>
      <c r="AO17" s="487">
        <v>0</v>
      </c>
      <c r="AP17" s="487">
        <v>0</v>
      </c>
      <c r="AQ17" s="487">
        <v>0</v>
      </c>
      <c r="AR17" s="487">
        <v>0</v>
      </c>
      <c r="AS17" s="487">
        <v>0</v>
      </c>
      <c r="AT17" s="487">
        <v>0</v>
      </c>
      <c r="AU17" s="487">
        <v>0</v>
      </c>
      <c r="AV17" s="487">
        <v>0</v>
      </c>
      <c r="AW17" s="487">
        <v>0</v>
      </c>
      <c r="AX17" s="487">
        <v>0</v>
      </c>
      <c r="AY17" s="487">
        <v>0</v>
      </c>
      <c r="AZ17" s="487">
        <v>0</v>
      </c>
      <c r="BA17" s="487">
        <v>574.81988498660007</v>
      </c>
      <c r="BB17" s="487">
        <v>138.74799999999999</v>
      </c>
      <c r="BC17" s="487">
        <v>0</v>
      </c>
      <c r="BD17" s="487">
        <v>574.81988498660007</v>
      </c>
      <c r="BE17" s="487">
        <v>4.1429057354815937</v>
      </c>
      <c r="BF17" s="487">
        <v>138.74799999999999</v>
      </c>
      <c r="BG17" s="487">
        <v>0</v>
      </c>
      <c r="BH17" s="487">
        <v>0</v>
      </c>
      <c r="BI17" s="487">
        <v>0</v>
      </c>
      <c r="BJ17" s="487">
        <v>0</v>
      </c>
      <c r="BK17" s="487">
        <v>0</v>
      </c>
      <c r="BL17" s="487">
        <v>0</v>
      </c>
      <c r="BM17" s="487">
        <v>0</v>
      </c>
      <c r="BN17" s="487">
        <v>0</v>
      </c>
      <c r="BO17" s="487">
        <v>0</v>
      </c>
      <c r="BP17" s="487">
        <v>0</v>
      </c>
      <c r="BQ17" s="487">
        <v>0</v>
      </c>
      <c r="BR17" s="487">
        <v>0</v>
      </c>
      <c r="BS17" s="487">
        <v>0</v>
      </c>
      <c r="BT17" s="487">
        <v>0</v>
      </c>
      <c r="BU17" s="487">
        <v>0</v>
      </c>
      <c r="BV17" s="487">
        <v>0</v>
      </c>
      <c r="BW17" s="487">
        <v>0</v>
      </c>
      <c r="BX17" s="487">
        <v>0</v>
      </c>
      <c r="BY17" s="487">
        <v>0</v>
      </c>
      <c r="BZ17" s="487">
        <v>0</v>
      </c>
      <c r="CA17" s="487">
        <v>0</v>
      </c>
      <c r="CB17" s="487">
        <v>0</v>
      </c>
      <c r="CC17" s="487">
        <v>0</v>
      </c>
      <c r="CD17" s="487">
        <v>0</v>
      </c>
      <c r="CE17" s="487">
        <v>0</v>
      </c>
      <c r="CF17" s="487">
        <v>0</v>
      </c>
      <c r="CG17" s="487">
        <v>0</v>
      </c>
      <c r="CH17" s="487">
        <v>0</v>
      </c>
      <c r="CI17" s="487">
        <v>0</v>
      </c>
      <c r="CJ17" s="487">
        <v>0</v>
      </c>
      <c r="CK17" s="487">
        <v>0</v>
      </c>
      <c r="CL17" s="487">
        <v>0</v>
      </c>
      <c r="CM17" s="487">
        <v>1296.75</v>
      </c>
      <c r="CN17" s="487">
        <v>752.68000000000006</v>
      </c>
      <c r="CO17" s="487">
        <v>0</v>
      </c>
      <c r="CP17" s="487">
        <v>0</v>
      </c>
      <c r="CQ17" s="487">
        <v>544.07000000000005</v>
      </c>
      <c r="CR17" s="487">
        <v>0</v>
      </c>
      <c r="CS17" s="487">
        <v>391.61849999999993</v>
      </c>
      <c r="CT17" s="487">
        <v>227.30936</v>
      </c>
      <c r="CU17" s="487">
        <v>0</v>
      </c>
      <c r="CV17" s="487">
        <v>0</v>
      </c>
      <c r="CW17" s="487">
        <v>164.30914000000001</v>
      </c>
      <c r="CX17" s="487">
        <v>0</v>
      </c>
      <c r="CY17" s="487">
        <v>33.177993400000005</v>
      </c>
      <c r="CZ17" s="467"/>
      <c r="DA17" s="487">
        <v>1.4230200000000002</v>
      </c>
      <c r="DB17" s="487">
        <v>0</v>
      </c>
      <c r="DC17" s="467"/>
      <c r="DD17" s="487">
        <v>0</v>
      </c>
      <c r="DE17" s="487">
        <v>0</v>
      </c>
      <c r="DF17" s="487">
        <v>0</v>
      </c>
      <c r="DG17" s="487">
        <v>131.72999999999999</v>
      </c>
      <c r="DH17" s="487">
        <v>0</v>
      </c>
      <c r="DI17" s="487">
        <v>0</v>
      </c>
      <c r="DJ17" s="487">
        <v>131.72999999999999</v>
      </c>
      <c r="DK17" s="487">
        <v>0</v>
      </c>
      <c r="DL17" s="487">
        <v>0</v>
      </c>
      <c r="DM17" s="487">
        <v>0</v>
      </c>
      <c r="DN17" s="487">
        <v>0</v>
      </c>
      <c r="DO17" s="487">
        <v>0</v>
      </c>
      <c r="DP17" s="487">
        <v>0</v>
      </c>
      <c r="DQ17" s="487">
        <v>0</v>
      </c>
      <c r="DR17" s="487">
        <v>0</v>
      </c>
      <c r="DS17" s="487">
        <v>0</v>
      </c>
      <c r="DT17" s="487">
        <v>0</v>
      </c>
      <c r="DU17" s="487">
        <v>8.83</v>
      </c>
      <c r="DV17" s="487">
        <v>0</v>
      </c>
      <c r="DW17" s="487">
        <v>0</v>
      </c>
      <c r="DX17" s="487">
        <v>0</v>
      </c>
      <c r="DY17" s="487">
        <v>0</v>
      </c>
      <c r="DZ17" s="487">
        <v>0</v>
      </c>
      <c r="EA17" s="487">
        <v>0</v>
      </c>
      <c r="EB17" s="487">
        <v>0</v>
      </c>
      <c r="EC17" s="487">
        <v>0</v>
      </c>
      <c r="ED17" s="487">
        <v>0</v>
      </c>
      <c r="EE17" s="487">
        <v>0</v>
      </c>
      <c r="EF17" s="487">
        <v>0</v>
      </c>
      <c r="EG17" s="487">
        <v>8.83</v>
      </c>
      <c r="EH17" s="487">
        <v>1200</v>
      </c>
      <c r="EI17" s="487">
        <v>1200</v>
      </c>
      <c r="EJ17" s="487">
        <v>0</v>
      </c>
      <c r="EK17" s="487">
        <v>0</v>
      </c>
      <c r="EL17" s="487">
        <v>0</v>
      </c>
      <c r="EM17" s="487">
        <v>0</v>
      </c>
      <c r="EN17" s="487">
        <v>0</v>
      </c>
      <c r="EO17" s="487">
        <v>0</v>
      </c>
      <c r="EP17" s="487">
        <v>0</v>
      </c>
      <c r="EQ17" s="487">
        <v>0</v>
      </c>
      <c r="ER17" s="487">
        <v>0</v>
      </c>
      <c r="ES17" s="487">
        <v>0</v>
      </c>
      <c r="ET17" s="487">
        <v>1200</v>
      </c>
      <c r="EU17" s="487">
        <v>1200</v>
      </c>
      <c r="EV17" s="487">
        <v>0</v>
      </c>
      <c r="EW17" s="487">
        <v>0</v>
      </c>
      <c r="EX17" s="487">
        <v>0</v>
      </c>
      <c r="EY17" s="487">
        <v>0</v>
      </c>
      <c r="EZ17" s="487">
        <v>0</v>
      </c>
      <c r="FA17" s="487">
        <v>0</v>
      </c>
      <c r="FB17" s="487">
        <v>0</v>
      </c>
      <c r="FC17" s="487">
        <v>0</v>
      </c>
      <c r="FD17" s="487">
        <v>0</v>
      </c>
      <c r="FE17" s="487">
        <v>0</v>
      </c>
      <c r="FF17" s="487">
        <v>0</v>
      </c>
      <c r="FG17" s="487">
        <v>0</v>
      </c>
      <c r="FH17" s="487">
        <v>0</v>
      </c>
      <c r="FI17" s="487">
        <v>0</v>
      </c>
      <c r="FJ17" s="487">
        <v>0</v>
      </c>
      <c r="FK17" s="487">
        <v>0</v>
      </c>
      <c r="FL17" s="487">
        <v>0</v>
      </c>
      <c r="FM17" s="487">
        <v>0</v>
      </c>
      <c r="FN17" s="487">
        <v>0</v>
      </c>
      <c r="FO17" s="487">
        <v>0</v>
      </c>
      <c r="FP17" s="487">
        <v>0</v>
      </c>
      <c r="FQ17" s="487">
        <v>0</v>
      </c>
      <c r="FR17" s="487">
        <v>0</v>
      </c>
      <c r="FS17" s="488">
        <v>10586.476939998807</v>
      </c>
      <c r="FT17" s="487">
        <v>0</v>
      </c>
      <c r="FU17" s="487">
        <v>0</v>
      </c>
      <c r="FV17" s="487">
        <v>0</v>
      </c>
      <c r="FW17" s="487">
        <v>0</v>
      </c>
      <c r="FX17" s="487">
        <v>0</v>
      </c>
      <c r="FY17" s="487">
        <v>0</v>
      </c>
      <c r="FZ17" s="487">
        <v>0</v>
      </c>
      <c r="GA17" s="487">
        <v>0</v>
      </c>
      <c r="GB17" s="487">
        <v>0</v>
      </c>
      <c r="GC17" s="487">
        <v>0</v>
      </c>
      <c r="GD17" s="487">
        <v>0</v>
      </c>
      <c r="GE17" s="487">
        <v>0</v>
      </c>
      <c r="GF17" s="487">
        <v>0</v>
      </c>
      <c r="GG17" s="487">
        <v>0</v>
      </c>
      <c r="GH17" s="487">
        <v>0</v>
      </c>
      <c r="GI17" s="487">
        <v>0</v>
      </c>
      <c r="GJ17" s="467"/>
      <c r="GK17" s="487">
        <v>0</v>
      </c>
      <c r="GL17" s="467"/>
      <c r="GM17" s="487">
        <v>0</v>
      </c>
      <c r="GN17" s="487">
        <v>0</v>
      </c>
      <c r="GO17" s="467"/>
      <c r="GP17" s="467"/>
      <c r="GQ17" s="487">
        <v>0</v>
      </c>
      <c r="GR17" s="467"/>
      <c r="GS17" s="467"/>
      <c r="GT17" s="487">
        <v>0</v>
      </c>
      <c r="GU17" s="487">
        <v>0</v>
      </c>
      <c r="GV17" s="487">
        <v>0</v>
      </c>
      <c r="GW17" s="487">
        <v>0</v>
      </c>
      <c r="GX17" s="487">
        <v>0</v>
      </c>
      <c r="GY17" s="487">
        <v>0</v>
      </c>
      <c r="GZ17" s="487">
        <v>0</v>
      </c>
      <c r="HA17" s="487">
        <v>0</v>
      </c>
      <c r="HB17" s="487">
        <v>0</v>
      </c>
      <c r="HC17" s="487">
        <v>0</v>
      </c>
      <c r="HD17" s="487">
        <v>0</v>
      </c>
      <c r="HE17" s="487">
        <v>0</v>
      </c>
      <c r="HF17" s="487">
        <v>0</v>
      </c>
      <c r="HG17" s="487">
        <v>0</v>
      </c>
      <c r="HH17" s="487">
        <v>0</v>
      </c>
      <c r="HI17" s="487">
        <v>0</v>
      </c>
      <c r="HJ17" s="487">
        <v>0</v>
      </c>
      <c r="HK17" s="487">
        <v>0</v>
      </c>
      <c r="HL17" s="467"/>
      <c r="HM17" s="467"/>
      <c r="HN17" s="467"/>
      <c r="HO17" s="467"/>
      <c r="HP17" s="467"/>
      <c r="HQ17" s="467"/>
      <c r="HR17" s="467"/>
      <c r="HS17" s="467"/>
      <c r="HT17" s="467"/>
      <c r="HU17" s="467"/>
      <c r="HV17" s="467"/>
      <c r="HW17" s="467"/>
      <c r="HX17" s="467"/>
      <c r="HY17" s="467"/>
      <c r="HZ17" s="467"/>
      <c r="IA17" s="467"/>
      <c r="IB17" s="467"/>
      <c r="IC17" s="467"/>
      <c r="ID17" s="467"/>
      <c r="IE17" s="467"/>
      <c r="IF17" s="467"/>
      <c r="IG17" s="467"/>
      <c r="IH17" s="467"/>
      <c r="II17" s="467"/>
      <c r="IJ17" s="467"/>
      <c r="IK17" s="467"/>
      <c r="IL17" s="467"/>
      <c r="IM17" s="467"/>
      <c r="IN17" s="467"/>
      <c r="IO17" s="467"/>
      <c r="IP17" s="467"/>
      <c r="IQ17" s="467"/>
      <c r="IR17" s="467"/>
      <c r="IS17" s="467"/>
      <c r="IT17" s="467"/>
      <c r="IU17" s="467"/>
      <c r="IV17" s="467"/>
      <c r="IW17" s="467"/>
      <c r="IX17" s="467"/>
      <c r="IY17" s="467"/>
      <c r="IZ17" s="467"/>
      <c r="JA17" s="467"/>
      <c r="JB17" s="467"/>
      <c r="JC17" s="467"/>
      <c r="JD17" s="467"/>
      <c r="JE17" s="467"/>
      <c r="JF17" s="467"/>
      <c r="JG17" s="467"/>
      <c r="JH17" s="467"/>
      <c r="JI17" s="467"/>
      <c r="JJ17" s="467"/>
      <c r="JK17" s="467"/>
      <c r="JL17" s="467"/>
      <c r="JM17" s="467"/>
      <c r="JN17" s="487">
        <v>1437.31</v>
      </c>
      <c r="JO17" s="487">
        <v>1591.6185</v>
      </c>
      <c r="JP17" s="487">
        <v>7557.5484399988081</v>
      </c>
      <c r="JQ17" s="487">
        <v>0</v>
      </c>
      <c r="JR17" s="487">
        <v>0</v>
      </c>
      <c r="JS17" s="488">
        <v>10586.476939998807</v>
      </c>
      <c r="JT17" s="489">
        <f t="shared" si="10"/>
        <v>-9.0949470177292824E-13</v>
      </c>
      <c r="JU17" s="487">
        <v>10586.476939998807</v>
      </c>
      <c r="JV17" s="487">
        <v>10586.476939998807</v>
      </c>
      <c r="JW17" s="487">
        <v>10586.476939998807</v>
      </c>
      <c r="JX17" s="487">
        <v>7039.77</v>
      </c>
      <c r="JY17" s="487">
        <v>7039.77</v>
      </c>
      <c r="JZ17" s="467"/>
      <c r="KA17" s="487">
        <v>7039.77</v>
      </c>
      <c r="KB17" s="490">
        <v>0</v>
      </c>
      <c r="KC17" s="487">
        <v>-2.9484011938620824E-3</v>
      </c>
      <c r="KD17" s="487">
        <v>10586.479888400001</v>
      </c>
      <c r="KE17" s="487">
        <v>7039.77</v>
      </c>
      <c r="KF17" s="487">
        <v>0</v>
      </c>
      <c r="KG17" s="491">
        <v>0</v>
      </c>
      <c r="KH17" s="487">
        <v>0</v>
      </c>
      <c r="KI17" s="487">
        <v>0</v>
      </c>
      <c r="KJ17" s="491">
        <v>0</v>
      </c>
      <c r="KK17" s="487">
        <v>0</v>
      </c>
      <c r="KL17" s="487">
        <v>9576.7479098000003</v>
      </c>
      <c r="KM17" s="491">
        <v>1503.5179682427045</v>
      </c>
      <c r="KN17" s="487">
        <v>6369.56</v>
      </c>
      <c r="KO17" s="487">
        <v>1009.7319785999998</v>
      </c>
      <c r="KP17" s="491">
        <v>1506.5904397129254</v>
      </c>
      <c r="KQ17" s="487">
        <v>670.21</v>
      </c>
      <c r="KR17" s="467"/>
      <c r="KS17" s="467"/>
      <c r="KT17" s="487">
        <v>2400</v>
      </c>
      <c r="KU17" s="487"/>
      <c r="KV17" s="467"/>
      <c r="KW17" s="487"/>
      <c r="KX17" s="487">
        <v>9.9999999999999995E-8</v>
      </c>
      <c r="KY17" s="487"/>
      <c r="KZ17" s="467"/>
      <c r="LA17" s="487">
        <v>6369.56</v>
      </c>
      <c r="LB17" s="492">
        <v>715</v>
      </c>
      <c r="LC17" s="493">
        <v>0.74199999999999999</v>
      </c>
      <c r="LD17" s="494">
        <f t="shared" si="11"/>
        <v>10910.734916942703</v>
      </c>
      <c r="LE17" s="471">
        <f t="shared" si="12"/>
        <v>10910.734916942703</v>
      </c>
      <c r="LF17" s="495">
        <f t="shared" si="13"/>
        <v>7787.4807725577057</v>
      </c>
      <c r="LG17" s="476">
        <f t="shared" si="14"/>
        <v>7158.0370784605748</v>
      </c>
      <c r="LH17" s="496">
        <f t="shared" si="31"/>
        <v>1.03</v>
      </c>
      <c r="LI17" s="497">
        <f t="shared" si="15"/>
        <v>7158.0370784605748</v>
      </c>
      <c r="LJ17" s="496">
        <f t="shared" si="32"/>
        <v>1.0389999999999999</v>
      </c>
      <c r="LK17" s="497">
        <f t="shared" si="16"/>
        <v>0</v>
      </c>
      <c r="LL17" s="496">
        <f t="shared" si="33"/>
        <v>1.0349999999999999</v>
      </c>
      <c r="LM17" s="497">
        <f t="shared" si="17"/>
        <v>0</v>
      </c>
      <c r="LN17" s="496">
        <f t="shared" si="34"/>
        <v>1.0349999999999999</v>
      </c>
      <c r="LO17" s="497">
        <f t="shared" si="18"/>
        <v>0</v>
      </c>
      <c r="LP17" s="496">
        <f t="shared" si="35"/>
        <v>1.0349999999999999</v>
      </c>
      <c r="LQ17" s="497">
        <f t="shared" si="19"/>
        <v>594.93858096113104</v>
      </c>
      <c r="LR17" s="496">
        <f t="shared" si="36"/>
        <v>1.04</v>
      </c>
      <c r="LS17" s="497">
        <f t="shared" si="20"/>
        <v>34.505113136000006</v>
      </c>
      <c r="LT17" s="499">
        <f t="shared" si="21"/>
        <v>1478.4314390999998</v>
      </c>
      <c r="LU17" s="500">
        <f t="shared" si="22"/>
        <v>1333.8500174999999</v>
      </c>
      <c r="LV17" s="501">
        <f t="shared" si="23"/>
        <v>144.58142159999994</v>
      </c>
      <c r="LW17" s="499">
        <f t="shared" si="24"/>
        <v>1644.822705285</v>
      </c>
      <c r="LX17" s="500">
        <f t="shared" si="25"/>
        <v>402.82270528499993</v>
      </c>
      <c r="LY17" s="500">
        <f t="shared" si="26"/>
        <v>0</v>
      </c>
      <c r="LZ17" s="502">
        <f t="shared" si="27"/>
        <v>1242</v>
      </c>
      <c r="MA17" s="503">
        <f t="shared" si="28"/>
        <v>-9.0949470177292824E-13</v>
      </c>
      <c r="MB17" s="504">
        <f t="shared" si="29"/>
        <v>0</v>
      </c>
    </row>
    <row r="18" spans="1:340" ht="16.5" customHeight="1">
      <c r="A18" s="505">
        <v>1</v>
      </c>
      <c r="B18" s="506">
        <v>8</v>
      </c>
      <c r="C18" s="507" t="s">
        <v>291</v>
      </c>
      <c r="D18" s="508">
        <v>4633022993</v>
      </c>
      <c r="E18" s="469">
        <f t="shared" si="3"/>
        <v>77928.483464489356</v>
      </c>
      <c r="F18" s="470" t="s">
        <v>287</v>
      </c>
      <c r="G18" s="595">
        <v>77928.493844799988</v>
      </c>
      <c r="H18" s="595">
        <f t="shared" si="30"/>
        <v>-1.0380310632172041E-2</v>
      </c>
      <c r="I18" s="595"/>
      <c r="J18" s="509">
        <f t="shared" si="4"/>
        <v>77928.483464489356</v>
      </c>
      <c r="K18" s="510">
        <f t="shared" si="5"/>
        <v>56580.075357635753</v>
      </c>
      <c r="L18" s="511">
        <f t="shared" si="6"/>
        <v>53407.61366092824</v>
      </c>
      <c r="M18" s="512">
        <v>53407.61366092824</v>
      </c>
      <c r="N18" s="513">
        <v>0</v>
      </c>
      <c r="O18" s="513">
        <v>0</v>
      </c>
      <c r="P18" s="514">
        <v>0</v>
      </c>
      <c r="Q18" s="515">
        <v>3132.5927417119915</v>
      </c>
      <c r="R18" s="516">
        <f t="shared" si="7"/>
        <v>39.868954995523524</v>
      </c>
      <c r="S18" s="517">
        <f t="shared" si="8"/>
        <v>6830.2458748536019</v>
      </c>
      <c r="T18" s="518">
        <v>3399.2160000000008</v>
      </c>
      <c r="U18" s="519">
        <v>3431.0298748536011</v>
      </c>
      <c r="V18" s="520">
        <f t="shared" si="9"/>
        <v>14189.502231999999</v>
      </c>
      <c r="W18" s="521">
        <v>1026.563232</v>
      </c>
      <c r="X18" s="518">
        <v>6406.8</v>
      </c>
      <c r="Y18" s="522">
        <v>6756.1389999999983</v>
      </c>
      <c r="Z18" s="523">
        <v>328.66000000000349</v>
      </c>
      <c r="AA18" s="524">
        <v>0</v>
      </c>
      <c r="AB18" s="486"/>
      <c r="AC18" s="525">
        <v>53407.61366092824</v>
      </c>
      <c r="AD18" s="525">
        <v>53407.61366092824</v>
      </c>
      <c r="AE18" s="525">
        <v>0</v>
      </c>
      <c r="AF18" s="525">
        <v>0</v>
      </c>
      <c r="AG18" s="525">
        <v>0</v>
      </c>
      <c r="AH18" s="525">
        <v>3132.5927417119915</v>
      </c>
      <c r="AI18" s="525">
        <v>3132.5927417119915</v>
      </c>
      <c r="AJ18" s="525">
        <v>0</v>
      </c>
      <c r="AK18" s="525">
        <v>0</v>
      </c>
      <c r="AL18" s="525">
        <v>0</v>
      </c>
      <c r="AM18" s="525">
        <v>0</v>
      </c>
      <c r="AN18" s="525">
        <v>0</v>
      </c>
      <c r="AO18" s="525">
        <v>0</v>
      </c>
      <c r="AP18" s="525">
        <v>0</v>
      </c>
      <c r="AQ18" s="525">
        <v>0</v>
      </c>
      <c r="AR18" s="525">
        <v>0</v>
      </c>
      <c r="AS18" s="525">
        <v>0</v>
      </c>
      <c r="AT18" s="525">
        <v>0</v>
      </c>
      <c r="AU18" s="525">
        <v>0</v>
      </c>
      <c r="AV18" s="525">
        <v>0</v>
      </c>
      <c r="AW18" s="525">
        <v>0</v>
      </c>
      <c r="AX18" s="525">
        <v>0</v>
      </c>
      <c r="AY18" s="525">
        <v>0</v>
      </c>
      <c r="AZ18" s="525">
        <v>0</v>
      </c>
      <c r="BA18" s="525">
        <v>3132.5927417119915</v>
      </c>
      <c r="BB18" s="525">
        <v>766.6560062907962</v>
      </c>
      <c r="BC18" s="525">
        <v>0</v>
      </c>
      <c r="BD18" s="525">
        <v>3132.5927417119915</v>
      </c>
      <c r="BE18" s="525">
        <v>4.086047348494632</v>
      </c>
      <c r="BF18" s="525">
        <v>766.6560062907962</v>
      </c>
      <c r="BG18" s="525">
        <v>0</v>
      </c>
      <c r="BH18" s="525">
        <v>0</v>
      </c>
      <c r="BI18" s="525">
        <v>0</v>
      </c>
      <c r="BJ18" s="525">
        <v>0</v>
      </c>
      <c r="BK18" s="525">
        <v>0</v>
      </c>
      <c r="BL18" s="525">
        <v>0</v>
      </c>
      <c r="BM18" s="525">
        <v>0</v>
      </c>
      <c r="BN18" s="525">
        <v>0</v>
      </c>
      <c r="BO18" s="525">
        <v>0</v>
      </c>
      <c r="BP18" s="525">
        <v>0</v>
      </c>
      <c r="BQ18" s="525">
        <v>0</v>
      </c>
      <c r="BR18" s="525">
        <v>0</v>
      </c>
      <c r="BS18" s="525">
        <v>0</v>
      </c>
      <c r="BT18" s="525">
        <v>0</v>
      </c>
      <c r="BU18" s="525">
        <v>0</v>
      </c>
      <c r="BV18" s="525">
        <v>0</v>
      </c>
      <c r="BW18" s="525">
        <v>0</v>
      </c>
      <c r="BX18" s="525">
        <v>0</v>
      </c>
      <c r="BY18" s="525">
        <v>0</v>
      </c>
      <c r="BZ18" s="525">
        <v>0</v>
      </c>
      <c r="CA18" s="525">
        <v>0</v>
      </c>
      <c r="CB18" s="525">
        <v>0</v>
      </c>
      <c r="CC18" s="525">
        <v>0</v>
      </c>
      <c r="CD18" s="525">
        <v>0</v>
      </c>
      <c r="CE18" s="525">
        <v>0</v>
      </c>
      <c r="CF18" s="525">
        <v>0</v>
      </c>
      <c r="CG18" s="525">
        <v>0</v>
      </c>
      <c r="CH18" s="525">
        <v>0</v>
      </c>
      <c r="CI18" s="525">
        <v>0</v>
      </c>
      <c r="CJ18" s="525">
        <v>0</v>
      </c>
      <c r="CK18" s="525">
        <v>0</v>
      </c>
      <c r="CL18" s="525">
        <v>0</v>
      </c>
      <c r="CM18" s="525">
        <v>3399.2160000000008</v>
      </c>
      <c r="CN18" s="525">
        <v>2521.5830000000001</v>
      </c>
      <c r="CO18" s="525">
        <v>0</v>
      </c>
      <c r="CP18" s="525">
        <v>0</v>
      </c>
      <c r="CQ18" s="525">
        <v>877.63300000000004</v>
      </c>
      <c r="CR18" s="525">
        <v>0</v>
      </c>
      <c r="CS18" s="525">
        <v>1026.563232</v>
      </c>
      <c r="CT18" s="525">
        <v>761.51806599999998</v>
      </c>
      <c r="CU18" s="525">
        <v>0</v>
      </c>
      <c r="CV18" s="525">
        <v>0</v>
      </c>
      <c r="CW18" s="525">
        <v>265.04516599999999</v>
      </c>
      <c r="CX18" s="525">
        <v>0</v>
      </c>
      <c r="CY18" s="525">
        <v>39.868954995523524</v>
      </c>
      <c r="CZ18" s="526"/>
      <c r="DA18" s="525">
        <v>1.7144620702153872</v>
      </c>
      <c r="DB18" s="525">
        <v>0</v>
      </c>
      <c r="DC18" s="526"/>
      <c r="DD18" s="525">
        <v>0</v>
      </c>
      <c r="DE18" s="525">
        <v>0</v>
      </c>
      <c r="DF18" s="525">
        <v>0</v>
      </c>
      <c r="DG18" s="525">
        <v>1482.7847308536004</v>
      </c>
      <c r="DH18" s="525">
        <v>18.658682853600002</v>
      </c>
      <c r="DI18" s="525">
        <v>0</v>
      </c>
      <c r="DJ18" s="525">
        <v>1464.1260480000003</v>
      </c>
      <c r="DK18" s="525">
        <v>0</v>
      </c>
      <c r="DL18" s="525">
        <v>0</v>
      </c>
      <c r="DM18" s="525">
        <v>0</v>
      </c>
      <c r="DN18" s="525">
        <v>0</v>
      </c>
      <c r="DO18" s="525">
        <v>0</v>
      </c>
      <c r="DP18" s="525">
        <v>0</v>
      </c>
      <c r="DQ18" s="525">
        <v>0</v>
      </c>
      <c r="DR18" s="525">
        <v>0</v>
      </c>
      <c r="DS18" s="525">
        <v>0</v>
      </c>
      <c r="DT18" s="525">
        <v>0</v>
      </c>
      <c r="DU18" s="525">
        <v>1567.5834480000001</v>
      </c>
      <c r="DV18" s="525">
        <v>3.1332080000000002</v>
      </c>
      <c r="DW18" s="525">
        <v>0</v>
      </c>
      <c r="DX18" s="525">
        <v>0</v>
      </c>
      <c r="DY18" s="525">
        <v>0</v>
      </c>
      <c r="DZ18" s="525">
        <v>313.72078399999998</v>
      </c>
      <c r="EA18" s="525">
        <v>198.65871999999999</v>
      </c>
      <c r="EB18" s="525">
        <v>0</v>
      </c>
      <c r="EC18" s="525">
        <v>0</v>
      </c>
      <c r="ED18" s="525">
        <v>0</v>
      </c>
      <c r="EE18" s="525">
        <v>0</v>
      </c>
      <c r="EF18" s="525">
        <v>0</v>
      </c>
      <c r="EG18" s="525">
        <v>1052.0707360000001</v>
      </c>
      <c r="EH18" s="525">
        <v>6004.4028027905206</v>
      </c>
      <c r="EI18" s="525">
        <v>0</v>
      </c>
      <c r="EJ18" s="525">
        <v>0</v>
      </c>
      <c r="EK18" s="525">
        <v>6004.4028027905206</v>
      </c>
      <c r="EL18" s="525">
        <v>30.357760000000003</v>
      </c>
      <c r="EM18" s="525">
        <v>28.193743999999995</v>
      </c>
      <c r="EN18" s="525">
        <v>0</v>
      </c>
      <c r="EO18" s="525">
        <v>0</v>
      </c>
      <c r="EP18" s="525">
        <v>322.11019200000004</v>
      </c>
      <c r="EQ18" s="525">
        <v>0</v>
      </c>
      <c r="ER18" s="525">
        <v>322.11019200000004</v>
      </c>
      <c r="ES18" s="525">
        <v>0</v>
      </c>
      <c r="ET18" s="525">
        <v>5860.8190000000004</v>
      </c>
      <c r="EU18" s="525">
        <v>5860.8190000000004</v>
      </c>
      <c r="EV18" s="525">
        <v>0</v>
      </c>
      <c r="EW18" s="525">
        <v>0</v>
      </c>
      <c r="EX18" s="525">
        <v>0</v>
      </c>
      <c r="EY18" s="525">
        <v>0</v>
      </c>
      <c r="EZ18" s="525">
        <v>0</v>
      </c>
      <c r="FA18" s="525">
        <v>0</v>
      </c>
      <c r="FB18" s="525">
        <v>895.32</v>
      </c>
      <c r="FC18" s="525">
        <v>0</v>
      </c>
      <c r="FD18" s="525">
        <v>49.519999999999996</v>
      </c>
      <c r="FE18" s="525">
        <v>69.8</v>
      </c>
      <c r="FF18" s="525">
        <v>776</v>
      </c>
      <c r="FG18" s="525">
        <v>0</v>
      </c>
      <c r="FH18" s="525">
        <v>0</v>
      </c>
      <c r="FI18" s="525">
        <v>0</v>
      </c>
      <c r="FJ18" s="525">
        <v>0</v>
      </c>
      <c r="FK18" s="525">
        <v>776</v>
      </c>
      <c r="FL18" s="525">
        <v>0</v>
      </c>
      <c r="FM18" s="525">
        <v>6406.8</v>
      </c>
      <c r="FN18" s="525">
        <v>6406.8</v>
      </c>
      <c r="FO18" s="525">
        <v>0</v>
      </c>
      <c r="FP18" s="525">
        <v>0</v>
      </c>
      <c r="FQ18" s="525">
        <v>0</v>
      </c>
      <c r="FR18" s="525">
        <v>0</v>
      </c>
      <c r="FS18" s="527">
        <v>77599.823464489353</v>
      </c>
      <c r="FT18" s="525">
        <v>0</v>
      </c>
      <c r="FU18" s="525">
        <v>0</v>
      </c>
      <c r="FV18" s="525">
        <v>0</v>
      </c>
      <c r="FW18" s="525">
        <v>0</v>
      </c>
      <c r="FX18" s="525">
        <v>0</v>
      </c>
      <c r="FY18" s="525">
        <v>0</v>
      </c>
      <c r="FZ18" s="525">
        <v>0</v>
      </c>
      <c r="GA18" s="525">
        <v>0</v>
      </c>
      <c r="GB18" s="525">
        <v>0</v>
      </c>
      <c r="GC18" s="525">
        <v>0</v>
      </c>
      <c r="GD18" s="525">
        <v>0</v>
      </c>
      <c r="GE18" s="525">
        <v>0</v>
      </c>
      <c r="GF18" s="525">
        <v>0</v>
      </c>
      <c r="GG18" s="525">
        <v>0</v>
      </c>
      <c r="GH18" s="525">
        <v>0</v>
      </c>
      <c r="GI18" s="525">
        <v>0</v>
      </c>
      <c r="GJ18" s="526"/>
      <c r="GK18" s="525">
        <v>0</v>
      </c>
      <c r="GL18" s="526"/>
      <c r="GM18" s="525">
        <v>0</v>
      </c>
      <c r="GN18" s="525">
        <v>0</v>
      </c>
      <c r="GO18" s="526"/>
      <c r="GP18" s="526"/>
      <c r="GQ18" s="525">
        <v>0</v>
      </c>
      <c r="GR18" s="526"/>
      <c r="GS18" s="526"/>
      <c r="GT18" s="525">
        <v>0</v>
      </c>
      <c r="GU18" s="525">
        <v>0</v>
      </c>
      <c r="GV18" s="525">
        <v>0</v>
      </c>
      <c r="GW18" s="525">
        <v>0</v>
      </c>
      <c r="GX18" s="525">
        <v>0</v>
      </c>
      <c r="GY18" s="525">
        <v>0</v>
      </c>
      <c r="GZ18" s="525">
        <v>0</v>
      </c>
      <c r="HA18" s="525">
        <v>0</v>
      </c>
      <c r="HB18" s="525">
        <v>0</v>
      </c>
      <c r="HC18" s="525">
        <v>0</v>
      </c>
      <c r="HD18" s="525">
        <v>0</v>
      </c>
      <c r="HE18" s="525">
        <v>0</v>
      </c>
      <c r="HF18" s="525">
        <v>0</v>
      </c>
      <c r="HG18" s="525">
        <v>0</v>
      </c>
      <c r="HH18" s="525">
        <v>0</v>
      </c>
      <c r="HI18" s="525">
        <v>0</v>
      </c>
      <c r="HJ18" s="525">
        <v>0</v>
      </c>
      <c r="HK18" s="525">
        <v>0</v>
      </c>
      <c r="HL18" s="526"/>
      <c r="HM18" s="526"/>
      <c r="HN18" s="526"/>
      <c r="HO18" s="526"/>
      <c r="HP18" s="526"/>
      <c r="HQ18" s="526"/>
      <c r="HR18" s="526"/>
      <c r="HS18" s="526"/>
      <c r="HT18" s="526"/>
      <c r="HU18" s="526"/>
      <c r="HV18" s="526"/>
      <c r="HW18" s="526"/>
      <c r="HX18" s="526"/>
      <c r="HY18" s="526"/>
      <c r="HZ18" s="526"/>
      <c r="IA18" s="526"/>
      <c r="IB18" s="526"/>
      <c r="IC18" s="526"/>
      <c r="ID18" s="526"/>
      <c r="IE18" s="526"/>
      <c r="IF18" s="526"/>
      <c r="IG18" s="526"/>
      <c r="IH18" s="526"/>
      <c r="II18" s="526"/>
      <c r="IJ18" s="526"/>
      <c r="IK18" s="526"/>
      <c r="IL18" s="526"/>
      <c r="IM18" s="526"/>
      <c r="IN18" s="526"/>
      <c r="IO18" s="526"/>
      <c r="IP18" s="526"/>
      <c r="IQ18" s="526"/>
      <c r="IR18" s="526"/>
      <c r="IS18" s="526"/>
      <c r="IT18" s="526"/>
      <c r="IU18" s="526"/>
      <c r="IV18" s="526"/>
      <c r="IW18" s="526"/>
      <c r="IX18" s="526"/>
      <c r="IY18" s="526"/>
      <c r="IZ18" s="526"/>
      <c r="JA18" s="526"/>
      <c r="JB18" s="526"/>
      <c r="JC18" s="526"/>
      <c r="JD18" s="526"/>
      <c r="JE18" s="526"/>
      <c r="JF18" s="526"/>
      <c r="JG18" s="526"/>
      <c r="JH18" s="526"/>
      <c r="JI18" s="526"/>
      <c r="JJ18" s="526"/>
      <c r="JK18" s="526"/>
      <c r="JL18" s="526"/>
      <c r="JM18" s="526"/>
      <c r="JN18" s="525">
        <v>6830.2458748536019</v>
      </c>
      <c r="JO18" s="525">
        <v>14189.502231999999</v>
      </c>
      <c r="JP18" s="525">
        <v>56580.075357635753</v>
      </c>
      <c r="JQ18" s="525">
        <v>0</v>
      </c>
      <c r="JR18" s="525">
        <v>0</v>
      </c>
      <c r="JS18" s="527">
        <v>77928.483464489356</v>
      </c>
      <c r="JT18" s="528">
        <f t="shared" si="10"/>
        <v>328.66000000000349</v>
      </c>
      <c r="JU18" s="525">
        <v>77928.483464489356</v>
      </c>
      <c r="JV18" s="525">
        <v>77928.483464489356</v>
      </c>
      <c r="JW18" s="525">
        <v>77928.483464489356</v>
      </c>
      <c r="JX18" s="525">
        <v>50026.0046</v>
      </c>
      <c r="JY18" s="525">
        <v>50026.0046</v>
      </c>
      <c r="JZ18" s="526"/>
      <c r="KA18" s="525">
        <v>50026.0046</v>
      </c>
      <c r="KB18" s="529">
        <v>0</v>
      </c>
      <c r="KC18" s="525">
        <v>-1.7504312650999054E-2</v>
      </c>
      <c r="KD18" s="525">
        <v>77928.500968802007</v>
      </c>
      <c r="KE18" s="525">
        <v>50026.0046</v>
      </c>
      <c r="KF18" s="525">
        <v>0</v>
      </c>
      <c r="KG18" s="530">
        <v>0</v>
      </c>
      <c r="KH18" s="525">
        <v>0</v>
      </c>
      <c r="KI18" s="525">
        <v>0</v>
      </c>
      <c r="KJ18" s="530">
        <v>0</v>
      </c>
      <c r="KK18" s="525">
        <v>0</v>
      </c>
      <c r="KL18" s="525">
        <v>77928.500968802007</v>
      </c>
      <c r="KM18" s="530">
        <v>1557.7598409448435</v>
      </c>
      <c r="KN18" s="525">
        <v>50026.0046</v>
      </c>
      <c r="KO18" s="525">
        <v>0</v>
      </c>
      <c r="KP18" s="530">
        <v>0</v>
      </c>
      <c r="KQ18" s="525">
        <v>0</v>
      </c>
      <c r="KR18" s="526"/>
      <c r="KS18" s="526"/>
      <c r="KT18" s="531">
        <v>124614</v>
      </c>
      <c r="KU18" s="531">
        <v>63.3</v>
      </c>
      <c r="KV18" s="526"/>
      <c r="KW18" s="531">
        <v>12614</v>
      </c>
      <c r="KX18" s="531">
        <v>3.8</v>
      </c>
      <c r="KY18" s="531"/>
      <c r="KZ18" s="526"/>
      <c r="LA18" s="531">
        <v>50026</v>
      </c>
      <c r="LB18" s="532">
        <v>6369</v>
      </c>
      <c r="LC18" s="533">
        <v>0.03</v>
      </c>
      <c r="LD18" s="494">
        <f t="shared" si="11"/>
        <v>80327.433552024027</v>
      </c>
      <c r="LE18" s="509">
        <f t="shared" si="12"/>
        <v>80327.433552024027</v>
      </c>
      <c r="LF18" s="534">
        <f t="shared" si="13"/>
        <v>58293.53927162334</v>
      </c>
      <c r="LG18" s="535">
        <f t="shared" si="14"/>
        <v>55009.842070756087</v>
      </c>
      <c r="LH18" s="536">
        <f t="shared" si="31"/>
        <v>1.03</v>
      </c>
      <c r="LI18" s="537">
        <f t="shared" si="15"/>
        <v>55009.842070756087</v>
      </c>
      <c r="LJ18" s="536">
        <f t="shared" si="32"/>
        <v>1.0389999999999999</v>
      </c>
      <c r="LK18" s="537">
        <f t="shared" si="16"/>
        <v>0</v>
      </c>
      <c r="LL18" s="536">
        <f t="shared" si="33"/>
        <v>1.0349999999999999</v>
      </c>
      <c r="LM18" s="537">
        <f t="shared" si="17"/>
        <v>0</v>
      </c>
      <c r="LN18" s="536">
        <f t="shared" si="34"/>
        <v>1.0349999999999999</v>
      </c>
      <c r="LO18" s="537">
        <f t="shared" si="18"/>
        <v>0</v>
      </c>
      <c r="LP18" s="536">
        <f t="shared" si="35"/>
        <v>1.0349999999999999</v>
      </c>
      <c r="LQ18" s="537">
        <f t="shared" si="19"/>
        <v>3242.233487671911</v>
      </c>
      <c r="LR18" s="536">
        <f t="shared" si="36"/>
        <v>1.04</v>
      </c>
      <c r="LS18" s="537">
        <f t="shared" si="20"/>
        <v>41.463713195344468</v>
      </c>
      <c r="LT18" s="539">
        <f t="shared" si="21"/>
        <v>7025.6592093331628</v>
      </c>
      <c r="LU18" s="540">
        <f t="shared" si="22"/>
        <v>3496.4675697600005</v>
      </c>
      <c r="LV18" s="541">
        <f t="shared" si="23"/>
        <v>3529.1916395731623</v>
      </c>
      <c r="LW18" s="542">
        <f t="shared" si="24"/>
        <v>14679.575071067517</v>
      </c>
      <c r="LX18" s="540">
        <f t="shared" si="25"/>
        <v>1055.9332060675199</v>
      </c>
      <c r="LY18" s="540">
        <f t="shared" si="26"/>
        <v>6631.0379999999996</v>
      </c>
      <c r="LZ18" s="543">
        <f t="shared" si="27"/>
        <v>6992.6038649999973</v>
      </c>
      <c r="MA18" s="544">
        <f t="shared" si="28"/>
        <v>328.66000000000349</v>
      </c>
      <c r="MB18" s="545">
        <f t="shared" si="29"/>
        <v>0</v>
      </c>
    </row>
    <row r="19" spans="1:340" ht="16.5" customHeight="1">
      <c r="A19" s="465">
        <v>1</v>
      </c>
      <c r="B19" s="466">
        <v>9</v>
      </c>
      <c r="C19" s="467" t="s">
        <v>292</v>
      </c>
      <c r="D19" s="468">
        <v>4618003724</v>
      </c>
      <c r="E19" s="469">
        <f t="shared" si="3"/>
        <v>16452.512695374098</v>
      </c>
      <c r="F19" s="470" t="s">
        <v>287</v>
      </c>
      <c r="G19" s="595">
        <v>16452.509610000001</v>
      </c>
      <c r="H19" s="595">
        <f t="shared" si="30"/>
        <v>3.0853740972816013E-3</v>
      </c>
      <c r="I19" s="595"/>
      <c r="J19" s="471">
        <f t="shared" si="4"/>
        <v>16452.512695374098</v>
      </c>
      <c r="K19" s="472">
        <f t="shared" si="5"/>
        <v>10286.5278753741</v>
      </c>
      <c r="L19" s="473">
        <f t="shared" si="6"/>
        <v>8404.5367398892231</v>
      </c>
      <c r="M19" s="474">
        <v>8404.5367398892231</v>
      </c>
      <c r="N19" s="475">
        <v>0</v>
      </c>
      <c r="O19" s="475">
        <v>0</v>
      </c>
      <c r="P19" s="476">
        <v>0</v>
      </c>
      <c r="Q19" s="477">
        <v>1747.6743264848776</v>
      </c>
      <c r="R19" s="478">
        <f t="shared" si="7"/>
        <v>134.31680900000001</v>
      </c>
      <c r="S19" s="479">
        <f t="shared" si="8"/>
        <v>4087.8199999999997</v>
      </c>
      <c r="T19" s="479">
        <v>3221.0099999999998</v>
      </c>
      <c r="U19" s="480">
        <v>866.81</v>
      </c>
      <c r="V19" s="481">
        <f t="shared" si="9"/>
        <v>1440.83482</v>
      </c>
      <c r="W19" s="482">
        <v>972.74502000000007</v>
      </c>
      <c r="X19" s="479">
        <v>0</v>
      </c>
      <c r="Y19" s="483">
        <v>468.08979999999997</v>
      </c>
      <c r="Z19" s="484">
        <v>587.86999999999807</v>
      </c>
      <c r="AA19" s="485">
        <v>49.46</v>
      </c>
      <c r="AB19" s="486"/>
      <c r="AC19" s="487">
        <v>8404.5367398892231</v>
      </c>
      <c r="AD19" s="487">
        <v>8404.5367398892231</v>
      </c>
      <c r="AE19" s="487">
        <v>0</v>
      </c>
      <c r="AF19" s="487">
        <v>0</v>
      </c>
      <c r="AG19" s="487">
        <v>0</v>
      </c>
      <c r="AH19" s="487">
        <v>1747.6743264848776</v>
      </c>
      <c r="AI19" s="487">
        <v>1747.6743264848776</v>
      </c>
      <c r="AJ19" s="487">
        <v>0</v>
      </c>
      <c r="AK19" s="487">
        <v>0</v>
      </c>
      <c r="AL19" s="487">
        <v>0</v>
      </c>
      <c r="AM19" s="487">
        <v>0</v>
      </c>
      <c r="AN19" s="487">
        <v>0</v>
      </c>
      <c r="AO19" s="487">
        <v>0</v>
      </c>
      <c r="AP19" s="487">
        <v>0</v>
      </c>
      <c r="AQ19" s="487">
        <v>0</v>
      </c>
      <c r="AR19" s="487">
        <v>0</v>
      </c>
      <c r="AS19" s="487">
        <v>0</v>
      </c>
      <c r="AT19" s="487">
        <v>0</v>
      </c>
      <c r="AU19" s="487">
        <v>0</v>
      </c>
      <c r="AV19" s="487">
        <v>0</v>
      </c>
      <c r="AW19" s="487">
        <v>0</v>
      </c>
      <c r="AX19" s="487">
        <v>0</v>
      </c>
      <c r="AY19" s="487">
        <v>0</v>
      </c>
      <c r="AZ19" s="487">
        <v>0</v>
      </c>
      <c r="BA19" s="487">
        <v>1747.6743264848776</v>
      </c>
      <c r="BB19" s="487">
        <v>177.13753283785837</v>
      </c>
      <c r="BC19" s="487">
        <v>0</v>
      </c>
      <c r="BD19" s="487">
        <v>1747.6743264848776</v>
      </c>
      <c r="BE19" s="487">
        <v>9.8661999999999956</v>
      </c>
      <c r="BF19" s="487">
        <v>177.13753283785837</v>
      </c>
      <c r="BG19" s="487">
        <v>0</v>
      </c>
      <c r="BH19" s="487">
        <v>0</v>
      </c>
      <c r="BI19" s="487">
        <v>0</v>
      </c>
      <c r="BJ19" s="487">
        <v>0</v>
      </c>
      <c r="BK19" s="487">
        <v>0</v>
      </c>
      <c r="BL19" s="487">
        <v>0</v>
      </c>
      <c r="BM19" s="487">
        <v>0</v>
      </c>
      <c r="BN19" s="487">
        <v>0</v>
      </c>
      <c r="BO19" s="487">
        <v>0</v>
      </c>
      <c r="BP19" s="487">
        <v>0</v>
      </c>
      <c r="BQ19" s="487">
        <v>0</v>
      </c>
      <c r="BR19" s="487">
        <v>0</v>
      </c>
      <c r="BS19" s="487">
        <v>0</v>
      </c>
      <c r="BT19" s="487">
        <v>0</v>
      </c>
      <c r="BU19" s="487">
        <v>0</v>
      </c>
      <c r="BV19" s="487">
        <v>0</v>
      </c>
      <c r="BW19" s="487">
        <v>0</v>
      </c>
      <c r="BX19" s="487">
        <v>0</v>
      </c>
      <c r="BY19" s="487">
        <v>0</v>
      </c>
      <c r="BZ19" s="487">
        <v>0</v>
      </c>
      <c r="CA19" s="487">
        <v>0</v>
      </c>
      <c r="CB19" s="487">
        <v>0</v>
      </c>
      <c r="CC19" s="487">
        <v>0</v>
      </c>
      <c r="CD19" s="487">
        <v>0</v>
      </c>
      <c r="CE19" s="487">
        <v>0</v>
      </c>
      <c r="CF19" s="487">
        <v>0</v>
      </c>
      <c r="CG19" s="487">
        <v>0</v>
      </c>
      <c r="CH19" s="487">
        <v>0</v>
      </c>
      <c r="CI19" s="487">
        <v>0</v>
      </c>
      <c r="CJ19" s="487">
        <v>0</v>
      </c>
      <c r="CK19" s="487">
        <v>0</v>
      </c>
      <c r="CL19" s="487">
        <v>0</v>
      </c>
      <c r="CM19" s="487">
        <v>3221.0099999999998</v>
      </c>
      <c r="CN19" s="487">
        <v>2410.91</v>
      </c>
      <c r="CO19" s="487">
        <v>0</v>
      </c>
      <c r="CP19" s="487">
        <v>0</v>
      </c>
      <c r="CQ19" s="487">
        <v>810.1</v>
      </c>
      <c r="CR19" s="487">
        <v>0</v>
      </c>
      <c r="CS19" s="487">
        <v>972.74502000000007</v>
      </c>
      <c r="CT19" s="487">
        <v>728.09482000000003</v>
      </c>
      <c r="CU19" s="487">
        <v>0</v>
      </c>
      <c r="CV19" s="487">
        <v>0</v>
      </c>
      <c r="CW19" s="487">
        <v>244.65020000000001</v>
      </c>
      <c r="CX19" s="487">
        <v>0</v>
      </c>
      <c r="CY19" s="487">
        <v>134.31680900000001</v>
      </c>
      <c r="CZ19" s="467"/>
      <c r="DA19" s="487">
        <v>3.1353999999999997</v>
      </c>
      <c r="DB19" s="487">
        <v>0</v>
      </c>
      <c r="DC19" s="467"/>
      <c r="DD19" s="487">
        <v>0</v>
      </c>
      <c r="DE19" s="487">
        <v>0</v>
      </c>
      <c r="DF19" s="487">
        <v>0</v>
      </c>
      <c r="DG19" s="487">
        <v>311.03000000000003</v>
      </c>
      <c r="DH19" s="487">
        <v>16.96</v>
      </c>
      <c r="DI19" s="487">
        <v>0</v>
      </c>
      <c r="DJ19" s="487">
        <v>294.07000000000005</v>
      </c>
      <c r="DK19" s="487">
        <v>0</v>
      </c>
      <c r="DL19" s="487">
        <v>0</v>
      </c>
      <c r="DM19" s="487">
        <v>0</v>
      </c>
      <c r="DN19" s="487">
        <v>0</v>
      </c>
      <c r="DO19" s="487">
        <v>0</v>
      </c>
      <c r="DP19" s="487">
        <v>0</v>
      </c>
      <c r="DQ19" s="487">
        <v>0</v>
      </c>
      <c r="DR19" s="487">
        <v>0</v>
      </c>
      <c r="DS19" s="487">
        <v>0</v>
      </c>
      <c r="DT19" s="487">
        <v>0</v>
      </c>
      <c r="DU19" s="487">
        <v>470.74999999999994</v>
      </c>
      <c r="DV19" s="487">
        <v>40.97999999999999</v>
      </c>
      <c r="DW19" s="487">
        <v>0</v>
      </c>
      <c r="DX19" s="487">
        <v>0</v>
      </c>
      <c r="DY19" s="487">
        <v>0</v>
      </c>
      <c r="DZ19" s="487">
        <v>0</v>
      </c>
      <c r="EA19" s="487">
        <v>0</v>
      </c>
      <c r="EB19" s="487">
        <v>0</v>
      </c>
      <c r="EC19" s="487">
        <v>0</v>
      </c>
      <c r="ED19" s="487">
        <v>0</v>
      </c>
      <c r="EE19" s="487">
        <v>0</v>
      </c>
      <c r="EF19" s="487">
        <v>0</v>
      </c>
      <c r="EG19" s="487">
        <v>429.77</v>
      </c>
      <c r="EH19" s="487">
        <v>141.624</v>
      </c>
      <c r="EI19" s="487">
        <v>0</v>
      </c>
      <c r="EJ19" s="487">
        <v>141.624</v>
      </c>
      <c r="EK19" s="487">
        <v>0</v>
      </c>
      <c r="EL19" s="487">
        <v>13.319999999999999</v>
      </c>
      <c r="EM19" s="487">
        <v>20.490000000000002</v>
      </c>
      <c r="EN19" s="487">
        <v>0</v>
      </c>
      <c r="EO19" s="487">
        <v>0</v>
      </c>
      <c r="EP19" s="487">
        <v>51.220000000000006</v>
      </c>
      <c r="EQ19" s="487">
        <v>0</v>
      </c>
      <c r="ER19" s="487">
        <v>51.220000000000006</v>
      </c>
      <c r="ES19" s="487">
        <v>0</v>
      </c>
      <c r="ET19" s="487">
        <v>141.624</v>
      </c>
      <c r="EU19" s="487">
        <v>141.624</v>
      </c>
      <c r="EV19" s="487">
        <v>0</v>
      </c>
      <c r="EW19" s="487">
        <v>0</v>
      </c>
      <c r="EX19" s="487">
        <v>0</v>
      </c>
      <c r="EY19" s="487">
        <v>0</v>
      </c>
      <c r="EZ19" s="487">
        <v>0</v>
      </c>
      <c r="FA19" s="487">
        <v>0</v>
      </c>
      <c r="FB19" s="487">
        <v>298.75</v>
      </c>
      <c r="FC19" s="487">
        <v>123.38</v>
      </c>
      <c r="FD19" s="487">
        <v>8.5</v>
      </c>
      <c r="FE19" s="487">
        <v>0</v>
      </c>
      <c r="FF19" s="487">
        <v>166.86999999999998</v>
      </c>
      <c r="FG19" s="487">
        <v>0</v>
      </c>
      <c r="FH19" s="487">
        <v>0</v>
      </c>
      <c r="FI19" s="487">
        <v>8.7200000000000006</v>
      </c>
      <c r="FJ19" s="487">
        <v>0</v>
      </c>
      <c r="FK19" s="487">
        <v>158.15</v>
      </c>
      <c r="FL19" s="487">
        <v>0</v>
      </c>
      <c r="FM19" s="487">
        <v>0</v>
      </c>
      <c r="FN19" s="487">
        <v>0</v>
      </c>
      <c r="FO19" s="487">
        <v>0</v>
      </c>
      <c r="FP19" s="487">
        <v>0</v>
      </c>
      <c r="FQ19" s="487">
        <v>27.715799999999998</v>
      </c>
      <c r="FR19" s="487">
        <v>0</v>
      </c>
      <c r="FS19" s="488">
        <v>15815.1826953741</v>
      </c>
      <c r="FT19" s="487">
        <v>0</v>
      </c>
      <c r="FU19" s="487">
        <v>0</v>
      </c>
      <c r="FV19" s="487">
        <v>0</v>
      </c>
      <c r="FW19" s="487">
        <v>0</v>
      </c>
      <c r="FX19" s="487">
        <v>0</v>
      </c>
      <c r="FY19" s="487">
        <v>0</v>
      </c>
      <c r="FZ19" s="487">
        <v>0</v>
      </c>
      <c r="GA19" s="487">
        <v>0</v>
      </c>
      <c r="GB19" s="487">
        <v>0</v>
      </c>
      <c r="GC19" s="487">
        <v>0</v>
      </c>
      <c r="GD19" s="487">
        <v>0</v>
      </c>
      <c r="GE19" s="487">
        <v>0</v>
      </c>
      <c r="GF19" s="487">
        <v>0</v>
      </c>
      <c r="GG19" s="487">
        <v>0</v>
      </c>
      <c r="GH19" s="487">
        <v>49.46</v>
      </c>
      <c r="GI19" s="487">
        <v>0</v>
      </c>
      <c r="GJ19" s="467"/>
      <c r="GK19" s="487">
        <v>49.46</v>
      </c>
      <c r="GL19" s="467"/>
      <c r="GM19" s="487">
        <v>0</v>
      </c>
      <c r="GN19" s="487">
        <v>0</v>
      </c>
      <c r="GO19" s="467"/>
      <c r="GP19" s="467"/>
      <c r="GQ19" s="487">
        <v>0</v>
      </c>
      <c r="GR19" s="467"/>
      <c r="GS19" s="467"/>
      <c r="GT19" s="487">
        <v>0</v>
      </c>
      <c r="GU19" s="487">
        <v>0</v>
      </c>
      <c r="GV19" s="487">
        <v>0</v>
      </c>
      <c r="GW19" s="487">
        <v>0</v>
      </c>
      <c r="GX19" s="487">
        <v>0</v>
      </c>
      <c r="GY19" s="487">
        <v>0</v>
      </c>
      <c r="GZ19" s="487">
        <v>0</v>
      </c>
      <c r="HA19" s="487">
        <v>0</v>
      </c>
      <c r="HB19" s="487">
        <v>0</v>
      </c>
      <c r="HC19" s="487">
        <v>0</v>
      </c>
      <c r="HD19" s="487">
        <v>0</v>
      </c>
      <c r="HE19" s="487">
        <v>0</v>
      </c>
      <c r="HF19" s="487">
        <v>0</v>
      </c>
      <c r="HG19" s="487">
        <v>0</v>
      </c>
      <c r="HH19" s="487">
        <v>0</v>
      </c>
      <c r="HI19" s="487">
        <v>0</v>
      </c>
      <c r="HJ19" s="487">
        <v>0</v>
      </c>
      <c r="HK19" s="487">
        <v>0</v>
      </c>
      <c r="HL19" s="467"/>
      <c r="HM19" s="467"/>
      <c r="HN19" s="467"/>
      <c r="HO19" s="467"/>
      <c r="HP19" s="467"/>
      <c r="HQ19" s="467"/>
      <c r="HR19" s="467"/>
      <c r="HS19" s="467"/>
      <c r="HT19" s="467"/>
      <c r="HU19" s="467"/>
      <c r="HV19" s="467"/>
      <c r="HW19" s="467"/>
      <c r="HX19" s="467"/>
      <c r="HY19" s="467"/>
      <c r="HZ19" s="467"/>
      <c r="IA19" s="467"/>
      <c r="IB19" s="467"/>
      <c r="IC19" s="467"/>
      <c r="ID19" s="467"/>
      <c r="IE19" s="467"/>
      <c r="IF19" s="467"/>
      <c r="IG19" s="467"/>
      <c r="IH19" s="467"/>
      <c r="II19" s="467"/>
      <c r="IJ19" s="467"/>
      <c r="IK19" s="467"/>
      <c r="IL19" s="467"/>
      <c r="IM19" s="467"/>
      <c r="IN19" s="467"/>
      <c r="IO19" s="467"/>
      <c r="IP19" s="467"/>
      <c r="IQ19" s="467"/>
      <c r="IR19" s="467"/>
      <c r="IS19" s="467"/>
      <c r="IT19" s="467"/>
      <c r="IU19" s="467"/>
      <c r="IV19" s="467"/>
      <c r="IW19" s="467"/>
      <c r="IX19" s="467"/>
      <c r="IY19" s="467"/>
      <c r="IZ19" s="467"/>
      <c r="JA19" s="467"/>
      <c r="JB19" s="467"/>
      <c r="JC19" s="467"/>
      <c r="JD19" s="467"/>
      <c r="JE19" s="467"/>
      <c r="JF19" s="467"/>
      <c r="JG19" s="467"/>
      <c r="JH19" s="467"/>
      <c r="JI19" s="467"/>
      <c r="JJ19" s="467"/>
      <c r="JK19" s="467"/>
      <c r="JL19" s="467"/>
      <c r="JM19" s="467"/>
      <c r="JN19" s="487">
        <v>4087.8199999999997</v>
      </c>
      <c r="JO19" s="487">
        <v>1440.83482</v>
      </c>
      <c r="JP19" s="487">
        <v>10286.5278753741</v>
      </c>
      <c r="JQ19" s="487">
        <v>0</v>
      </c>
      <c r="JR19" s="487">
        <v>49.46</v>
      </c>
      <c r="JS19" s="488">
        <v>16452.512695374098</v>
      </c>
      <c r="JT19" s="489">
        <f t="shared" si="10"/>
        <v>587.86999999999807</v>
      </c>
      <c r="JU19" s="487">
        <v>16452.512695374098</v>
      </c>
      <c r="JV19" s="487">
        <v>16452.512695374098</v>
      </c>
      <c r="JW19" s="487">
        <v>16452.512695374098</v>
      </c>
      <c r="JX19" s="487">
        <v>6593</v>
      </c>
      <c r="JY19" s="487">
        <v>6593</v>
      </c>
      <c r="JZ19" s="467"/>
      <c r="KA19" s="487">
        <v>6593</v>
      </c>
      <c r="KB19" s="490">
        <v>0.31273745585289331</v>
      </c>
      <c r="KC19" s="487">
        <v>3.0853740972816013E-3</v>
      </c>
      <c r="KD19" s="487">
        <v>16452.509610000001</v>
      </c>
      <c r="KE19" s="487">
        <v>6593</v>
      </c>
      <c r="KF19" s="487">
        <v>0</v>
      </c>
      <c r="KG19" s="491">
        <v>0</v>
      </c>
      <c r="KH19" s="487">
        <v>0</v>
      </c>
      <c r="KI19" s="487">
        <v>10211.439010000002</v>
      </c>
      <c r="KJ19" s="491">
        <v>2494.8543879794775</v>
      </c>
      <c r="KK19" s="487">
        <v>4093</v>
      </c>
      <c r="KL19" s="487">
        <v>4116.5879000000004</v>
      </c>
      <c r="KM19" s="491">
        <v>2494.901757575758</v>
      </c>
      <c r="KN19" s="487">
        <v>1650</v>
      </c>
      <c r="KO19" s="487">
        <v>2124.4826999999996</v>
      </c>
      <c r="KP19" s="491">
        <v>2499.3914117647055</v>
      </c>
      <c r="KQ19" s="487">
        <v>850</v>
      </c>
      <c r="KR19" s="467"/>
      <c r="KS19" s="467"/>
      <c r="KT19" s="487">
        <v>1206</v>
      </c>
      <c r="KU19" s="487">
        <v>60</v>
      </c>
      <c r="KV19" s="467"/>
      <c r="KW19" s="487">
        <v>134</v>
      </c>
      <c r="KX19" s="487">
        <v>4.45</v>
      </c>
      <c r="KY19" s="487">
        <v>0.25</v>
      </c>
      <c r="KZ19" s="467"/>
      <c r="LA19" s="487">
        <v>1560</v>
      </c>
      <c r="LB19" s="492">
        <v>615</v>
      </c>
      <c r="LC19" s="493">
        <v>0.26200000000000001</v>
      </c>
      <c r="LD19" s="494">
        <f t="shared" si="11"/>
        <v>16934.087079579946</v>
      </c>
      <c r="LE19" s="471">
        <f t="shared" si="12"/>
        <v>16934.087079579946</v>
      </c>
      <c r="LF19" s="495">
        <f t="shared" si="13"/>
        <v>10605.205251357747</v>
      </c>
      <c r="LG19" s="476">
        <f t="shared" si="14"/>
        <v>8656.6728420858999</v>
      </c>
      <c r="LH19" s="496">
        <f t="shared" si="31"/>
        <v>1.03</v>
      </c>
      <c r="LI19" s="497">
        <f t="shared" si="15"/>
        <v>8656.6728420858999</v>
      </c>
      <c r="LJ19" s="496">
        <f t="shared" si="32"/>
        <v>1.0389999999999999</v>
      </c>
      <c r="LK19" s="497">
        <f t="shared" si="16"/>
        <v>0</v>
      </c>
      <c r="LL19" s="496">
        <f t="shared" si="33"/>
        <v>1.0349999999999999</v>
      </c>
      <c r="LM19" s="497">
        <f t="shared" si="17"/>
        <v>0</v>
      </c>
      <c r="LN19" s="496">
        <f t="shared" si="34"/>
        <v>1.0349999999999999</v>
      </c>
      <c r="LO19" s="497">
        <f t="shared" si="18"/>
        <v>0</v>
      </c>
      <c r="LP19" s="496">
        <f t="shared" si="35"/>
        <v>1.0349999999999999</v>
      </c>
      <c r="LQ19" s="497">
        <f t="shared" si="19"/>
        <v>1808.8429279118482</v>
      </c>
      <c r="LR19" s="496">
        <f t="shared" si="36"/>
        <v>1.04</v>
      </c>
      <c r="LS19" s="497">
        <f t="shared" si="20"/>
        <v>139.68948136</v>
      </c>
      <c r="LT19" s="499">
        <f t="shared" si="21"/>
        <v>4204.772530199999</v>
      </c>
      <c r="LU19" s="500">
        <f t="shared" si="22"/>
        <v>3313.1630960999992</v>
      </c>
      <c r="LV19" s="501">
        <f t="shared" si="23"/>
        <v>891.60943409999993</v>
      </c>
      <c r="LW19" s="499">
        <f t="shared" si="24"/>
        <v>1485.0481980221998</v>
      </c>
      <c r="LX19" s="500">
        <f t="shared" si="25"/>
        <v>1000.5752550221999</v>
      </c>
      <c r="LY19" s="500">
        <f t="shared" si="26"/>
        <v>0</v>
      </c>
      <c r="LZ19" s="502">
        <f t="shared" si="27"/>
        <v>484.47294299999993</v>
      </c>
      <c r="MA19" s="503">
        <f t="shared" si="28"/>
        <v>587.86999999999807</v>
      </c>
      <c r="MB19" s="504">
        <f t="shared" si="29"/>
        <v>51.191099999999999</v>
      </c>
    </row>
    <row r="20" spans="1:340" ht="16.5" customHeight="1">
      <c r="A20" s="505">
        <v>1</v>
      </c>
      <c r="B20" s="506">
        <v>10</v>
      </c>
      <c r="C20" s="507" t="s">
        <v>293</v>
      </c>
      <c r="D20" s="508">
        <v>4620001192</v>
      </c>
      <c r="E20" s="469">
        <f t="shared" si="3"/>
        <v>62616.680333135591</v>
      </c>
      <c r="F20" s="470" t="s">
        <v>281</v>
      </c>
      <c r="G20" s="595">
        <v>23960.004573771737</v>
      </c>
      <c r="H20" s="597">
        <f t="shared" si="30"/>
        <v>38656.675759363854</v>
      </c>
      <c r="I20" s="597" t="s">
        <v>858</v>
      </c>
      <c r="J20" s="509">
        <f t="shared" si="4"/>
        <v>52180.566944279664</v>
      </c>
      <c r="K20" s="510">
        <f t="shared" si="5"/>
        <v>42968.019944281332</v>
      </c>
      <c r="L20" s="511">
        <f t="shared" si="6"/>
        <v>36434.878600899996</v>
      </c>
      <c r="M20" s="512">
        <v>36434.878600899996</v>
      </c>
      <c r="N20" s="513">
        <v>0</v>
      </c>
      <c r="O20" s="513">
        <v>0</v>
      </c>
      <c r="P20" s="514">
        <v>0</v>
      </c>
      <c r="Q20" s="515">
        <v>6177.5899116180472</v>
      </c>
      <c r="R20" s="516">
        <f t="shared" si="7"/>
        <v>355.55143176329466</v>
      </c>
      <c r="S20" s="517">
        <f t="shared" si="8"/>
        <v>6119.42</v>
      </c>
      <c r="T20" s="518">
        <v>5043.5</v>
      </c>
      <c r="U20" s="519">
        <v>1075.92</v>
      </c>
      <c r="V20" s="520">
        <f t="shared" si="9"/>
        <v>1718.4469999983344</v>
      </c>
      <c r="W20" s="521">
        <v>1523.1369999999999</v>
      </c>
      <c r="X20" s="518">
        <v>151.58000000000004</v>
      </c>
      <c r="Y20" s="522">
        <v>43.729999998334392</v>
      </c>
      <c r="Z20" s="523">
        <v>1374.6800000000003</v>
      </c>
      <c r="AA20" s="524">
        <v>0</v>
      </c>
      <c r="AB20" s="486"/>
      <c r="AC20" s="525">
        <v>36434.878600899996</v>
      </c>
      <c r="AD20" s="525">
        <v>36434.878600899996</v>
      </c>
      <c r="AE20" s="525">
        <v>0</v>
      </c>
      <c r="AF20" s="525">
        <v>0</v>
      </c>
      <c r="AG20" s="525">
        <v>0</v>
      </c>
      <c r="AH20" s="525">
        <v>6177.5899116180472</v>
      </c>
      <c r="AI20" s="525">
        <v>6177.5899116180472</v>
      </c>
      <c r="AJ20" s="525">
        <v>0</v>
      </c>
      <c r="AK20" s="525">
        <v>0</v>
      </c>
      <c r="AL20" s="525">
        <v>0</v>
      </c>
      <c r="AM20" s="525">
        <v>0</v>
      </c>
      <c r="AN20" s="525">
        <v>0</v>
      </c>
      <c r="AO20" s="525">
        <v>0</v>
      </c>
      <c r="AP20" s="525">
        <v>0</v>
      </c>
      <c r="AQ20" s="525">
        <v>0</v>
      </c>
      <c r="AR20" s="525">
        <v>0</v>
      </c>
      <c r="AS20" s="525">
        <v>0</v>
      </c>
      <c r="AT20" s="525">
        <v>0</v>
      </c>
      <c r="AU20" s="525">
        <v>0</v>
      </c>
      <c r="AV20" s="525">
        <v>0</v>
      </c>
      <c r="AW20" s="525">
        <v>0</v>
      </c>
      <c r="AX20" s="525">
        <v>0</v>
      </c>
      <c r="AY20" s="525">
        <v>0</v>
      </c>
      <c r="AZ20" s="525">
        <v>0</v>
      </c>
      <c r="BA20" s="525">
        <v>6177.5899116180472</v>
      </c>
      <c r="BB20" s="525">
        <v>858.87808999999993</v>
      </c>
      <c r="BC20" s="525">
        <v>0</v>
      </c>
      <c r="BD20" s="525">
        <v>0</v>
      </c>
      <c r="BE20" s="525">
        <v>0</v>
      </c>
      <c r="BF20" s="525">
        <v>0</v>
      </c>
      <c r="BG20" s="525">
        <v>0</v>
      </c>
      <c r="BH20" s="525">
        <v>0</v>
      </c>
      <c r="BI20" s="525">
        <v>0</v>
      </c>
      <c r="BJ20" s="525">
        <v>6177.5899116180472</v>
      </c>
      <c r="BK20" s="525">
        <v>7.1926271999999996</v>
      </c>
      <c r="BL20" s="525">
        <v>858.87808999999993</v>
      </c>
      <c r="BM20" s="525">
        <v>0</v>
      </c>
      <c r="BN20" s="525">
        <v>0</v>
      </c>
      <c r="BO20" s="525">
        <v>0</v>
      </c>
      <c r="BP20" s="525">
        <v>0</v>
      </c>
      <c r="BQ20" s="525">
        <v>0</v>
      </c>
      <c r="BR20" s="525">
        <v>0</v>
      </c>
      <c r="BS20" s="525">
        <v>0</v>
      </c>
      <c r="BT20" s="525">
        <v>0</v>
      </c>
      <c r="BU20" s="525">
        <v>0</v>
      </c>
      <c r="BV20" s="525">
        <v>0</v>
      </c>
      <c r="BW20" s="525">
        <v>0</v>
      </c>
      <c r="BX20" s="525">
        <v>0</v>
      </c>
      <c r="BY20" s="525">
        <v>0</v>
      </c>
      <c r="BZ20" s="525">
        <v>0</v>
      </c>
      <c r="CA20" s="525">
        <v>0</v>
      </c>
      <c r="CB20" s="525">
        <v>0</v>
      </c>
      <c r="CC20" s="525">
        <v>0</v>
      </c>
      <c r="CD20" s="525">
        <v>0</v>
      </c>
      <c r="CE20" s="525">
        <v>0</v>
      </c>
      <c r="CF20" s="525">
        <v>0</v>
      </c>
      <c r="CG20" s="525">
        <v>0</v>
      </c>
      <c r="CH20" s="525">
        <v>0</v>
      </c>
      <c r="CI20" s="525">
        <v>0</v>
      </c>
      <c r="CJ20" s="525">
        <v>0</v>
      </c>
      <c r="CK20" s="525">
        <v>0</v>
      </c>
      <c r="CL20" s="525">
        <v>0</v>
      </c>
      <c r="CM20" s="525">
        <v>5043.5</v>
      </c>
      <c r="CN20" s="525">
        <v>5043.5</v>
      </c>
      <c r="CO20" s="525">
        <v>0</v>
      </c>
      <c r="CP20" s="525">
        <v>0</v>
      </c>
      <c r="CQ20" s="525">
        <v>0</v>
      </c>
      <c r="CR20" s="525">
        <v>0</v>
      </c>
      <c r="CS20" s="525">
        <v>1523.1369999999999</v>
      </c>
      <c r="CT20" s="525">
        <v>1523.1369999999999</v>
      </c>
      <c r="CU20" s="525">
        <v>0</v>
      </c>
      <c r="CV20" s="525">
        <v>0</v>
      </c>
      <c r="CW20" s="525">
        <v>0</v>
      </c>
      <c r="CX20" s="525">
        <v>0</v>
      </c>
      <c r="CY20" s="525">
        <v>355.55143176329466</v>
      </c>
      <c r="CZ20" s="526"/>
      <c r="DA20" s="525">
        <v>29.084180000003467</v>
      </c>
      <c r="DB20" s="525">
        <v>0</v>
      </c>
      <c r="DC20" s="526"/>
      <c r="DD20" s="525">
        <v>0</v>
      </c>
      <c r="DE20" s="525">
        <v>0</v>
      </c>
      <c r="DF20" s="525">
        <v>0</v>
      </c>
      <c r="DG20" s="525">
        <v>1062.32</v>
      </c>
      <c r="DH20" s="525">
        <v>702.55</v>
      </c>
      <c r="DI20" s="525">
        <v>0</v>
      </c>
      <c r="DJ20" s="525">
        <v>359.77</v>
      </c>
      <c r="DK20" s="525">
        <v>0</v>
      </c>
      <c r="DL20" s="525">
        <v>0</v>
      </c>
      <c r="DM20" s="525">
        <v>0</v>
      </c>
      <c r="DN20" s="525">
        <v>0</v>
      </c>
      <c r="DO20" s="525">
        <v>0</v>
      </c>
      <c r="DP20" s="525">
        <v>0</v>
      </c>
      <c r="DQ20" s="525">
        <v>0</v>
      </c>
      <c r="DR20" s="525">
        <v>0</v>
      </c>
      <c r="DS20" s="525">
        <v>0</v>
      </c>
      <c r="DT20" s="525">
        <v>0</v>
      </c>
      <c r="DU20" s="525">
        <v>0</v>
      </c>
      <c r="DV20" s="525">
        <v>0</v>
      </c>
      <c r="DW20" s="525">
        <v>0</v>
      </c>
      <c r="DX20" s="525">
        <v>0</v>
      </c>
      <c r="DY20" s="525">
        <v>0</v>
      </c>
      <c r="DZ20" s="525">
        <v>0</v>
      </c>
      <c r="EA20" s="525">
        <v>0</v>
      </c>
      <c r="EB20" s="525">
        <v>0</v>
      </c>
      <c r="EC20" s="525">
        <v>0</v>
      </c>
      <c r="ED20" s="525">
        <v>0</v>
      </c>
      <c r="EE20" s="525">
        <v>0</v>
      </c>
      <c r="EF20" s="525">
        <v>0</v>
      </c>
      <c r="EG20" s="525">
        <v>0</v>
      </c>
      <c r="EH20" s="525">
        <v>0</v>
      </c>
      <c r="EI20" s="525">
        <v>0</v>
      </c>
      <c r="EJ20" s="525">
        <v>0</v>
      </c>
      <c r="EK20" s="525">
        <v>0</v>
      </c>
      <c r="EL20" s="525">
        <v>0</v>
      </c>
      <c r="EM20" s="525">
        <v>13.600000000000001</v>
      </c>
      <c r="EN20" s="525">
        <v>0</v>
      </c>
      <c r="EO20" s="525">
        <v>0</v>
      </c>
      <c r="EP20" s="525">
        <v>0</v>
      </c>
      <c r="EQ20" s="525">
        <v>0</v>
      </c>
      <c r="ER20" s="525">
        <v>0</v>
      </c>
      <c r="ES20" s="525">
        <v>0</v>
      </c>
      <c r="ET20" s="525">
        <v>0</v>
      </c>
      <c r="EU20" s="525">
        <v>0</v>
      </c>
      <c r="EV20" s="525">
        <v>0</v>
      </c>
      <c r="EW20" s="525">
        <v>0</v>
      </c>
      <c r="EX20" s="525">
        <v>0</v>
      </c>
      <c r="EY20" s="525">
        <v>0</v>
      </c>
      <c r="EZ20" s="525">
        <v>0</v>
      </c>
      <c r="FA20" s="525">
        <v>0</v>
      </c>
      <c r="FB20" s="525">
        <v>43.729999998334513</v>
      </c>
      <c r="FC20" s="525">
        <v>5.4000000000000012</v>
      </c>
      <c r="FD20" s="525">
        <v>11.2</v>
      </c>
      <c r="FE20" s="525">
        <v>0</v>
      </c>
      <c r="FF20" s="525">
        <v>27.129999998334515</v>
      </c>
      <c r="FG20" s="525">
        <v>12.989999999190466</v>
      </c>
      <c r="FH20" s="525">
        <v>14.139999999144051</v>
      </c>
      <c r="FI20" s="525">
        <v>0</v>
      </c>
      <c r="FJ20" s="525">
        <v>0</v>
      </c>
      <c r="FK20" s="525">
        <v>0</v>
      </c>
      <c r="FL20" s="525">
        <v>0</v>
      </c>
      <c r="FM20" s="525">
        <v>151.58000000000004</v>
      </c>
      <c r="FN20" s="525">
        <v>151.58000000000004</v>
      </c>
      <c r="FO20" s="525">
        <v>0</v>
      </c>
      <c r="FP20" s="525">
        <v>0</v>
      </c>
      <c r="FQ20" s="525">
        <v>0</v>
      </c>
      <c r="FR20" s="525">
        <v>0</v>
      </c>
      <c r="FS20" s="527">
        <v>50805.886944279664</v>
      </c>
      <c r="FT20" s="525">
        <v>0</v>
      </c>
      <c r="FU20" s="525">
        <v>0</v>
      </c>
      <c r="FV20" s="525">
        <v>0</v>
      </c>
      <c r="FW20" s="525">
        <v>0</v>
      </c>
      <c r="FX20" s="525">
        <v>0</v>
      </c>
      <c r="FY20" s="525">
        <v>0</v>
      </c>
      <c r="FZ20" s="525">
        <v>0</v>
      </c>
      <c r="GA20" s="525">
        <v>0</v>
      </c>
      <c r="GB20" s="525">
        <v>0</v>
      </c>
      <c r="GC20" s="525">
        <v>0</v>
      </c>
      <c r="GD20" s="525">
        <v>0</v>
      </c>
      <c r="GE20" s="525">
        <v>0</v>
      </c>
      <c r="GF20" s="525">
        <v>0</v>
      </c>
      <c r="GG20" s="525">
        <v>0</v>
      </c>
      <c r="GH20" s="525">
        <v>0</v>
      </c>
      <c r="GI20" s="525">
        <v>0</v>
      </c>
      <c r="GJ20" s="526"/>
      <c r="GK20" s="525">
        <v>0</v>
      </c>
      <c r="GL20" s="526"/>
      <c r="GM20" s="525">
        <v>0</v>
      </c>
      <c r="GN20" s="525">
        <v>0</v>
      </c>
      <c r="GO20" s="526"/>
      <c r="GP20" s="526"/>
      <c r="GQ20" s="525">
        <v>0</v>
      </c>
      <c r="GR20" s="526"/>
      <c r="GS20" s="526"/>
      <c r="GT20" s="525">
        <v>0</v>
      </c>
      <c r="GU20" s="525">
        <v>0</v>
      </c>
      <c r="GV20" s="525">
        <v>0</v>
      </c>
      <c r="GW20" s="525">
        <v>0</v>
      </c>
      <c r="GX20" s="525">
        <v>0</v>
      </c>
      <c r="GY20" s="525">
        <v>0</v>
      </c>
      <c r="GZ20" s="525">
        <v>0</v>
      </c>
      <c r="HA20" s="525">
        <v>0</v>
      </c>
      <c r="HB20" s="525">
        <v>0</v>
      </c>
      <c r="HC20" s="525">
        <v>0</v>
      </c>
      <c r="HD20" s="525">
        <v>0</v>
      </c>
      <c r="HE20" s="525">
        <v>0</v>
      </c>
      <c r="HF20" s="525">
        <v>0</v>
      </c>
      <c r="HG20" s="525">
        <v>0</v>
      </c>
      <c r="HH20" s="525">
        <v>0</v>
      </c>
      <c r="HI20" s="525">
        <v>0</v>
      </c>
      <c r="HJ20" s="525">
        <v>0</v>
      </c>
      <c r="HK20" s="525">
        <v>0</v>
      </c>
      <c r="HL20" s="526"/>
      <c r="HM20" s="526"/>
      <c r="HN20" s="526"/>
      <c r="HO20" s="526"/>
      <c r="HP20" s="526"/>
      <c r="HQ20" s="526"/>
      <c r="HR20" s="526"/>
      <c r="HS20" s="526"/>
      <c r="HT20" s="526"/>
      <c r="HU20" s="526"/>
      <c r="HV20" s="526"/>
      <c r="HW20" s="526"/>
      <c r="HX20" s="526"/>
      <c r="HY20" s="526"/>
      <c r="HZ20" s="526"/>
      <c r="IA20" s="526"/>
      <c r="IB20" s="526"/>
      <c r="IC20" s="526"/>
      <c r="ID20" s="526"/>
      <c r="IE20" s="526"/>
      <c r="IF20" s="526"/>
      <c r="IG20" s="526"/>
      <c r="IH20" s="526"/>
      <c r="II20" s="526"/>
      <c r="IJ20" s="526"/>
      <c r="IK20" s="526"/>
      <c r="IL20" s="526"/>
      <c r="IM20" s="526"/>
      <c r="IN20" s="526"/>
      <c r="IO20" s="526"/>
      <c r="IP20" s="526"/>
      <c r="IQ20" s="526"/>
      <c r="IR20" s="526"/>
      <c r="IS20" s="526"/>
      <c r="IT20" s="526"/>
      <c r="IU20" s="526"/>
      <c r="IV20" s="526"/>
      <c r="IW20" s="526"/>
      <c r="IX20" s="526"/>
      <c r="IY20" s="526"/>
      <c r="IZ20" s="526"/>
      <c r="JA20" s="526"/>
      <c r="JB20" s="526"/>
      <c r="JC20" s="526"/>
      <c r="JD20" s="526"/>
      <c r="JE20" s="526"/>
      <c r="JF20" s="526"/>
      <c r="JG20" s="526"/>
      <c r="JH20" s="526"/>
      <c r="JI20" s="526"/>
      <c r="JJ20" s="526"/>
      <c r="JK20" s="526"/>
      <c r="JL20" s="526"/>
      <c r="JM20" s="526"/>
      <c r="JN20" s="525">
        <v>6119.42</v>
      </c>
      <c r="JO20" s="525">
        <v>1718.4469999983344</v>
      </c>
      <c r="JP20" s="525">
        <v>42968.019944281332</v>
      </c>
      <c r="JQ20" s="525">
        <v>0</v>
      </c>
      <c r="JR20" s="525">
        <v>0</v>
      </c>
      <c r="JS20" s="527">
        <v>52180.566944279664</v>
      </c>
      <c r="JT20" s="528">
        <f t="shared" si="10"/>
        <v>1374.6800000000003</v>
      </c>
      <c r="JU20" s="525">
        <v>62616.680333135591</v>
      </c>
      <c r="JV20" s="525">
        <v>19980.114142651397</v>
      </c>
      <c r="JW20" s="525">
        <v>23976.136971181677</v>
      </c>
      <c r="JX20" s="525">
        <v>40061.31</v>
      </c>
      <c r="JY20" s="525">
        <v>15339.61</v>
      </c>
      <c r="JZ20" s="526"/>
      <c r="KA20" s="525">
        <v>15339.61</v>
      </c>
      <c r="KB20" s="529">
        <v>0</v>
      </c>
      <c r="KC20" s="525">
        <v>13.408080051398429</v>
      </c>
      <c r="KD20" s="525">
        <v>19966.706062599998</v>
      </c>
      <c r="KE20" s="525">
        <v>15339.61</v>
      </c>
      <c r="KF20" s="525">
        <v>0</v>
      </c>
      <c r="KG20" s="530">
        <v>0</v>
      </c>
      <c r="KH20" s="525">
        <v>0</v>
      </c>
      <c r="KI20" s="525">
        <v>1941.7288606</v>
      </c>
      <c r="KJ20" s="530">
        <v>1301.6885838975668</v>
      </c>
      <c r="KK20" s="525">
        <v>1491.6999999999998</v>
      </c>
      <c r="KL20" s="525">
        <v>17051.728509999997</v>
      </c>
      <c r="KM20" s="530">
        <v>1301.6477350190189</v>
      </c>
      <c r="KN20" s="525">
        <v>13100.109999999999</v>
      </c>
      <c r="KO20" s="525">
        <v>973.24869200000012</v>
      </c>
      <c r="KP20" s="530">
        <v>1301.4826049745923</v>
      </c>
      <c r="KQ20" s="525">
        <v>747.80000000000007</v>
      </c>
      <c r="KR20" s="526"/>
      <c r="KS20" s="526"/>
      <c r="KT20" s="531">
        <v>28661.428</v>
      </c>
      <c r="KU20" s="531">
        <v>61.5</v>
      </c>
      <c r="KV20" s="526"/>
      <c r="KW20" s="531">
        <v>25822.771000000001</v>
      </c>
      <c r="KX20" s="531">
        <v>19.257000000000001</v>
      </c>
      <c r="KY20" s="531">
        <v>19.103000000000002</v>
      </c>
      <c r="KZ20" s="526"/>
      <c r="LA20" s="531">
        <v>395</v>
      </c>
      <c r="LB20" s="532">
        <v>1824</v>
      </c>
      <c r="LC20" s="533">
        <v>0.6</v>
      </c>
      <c r="LD20" s="494">
        <f t="shared" si="11"/>
        <v>64475.448494704535</v>
      </c>
      <c r="LE20" s="509">
        <f t="shared" si="12"/>
        <v>53729.54041225378</v>
      </c>
      <c r="LF20" s="534">
        <f t="shared" si="13"/>
        <v>44291.504006485498</v>
      </c>
      <c r="LG20" s="535">
        <f t="shared" si="14"/>
        <v>37527.924958926997</v>
      </c>
      <c r="LH20" s="536">
        <f t="shared" si="31"/>
        <v>1.03</v>
      </c>
      <c r="LI20" s="537">
        <f t="shared" si="15"/>
        <v>37527.924958926997</v>
      </c>
      <c r="LJ20" s="536">
        <f t="shared" si="32"/>
        <v>1.0389999999999999</v>
      </c>
      <c r="LK20" s="537">
        <f t="shared" si="16"/>
        <v>0</v>
      </c>
      <c r="LL20" s="536">
        <f t="shared" si="33"/>
        <v>1.0349999999999999</v>
      </c>
      <c r="LM20" s="537">
        <f t="shared" si="17"/>
        <v>0</v>
      </c>
      <c r="LN20" s="536">
        <f t="shared" si="34"/>
        <v>1.0349999999999999</v>
      </c>
      <c r="LO20" s="537">
        <f t="shared" si="18"/>
        <v>0</v>
      </c>
      <c r="LP20" s="536">
        <f t="shared" si="35"/>
        <v>1.0349999999999999</v>
      </c>
      <c r="LQ20" s="537">
        <f t="shared" si="19"/>
        <v>6393.8055585246784</v>
      </c>
      <c r="LR20" s="536">
        <f t="shared" si="36"/>
        <v>1.04</v>
      </c>
      <c r="LS20" s="537">
        <f t="shared" si="20"/>
        <v>369.77348903382648</v>
      </c>
      <c r="LT20" s="539">
        <f t="shared" si="21"/>
        <v>6294.4966061999994</v>
      </c>
      <c r="LU20" s="540">
        <f t="shared" si="22"/>
        <v>5187.7945349999991</v>
      </c>
      <c r="LV20" s="541">
        <f t="shared" si="23"/>
        <v>1106.7020712000001</v>
      </c>
      <c r="LW20" s="542">
        <f t="shared" si="24"/>
        <v>1768.8597995682758</v>
      </c>
      <c r="LX20" s="540">
        <f t="shared" si="25"/>
        <v>1566.7139495699998</v>
      </c>
      <c r="LY20" s="540">
        <f t="shared" si="26"/>
        <v>156.88530000000003</v>
      </c>
      <c r="LZ20" s="543">
        <f t="shared" si="27"/>
        <v>45.26054999827609</v>
      </c>
      <c r="MA20" s="544">
        <f t="shared" si="28"/>
        <v>1374.6800000000003</v>
      </c>
      <c r="MB20" s="545">
        <f t="shared" si="29"/>
        <v>0</v>
      </c>
    </row>
    <row r="21" spans="1:340" ht="16.5" customHeight="1">
      <c r="A21" s="465">
        <v>1</v>
      </c>
      <c r="B21" s="466">
        <v>11</v>
      </c>
      <c r="C21" s="467" t="s">
        <v>294</v>
      </c>
      <c r="D21" s="468">
        <v>4611016308</v>
      </c>
      <c r="E21" s="469">
        <f t="shared" si="3"/>
        <v>101318.44308036598</v>
      </c>
      <c r="F21" s="470" t="s">
        <v>281</v>
      </c>
      <c r="G21" s="595">
        <v>101318.29659020001</v>
      </c>
      <c r="H21" s="595">
        <f t="shared" si="30"/>
        <v>0.14649016596376896</v>
      </c>
      <c r="I21" s="595"/>
      <c r="J21" s="471">
        <f t="shared" si="4"/>
        <v>84432.035900304982</v>
      </c>
      <c r="K21" s="472">
        <f t="shared" si="5"/>
        <v>47255.583460304988</v>
      </c>
      <c r="L21" s="473">
        <f t="shared" si="6"/>
        <v>38197.289123099996</v>
      </c>
      <c r="M21" s="474">
        <v>38197.289123099996</v>
      </c>
      <c r="N21" s="475">
        <v>0</v>
      </c>
      <c r="O21" s="475">
        <v>0</v>
      </c>
      <c r="P21" s="476">
        <v>0</v>
      </c>
      <c r="Q21" s="477">
        <v>8440.1790822049988</v>
      </c>
      <c r="R21" s="478">
        <f t="shared" si="7"/>
        <v>618.11525500000005</v>
      </c>
      <c r="S21" s="479">
        <f t="shared" si="8"/>
        <v>21821.079999999998</v>
      </c>
      <c r="T21" s="479">
        <v>15393.219999999998</v>
      </c>
      <c r="U21" s="480">
        <v>6427.8600000000006</v>
      </c>
      <c r="V21" s="481">
        <f t="shared" si="9"/>
        <v>13403.25244</v>
      </c>
      <c r="W21" s="482">
        <v>4648.7524400000002</v>
      </c>
      <c r="X21" s="479">
        <v>4741.22</v>
      </c>
      <c r="Y21" s="483">
        <v>4013.2799999999997</v>
      </c>
      <c r="Z21" s="484">
        <v>-4.5474735088646412E-12</v>
      </c>
      <c r="AA21" s="485">
        <v>1952.12</v>
      </c>
      <c r="AB21" s="486"/>
      <c r="AC21" s="487">
        <v>38197.289123099996</v>
      </c>
      <c r="AD21" s="487">
        <v>38197.289123099996</v>
      </c>
      <c r="AE21" s="487">
        <v>0</v>
      </c>
      <c r="AF21" s="487">
        <v>0</v>
      </c>
      <c r="AG21" s="487">
        <v>0</v>
      </c>
      <c r="AH21" s="487">
        <v>8440.1790822049988</v>
      </c>
      <c r="AI21" s="487">
        <v>8440.1790822049988</v>
      </c>
      <c r="AJ21" s="487">
        <v>0</v>
      </c>
      <c r="AK21" s="487">
        <v>0</v>
      </c>
      <c r="AL21" s="487">
        <v>0</v>
      </c>
      <c r="AM21" s="487">
        <v>0</v>
      </c>
      <c r="AN21" s="487">
        <v>0</v>
      </c>
      <c r="AO21" s="487">
        <v>0</v>
      </c>
      <c r="AP21" s="487">
        <v>0</v>
      </c>
      <c r="AQ21" s="487">
        <v>0</v>
      </c>
      <c r="AR21" s="487">
        <v>0</v>
      </c>
      <c r="AS21" s="487">
        <v>0</v>
      </c>
      <c r="AT21" s="487">
        <v>0</v>
      </c>
      <c r="AU21" s="487">
        <v>0</v>
      </c>
      <c r="AV21" s="487">
        <v>0</v>
      </c>
      <c r="AW21" s="487">
        <v>0</v>
      </c>
      <c r="AX21" s="487">
        <v>0</v>
      </c>
      <c r="AY21" s="487">
        <v>0</v>
      </c>
      <c r="AZ21" s="487">
        <v>0</v>
      </c>
      <c r="BA21" s="487">
        <v>8440.1790822049988</v>
      </c>
      <c r="BB21" s="487">
        <v>1137.1303</v>
      </c>
      <c r="BC21" s="487">
        <v>0</v>
      </c>
      <c r="BD21" s="487">
        <v>0</v>
      </c>
      <c r="BE21" s="487">
        <v>0</v>
      </c>
      <c r="BF21" s="487">
        <v>0</v>
      </c>
      <c r="BG21" s="487">
        <v>0</v>
      </c>
      <c r="BH21" s="487">
        <v>0</v>
      </c>
      <c r="BI21" s="487">
        <v>0</v>
      </c>
      <c r="BJ21" s="487">
        <v>8440.1790822049988</v>
      </c>
      <c r="BK21" s="487">
        <v>7.4223499999999989</v>
      </c>
      <c r="BL21" s="487">
        <v>1137.1303</v>
      </c>
      <c r="BM21" s="487">
        <v>0</v>
      </c>
      <c r="BN21" s="487">
        <v>0</v>
      </c>
      <c r="BO21" s="487">
        <v>0</v>
      </c>
      <c r="BP21" s="487">
        <v>0</v>
      </c>
      <c r="BQ21" s="487">
        <v>0</v>
      </c>
      <c r="BR21" s="487">
        <v>0</v>
      </c>
      <c r="BS21" s="487">
        <v>0</v>
      </c>
      <c r="BT21" s="487">
        <v>0</v>
      </c>
      <c r="BU21" s="487">
        <v>0</v>
      </c>
      <c r="BV21" s="487">
        <v>0</v>
      </c>
      <c r="BW21" s="487">
        <v>0</v>
      </c>
      <c r="BX21" s="487">
        <v>0</v>
      </c>
      <c r="BY21" s="487">
        <v>0</v>
      </c>
      <c r="BZ21" s="487">
        <v>0</v>
      </c>
      <c r="CA21" s="487">
        <v>0</v>
      </c>
      <c r="CB21" s="487">
        <v>0</v>
      </c>
      <c r="CC21" s="487">
        <v>0</v>
      </c>
      <c r="CD21" s="487">
        <v>0</v>
      </c>
      <c r="CE21" s="487">
        <v>0</v>
      </c>
      <c r="CF21" s="487">
        <v>0</v>
      </c>
      <c r="CG21" s="487">
        <v>0</v>
      </c>
      <c r="CH21" s="487">
        <v>0</v>
      </c>
      <c r="CI21" s="487">
        <v>0</v>
      </c>
      <c r="CJ21" s="487">
        <v>0</v>
      </c>
      <c r="CK21" s="487">
        <v>0</v>
      </c>
      <c r="CL21" s="487">
        <v>0</v>
      </c>
      <c r="CM21" s="487">
        <v>15393.219999999998</v>
      </c>
      <c r="CN21" s="487">
        <v>9320.14</v>
      </c>
      <c r="CO21" s="487">
        <v>0</v>
      </c>
      <c r="CP21" s="487">
        <v>1308.3</v>
      </c>
      <c r="CQ21" s="487">
        <v>4764.78</v>
      </c>
      <c r="CR21" s="487">
        <v>0</v>
      </c>
      <c r="CS21" s="487">
        <v>4648.7524400000002</v>
      </c>
      <c r="CT21" s="487">
        <v>2814.68228</v>
      </c>
      <c r="CU21" s="487">
        <v>0</v>
      </c>
      <c r="CV21" s="487">
        <v>395.10660000000001</v>
      </c>
      <c r="CW21" s="487">
        <v>1438.9635600000001</v>
      </c>
      <c r="CX21" s="487">
        <v>0</v>
      </c>
      <c r="CY21" s="487">
        <v>293.69525499999997</v>
      </c>
      <c r="CZ21" s="467"/>
      <c r="DA21" s="487">
        <v>13.6456</v>
      </c>
      <c r="DB21" s="487">
        <v>0</v>
      </c>
      <c r="DC21" s="467"/>
      <c r="DD21" s="487">
        <v>0</v>
      </c>
      <c r="DE21" s="487">
        <v>324.42000000000007</v>
      </c>
      <c r="DF21" s="487">
        <v>0</v>
      </c>
      <c r="DG21" s="487">
        <v>1683.3400000000001</v>
      </c>
      <c r="DH21" s="487">
        <v>59.870000000000005</v>
      </c>
      <c r="DI21" s="487">
        <v>0</v>
      </c>
      <c r="DJ21" s="487">
        <v>1623.47</v>
      </c>
      <c r="DK21" s="487">
        <v>0</v>
      </c>
      <c r="DL21" s="487">
        <v>0</v>
      </c>
      <c r="DM21" s="487">
        <v>0</v>
      </c>
      <c r="DN21" s="487">
        <v>0</v>
      </c>
      <c r="DO21" s="487">
        <v>0</v>
      </c>
      <c r="DP21" s="487">
        <v>2264</v>
      </c>
      <c r="DQ21" s="487">
        <v>0</v>
      </c>
      <c r="DR21" s="487">
        <v>0</v>
      </c>
      <c r="DS21" s="487">
        <v>0</v>
      </c>
      <c r="DT21" s="487">
        <v>2264</v>
      </c>
      <c r="DU21" s="487">
        <v>2023.98</v>
      </c>
      <c r="DV21" s="487">
        <v>0</v>
      </c>
      <c r="DW21" s="487">
        <v>0</v>
      </c>
      <c r="DX21" s="487">
        <v>0</v>
      </c>
      <c r="DY21" s="487">
        <v>0</v>
      </c>
      <c r="DZ21" s="487">
        <v>0</v>
      </c>
      <c r="EA21" s="487">
        <v>0</v>
      </c>
      <c r="EB21" s="487">
        <v>0</v>
      </c>
      <c r="EC21" s="487">
        <v>0</v>
      </c>
      <c r="ED21" s="487">
        <v>0</v>
      </c>
      <c r="EE21" s="487">
        <v>0</v>
      </c>
      <c r="EF21" s="487">
        <v>0</v>
      </c>
      <c r="EG21" s="487">
        <v>2023.98</v>
      </c>
      <c r="EH21" s="487">
        <v>0</v>
      </c>
      <c r="EI21" s="487">
        <v>0</v>
      </c>
      <c r="EJ21" s="487">
        <v>0</v>
      </c>
      <c r="EK21" s="487">
        <v>0</v>
      </c>
      <c r="EL21" s="487">
        <v>0</v>
      </c>
      <c r="EM21" s="487">
        <v>0</v>
      </c>
      <c r="EN21" s="487">
        <v>0</v>
      </c>
      <c r="EO21" s="487">
        <v>0</v>
      </c>
      <c r="EP21" s="487">
        <v>456.54</v>
      </c>
      <c r="EQ21" s="487">
        <v>0</v>
      </c>
      <c r="ER21" s="487">
        <v>456.54</v>
      </c>
      <c r="ES21" s="487">
        <v>123.51000000000002</v>
      </c>
      <c r="ET21" s="487">
        <v>0</v>
      </c>
      <c r="EU21" s="487">
        <v>0</v>
      </c>
      <c r="EV21" s="487">
        <v>0</v>
      </c>
      <c r="EW21" s="487">
        <v>0</v>
      </c>
      <c r="EX21" s="487">
        <v>0</v>
      </c>
      <c r="EY21" s="487">
        <v>0</v>
      </c>
      <c r="EZ21" s="487">
        <v>0</v>
      </c>
      <c r="FA21" s="487">
        <v>0</v>
      </c>
      <c r="FB21" s="487">
        <v>770.16</v>
      </c>
      <c r="FC21" s="487">
        <v>22.16</v>
      </c>
      <c r="FD21" s="487">
        <v>102</v>
      </c>
      <c r="FE21" s="487">
        <v>0</v>
      </c>
      <c r="FF21" s="487">
        <v>646</v>
      </c>
      <c r="FG21" s="487">
        <v>646</v>
      </c>
      <c r="FH21" s="487">
        <v>0</v>
      </c>
      <c r="FI21" s="487">
        <v>0</v>
      </c>
      <c r="FJ21" s="487">
        <v>0</v>
      </c>
      <c r="FK21" s="487">
        <v>0</v>
      </c>
      <c r="FL21" s="487">
        <v>0</v>
      </c>
      <c r="FM21" s="487">
        <v>4741.22</v>
      </c>
      <c r="FN21" s="487">
        <v>4741.22</v>
      </c>
      <c r="FO21" s="487">
        <v>0</v>
      </c>
      <c r="FP21" s="487">
        <v>0</v>
      </c>
      <c r="FQ21" s="487">
        <v>2620.7800000000002</v>
      </c>
      <c r="FR21" s="487">
        <v>498.82999999999993</v>
      </c>
      <c r="FS21" s="488">
        <v>82479.915900304986</v>
      </c>
      <c r="FT21" s="487">
        <v>0</v>
      </c>
      <c r="FU21" s="487">
        <v>0</v>
      </c>
      <c r="FV21" s="487">
        <v>0</v>
      </c>
      <c r="FW21" s="487">
        <v>0</v>
      </c>
      <c r="FX21" s="487">
        <v>0</v>
      </c>
      <c r="FY21" s="487">
        <v>0</v>
      </c>
      <c r="FZ21" s="487">
        <v>0</v>
      </c>
      <c r="GA21" s="487">
        <v>0</v>
      </c>
      <c r="GB21" s="487">
        <v>0</v>
      </c>
      <c r="GC21" s="487">
        <v>0</v>
      </c>
      <c r="GD21" s="487">
        <v>0</v>
      </c>
      <c r="GE21" s="487">
        <v>0</v>
      </c>
      <c r="GF21" s="487">
        <v>0</v>
      </c>
      <c r="GG21" s="487">
        <v>0</v>
      </c>
      <c r="GH21" s="487">
        <v>1952.12</v>
      </c>
      <c r="GI21" s="487">
        <v>1952.12</v>
      </c>
      <c r="GJ21" s="467"/>
      <c r="GK21" s="487">
        <v>0</v>
      </c>
      <c r="GL21" s="467"/>
      <c r="GM21" s="487">
        <v>0</v>
      </c>
      <c r="GN21" s="487">
        <v>0</v>
      </c>
      <c r="GO21" s="467"/>
      <c r="GP21" s="467"/>
      <c r="GQ21" s="487">
        <v>0</v>
      </c>
      <c r="GR21" s="467"/>
      <c r="GS21" s="467"/>
      <c r="GT21" s="487">
        <v>0</v>
      </c>
      <c r="GU21" s="487">
        <v>0</v>
      </c>
      <c r="GV21" s="487">
        <v>0</v>
      </c>
      <c r="GW21" s="487">
        <v>0</v>
      </c>
      <c r="GX21" s="487">
        <v>0</v>
      </c>
      <c r="GY21" s="487">
        <v>0</v>
      </c>
      <c r="GZ21" s="487">
        <v>0</v>
      </c>
      <c r="HA21" s="487">
        <v>0</v>
      </c>
      <c r="HB21" s="487">
        <v>0</v>
      </c>
      <c r="HC21" s="487">
        <v>0</v>
      </c>
      <c r="HD21" s="487">
        <v>0</v>
      </c>
      <c r="HE21" s="487">
        <v>0</v>
      </c>
      <c r="HF21" s="487">
        <v>0</v>
      </c>
      <c r="HG21" s="487">
        <v>0</v>
      </c>
      <c r="HH21" s="487">
        <v>0</v>
      </c>
      <c r="HI21" s="487">
        <v>0</v>
      </c>
      <c r="HJ21" s="487">
        <v>0</v>
      </c>
      <c r="HK21" s="487">
        <v>0</v>
      </c>
      <c r="HL21" s="467"/>
      <c r="HM21" s="467"/>
      <c r="HN21" s="467"/>
      <c r="HO21" s="467"/>
      <c r="HP21" s="467"/>
      <c r="HQ21" s="467"/>
      <c r="HR21" s="467"/>
      <c r="HS21" s="467"/>
      <c r="HT21" s="467"/>
      <c r="HU21" s="467"/>
      <c r="HV21" s="467"/>
      <c r="HW21" s="467"/>
      <c r="HX21" s="467"/>
      <c r="HY21" s="467"/>
      <c r="HZ21" s="467"/>
      <c r="IA21" s="467"/>
      <c r="IB21" s="467"/>
      <c r="IC21" s="467"/>
      <c r="ID21" s="467"/>
      <c r="IE21" s="467"/>
      <c r="IF21" s="467"/>
      <c r="IG21" s="467"/>
      <c r="IH21" s="467"/>
      <c r="II21" s="467"/>
      <c r="IJ21" s="467"/>
      <c r="IK21" s="467"/>
      <c r="IL21" s="467"/>
      <c r="IM21" s="467"/>
      <c r="IN21" s="467"/>
      <c r="IO21" s="467"/>
      <c r="IP21" s="467"/>
      <c r="IQ21" s="467"/>
      <c r="IR21" s="467"/>
      <c r="IS21" s="467"/>
      <c r="IT21" s="467"/>
      <c r="IU21" s="467"/>
      <c r="IV21" s="467"/>
      <c r="IW21" s="467"/>
      <c r="IX21" s="467"/>
      <c r="IY21" s="467"/>
      <c r="IZ21" s="467"/>
      <c r="JA21" s="467"/>
      <c r="JB21" s="467"/>
      <c r="JC21" s="467"/>
      <c r="JD21" s="467"/>
      <c r="JE21" s="467"/>
      <c r="JF21" s="467"/>
      <c r="JG21" s="467"/>
      <c r="JH21" s="467"/>
      <c r="JI21" s="467"/>
      <c r="JJ21" s="467"/>
      <c r="JK21" s="467"/>
      <c r="JL21" s="467"/>
      <c r="JM21" s="467"/>
      <c r="JN21" s="487">
        <v>21821.079999999998</v>
      </c>
      <c r="JO21" s="487">
        <v>13403.25244</v>
      </c>
      <c r="JP21" s="487">
        <v>47255.583460304988</v>
      </c>
      <c r="JQ21" s="487">
        <v>0</v>
      </c>
      <c r="JR21" s="487">
        <v>1952.12</v>
      </c>
      <c r="JS21" s="488">
        <v>84432.035900304982</v>
      </c>
      <c r="JT21" s="489">
        <f t="shared" si="10"/>
        <v>-4.5474735088646412E-12</v>
      </c>
      <c r="JU21" s="487">
        <v>101318.44308036598</v>
      </c>
      <c r="JV21" s="487">
        <v>84432.035900304982</v>
      </c>
      <c r="JW21" s="487">
        <v>101318.44308036598</v>
      </c>
      <c r="JX21" s="487">
        <v>35893.089999999997</v>
      </c>
      <c r="JY21" s="487">
        <v>35893.089999999997</v>
      </c>
      <c r="JZ21" s="467"/>
      <c r="KA21" s="487">
        <v>35893.089999999997</v>
      </c>
      <c r="KB21" s="490">
        <v>2.3667822386719739</v>
      </c>
      <c r="KC21" s="487">
        <v>2.4315049668075517E-3</v>
      </c>
      <c r="KD21" s="487">
        <v>84432.033468800015</v>
      </c>
      <c r="KE21" s="487">
        <v>35893.089999999997</v>
      </c>
      <c r="KF21" s="487">
        <v>0</v>
      </c>
      <c r="KG21" s="491">
        <v>0</v>
      </c>
      <c r="KH21" s="487">
        <v>0</v>
      </c>
      <c r="KI21" s="487">
        <v>39807.5586176</v>
      </c>
      <c r="KJ21" s="491">
        <v>2352.3200000000002</v>
      </c>
      <c r="KK21" s="487">
        <v>16922.68</v>
      </c>
      <c r="KL21" s="487">
        <v>44135.192291200001</v>
      </c>
      <c r="KM21" s="491">
        <v>2352.3200000000002</v>
      </c>
      <c r="KN21" s="487">
        <v>18762.41</v>
      </c>
      <c r="KO21" s="487">
        <v>489.28256000000005</v>
      </c>
      <c r="KP21" s="491">
        <v>2352.3200000000002</v>
      </c>
      <c r="KQ21" s="487">
        <v>208</v>
      </c>
      <c r="KR21" s="467"/>
      <c r="KS21" s="467"/>
      <c r="KT21" s="487">
        <v>159585.31</v>
      </c>
      <c r="KU21" s="487">
        <v>78.66</v>
      </c>
      <c r="KV21" s="467"/>
      <c r="KW21" s="487">
        <v>31176.3</v>
      </c>
      <c r="KX21" s="487">
        <v>12.462</v>
      </c>
      <c r="KY21" s="487">
        <v>0.25</v>
      </c>
      <c r="KZ21" s="467"/>
      <c r="LA21" s="487">
        <v>11772.13</v>
      </c>
      <c r="LB21" s="492">
        <v>3288</v>
      </c>
      <c r="LC21" s="493">
        <v>1.504</v>
      </c>
      <c r="LD21" s="494">
        <f t="shared" si="11"/>
        <v>104436.14286982028</v>
      </c>
      <c r="LE21" s="471">
        <f t="shared" si="12"/>
        <v>87030.119058183569</v>
      </c>
      <c r="LF21" s="495">
        <f t="shared" si="13"/>
        <v>48721.633012075166</v>
      </c>
      <c r="LG21" s="476">
        <f t="shared" si="14"/>
        <v>39343.207796792994</v>
      </c>
      <c r="LH21" s="496">
        <f t="shared" si="31"/>
        <v>1.03</v>
      </c>
      <c r="LI21" s="497">
        <f t="shared" si="15"/>
        <v>39343.207796792994</v>
      </c>
      <c r="LJ21" s="496">
        <f t="shared" si="32"/>
        <v>1.0389999999999999</v>
      </c>
      <c r="LK21" s="497">
        <f t="shared" si="16"/>
        <v>0</v>
      </c>
      <c r="LL21" s="496">
        <f t="shared" si="33"/>
        <v>1.0349999999999999</v>
      </c>
      <c r="LM21" s="497">
        <f t="shared" si="17"/>
        <v>0</v>
      </c>
      <c r="LN21" s="496">
        <f t="shared" si="34"/>
        <v>1.0349999999999999</v>
      </c>
      <c r="LO21" s="497">
        <f t="shared" si="18"/>
        <v>0</v>
      </c>
      <c r="LP21" s="496">
        <f t="shared" si="35"/>
        <v>1.0349999999999999</v>
      </c>
      <c r="LQ21" s="497">
        <f t="shared" si="19"/>
        <v>8735.5853500821722</v>
      </c>
      <c r="LR21" s="496">
        <f t="shared" si="36"/>
        <v>1.04</v>
      </c>
      <c r="LS21" s="497">
        <f t="shared" si="20"/>
        <v>642.83986520000008</v>
      </c>
      <c r="LT21" s="499">
        <f t="shared" si="21"/>
        <v>22445.381098799997</v>
      </c>
      <c r="LU21" s="500">
        <f t="shared" si="22"/>
        <v>15833.620024199998</v>
      </c>
      <c r="LV21" s="501">
        <f t="shared" si="23"/>
        <v>6611.7610746000009</v>
      </c>
      <c r="LW21" s="499">
        <f t="shared" si="24"/>
        <v>13842.6607473084</v>
      </c>
      <c r="LX21" s="500">
        <f t="shared" si="25"/>
        <v>4781.7532473083993</v>
      </c>
      <c r="LY21" s="500">
        <f t="shared" si="26"/>
        <v>4907.1626999999999</v>
      </c>
      <c r="LZ21" s="502">
        <f t="shared" si="27"/>
        <v>4153.7447999999995</v>
      </c>
      <c r="MA21" s="503">
        <f t="shared" si="28"/>
        <v>-4.5474735088646412E-12</v>
      </c>
      <c r="MB21" s="504">
        <f t="shared" si="29"/>
        <v>2020.4441999999997</v>
      </c>
    </row>
    <row r="22" spans="1:340" ht="16.5" customHeight="1">
      <c r="A22" s="505">
        <v>1</v>
      </c>
      <c r="B22" s="506">
        <v>12</v>
      </c>
      <c r="C22" s="507" t="s">
        <v>295</v>
      </c>
      <c r="D22" s="508">
        <v>4630001280</v>
      </c>
      <c r="E22" s="469">
        <f t="shared" si="3"/>
        <v>24286.651004363997</v>
      </c>
      <c r="F22" s="470" t="s">
        <v>281</v>
      </c>
      <c r="G22" s="595">
        <v>157.19870759999998</v>
      </c>
      <c r="H22" s="597">
        <f t="shared" si="30"/>
        <v>24129.452296763997</v>
      </c>
      <c r="I22" s="597" t="s">
        <v>858</v>
      </c>
      <c r="J22" s="509">
        <f t="shared" si="4"/>
        <v>20238.875836969997</v>
      </c>
      <c r="K22" s="510">
        <f t="shared" si="5"/>
        <v>12106.778696970001</v>
      </c>
      <c r="L22" s="511">
        <f t="shared" si="6"/>
        <v>10680.138296730001</v>
      </c>
      <c r="M22" s="512">
        <v>10680.138296730001</v>
      </c>
      <c r="N22" s="513">
        <v>0</v>
      </c>
      <c r="O22" s="513">
        <v>0</v>
      </c>
      <c r="P22" s="514">
        <v>0</v>
      </c>
      <c r="Q22" s="515">
        <v>1279.4043182399998</v>
      </c>
      <c r="R22" s="516">
        <f t="shared" si="7"/>
        <v>147.23608200000001</v>
      </c>
      <c r="S22" s="517">
        <f t="shared" si="8"/>
        <v>5742.7789999999995</v>
      </c>
      <c r="T22" s="518">
        <v>3366.4550000000004</v>
      </c>
      <c r="U22" s="519">
        <v>2376.3239999999992</v>
      </c>
      <c r="V22" s="520">
        <f t="shared" si="9"/>
        <v>1752.11814</v>
      </c>
      <c r="W22" s="521">
        <v>1036.86814</v>
      </c>
      <c r="X22" s="518">
        <v>699.44000000000017</v>
      </c>
      <c r="Y22" s="522">
        <v>15.809999999999832</v>
      </c>
      <c r="Z22" s="523">
        <v>226.9399999999971</v>
      </c>
      <c r="AA22" s="524">
        <v>410.26</v>
      </c>
      <c r="AB22" s="486"/>
      <c r="AC22" s="525">
        <v>10680.138296730001</v>
      </c>
      <c r="AD22" s="525">
        <v>10680.138296730001</v>
      </c>
      <c r="AE22" s="525">
        <v>0</v>
      </c>
      <c r="AF22" s="525">
        <v>0</v>
      </c>
      <c r="AG22" s="525">
        <v>0</v>
      </c>
      <c r="AH22" s="525">
        <v>1279.4043182399998</v>
      </c>
      <c r="AI22" s="525">
        <v>1279.4043182399998</v>
      </c>
      <c r="AJ22" s="525">
        <v>0</v>
      </c>
      <c r="AK22" s="525">
        <v>0</v>
      </c>
      <c r="AL22" s="525">
        <v>0</v>
      </c>
      <c r="AM22" s="525">
        <v>0</v>
      </c>
      <c r="AN22" s="525">
        <v>0</v>
      </c>
      <c r="AO22" s="525">
        <v>0</v>
      </c>
      <c r="AP22" s="525">
        <v>0</v>
      </c>
      <c r="AQ22" s="525">
        <v>0</v>
      </c>
      <c r="AR22" s="525">
        <v>0</v>
      </c>
      <c r="AS22" s="525">
        <v>0</v>
      </c>
      <c r="AT22" s="525">
        <v>0</v>
      </c>
      <c r="AU22" s="525">
        <v>0</v>
      </c>
      <c r="AV22" s="525">
        <v>0</v>
      </c>
      <c r="AW22" s="525">
        <v>0</v>
      </c>
      <c r="AX22" s="525">
        <v>0</v>
      </c>
      <c r="AY22" s="525">
        <v>0</v>
      </c>
      <c r="AZ22" s="525">
        <v>0</v>
      </c>
      <c r="BA22" s="525">
        <v>1279.4043182399998</v>
      </c>
      <c r="BB22" s="525">
        <v>299.42399999999998</v>
      </c>
      <c r="BC22" s="525">
        <v>0</v>
      </c>
      <c r="BD22" s="525">
        <v>1279.4043182399998</v>
      </c>
      <c r="BE22" s="525">
        <v>4.2728849999999996</v>
      </c>
      <c r="BF22" s="525">
        <v>299.42399999999998</v>
      </c>
      <c r="BG22" s="525">
        <v>0</v>
      </c>
      <c r="BH22" s="525">
        <v>0</v>
      </c>
      <c r="BI22" s="525">
        <v>0</v>
      </c>
      <c r="BJ22" s="525">
        <v>0</v>
      </c>
      <c r="BK22" s="525">
        <v>0</v>
      </c>
      <c r="BL22" s="525">
        <v>0</v>
      </c>
      <c r="BM22" s="525">
        <v>0</v>
      </c>
      <c r="BN22" s="525">
        <v>0</v>
      </c>
      <c r="BO22" s="525">
        <v>0</v>
      </c>
      <c r="BP22" s="525">
        <v>0</v>
      </c>
      <c r="BQ22" s="525">
        <v>0</v>
      </c>
      <c r="BR22" s="525">
        <v>0</v>
      </c>
      <c r="BS22" s="525">
        <v>0</v>
      </c>
      <c r="BT22" s="525">
        <v>0</v>
      </c>
      <c r="BU22" s="525">
        <v>0</v>
      </c>
      <c r="BV22" s="525">
        <v>0</v>
      </c>
      <c r="BW22" s="525">
        <v>0</v>
      </c>
      <c r="BX22" s="525">
        <v>0</v>
      </c>
      <c r="BY22" s="525">
        <v>0</v>
      </c>
      <c r="BZ22" s="525">
        <v>0</v>
      </c>
      <c r="CA22" s="525">
        <v>0</v>
      </c>
      <c r="CB22" s="525">
        <v>0</v>
      </c>
      <c r="CC22" s="525">
        <v>0</v>
      </c>
      <c r="CD22" s="525">
        <v>0</v>
      </c>
      <c r="CE22" s="525">
        <v>0</v>
      </c>
      <c r="CF22" s="525">
        <v>0</v>
      </c>
      <c r="CG22" s="525">
        <v>0</v>
      </c>
      <c r="CH22" s="525">
        <v>0</v>
      </c>
      <c r="CI22" s="525">
        <v>0</v>
      </c>
      <c r="CJ22" s="525">
        <v>0</v>
      </c>
      <c r="CK22" s="525">
        <v>0</v>
      </c>
      <c r="CL22" s="525">
        <v>0</v>
      </c>
      <c r="CM22" s="525">
        <v>3366.4550000000004</v>
      </c>
      <c r="CN22" s="525">
        <v>2188.5100000000002</v>
      </c>
      <c r="CO22" s="525">
        <v>0</v>
      </c>
      <c r="CP22" s="525">
        <v>657.20499999999993</v>
      </c>
      <c r="CQ22" s="525">
        <v>520.74</v>
      </c>
      <c r="CR22" s="525">
        <v>0</v>
      </c>
      <c r="CS22" s="525">
        <v>1036.86814</v>
      </c>
      <c r="CT22" s="525">
        <v>674.06108000000006</v>
      </c>
      <c r="CU22" s="525">
        <v>0</v>
      </c>
      <c r="CV22" s="525">
        <v>202.41914</v>
      </c>
      <c r="CW22" s="525">
        <v>160.38792000000001</v>
      </c>
      <c r="CX22" s="525">
        <v>0</v>
      </c>
      <c r="CY22" s="525">
        <v>147.23608200000001</v>
      </c>
      <c r="CZ22" s="526"/>
      <c r="DA22" s="525">
        <v>9.7314000000000007</v>
      </c>
      <c r="DB22" s="525">
        <v>0</v>
      </c>
      <c r="DC22" s="526"/>
      <c r="DD22" s="525">
        <v>0</v>
      </c>
      <c r="DE22" s="525">
        <v>0</v>
      </c>
      <c r="DF22" s="525">
        <v>0</v>
      </c>
      <c r="DG22" s="525">
        <v>1572.52</v>
      </c>
      <c r="DH22" s="525">
        <v>411.22</v>
      </c>
      <c r="DI22" s="525">
        <v>0</v>
      </c>
      <c r="DJ22" s="525">
        <v>1161.3</v>
      </c>
      <c r="DK22" s="525">
        <v>0</v>
      </c>
      <c r="DL22" s="525">
        <v>0</v>
      </c>
      <c r="DM22" s="525">
        <v>0</v>
      </c>
      <c r="DN22" s="525">
        <v>0</v>
      </c>
      <c r="DO22" s="525">
        <v>0</v>
      </c>
      <c r="DP22" s="525">
        <v>737.05999999999983</v>
      </c>
      <c r="DQ22" s="525">
        <v>0</v>
      </c>
      <c r="DR22" s="525">
        <v>0</v>
      </c>
      <c r="DS22" s="525">
        <v>0</v>
      </c>
      <c r="DT22" s="525">
        <v>737.05999999999983</v>
      </c>
      <c r="DU22" s="525">
        <v>25.48</v>
      </c>
      <c r="DV22" s="525">
        <v>0</v>
      </c>
      <c r="DW22" s="525">
        <v>0</v>
      </c>
      <c r="DX22" s="525">
        <v>0</v>
      </c>
      <c r="DY22" s="525">
        <v>0</v>
      </c>
      <c r="DZ22" s="525">
        <v>0</v>
      </c>
      <c r="EA22" s="525">
        <v>0</v>
      </c>
      <c r="EB22" s="525">
        <v>0</v>
      </c>
      <c r="EC22" s="525">
        <v>0</v>
      </c>
      <c r="ED22" s="525">
        <v>0</v>
      </c>
      <c r="EE22" s="525">
        <v>0</v>
      </c>
      <c r="EF22" s="525">
        <v>0</v>
      </c>
      <c r="EG22" s="525">
        <v>25.48</v>
      </c>
      <c r="EH22" s="525">
        <v>0</v>
      </c>
      <c r="EI22" s="525">
        <v>0</v>
      </c>
      <c r="EJ22" s="525">
        <v>0</v>
      </c>
      <c r="EK22" s="525">
        <v>0</v>
      </c>
      <c r="EL22" s="525">
        <v>0</v>
      </c>
      <c r="EM22" s="525">
        <v>12.994000000000002</v>
      </c>
      <c r="EN22" s="525">
        <v>0</v>
      </c>
      <c r="EO22" s="525">
        <v>0</v>
      </c>
      <c r="EP22" s="525">
        <v>28.27</v>
      </c>
      <c r="EQ22" s="525">
        <v>0</v>
      </c>
      <c r="ER22" s="525">
        <v>28.27</v>
      </c>
      <c r="ES22" s="525">
        <v>0</v>
      </c>
      <c r="ET22" s="525">
        <v>0</v>
      </c>
      <c r="EU22" s="525">
        <v>0</v>
      </c>
      <c r="EV22" s="525">
        <v>0</v>
      </c>
      <c r="EW22" s="525">
        <v>0</v>
      </c>
      <c r="EX22" s="525">
        <v>0</v>
      </c>
      <c r="EY22" s="525">
        <v>0</v>
      </c>
      <c r="EZ22" s="525">
        <v>0</v>
      </c>
      <c r="FA22" s="525">
        <v>0</v>
      </c>
      <c r="FB22" s="525">
        <v>15.809999999999999</v>
      </c>
      <c r="FC22" s="525">
        <v>0</v>
      </c>
      <c r="FD22" s="525">
        <v>15.809999999999999</v>
      </c>
      <c r="FE22" s="525">
        <v>0</v>
      </c>
      <c r="FF22" s="525">
        <v>0</v>
      </c>
      <c r="FG22" s="525">
        <v>0</v>
      </c>
      <c r="FH22" s="525">
        <v>0</v>
      </c>
      <c r="FI22" s="525">
        <v>0</v>
      </c>
      <c r="FJ22" s="525">
        <v>0</v>
      </c>
      <c r="FK22" s="525">
        <v>0</v>
      </c>
      <c r="FL22" s="525">
        <v>0</v>
      </c>
      <c r="FM22" s="525">
        <v>699.44000000000017</v>
      </c>
      <c r="FN22" s="525">
        <v>699.44000000000017</v>
      </c>
      <c r="FO22" s="525">
        <v>0</v>
      </c>
      <c r="FP22" s="525">
        <v>0</v>
      </c>
      <c r="FQ22" s="525">
        <v>0</v>
      </c>
      <c r="FR22" s="525">
        <v>0</v>
      </c>
      <c r="FS22" s="527">
        <v>19601.67583697</v>
      </c>
      <c r="FT22" s="525">
        <v>0</v>
      </c>
      <c r="FU22" s="525">
        <v>0</v>
      </c>
      <c r="FV22" s="525">
        <v>0</v>
      </c>
      <c r="FW22" s="525">
        <v>0</v>
      </c>
      <c r="FX22" s="525">
        <v>0</v>
      </c>
      <c r="FY22" s="525">
        <v>0</v>
      </c>
      <c r="FZ22" s="525">
        <v>0</v>
      </c>
      <c r="GA22" s="525">
        <v>0</v>
      </c>
      <c r="GB22" s="525">
        <v>0</v>
      </c>
      <c r="GC22" s="525">
        <v>0</v>
      </c>
      <c r="GD22" s="525">
        <v>0</v>
      </c>
      <c r="GE22" s="525">
        <v>0</v>
      </c>
      <c r="GF22" s="525">
        <v>0</v>
      </c>
      <c r="GG22" s="525">
        <v>0</v>
      </c>
      <c r="GH22" s="525">
        <v>410.26</v>
      </c>
      <c r="GI22" s="525">
        <v>410.26</v>
      </c>
      <c r="GJ22" s="526"/>
      <c r="GK22" s="525">
        <v>0</v>
      </c>
      <c r="GL22" s="526"/>
      <c r="GM22" s="525">
        <v>0</v>
      </c>
      <c r="GN22" s="525">
        <v>0</v>
      </c>
      <c r="GO22" s="526"/>
      <c r="GP22" s="526"/>
      <c r="GQ22" s="525">
        <v>0</v>
      </c>
      <c r="GR22" s="526"/>
      <c r="GS22" s="526"/>
      <c r="GT22" s="525">
        <v>0</v>
      </c>
      <c r="GU22" s="525">
        <v>0</v>
      </c>
      <c r="GV22" s="525">
        <v>0</v>
      </c>
      <c r="GW22" s="525">
        <v>0</v>
      </c>
      <c r="GX22" s="525">
        <v>0</v>
      </c>
      <c r="GY22" s="525">
        <v>0</v>
      </c>
      <c r="GZ22" s="525">
        <v>0</v>
      </c>
      <c r="HA22" s="525">
        <v>0</v>
      </c>
      <c r="HB22" s="525">
        <v>0</v>
      </c>
      <c r="HC22" s="525">
        <v>0</v>
      </c>
      <c r="HD22" s="525">
        <v>0</v>
      </c>
      <c r="HE22" s="525">
        <v>0</v>
      </c>
      <c r="HF22" s="525">
        <v>0</v>
      </c>
      <c r="HG22" s="525">
        <v>0</v>
      </c>
      <c r="HH22" s="525">
        <v>0</v>
      </c>
      <c r="HI22" s="525">
        <v>0</v>
      </c>
      <c r="HJ22" s="525">
        <v>0</v>
      </c>
      <c r="HK22" s="525">
        <v>0</v>
      </c>
      <c r="HL22" s="526"/>
      <c r="HM22" s="526"/>
      <c r="HN22" s="526"/>
      <c r="HO22" s="526"/>
      <c r="HP22" s="526"/>
      <c r="HQ22" s="526"/>
      <c r="HR22" s="526"/>
      <c r="HS22" s="526"/>
      <c r="HT22" s="526"/>
      <c r="HU22" s="526"/>
      <c r="HV22" s="526"/>
      <c r="HW22" s="526"/>
      <c r="HX22" s="526"/>
      <c r="HY22" s="526"/>
      <c r="HZ22" s="526"/>
      <c r="IA22" s="526"/>
      <c r="IB22" s="526"/>
      <c r="IC22" s="526"/>
      <c r="ID22" s="526"/>
      <c r="IE22" s="526"/>
      <c r="IF22" s="526"/>
      <c r="IG22" s="526"/>
      <c r="IH22" s="526"/>
      <c r="II22" s="526"/>
      <c r="IJ22" s="526"/>
      <c r="IK22" s="526"/>
      <c r="IL22" s="526"/>
      <c r="IM22" s="526"/>
      <c r="IN22" s="526"/>
      <c r="IO22" s="526"/>
      <c r="IP22" s="526"/>
      <c r="IQ22" s="526"/>
      <c r="IR22" s="526"/>
      <c r="IS22" s="526"/>
      <c r="IT22" s="526"/>
      <c r="IU22" s="526"/>
      <c r="IV22" s="526"/>
      <c r="IW22" s="526"/>
      <c r="IX22" s="526"/>
      <c r="IY22" s="526"/>
      <c r="IZ22" s="526"/>
      <c r="JA22" s="526"/>
      <c r="JB22" s="526"/>
      <c r="JC22" s="526"/>
      <c r="JD22" s="526"/>
      <c r="JE22" s="526"/>
      <c r="JF22" s="526"/>
      <c r="JG22" s="526"/>
      <c r="JH22" s="526"/>
      <c r="JI22" s="526"/>
      <c r="JJ22" s="526"/>
      <c r="JK22" s="526"/>
      <c r="JL22" s="526"/>
      <c r="JM22" s="526"/>
      <c r="JN22" s="525">
        <v>5742.7789999999995</v>
      </c>
      <c r="JO22" s="525">
        <v>1752.11814</v>
      </c>
      <c r="JP22" s="525">
        <v>12106.778696970001</v>
      </c>
      <c r="JQ22" s="525">
        <v>0</v>
      </c>
      <c r="JR22" s="525">
        <v>410.26</v>
      </c>
      <c r="JS22" s="527">
        <v>20238.875836969997</v>
      </c>
      <c r="JT22" s="528">
        <f t="shared" si="10"/>
        <v>226.9399999999971</v>
      </c>
      <c r="JU22" s="525">
        <v>24286.651004363997</v>
      </c>
      <c r="JV22" s="525">
        <v>131.24743486890821</v>
      </c>
      <c r="JW22" s="525">
        <v>157.49692184268986</v>
      </c>
      <c r="JX22" s="525">
        <v>12111.18</v>
      </c>
      <c r="JY22" s="525">
        <v>78.540000000000006</v>
      </c>
      <c r="JZ22" s="526"/>
      <c r="KA22" s="525">
        <v>78.540000000000006</v>
      </c>
      <c r="KB22" s="529">
        <v>2.0929843111996767</v>
      </c>
      <c r="KC22" s="525">
        <v>0.24832486890821315</v>
      </c>
      <c r="KD22" s="525">
        <v>130.99911</v>
      </c>
      <c r="KE22" s="525">
        <v>78.540000000000006</v>
      </c>
      <c r="KF22" s="525">
        <v>0</v>
      </c>
      <c r="KG22" s="530">
        <v>0</v>
      </c>
      <c r="KH22" s="525">
        <v>0</v>
      </c>
      <c r="KI22" s="525">
        <v>0</v>
      </c>
      <c r="KJ22" s="530">
        <v>0</v>
      </c>
      <c r="KK22" s="525">
        <v>0</v>
      </c>
      <c r="KL22" s="525">
        <v>130.99911</v>
      </c>
      <c r="KM22" s="530">
        <v>1667.9285714285713</v>
      </c>
      <c r="KN22" s="525">
        <v>78.540000000000006</v>
      </c>
      <c r="KO22" s="525">
        <v>0</v>
      </c>
      <c r="KP22" s="530">
        <v>0</v>
      </c>
      <c r="KQ22" s="525">
        <v>0</v>
      </c>
      <c r="KR22" s="526"/>
      <c r="KS22" s="526"/>
      <c r="KT22" s="531">
        <v>3794.16</v>
      </c>
      <c r="KU22" s="531">
        <v>61.08</v>
      </c>
      <c r="KV22" s="526"/>
      <c r="KW22" s="531">
        <v>51.43</v>
      </c>
      <c r="KX22" s="531">
        <v>2.0659999999999998</v>
      </c>
      <c r="KY22" s="531">
        <v>9.9999999999999995E-7</v>
      </c>
      <c r="KZ22" s="526"/>
      <c r="LA22" s="531">
        <v>78.540000000000006</v>
      </c>
      <c r="LB22" s="532">
        <v>38</v>
      </c>
      <c r="LC22" s="533">
        <v>2E-3</v>
      </c>
      <c r="LD22" s="494">
        <f t="shared" si="11"/>
        <v>25011.968561958834</v>
      </c>
      <c r="LE22" s="509">
        <f t="shared" si="12"/>
        <v>20843.307134965697</v>
      </c>
      <c r="LF22" s="534">
        <f t="shared" si="13"/>
        <v>12477.851440290302</v>
      </c>
      <c r="LG22" s="535">
        <f t="shared" si="14"/>
        <v>11000.542445631902</v>
      </c>
      <c r="LH22" s="536">
        <f t="shared" si="31"/>
        <v>1.03</v>
      </c>
      <c r="LI22" s="537">
        <f t="shared" si="15"/>
        <v>11000.542445631902</v>
      </c>
      <c r="LJ22" s="536">
        <f t="shared" si="32"/>
        <v>1.0389999999999999</v>
      </c>
      <c r="LK22" s="537">
        <f t="shared" si="16"/>
        <v>0</v>
      </c>
      <c r="LL22" s="536">
        <f t="shared" si="33"/>
        <v>1.0349999999999999</v>
      </c>
      <c r="LM22" s="537">
        <f t="shared" si="17"/>
        <v>0</v>
      </c>
      <c r="LN22" s="536">
        <f t="shared" si="34"/>
        <v>1.0349999999999999</v>
      </c>
      <c r="LO22" s="537">
        <f t="shared" si="18"/>
        <v>0</v>
      </c>
      <c r="LP22" s="536">
        <f t="shared" si="35"/>
        <v>1.0349999999999999</v>
      </c>
      <c r="LQ22" s="537">
        <f t="shared" si="19"/>
        <v>1324.1834693783996</v>
      </c>
      <c r="LR22" s="536">
        <f t="shared" si="36"/>
        <v>1.04</v>
      </c>
      <c r="LS22" s="537">
        <f t="shared" si="20"/>
        <v>153.12552528000001</v>
      </c>
      <c r="LT22" s="539">
        <f t="shared" si="21"/>
        <v>5907.0799071899983</v>
      </c>
      <c r="LU22" s="540">
        <f t="shared" si="22"/>
        <v>3462.76927755</v>
      </c>
      <c r="LV22" s="541">
        <f t="shared" si="23"/>
        <v>2444.3106296399988</v>
      </c>
      <c r="LW22" s="542">
        <f t="shared" si="24"/>
        <v>1806.8166874853998</v>
      </c>
      <c r="LX22" s="540">
        <f t="shared" si="25"/>
        <v>1066.5329374854</v>
      </c>
      <c r="LY22" s="540">
        <f t="shared" si="26"/>
        <v>723.92040000000009</v>
      </c>
      <c r="LZ22" s="543">
        <f t="shared" si="27"/>
        <v>16.363349999999823</v>
      </c>
      <c r="MA22" s="544">
        <f t="shared" si="28"/>
        <v>226.9399999999971</v>
      </c>
      <c r="MB22" s="545">
        <f t="shared" si="29"/>
        <v>424.61909999999995</v>
      </c>
    </row>
    <row r="23" spans="1:340" ht="16.5" customHeight="1">
      <c r="A23" s="465">
        <v>1</v>
      </c>
      <c r="B23" s="466">
        <v>13</v>
      </c>
      <c r="C23" s="467" t="s">
        <v>296</v>
      </c>
      <c r="D23" s="468">
        <v>4633001577</v>
      </c>
      <c r="E23" s="469">
        <f t="shared" si="3"/>
        <v>819479.67231439205</v>
      </c>
      <c r="F23" s="470" t="s">
        <v>281</v>
      </c>
      <c r="G23" s="595">
        <v>41865.523879999993</v>
      </c>
      <c r="H23" s="597">
        <f t="shared" si="30"/>
        <v>777614.14843439206</v>
      </c>
      <c r="I23" s="597" t="s">
        <v>858</v>
      </c>
      <c r="J23" s="471">
        <f t="shared" si="4"/>
        <v>682899.72692866006</v>
      </c>
      <c r="K23" s="472">
        <f t="shared" si="5"/>
        <v>409884.75288866</v>
      </c>
      <c r="L23" s="473">
        <f t="shared" si="6"/>
        <v>326679.21386925998</v>
      </c>
      <c r="M23" s="474">
        <v>326679.21386925998</v>
      </c>
      <c r="N23" s="475">
        <v>0</v>
      </c>
      <c r="O23" s="475">
        <v>0</v>
      </c>
      <c r="P23" s="476">
        <v>0</v>
      </c>
      <c r="Q23" s="477">
        <v>78801.370489400011</v>
      </c>
      <c r="R23" s="478">
        <f t="shared" si="7"/>
        <v>4404.1685300000008</v>
      </c>
      <c r="S23" s="479">
        <f t="shared" si="8"/>
        <v>203114.99600000004</v>
      </c>
      <c r="T23" s="479">
        <v>39636.216</v>
      </c>
      <c r="U23" s="480">
        <v>163478.78000000003</v>
      </c>
      <c r="V23" s="481">
        <f t="shared" si="9"/>
        <v>57022.698040000003</v>
      </c>
      <c r="W23" s="482">
        <v>12485.408040000002</v>
      </c>
      <c r="X23" s="479">
        <v>25109.52</v>
      </c>
      <c r="Y23" s="483">
        <v>19427.77</v>
      </c>
      <c r="Z23" s="484">
        <v>1493.3700000000281</v>
      </c>
      <c r="AA23" s="485">
        <v>11383.91</v>
      </c>
      <c r="AB23" s="486"/>
      <c r="AC23" s="487">
        <v>326679.21386925998</v>
      </c>
      <c r="AD23" s="487">
        <v>326679.21386925998</v>
      </c>
      <c r="AE23" s="487">
        <v>0</v>
      </c>
      <c r="AF23" s="487">
        <v>0</v>
      </c>
      <c r="AG23" s="487">
        <v>0</v>
      </c>
      <c r="AH23" s="487">
        <v>78801.370489400011</v>
      </c>
      <c r="AI23" s="487">
        <v>78801.370489400011</v>
      </c>
      <c r="AJ23" s="487">
        <v>0</v>
      </c>
      <c r="AK23" s="487">
        <v>0</v>
      </c>
      <c r="AL23" s="487">
        <v>0</v>
      </c>
      <c r="AM23" s="487">
        <v>0</v>
      </c>
      <c r="AN23" s="487">
        <v>0</v>
      </c>
      <c r="AO23" s="487">
        <v>0</v>
      </c>
      <c r="AP23" s="487">
        <v>0</v>
      </c>
      <c r="AQ23" s="487">
        <v>0</v>
      </c>
      <c r="AR23" s="487">
        <v>0</v>
      </c>
      <c r="AS23" s="487">
        <v>0</v>
      </c>
      <c r="AT23" s="487">
        <v>0</v>
      </c>
      <c r="AU23" s="487">
        <v>0</v>
      </c>
      <c r="AV23" s="487">
        <v>0</v>
      </c>
      <c r="AW23" s="487">
        <v>0</v>
      </c>
      <c r="AX23" s="487">
        <v>0</v>
      </c>
      <c r="AY23" s="487">
        <v>0</v>
      </c>
      <c r="AZ23" s="487">
        <v>0</v>
      </c>
      <c r="BA23" s="487">
        <v>78801.370489400011</v>
      </c>
      <c r="BB23" s="487">
        <v>24036.02</v>
      </c>
      <c r="BC23" s="487">
        <v>0</v>
      </c>
      <c r="BD23" s="487">
        <v>0</v>
      </c>
      <c r="BE23" s="487">
        <v>0</v>
      </c>
      <c r="BF23" s="487">
        <v>0</v>
      </c>
      <c r="BG23" s="487">
        <v>0</v>
      </c>
      <c r="BH23" s="487">
        <v>0</v>
      </c>
      <c r="BI23" s="487">
        <v>0</v>
      </c>
      <c r="BJ23" s="487">
        <v>78801.370489400011</v>
      </c>
      <c r="BK23" s="487">
        <v>3.2784700000000004</v>
      </c>
      <c r="BL23" s="487">
        <v>24036.02</v>
      </c>
      <c r="BM23" s="487">
        <v>0</v>
      </c>
      <c r="BN23" s="487">
        <v>0</v>
      </c>
      <c r="BO23" s="487">
        <v>0</v>
      </c>
      <c r="BP23" s="487">
        <v>0</v>
      </c>
      <c r="BQ23" s="487">
        <v>0</v>
      </c>
      <c r="BR23" s="487">
        <v>0</v>
      </c>
      <c r="BS23" s="487">
        <v>0</v>
      </c>
      <c r="BT23" s="487">
        <v>0</v>
      </c>
      <c r="BU23" s="487">
        <v>0</v>
      </c>
      <c r="BV23" s="487">
        <v>0</v>
      </c>
      <c r="BW23" s="487">
        <v>0</v>
      </c>
      <c r="BX23" s="487">
        <v>0</v>
      </c>
      <c r="BY23" s="487">
        <v>0</v>
      </c>
      <c r="BZ23" s="487">
        <v>0</v>
      </c>
      <c r="CA23" s="487">
        <v>0</v>
      </c>
      <c r="CB23" s="487">
        <v>0</v>
      </c>
      <c r="CC23" s="487">
        <v>0</v>
      </c>
      <c r="CD23" s="487">
        <v>0</v>
      </c>
      <c r="CE23" s="487">
        <v>0</v>
      </c>
      <c r="CF23" s="487">
        <v>0</v>
      </c>
      <c r="CG23" s="487">
        <v>0</v>
      </c>
      <c r="CH23" s="487">
        <v>0</v>
      </c>
      <c r="CI23" s="487">
        <v>0</v>
      </c>
      <c r="CJ23" s="487">
        <v>0</v>
      </c>
      <c r="CK23" s="487">
        <v>0</v>
      </c>
      <c r="CL23" s="487">
        <v>0</v>
      </c>
      <c r="CM23" s="487">
        <v>39636.216</v>
      </c>
      <c r="CN23" s="487">
        <v>39636.216</v>
      </c>
      <c r="CO23" s="487">
        <v>0</v>
      </c>
      <c r="CP23" s="487">
        <v>0</v>
      </c>
      <c r="CQ23" s="487">
        <v>0</v>
      </c>
      <c r="CR23" s="487">
        <v>0</v>
      </c>
      <c r="CS23" s="487">
        <v>12485.408040000002</v>
      </c>
      <c r="CT23" s="487">
        <v>12485.408040000002</v>
      </c>
      <c r="CU23" s="487">
        <v>0</v>
      </c>
      <c r="CV23" s="487">
        <v>0</v>
      </c>
      <c r="CW23" s="487">
        <v>0</v>
      </c>
      <c r="CX23" s="487">
        <v>0</v>
      </c>
      <c r="CY23" s="487">
        <v>4404.1685300000008</v>
      </c>
      <c r="CZ23" s="467"/>
      <c r="DA23" s="487">
        <v>389</v>
      </c>
      <c r="DB23" s="487">
        <v>0</v>
      </c>
      <c r="DC23" s="467"/>
      <c r="DD23" s="487">
        <v>0</v>
      </c>
      <c r="DE23" s="487">
        <v>0</v>
      </c>
      <c r="DF23" s="487">
        <v>0</v>
      </c>
      <c r="DG23" s="487">
        <v>28301.452000000001</v>
      </c>
      <c r="DH23" s="487">
        <v>0</v>
      </c>
      <c r="DI23" s="487">
        <v>0</v>
      </c>
      <c r="DJ23" s="487">
        <v>28301.452000000001</v>
      </c>
      <c r="DK23" s="487">
        <v>0</v>
      </c>
      <c r="DL23" s="487">
        <v>0</v>
      </c>
      <c r="DM23" s="487">
        <v>0</v>
      </c>
      <c r="DN23" s="487">
        <v>0</v>
      </c>
      <c r="DO23" s="487">
        <v>0</v>
      </c>
      <c r="DP23" s="487">
        <v>86594.475999999995</v>
      </c>
      <c r="DQ23" s="487">
        <v>0</v>
      </c>
      <c r="DR23" s="487">
        <v>0</v>
      </c>
      <c r="DS23" s="487">
        <v>0</v>
      </c>
      <c r="DT23" s="487">
        <v>86594.475999999995</v>
      </c>
      <c r="DU23" s="487">
        <v>48582.852000000006</v>
      </c>
      <c r="DV23" s="487">
        <v>0</v>
      </c>
      <c r="DW23" s="487">
        <v>0</v>
      </c>
      <c r="DX23" s="487">
        <v>0</v>
      </c>
      <c r="DY23" s="487">
        <v>0</v>
      </c>
      <c r="DZ23" s="487">
        <v>0</v>
      </c>
      <c r="EA23" s="487">
        <v>0</v>
      </c>
      <c r="EB23" s="487">
        <v>0</v>
      </c>
      <c r="EC23" s="487">
        <v>0</v>
      </c>
      <c r="ED23" s="487">
        <v>0</v>
      </c>
      <c r="EE23" s="487">
        <v>0</v>
      </c>
      <c r="EF23" s="487">
        <v>0</v>
      </c>
      <c r="EG23" s="487">
        <v>48582.852000000006</v>
      </c>
      <c r="EH23" s="487">
        <v>0</v>
      </c>
      <c r="EI23" s="487">
        <v>0</v>
      </c>
      <c r="EJ23" s="487">
        <v>0</v>
      </c>
      <c r="EK23" s="487">
        <v>0</v>
      </c>
      <c r="EL23" s="487">
        <v>0</v>
      </c>
      <c r="EM23" s="487">
        <v>0</v>
      </c>
      <c r="EN23" s="487">
        <v>0</v>
      </c>
      <c r="EO23" s="487">
        <v>0</v>
      </c>
      <c r="EP23" s="487">
        <v>0</v>
      </c>
      <c r="EQ23" s="487">
        <v>0</v>
      </c>
      <c r="ER23" s="487">
        <v>0</v>
      </c>
      <c r="ES23" s="487">
        <v>0</v>
      </c>
      <c r="ET23" s="487">
        <v>0</v>
      </c>
      <c r="EU23" s="487">
        <v>0</v>
      </c>
      <c r="EV23" s="487">
        <v>0</v>
      </c>
      <c r="EW23" s="487">
        <v>0</v>
      </c>
      <c r="EX23" s="487">
        <v>0</v>
      </c>
      <c r="EY23" s="487">
        <v>0</v>
      </c>
      <c r="EZ23" s="487">
        <v>0</v>
      </c>
      <c r="FA23" s="487">
        <v>0</v>
      </c>
      <c r="FB23" s="487">
        <v>1500</v>
      </c>
      <c r="FC23" s="487">
        <v>0</v>
      </c>
      <c r="FD23" s="487">
        <v>0</v>
      </c>
      <c r="FE23" s="487">
        <v>0</v>
      </c>
      <c r="FF23" s="487">
        <v>1500</v>
      </c>
      <c r="FG23" s="487">
        <v>1500</v>
      </c>
      <c r="FH23" s="487">
        <v>0</v>
      </c>
      <c r="FI23" s="487">
        <v>0</v>
      </c>
      <c r="FJ23" s="487">
        <v>0</v>
      </c>
      <c r="FK23" s="487">
        <v>0</v>
      </c>
      <c r="FL23" s="487">
        <v>0</v>
      </c>
      <c r="FM23" s="487">
        <v>25109.52</v>
      </c>
      <c r="FN23" s="487">
        <v>25109.52</v>
      </c>
      <c r="FO23" s="487">
        <v>0</v>
      </c>
      <c r="FP23" s="487">
        <v>0</v>
      </c>
      <c r="FQ23" s="487">
        <v>17811.080000000002</v>
      </c>
      <c r="FR23" s="487">
        <v>116.69000000000001</v>
      </c>
      <c r="FS23" s="488">
        <v>670022.44692866004</v>
      </c>
      <c r="FT23" s="487">
        <v>0</v>
      </c>
      <c r="FU23" s="487">
        <v>0</v>
      </c>
      <c r="FV23" s="487">
        <v>0</v>
      </c>
      <c r="FW23" s="487">
        <v>0</v>
      </c>
      <c r="FX23" s="487">
        <v>0</v>
      </c>
      <c r="FY23" s="487">
        <v>0</v>
      </c>
      <c r="FZ23" s="487">
        <v>0</v>
      </c>
      <c r="GA23" s="487">
        <v>0</v>
      </c>
      <c r="GB23" s="487">
        <v>0</v>
      </c>
      <c r="GC23" s="487">
        <v>0</v>
      </c>
      <c r="GD23" s="487">
        <v>0</v>
      </c>
      <c r="GE23" s="487">
        <v>0</v>
      </c>
      <c r="GF23" s="487">
        <v>0</v>
      </c>
      <c r="GG23" s="487">
        <v>0</v>
      </c>
      <c r="GH23" s="487">
        <v>11383.91</v>
      </c>
      <c r="GI23" s="487">
        <v>10917.17</v>
      </c>
      <c r="GJ23" s="467"/>
      <c r="GK23" s="487">
        <v>466.73999999999995</v>
      </c>
      <c r="GL23" s="467"/>
      <c r="GM23" s="487">
        <v>0</v>
      </c>
      <c r="GN23" s="487">
        <v>0</v>
      </c>
      <c r="GO23" s="467"/>
      <c r="GP23" s="467"/>
      <c r="GQ23" s="487">
        <v>0</v>
      </c>
      <c r="GR23" s="467"/>
      <c r="GS23" s="467"/>
      <c r="GT23" s="487">
        <v>0</v>
      </c>
      <c r="GU23" s="487">
        <v>0</v>
      </c>
      <c r="GV23" s="487">
        <v>0</v>
      </c>
      <c r="GW23" s="487">
        <v>0</v>
      </c>
      <c r="GX23" s="487">
        <v>0</v>
      </c>
      <c r="GY23" s="487">
        <v>0</v>
      </c>
      <c r="GZ23" s="487">
        <v>0</v>
      </c>
      <c r="HA23" s="487">
        <v>0</v>
      </c>
      <c r="HB23" s="487">
        <v>0</v>
      </c>
      <c r="HC23" s="487">
        <v>0</v>
      </c>
      <c r="HD23" s="487">
        <v>0</v>
      </c>
      <c r="HE23" s="487">
        <v>0</v>
      </c>
      <c r="HF23" s="487">
        <v>0</v>
      </c>
      <c r="HG23" s="487">
        <v>0</v>
      </c>
      <c r="HH23" s="487">
        <v>0</v>
      </c>
      <c r="HI23" s="487">
        <v>0</v>
      </c>
      <c r="HJ23" s="487">
        <v>0</v>
      </c>
      <c r="HK23" s="487">
        <v>0</v>
      </c>
      <c r="HL23" s="467"/>
      <c r="HM23" s="467"/>
      <c r="HN23" s="467"/>
      <c r="HO23" s="467"/>
      <c r="HP23" s="467"/>
      <c r="HQ23" s="467"/>
      <c r="HR23" s="467"/>
      <c r="HS23" s="467"/>
      <c r="HT23" s="467"/>
      <c r="HU23" s="467"/>
      <c r="HV23" s="467"/>
      <c r="HW23" s="467"/>
      <c r="HX23" s="467"/>
      <c r="HY23" s="467"/>
      <c r="HZ23" s="467"/>
      <c r="IA23" s="467"/>
      <c r="IB23" s="467"/>
      <c r="IC23" s="467"/>
      <c r="ID23" s="467"/>
      <c r="IE23" s="467"/>
      <c r="IF23" s="467"/>
      <c r="IG23" s="467"/>
      <c r="IH23" s="467"/>
      <c r="II23" s="467"/>
      <c r="IJ23" s="467"/>
      <c r="IK23" s="467"/>
      <c r="IL23" s="467"/>
      <c r="IM23" s="467"/>
      <c r="IN23" s="467"/>
      <c r="IO23" s="467"/>
      <c r="IP23" s="467"/>
      <c r="IQ23" s="467"/>
      <c r="IR23" s="467"/>
      <c r="IS23" s="467"/>
      <c r="IT23" s="467"/>
      <c r="IU23" s="467"/>
      <c r="IV23" s="467"/>
      <c r="IW23" s="467"/>
      <c r="IX23" s="467"/>
      <c r="IY23" s="467"/>
      <c r="IZ23" s="467"/>
      <c r="JA23" s="467"/>
      <c r="JB23" s="467"/>
      <c r="JC23" s="467"/>
      <c r="JD23" s="467"/>
      <c r="JE23" s="467"/>
      <c r="JF23" s="467"/>
      <c r="JG23" s="467"/>
      <c r="JH23" s="467"/>
      <c r="JI23" s="467"/>
      <c r="JJ23" s="467"/>
      <c r="JK23" s="467"/>
      <c r="JL23" s="467"/>
      <c r="JM23" s="467"/>
      <c r="JN23" s="487">
        <v>203114.99600000001</v>
      </c>
      <c r="JO23" s="487">
        <v>57022.698040000003</v>
      </c>
      <c r="JP23" s="487">
        <v>409884.75288866</v>
      </c>
      <c r="JQ23" s="487">
        <v>0</v>
      </c>
      <c r="JR23" s="487">
        <v>11383.91</v>
      </c>
      <c r="JS23" s="488">
        <v>682899.72692866006</v>
      </c>
      <c r="JT23" s="489">
        <f t="shared" si="10"/>
        <v>1493.3700000000281</v>
      </c>
      <c r="JU23" s="487">
        <v>819479.67231439205</v>
      </c>
      <c r="JV23" s="487">
        <v>34887.920246001864</v>
      </c>
      <c r="JW23" s="487">
        <v>41865.504295202234</v>
      </c>
      <c r="JX23" s="487">
        <v>395299</v>
      </c>
      <c r="JY23" s="487">
        <v>20195</v>
      </c>
      <c r="JZ23" s="467"/>
      <c r="KA23" s="487">
        <v>20195</v>
      </c>
      <c r="KB23" s="490">
        <v>1.6990341222421896</v>
      </c>
      <c r="KC23" s="487">
        <v>-3.4339981357334182E-3</v>
      </c>
      <c r="KD23" s="487">
        <v>34887.92368</v>
      </c>
      <c r="KE23" s="487">
        <v>20195</v>
      </c>
      <c r="KF23" s="487">
        <v>0</v>
      </c>
      <c r="KG23" s="491">
        <v>0</v>
      </c>
      <c r="KH23" s="487">
        <v>0</v>
      </c>
      <c r="KI23" s="487">
        <v>0</v>
      </c>
      <c r="KJ23" s="491">
        <v>0</v>
      </c>
      <c r="KK23" s="487">
        <v>0</v>
      </c>
      <c r="KL23" s="487">
        <v>0</v>
      </c>
      <c r="KM23" s="491">
        <v>0</v>
      </c>
      <c r="KN23" s="487">
        <v>0</v>
      </c>
      <c r="KO23" s="487">
        <v>34887.92368</v>
      </c>
      <c r="KP23" s="491">
        <v>1727.5525466699678</v>
      </c>
      <c r="KQ23" s="487">
        <v>20195</v>
      </c>
      <c r="KR23" s="467"/>
      <c r="KS23" s="467"/>
      <c r="KT23" s="487">
        <v>226090.58</v>
      </c>
      <c r="KU23" s="487">
        <v>46.8</v>
      </c>
      <c r="KV23" s="467"/>
      <c r="KW23" s="487">
        <v>89884.55</v>
      </c>
      <c r="KX23" s="487">
        <v>42.38</v>
      </c>
      <c r="KY23" s="487"/>
      <c r="KZ23" s="467"/>
      <c r="LA23" s="487">
        <v>2554</v>
      </c>
      <c r="LB23" s="492"/>
      <c r="LC23" s="493">
        <v>3.3000000000000002E-2</v>
      </c>
      <c r="LD23" s="494">
        <f t="shared" si="11"/>
        <v>844511.86513518146</v>
      </c>
      <c r="LE23" s="471">
        <f t="shared" si="12"/>
        <v>703759.88761265122</v>
      </c>
      <c r="LF23" s="495">
        <f t="shared" si="13"/>
        <v>422619.34401306679</v>
      </c>
      <c r="LG23" s="476">
        <f t="shared" si="14"/>
        <v>336479.59028533776</v>
      </c>
      <c r="LH23" s="496">
        <f t="shared" si="31"/>
        <v>1.03</v>
      </c>
      <c r="LI23" s="497">
        <f t="shared" si="15"/>
        <v>336479.59028533776</v>
      </c>
      <c r="LJ23" s="496">
        <f t="shared" si="32"/>
        <v>1.0389999999999999</v>
      </c>
      <c r="LK23" s="497">
        <f t="shared" si="16"/>
        <v>0</v>
      </c>
      <c r="LL23" s="496">
        <f t="shared" si="33"/>
        <v>1.0349999999999999</v>
      </c>
      <c r="LM23" s="497">
        <f t="shared" si="17"/>
        <v>0</v>
      </c>
      <c r="LN23" s="496">
        <f t="shared" si="34"/>
        <v>1.0349999999999999</v>
      </c>
      <c r="LO23" s="497">
        <f t="shared" si="18"/>
        <v>0</v>
      </c>
      <c r="LP23" s="496">
        <f t="shared" si="35"/>
        <v>1.0349999999999999</v>
      </c>
      <c r="LQ23" s="497">
        <f t="shared" si="19"/>
        <v>81559.418456529005</v>
      </c>
      <c r="LR23" s="496">
        <f t="shared" si="36"/>
        <v>1.04</v>
      </c>
      <c r="LS23" s="497">
        <f t="shared" si="20"/>
        <v>4580.3352712000014</v>
      </c>
      <c r="LT23" s="499">
        <f t="shared" si="21"/>
        <v>208926.11603556003</v>
      </c>
      <c r="LU23" s="500">
        <f t="shared" si="22"/>
        <v>40770.208139759998</v>
      </c>
      <c r="LV23" s="501">
        <f t="shared" si="23"/>
        <v>168155.90789580002</v>
      </c>
      <c r="LW23" s="499">
        <f t="shared" si="24"/>
        <v>58938.710714024404</v>
      </c>
      <c r="LX23" s="500">
        <f t="shared" si="25"/>
        <v>12842.615564024401</v>
      </c>
      <c r="LY23" s="500">
        <f t="shared" si="26"/>
        <v>25988.353199999998</v>
      </c>
      <c r="LZ23" s="502">
        <f t="shared" si="27"/>
        <v>20107.74195</v>
      </c>
      <c r="MA23" s="503">
        <f t="shared" si="28"/>
        <v>1493.3700000000281</v>
      </c>
      <c r="MB23" s="504">
        <f t="shared" si="29"/>
        <v>11782.346849999998</v>
      </c>
    </row>
    <row r="24" spans="1:340" ht="16.5" customHeight="1">
      <c r="A24" s="505">
        <v>1</v>
      </c>
      <c r="B24" s="506">
        <v>14</v>
      </c>
      <c r="C24" s="507" t="s">
        <v>297</v>
      </c>
      <c r="D24" s="508">
        <v>4632121159</v>
      </c>
      <c r="E24" s="469">
        <f t="shared" si="3"/>
        <v>278993.25521439879</v>
      </c>
      <c r="F24" s="470" t="s">
        <v>281</v>
      </c>
      <c r="G24" s="595">
        <v>278993.37948200002</v>
      </c>
      <c r="H24" s="595">
        <f t="shared" si="30"/>
        <v>-0.12426760123344138</v>
      </c>
      <c r="I24" s="595"/>
      <c r="J24" s="509">
        <f t="shared" si="4"/>
        <v>232494.37934533233</v>
      </c>
      <c r="K24" s="510">
        <f t="shared" si="5"/>
        <v>130992.8922053323</v>
      </c>
      <c r="L24" s="511">
        <f t="shared" si="6"/>
        <v>130943.7672244</v>
      </c>
      <c r="M24" s="512">
        <v>130943.7672244</v>
      </c>
      <c r="N24" s="513">
        <v>0</v>
      </c>
      <c r="O24" s="513">
        <v>0</v>
      </c>
      <c r="P24" s="514">
        <v>0</v>
      </c>
      <c r="Q24" s="515">
        <v>0</v>
      </c>
      <c r="R24" s="516">
        <f t="shared" si="7"/>
        <v>49.124980932305412</v>
      </c>
      <c r="S24" s="517">
        <f t="shared" si="8"/>
        <v>28978.799999999996</v>
      </c>
      <c r="T24" s="518">
        <v>9208.0700000000015</v>
      </c>
      <c r="U24" s="519">
        <v>19770.729999999996</v>
      </c>
      <c r="V24" s="520">
        <f t="shared" si="9"/>
        <v>60626.527140000006</v>
      </c>
      <c r="W24" s="521">
        <v>2780.8371399999996</v>
      </c>
      <c r="X24" s="518">
        <v>51206.5</v>
      </c>
      <c r="Y24" s="522">
        <v>6639.1900000000023</v>
      </c>
      <c r="Z24" s="523">
        <v>9932.740000000018</v>
      </c>
      <c r="AA24" s="524">
        <v>1963.4200000000003</v>
      </c>
      <c r="AB24" s="486"/>
      <c r="AC24" s="525">
        <v>130943.7672244</v>
      </c>
      <c r="AD24" s="525">
        <v>130943.7672244</v>
      </c>
      <c r="AE24" s="525">
        <v>0</v>
      </c>
      <c r="AF24" s="525">
        <v>0</v>
      </c>
      <c r="AG24" s="525">
        <v>0</v>
      </c>
      <c r="AH24" s="525">
        <v>0</v>
      </c>
      <c r="AI24" s="525">
        <v>0</v>
      </c>
      <c r="AJ24" s="525">
        <v>0</v>
      </c>
      <c r="AK24" s="525">
        <v>0</v>
      </c>
      <c r="AL24" s="525">
        <v>0</v>
      </c>
      <c r="AM24" s="525">
        <v>0</v>
      </c>
      <c r="AN24" s="525">
        <v>0</v>
      </c>
      <c r="AO24" s="525">
        <v>0</v>
      </c>
      <c r="AP24" s="525">
        <v>0</v>
      </c>
      <c r="AQ24" s="525">
        <v>0</v>
      </c>
      <c r="AR24" s="525">
        <v>0</v>
      </c>
      <c r="AS24" s="525">
        <v>0</v>
      </c>
      <c r="AT24" s="525">
        <v>0</v>
      </c>
      <c r="AU24" s="525">
        <v>0</v>
      </c>
      <c r="AV24" s="525">
        <v>0</v>
      </c>
      <c r="AW24" s="525">
        <v>0</v>
      </c>
      <c r="AX24" s="525">
        <v>0</v>
      </c>
      <c r="AY24" s="525">
        <v>0</v>
      </c>
      <c r="AZ24" s="525">
        <v>0</v>
      </c>
      <c r="BA24" s="525">
        <v>0</v>
      </c>
      <c r="BB24" s="525">
        <v>0</v>
      </c>
      <c r="BC24" s="525">
        <v>0</v>
      </c>
      <c r="BD24" s="525">
        <v>0</v>
      </c>
      <c r="BE24" s="525">
        <v>0</v>
      </c>
      <c r="BF24" s="525">
        <v>0</v>
      </c>
      <c r="BG24" s="525">
        <v>0</v>
      </c>
      <c r="BH24" s="525">
        <v>0</v>
      </c>
      <c r="BI24" s="525">
        <v>0</v>
      </c>
      <c r="BJ24" s="525">
        <v>0</v>
      </c>
      <c r="BK24" s="525">
        <v>0</v>
      </c>
      <c r="BL24" s="525">
        <v>0</v>
      </c>
      <c r="BM24" s="525">
        <v>0</v>
      </c>
      <c r="BN24" s="525">
        <v>0</v>
      </c>
      <c r="BO24" s="525">
        <v>0</v>
      </c>
      <c r="BP24" s="525">
        <v>0</v>
      </c>
      <c r="BQ24" s="525">
        <v>0</v>
      </c>
      <c r="BR24" s="525">
        <v>0</v>
      </c>
      <c r="BS24" s="525">
        <v>0</v>
      </c>
      <c r="BT24" s="525">
        <v>0</v>
      </c>
      <c r="BU24" s="525">
        <v>0</v>
      </c>
      <c r="BV24" s="525">
        <v>0</v>
      </c>
      <c r="BW24" s="525">
        <v>0</v>
      </c>
      <c r="BX24" s="525">
        <v>0</v>
      </c>
      <c r="BY24" s="525">
        <v>0</v>
      </c>
      <c r="BZ24" s="525">
        <v>0</v>
      </c>
      <c r="CA24" s="525">
        <v>0</v>
      </c>
      <c r="CB24" s="525">
        <v>0</v>
      </c>
      <c r="CC24" s="525">
        <v>0</v>
      </c>
      <c r="CD24" s="525">
        <v>0</v>
      </c>
      <c r="CE24" s="525">
        <v>0</v>
      </c>
      <c r="CF24" s="525">
        <v>0</v>
      </c>
      <c r="CG24" s="525">
        <v>0</v>
      </c>
      <c r="CH24" s="525">
        <v>0</v>
      </c>
      <c r="CI24" s="525">
        <v>0</v>
      </c>
      <c r="CJ24" s="525">
        <v>0</v>
      </c>
      <c r="CK24" s="525">
        <v>0</v>
      </c>
      <c r="CL24" s="525">
        <v>0</v>
      </c>
      <c r="CM24" s="525">
        <v>9208.0700000000015</v>
      </c>
      <c r="CN24" s="525">
        <v>3715.1399999999994</v>
      </c>
      <c r="CO24" s="525">
        <v>0</v>
      </c>
      <c r="CP24" s="525">
        <v>1358.13</v>
      </c>
      <c r="CQ24" s="525">
        <v>4134.7999999999993</v>
      </c>
      <c r="CR24" s="525">
        <v>0</v>
      </c>
      <c r="CS24" s="525">
        <v>2780.8371399999996</v>
      </c>
      <c r="CT24" s="525">
        <v>1121.97228</v>
      </c>
      <c r="CU24" s="525">
        <v>0</v>
      </c>
      <c r="CV24" s="525">
        <v>410.15526000000006</v>
      </c>
      <c r="CW24" s="525">
        <v>1248.7095999999999</v>
      </c>
      <c r="CX24" s="525">
        <v>0</v>
      </c>
      <c r="CY24" s="525">
        <v>49.124980932305412</v>
      </c>
      <c r="CZ24" s="526"/>
      <c r="DA24" s="525">
        <v>2.3541774686123684</v>
      </c>
      <c r="DB24" s="525">
        <v>0</v>
      </c>
      <c r="DC24" s="526"/>
      <c r="DD24" s="525">
        <v>0</v>
      </c>
      <c r="DE24" s="525">
        <v>0</v>
      </c>
      <c r="DF24" s="525">
        <v>0</v>
      </c>
      <c r="DG24" s="525">
        <v>13948.709999999997</v>
      </c>
      <c r="DH24" s="525">
        <v>218.88</v>
      </c>
      <c r="DI24" s="525">
        <v>0</v>
      </c>
      <c r="DJ24" s="525">
        <v>0</v>
      </c>
      <c r="DK24" s="525">
        <v>13729.83</v>
      </c>
      <c r="DL24" s="525">
        <v>0</v>
      </c>
      <c r="DM24" s="525">
        <v>0</v>
      </c>
      <c r="DN24" s="525">
        <v>0</v>
      </c>
      <c r="DO24" s="525">
        <v>0</v>
      </c>
      <c r="DP24" s="525">
        <v>4826.0200000000004</v>
      </c>
      <c r="DQ24" s="525">
        <v>0</v>
      </c>
      <c r="DR24" s="525">
        <v>0</v>
      </c>
      <c r="DS24" s="525">
        <v>0</v>
      </c>
      <c r="DT24" s="525">
        <v>4826.0200000000004</v>
      </c>
      <c r="DU24" s="525">
        <v>757.93999999999994</v>
      </c>
      <c r="DV24" s="525">
        <v>0</v>
      </c>
      <c r="DW24" s="525">
        <v>0</v>
      </c>
      <c r="DX24" s="525">
        <v>0</v>
      </c>
      <c r="DY24" s="525">
        <v>0</v>
      </c>
      <c r="DZ24" s="525">
        <v>0</v>
      </c>
      <c r="EA24" s="525">
        <v>0</v>
      </c>
      <c r="EB24" s="525">
        <v>0</v>
      </c>
      <c r="EC24" s="525">
        <v>0</v>
      </c>
      <c r="ED24" s="525">
        <v>0</v>
      </c>
      <c r="EE24" s="525">
        <v>0</v>
      </c>
      <c r="EF24" s="525">
        <v>0</v>
      </c>
      <c r="EG24" s="525">
        <v>757.93999999999994</v>
      </c>
      <c r="EH24" s="525">
        <v>0</v>
      </c>
      <c r="EI24" s="525">
        <v>0</v>
      </c>
      <c r="EJ24" s="525">
        <v>0</v>
      </c>
      <c r="EK24" s="525">
        <v>0</v>
      </c>
      <c r="EL24" s="525">
        <v>6.47</v>
      </c>
      <c r="EM24" s="525">
        <v>86.05</v>
      </c>
      <c r="EN24" s="525">
        <v>0</v>
      </c>
      <c r="EO24" s="525">
        <v>0</v>
      </c>
      <c r="EP24" s="525">
        <v>145.54</v>
      </c>
      <c r="EQ24" s="525">
        <v>0</v>
      </c>
      <c r="ER24" s="525">
        <v>145.54</v>
      </c>
      <c r="ES24" s="525">
        <v>0</v>
      </c>
      <c r="ET24" s="525">
        <v>0</v>
      </c>
      <c r="EU24" s="525">
        <v>0</v>
      </c>
      <c r="EV24" s="525">
        <v>0</v>
      </c>
      <c r="EW24" s="525">
        <v>0</v>
      </c>
      <c r="EX24" s="525">
        <v>0</v>
      </c>
      <c r="EY24" s="525">
        <v>0</v>
      </c>
      <c r="EZ24" s="525">
        <v>0</v>
      </c>
      <c r="FA24" s="525">
        <v>0</v>
      </c>
      <c r="FB24" s="525">
        <v>6639.1900000000005</v>
      </c>
      <c r="FC24" s="525">
        <v>27.24</v>
      </c>
      <c r="FD24" s="525">
        <v>6.3999999999999995</v>
      </c>
      <c r="FE24" s="525">
        <v>0</v>
      </c>
      <c r="FF24" s="525">
        <v>6605.55</v>
      </c>
      <c r="FG24" s="525">
        <v>6521.2000000000007</v>
      </c>
      <c r="FH24" s="525">
        <v>84.35</v>
      </c>
      <c r="FI24" s="525">
        <v>0</v>
      </c>
      <c r="FJ24" s="525">
        <v>0</v>
      </c>
      <c r="FK24" s="525">
        <v>0</v>
      </c>
      <c r="FL24" s="525">
        <v>0</v>
      </c>
      <c r="FM24" s="525">
        <v>51206.5</v>
      </c>
      <c r="FN24" s="525">
        <v>51206.5</v>
      </c>
      <c r="FO24" s="525">
        <v>0</v>
      </c>
      <c r="FP24" s="525">
        <v>0</v>
      </c>
      <c r="FQ24" s="525">
        <v>0</v>
      </c>
      <c r="FR24" s="525">
        <v>0</v>
      </c>
      <c r="FS24" s="527">
        <v>220598.2193453323</v>
      </c>
      <c r="FT24" s="525">
        <v>0</v>
      </c>
      <c r="FU24" s="525">
        <v>0</v>
      </c>
      <c r="FV24" s="525">
        <v>0</v>
      </c>
      <c r="FW24" s="525">
        <v>0</v>
      </c>
      <c r="FX24" s="525">
        <v>0</v>
      </c>
      <c r="FY24" s="525">
        <v>0</v>
      </c>
      <c r="FZ24" s="525">
        <v>0</v>
      </c>
      <c r="GA24" s="525">
        <v>0</v>
      </c>
      <c r="GB24" s="525">
        <v>0</v>
      </c>
      <c r="GC24" s="525">
        <v>0</v>
      </c>
      <c r="GD24" s="525">
        <v>0</v>
      </c>
      <c r="GE24" s="525">
        <v>0</v>
      </c>
      <c r="GF24" s="525">
        <v>0</v>
      </c>
      <c r="GG24" s="525">
        <v>0</v>
      </c>
      <c r="GH24" s="525">
        <v>1963.4200000000003</v>
      </c>
      <c r="GI24" s="525">
        <v>1963.4200000000003</v>
      </c>
      <c r="GJ24" s="526"/>
      <c r="GK24" s="525">
        <v>0</v>
      </c>
      <c r="GL24" s="526"/>
      <c r="GM24" s="525">
        <v>0</v>
      </c>
      <c r="GN24" s="525">
        <v>0</v>
      </c>
      <c r="GO24" s="526"/>
      <c r="GP24" s="526"/>
      <c r="GQ24" s="525">
        <v>0</v>
      </c>
      <c r="GR24" s="526"/>
      <c r="GS24" s="526"/>
      <c r="GT24" s="525">
        <v>0</v>
      </c>
      <c r="GU24" s="525">
        <v>0</v>
      </c>
      <c r="GV24" s="525">
        <v>0</v>
      </c>
      <c r="GW24" s="525">
        <v>0</v>
      </c>
      <c r="GX24" s="525">
        <v>0</v>
      </c>
      <c r="GY24" s="525">
        <v>0</v>
      </c>
      <c r="GZ24" s="525">
        <v>0</v>
      </c>
      <c r="HA24" s="525">
        <v>0</v>
      </c>
      <c r="HB24" s="525">
        <v>0</v>
      </c>
      <c r="HC24" s="525">
        <v>0</v>
      </c>
      <c r="HD24" s="525">
        <v>0</v>
      </c>
      <c r="HE24" s="525">
        <v>0</v>
      </c>
      <c r="HF24" s="525">
        <v>0</v>
      </c>
      <c r="HG24" s="525">
        <v>0</v>
      </c>
      <c r="HH24" s="525">
        <v>0</v>
      </c>
      <c r="HI24" s="525">
        <v>0</v>
      </c>
      <c r="HJ24" s="525">
        <v>0</v>
      </c>
      <c r="HK24" s="525">
        <v>0</v>
      </c>
      <c r="HL24" s="526"/>
      <c r="HM24" s="526"/>
      <c r="HN24" s="526"/>
      <c r="HO24" s="526"/>
      <c r="HP24" s="526"/>
      <c r="HQ24" s="526"/>
      <c r="HR24" s="526"/>
      <c r="HS24" s="526"/>
      <c r="HT24" s="526"/>
      <c r="HU24" s="526"/>
      <c r="HV24" s="526"/>
      <c r="HW24" s="526"/>
      <c r="HX24" s="526"/>
      <c r="HY24" s="526"/>
      <c r="HZ24" s="526"/>
      <c r="IA24" s="526"/>
      <c r="IB24" s="526"/>
      <c r="IC24" s="526"/>
      <c r="ID24" s="526"/>
      <c r="IE24" s="526"/>
      <c r="IF24" s="526"/>
      <c r="IG24" s="526"/>
      <c r="IH24" s="526"/>
      <c r="II24" s="526"/>
      <c r="IJ24" s="526"/>
      <c r="IK24" s="526"/>
      <c r="IL24" s="526"/>
      <c r="IM24" s="526"/>
      <c r="IN24" s="526"/>
      <c r="IO24" s="526"/>
      <c r="IP24" s="526"/>
      <c r="IQ24" s="526"/>
      <c r="IR24" s="526"/>
      <c r="IS24" s="526"/>
      <c r="IT24" s="526"/>
      <c r="IU24" s="526"/>
      <c r="IV24" s="526"/>
      <c r="IW24" s="526"/>
      <c r="IX24" s="526"/>
      <c r="IY24" s="526"/>
      <c r="IZ24" s="526"/>
      <c r="JA24" s="526"/>
      <c r="JB24" s="526"/>
      <c r="JC24" s="526"/>
      <c r="JD24" s="526"/>
      <c r="JE24" s="526"/>
      <c r="JF24" s="526"/>
      <c r="JG24" s="526"/>
      <c r="JH24" s="526"/>
      <c r="JI24" s="526"/>
      <c r="JJ24" s="526"/>
      <c r="JK24" s="526"/>
      <c r="JL24" s="526"/>
      <c r="JM24" s="526"/>
      <c r="JN24" s="525">
        <v>28978.799999999999</v>
      </c>
      <c r="JO24" s="525">
        <v>60626.527139999998</v>
      </c>
      <c r="JP24" s="525">
        <v>130992.8922053323</v>
      </c>
      <c r="JQ24" s="525">
        <v>0</v>
      </c>
      <c r="JR24" s="525">
        <v>1963.4200000000003</v>
      </c>
      <c r="JS24" s="527">
        <v>232494.3793453323</v>
      </c>
      <c r="JT24" s="528">
        <f t="shared" si="10"/>
        <v>9932.740000000018</v>
      </c>
      <c r="JU24" s="525">
        <v>278993.25521439873</v>
      </c>
      <c r="JV24" s="525">
        <v>232494.3793453323</v>
      </c>
      <c r="JW24" s="525">
        <v>278993.25521439873</v>
      </c>
      <c r="JX24" s="525">
        <v>154045.54999999999</v>
      </c>
      <c r="JY24" s="525">
        <v>154045.54999999999</v>
      </c>
      <c r="JZ24" s="526"/>
      <c r="KA24" s="525">
        <v>154045.54999999999</v>
      </c>
      <c r="KB24" s="529">
        <v>0.89004344904815069</v>
      </c>
      <c r="KC24" s="525">
        <v>2.1568322845268995E-3</v>
      </c>
      <c r="KD24" s="525">
        <v>232494.37718850002</v>
      </c>
      <c r="KE24" s="525">
        <v>154045.54999999999</v>
      </c>
      <c r="KF24" s="525">
        <v>0</v>
      </c>
      <c r="KG24" s="530">
        <v>0</v>
      </c>
      <c r="KH24" s="525">
        <v>0</v>
      </c>
      <c r="KI24" s="525">
        <v>5286.7107930000002</v>
      </c>
      <c r="KJ24" s="530">
        <v>1510.4887980000001</v>
      </c>
      <c r="KK24" s="525">
        <v>3500</v>
      </c>
      <c r="KL24" s="525">
        <v>209785.5976797</v>
      </c>
      <c r="KM24" s="530">
        <v>1509.1230715345391</v>
      </c>
      <c r="KN24" s="525">
        <v>139011.59</v>
      </c>
      <c r="KO24" s="525">
        <v>17422.0687158</v>
      </c>
      <c r="KP24" s="530">
        <v>1510.501919184738</v>
      </c>
      <c r="KQ24" s="525">
        <v>11533.96</v>
      </c>
      <c r="KR24" s="526"/>
      <c r="KS24" s="526"/>
      <c r="KT24" s="531">
        <v>1146111.3</v>
      </c>
      <c r="KU24" s="531">
        <v>37</v>
      </c>
      <c r="KV24" s="526"/>
      <c r="KW24" s="531">
        <v>272592.59999999998</v>
      </c>
      <c r="KX24" s="531">
        <v>10.8</v>
      </c>
      <c r="KY24" s="531"/>
      <c r="KZ24" s="526"/>
      <c r="LA24" s="531">
        <v>139011.59</v>
      </c>
      <c r="LB24" s="532">
        <v>20000</v>
      </c>
      <c r="LC24" s="533">
        <v>1.0999999999999999E-2</v>
      </c>
      <c r="LD24" s="494">
        <f t="shared" si="11"/>
        <v>287311.94331585238</v>
      </c>
      <c r="LE24" s="509">
        <f t="shared" si="12"/>
        <v>239426.619429877</v>
      </c>
      <c r="LF24" s="534">
        <f t="shared" si="13"/>
        <v>134923.17022130161</v>
      </c>
      <c r="LG24" s="535">
        <f t="shared" si="14"/>
        <v>134872.080241132</v>
      </c>
      <c r="LH24" s="536">
        <f t="shared" si="31"/>
        <v>1.03</v>
      </c>
      <c r="LI24" s="537">
        <f t="shared" si="15"/>
        <v>134872.080241132</v>
      </c>
      <c r="LJ24" s="536">
        <f t="shared" si="32"/>
        <v>1.0389999999999999</v>
      </c>
      <c r="LK24" s="537">
        <f t="shared" si="16"/>
        <v>0</v>
      </c>
      <c r="LL24" s="536">
        <f t="shared" si="33"/>
        <v>1.0349999999999999</v>
      </c>
      <c r="LM24" s="537">
        <f t="shared" si="17"/>
        <v>0</v>
      </c>
      <c r="LN24" s="536">
        <f t="shared" si="34"/>
        <v>1.0349999999999999</v>
      </c>
      <c r="LO24" s="537">
        <f t="shared" si="18"/>
        <v>0</v>
      </c>
      <c r="LP24" s="536">
        <f t="shared" si="35"/>
        <v>1.0349999999999999</v>
      </c>
      <c r="LQ24" s="537">
        <f t="shared" si="19"/>
        <v>0</v>
      </c>
      <c r="LR24" s="536">
        <f t="shared" si="36"/>
        <v>1.04</v>
      </c>
      <c r="LS24" s="537">
        <f t="shared" si="20"/>
        <v>51.089980169597631</v>
      </c>
      <c r="LT24" s="539">
        <f t="shared" si="21"/>
        <v>29807.883467999993</v>
      </c>
      <c r="LU24" s="540">
        <f t="shared" si="22"/>
        <v>9471.5128827000008</v>
      </c>
      <c r="LV24" s="541">
        <f t="shared" si="23"/>
        <v>20336.370585299992</v>
      </c>
      <c r="LW24" s="542">
        <f t="shared" si="24"/>
        <v>62730.686040575398</v>
      </c>
      <c r="LX24" s="540">
        <f t="shared" si="25"/>
        <v>2860.3968905753995</v>
      </c>
      <c r="LY24" s="540">
        <f t="shared" si="26"/>
        <v>52998.727499999994</v>
      </c>
      <c r="LZ24" s="543">
        <f t="shared" si="27"/>
        <v>6871.5616500000015</v>
      </c>
      <c r="MA24" s="544">
        <f t="shared" si="28"/>
        <v>9932.740000000018</v>
      </c>
      <c r="MB24" s="545">
        <f t="shared" si="29"/>
        <v>2032.1397000000002</v>
      </c>
    </row>
    <row r="25" spans="1:340" ht="16.5" customHeight="1">
      <c r="A25" s="465">
        <v>1</v>
      </c>
      <c r="B25" s="466">
        <v>15</v>
      </c>
      <c r="C25" s="467" t="s">
        <v>311</v>
      </c>
      <c r="D25" s="468">
        <v>7708503727</v>
      </c>
      <c r="E25" s="469">
        <f t="shared" si="3"/>
        <v>1147.7678790239997</v>
      </c>
      <c r="F25" s="470" t="s">
        <v>281</v>
      </c>
      <c r="G25" s="595">
        <v>956.47150479999993</v>
      </c>
      <c r="H25" s="597">
        <f t="shared" si="30"/>
        <v>191.29637422399981</v>
      </c>
      <c r="I25" s="597" t="s">
        <v>858</v>
      </c>
      <c r="J25" s="471">
        <f t="shared" si="4"/>
        <v>956.4732325199999</v>
      </c>
      <c r="K25" s="472">
        <f t="shared" si="5"/>
        <v>472.04823251999994</v>
      </c>
      <c r="L25" s="473">
        <f t="shared" si="6"/>
        <v>386.50758047999994</v>
      </c>
      <c r="M25" s="474">
        <v>386.50758047999994</v>
      </c>
      <c r="N25" s="475">
        <v>0</v>
      </c>
      <c r="O25" s="475">
        <v>0</v>
      </c>
      <c r="P25" s="476">
        <v>0</v>
      </c>
      <c r="Q25" s="477">
        <v>76.49786804</v>
      </c>
      <c r="R25" s="478">
        <f t="shared" si="7"/>
        <v>9.042784000000001</v>
      </c>
      <c r="S25" s="479">
        <f t="shared" si="8"/>
        <v>367.78999999999996</v>
      </c>
      <c r="T25" s="479">
        <v>0</v>
      </c>
      <c r="U25" s="480">
        <v>367.78999999999996</v>
      </c>
      <c r="V25" s="481">
        <f t="shared" si="9"/>
        <v>116.63500000000001</v>
      </c>
      <c r="W25" s="482">
        <v>0</v>
      </c>
      <c r="X25" s="479">
        <v>71.715000000000003</v>
      </c>
      <c r="Y25" s="483">
        <v>44.92</v>
      </c>
      <c r="Z25" s="484">
        <v>0</v>
      </c>
      <c r="AA25" s="485">
        <v>0</v>
      </c>
      <c r="AB25" s="486"/>
      <c r="AC25" s="487">
        <v>386.50758047999994</v>
      </c>
      <c r="AD25" s="487">
        <v>386.50758047999994</v>
      </c>
      <c r="AE25" s="487">
        <v>0</v>
      </c>
      <c r="AF25" s="487">
        <v>0</v>
      </c>
      <c r="AG25" s="487">
        <v>0</v>
      </c>
      <c r="AH25" s="487">
        <v>76.49786804</v>
      </c>
      <c r="AI25" s="487">
        <v>76.49786804</v>
      </c>
      <c r="AJ25" s="487">
        <v>0</v>
      </c>
      <c r="AK25" s="487">
        <v>0</v>
      </c>
      <c r="AL25" s="487">
        <v>0</v>
      </c>
      <c r="AM25" s="487">
        <v>0</v>
      </c>
      <c r="AN25" s="487">
        <v>0</v>
      </c>
      <c r="AO25" s="487">
        <v>0</v>
      </c>
      <c r="AP25" s="487">
        <v>0</v>
      </c>
      <c r="AQ25" s="487">
        <v>0</v>
      </c>
      <c r="AR25" s="487">
        <v>0</v>
      </c>
      <c r="AS25" s="487">
        <v>0</v>
      </c>
      <c r="AT25" s="487">
        <v>0</v>
      </c>
      <c r="AU25" s="487">
        <v>0</v>
      </c>
      <c r="AV25" s="487">
        <v>0</v>
      </c>
      <c r="AW25" s="487">
        <v>0</v>
      </c>
      <c r="AX25" s="487">
        <v>0</v>
      </c>
      <c r="AY25" s="487">
        <v>0</v>
      </c>
      <c r="AZ25" s="487">
        <v>0</v>
      </c>
      <c r="BA25" s="487">
        <v>76.49786804</v>
      </c>
      <c r="BB25" s="487">
        <v>15.0931</v>
      </c>
      <c r="BC25" s="487">
        <v>0</v>
      </c>
      <c r="BD25" s="487">
        <v>76.49786804</v>
      </c>
      <c r="BE25" s="487">
        <v>5.0684000000000005</v>
      </c>
      <c r="BF25" s="487">
        <v>15.0931</v>
      </c>
      <c r="BG25" s="487">
        <v>0</v>
      </c>
      <c r="BH25" s="487">
        <v>0</v>
      </c>
      <c r="BI25" s="487">
        <v>0</v>
      </c>
      <c r="BJ25" s="487">
        <v>0</v>
      </c>
      <c r="BK25" s="487">
        <v>0</v>
      </c>
      <c r="BL25" s="487">
        <v>0</v>
      </c>
      <c r="BM25" s="487">
        <v>0</v>
      </c>
      <c r="BN25" s="487">
        <v>0</v>
      </c>
      <c r="BO25" s="487">
        <v>0</v>
      </c>
      <c r="BP25" s="487">
        <v>0</v>
      </c>
      <c r="BQ25" s="487">
        <v>0</v>
      </c>
      <c r="BR25" s="487">
        <v>0</v>
      </c>
      <c r="BS25" s="487">
        <v>0</v>
      </c>
      <c r="BT25" s="487">
        <v>0</v>
      </c>
      <c r="BU25" s="487">
        <v>0</v>
      </c>
      <c r="BV25" s="487">
        <v>0</v>
      </c>
      <c r="BW25" s="487">
        <v>0</v>
      </c>
      <c r="BX25" s="487">
        <v>0</v>
      </c>
      <c r="BY25" s="487">
        <v>0</v>
      </c>
      <c r="BZ25" s="487">
        <v>0</v>
      </c>
      <c r="CA25" s="487">
        <v>0</v>
      </c>
      <c r="CB25" s="487">
        <v>0</v>
      </c>
      <c r="CC25" s="487">
        <v>0</v>
      </c>
      <c r="CD25" s="487">
        <v>0</v>
      </c>
      <c r="CE25" s="487">
        <v>0</v>
      </c>
      <c r="CF25" s="487">
        <v>0</v>
      </c>
      <c r="CG25" s="487">
        <v>0</v>
      </c>
      <c r="CH25" s="487">
        <v>0</v>
      </c>
      <c r="CI25" s="487">
        <v>0</v>
      </c>
      <c r="CJ25" s="487">
        <v>0</v>
      </c>
      <c r="CK25" s="487">
        <v>0</v>
      </c>
      <c r="CL25" s="487">
        <v>0</v>
      </c>
      <c r="CM25" s="487">
        <v>0</v>
      </c>
      <c r="CN25" s="487">
        <v>0</v>
      </c>
      <c r="CO25" s="487">
        <v>0</v>
      </c>
      <c r="CP25" s="487">
        <v>0</v>
      </c>
      <c r="CQ25" s="487">
        <v>0</v>
      </c>
      <c r="CR25" s="487">
        <v>0</v>
      </c>
      <c r="CS25" s="487">
        <v>0</v>
      </c>
      <c r="CT25" s="487">
        <v>0</v>
      </c>
      <c r="CU25" s="487">
        <v>0</v>
      </c>
      <c r="CV25" s="487">
        <v>0</v>
      </c>
      <c r="CW25" s="487">
        <v>0</v>
      </c>
      <c r="CX25" s="487">
        <v>0</v>
      </c>
      <c r="CY25" s="487">
        <v>9.042784000000001</v>
      </c>
      <c r="CZ25" s="467"/>
      <c r="DA25" s="487">
        <v>0.40660000000000007</v>
      </c>
      <c r="DB25" s="487">
        <v>0</v>
      </c>
      <c r="DC25" s="467"/>
      <c r="DD25" s="487">
        <v>0</v>
      </c>
      <c r="DE25" s="487">
        <v>0</v>
      </c>
      <c r="DF25" s="487">
        <v>0</v>
      </c>
      <c r="DG25" s="487">
        <v>15.78</v>
      </c>
      <c r="DH25" s="487">
        <v>0</v>
      </c>
      <c r="DI25" s="487">
        <v>0</v>
      </c>
      <c r="DJ25" s="487">
        <v>15.78</v>
      </c>
      <c r="DK25" s="487">
        <v>0</v>
      </c>
      <c r="DL25" s="487">
        <v>0</v>
      </c>
      <c r="DM25" s="487">
        <v>0</v>
      </c>
      <c r="DN25" s="487">
        <v>0</v>
      </c>
      <c r="DO25" s="487">
        <v>0</v>
      </c>
      <c r="DP25" s="487">
        <v>352.01</v>
      </c>
      <c r="DQ25" s="487">
        <v>0</v>
      </c>
      <c r="DR25" s="487">
        <v>0</v>
      </c>
      <c r="DS25" s="487">
        <v>0</v>
      </c>
      <c r="DT25" s="487">
        <v>352.01</v>
      </c>
      <c r="DU25" s="487">
        <v>0</v>
      </c>
      <c r="DV25" s="487">
        <v>0</v>
      </c>
      <c r="DW25" s="487">
        <v>0</v>
      </c>
      <c r="DX25" s="487">
        <v>0</v>
      </c>
      <c r="DY25" s="487">
        <v>0</v>
      </c>
      <c r="DZ25" s="487">
        <v>0</v>
      </c>
      <c r="EA25" s="487">
        <v>0</v>
      </c>
      <c r="EB25" s="487">
        <v>0</v>
      </c>
      <c r="EC25" s="487">
        <v>0</v>
      </c>
      <c r="ED25" s="487">
        <v>0</v>
      </c>
      <c r="EE25" s="487">
        <v>0</v>
      </c>
      <c r="EF25" s="487">
        <v>0</v>
      </c>
      <c r="EG25" s="487">
        <v>0</v>
      </c>
      <c r="EH25" s="487">
        <v>0</v>
      </c>
      <c r="EI25" s="487">
        <v>0</v>
      </c>
      <c r="EJ25" s="487">
        <v>0</v>
      </c>
      <c r="EK25" s="487">
        <v>0</v>
      </c>
      <c r="EL25" s="487">
        <v>0</v>
      </c>
      <c r="EM25" s="487">
        <v>0</v>
      </c>
      <c r="EN25" s="487">
        <v>0</v>
      </c>
      <c r="EO25" s="487">
        <v>0</v>
      </c>
      <c r="EP25" s="487">
        <v>0</v>
      </c>
      <c r="EQ25" s="487">
        <v>0</v>
      </c>
      <c r="ER25" s="487">
        <v>0</v>
      </c>
      <c r="ES25" s="487">
        <v>0</v>
      </c>
      <c r="ET25" s="487">
        <v>0</v>
      </c>
      <c r="EU25" s="487">
        <v>0</v>
      </c>
      <c r="EV25" s="487">
        <v>0</v>
      </c>
      <c r="EW25" s="487">
        <v>0</v>
      </c>
      <c r="EX25" s="487">
        <v>0</v>
      </c>
      <c r="EY25" s="487">
        <v>0</v>
      </c>
      <c r="EZ25" s="487">
        <v>0</v>
      </c>
      <c r="FA25" s="487">
        <v>0</v>
      </c>
      <c r="FB25" s="487">
        <v>44.92</v>
      </c>
      <c r="FC25" s="487">
        <v>0</v>
      </c>
      <c r="FD25" s="487">
        <v>0</v>
      </c>
      <c r="FE25" s="487">
        <v>0</v>
      </c>
      <c r="FF25" s="487">
        <v>44.92</v>
      </c>
      <c r="FG25" s="487">
        <v>44.92</v>
      </c>
      <c r="FH25" s="487">
        <v>0</v>
      </c>
      <c r="FI25" s="487">
        <v>0</v>
      </c>
      <c r="FJ25" s="487">
        <v>0</v>
      </c>
      <c r="FK25" s="487">
        <v>0</v>
      </c>
      <c r="FL25" s="487">
        <v>0</v>
      </c>
      <c r="FM25" s="487">
        <v>71.715000000000003</v>
      </c>
      <c r="FN25" s="487">
        <v>71.715000000000003</v>
      </c>
      <c r="FO25" s="487">
        <v>0</v>
      </c>
      <c r="FP25" s="487">
        <v>0</v>
      </c>
      <c r="FQ25" s="487">
        <v>0</v>
      </c>
      <c r="FR25" s="487">
        <v>0</v>
      </c>
      <c r="FS25" s="488">
        <v>956.4732325199999</v>
      </c>
      <c r="FT25" s="487">
        <v>0</v>
      </c>
      <c r="FU25" s="487">
        <v>0</v>
      </c>
      <c r="FV25" s="487">
        <v>0</v>
      </c>
      <c r="FW25" s="487">
        <v>0</v>
      </c>
      <c r="FX25" s="487">
        <v>0</v>
      </c>
      <c r="FY25" s="487">
        <v>0</v>
      </c>
      <c r="FZ25" s="487">
        <v>0</v>
      </c>
      <c r="GA25" s="487">
        <v>0</v>
      </c>
      <c r="GB25" s="487">
        <v>0</v>
      </c>
      <c r="GC25" s="487">
        <v>0</v>
      </c>
      <c r="GD25" s="487">
        <v>0</v>
      </c>
      <c r="GE25" s="487">
        <v>0</v>
      </c>
      <c r="GF25" s="487">
        <v>0</v>
      </c>
      <c r="GG25" s="487">
        <v>0</v>
      </c>
      <c r="GH25" s="487">
        <v>0</v>
      </c>
      <c r="GI25" s="487">
        <v>0</v>
      </c>
      <c r="GJ25" s="467"/>
      <c r="GK25" s="487">
        <v>0</v>
      </c>
      <c r="GL25" s="467"/>
      <c r="GM25" s="487">
        <v>0</v>
      </c>
      <c r="GN25" s="487">
        <v>0</v>
      </c>
      <c r="GO25" s="467"/>
      <c r="GP25" s="467"/>
      <c r="GQ25" s="487">
        <v>0</v>
      </c>
      <c r="GR25" s="467"/>
      <c r="GS25" s="467"/>
      <c r="GT25" s="487">
        <v>0</v>
      </c>
      <c r="GU25" s="487">
        <v>0</v>
      </c>
      <c r="GV25" s="487">
        <v>0</v>
      </c>
      <c r="GW25" s="487">
        <v>0</v>
      </c>
      <c r="GX25" s="487">
        <v>0</v>
      </c>
      <c r="GY25" s="487">
        <v>0</v>
      </c>
      <c r="GZ25" s="487">
        <v>0</v>
      </c>
      <c r="HA25" s="487">
        <v>0</v>
      </c>
      <c r="HB25" s="487">
        <v>0</v>
      </c>
      <c r="HC25" s="487">
        <v>0</v>
      </c>
      <c r="HD25" s="487">
        <v>0</v>
      </c>
      <c r="HE25" s="487">
        <v>0</v>
      </c>
      <c r="HF25" s="487">
        <v>0</v>
      </c>
      <c r="HG25" s="487">
        <v>0</v>
      </c>
      <c r="HH25" s="487">
        <v>0</v>
      </c>
      <c r="HI25" s="487">
        <v>0</v>
      </c>
      <c r="HJ25" s="487">
        <v>0</v>
      </c>
      <c r="HK25" s="487">
        <v>0</v>
      </c>
      <c r="HL25" s="467"/>
      <c r="HM25" s="467"/>
      <c r="HN25" s="467"/>
      <c r="HO25" s="467"/>
      <c r="HP25" s="467"/>
      <c r="HQ25" s="467"/>
      <c r="HR25" s="467"/>
      <c r="HS25" s="467"/>
      <c r="HT25" s="467"/>
      <c r="HU25" s="467"/>
      <c r="HV25" s="467"/>
      <c r="HW25" s="467"/>
      <c r="HX25" s="467"/>
      <c r="HY25" s="467"/>
      <c r="HZ25" s="467"/>
      <c r="IA25" s="467"/>
      <c r="IB25" s="467"/>
      <c r="IC25" s="467"/>
      <c r="ID25" s="467"/>
      <c r="IE25" s="467"/>
      <c r="IF25" s="467"/>
      <c r="IG25" s="467"/>
      <c r="IH25" s="467"/>
      <c r="II25" s="467"/>
      <c r="IJ25" s="467"/>
      <c r="IK25" s="467"/>
      <c r="IL25" s="467"/>
      <c r="IM25" s="467"/>
      <c r="IN25" s="467"/>
      <c r="IO25" s="467"/>
      <c r="IP25" s="467"/>
      <c r="IQ25" s="467"/>
      <c r="IR25" s="467"/>
      <c r="IS25" s="467"/>
      <c r="IT25" s="467"/>
      <c r="IU25" s="467"/>
      <c r="IV25" s="467"/>
      <c r="IW25" s="467"/>
      <c r="IX25" s="467"/>
      <c r="IY25" s="467"/>
      <c r="IZ25" s="467"/>
      <c r="JA25" s="467"/>
      <c r="JB25" s="467"/>
      <c r="JC25" s="467"/>
      <c r="JD25" s="467"/>
      <c r="JE25" s="467"/>
      <c r="JF25" s="467"/>
      <c r="JG25" s="467"/>
      <c r="JH25" s="467"/>
      <c r="JI25" s="467"/>
      <c r="JJ25" s="467"/>
      <c r="JK25" s="467"/>
      <c r="JL25" s="467"/>
      <c r="JM25" s="467"/>
      <c r="JN25" s="487">
        <v>367.78999999999996</v>
      </c>
      <c r="JO25" s="487">
        <v>116.63500000000001</v>
      </c>
      <c r="JP25" s="487">
        <v>472.04823251999994</v>
      </c>
      <c r="JQ25" s="487">
        <v>0</v>
      </c>
      <c r="JR25" s="487">
        <v>0</v>
      </c>
      <c r="JS25" s="488">
        <v>956.4732325199999</v>
      </c>
      <c r="JT25" s="489">
        <f t="shared" si="10"/>
        <v>0</v>
      </c>
      <c r="JU25" s="487">
        <v>1147.7678790239997</v>
      </c>
      <c r="JV25" s="487">
        <v>956.4732325199999</v>
      </c>
      <c r="JW25" s="487">
        <v>1147.7678790239997</v>
      </c>
      <c r="JX25" s="487">
        <v>415.84000000000003</v>
      </c>
      <c r="JY25" s="487">
        <v>415.84000000000003</v>
      </c>
      <c r="JZ25" s="467"/>
      <c r="KA25" s="487">
        <v>415.84000000000003</v>
      </c>
      <c r="KB25" s="490">
        <v>0</v>
      </c>
      <c r="KC25" s="487">
        <v>1.7277199998488868E-3</v>
      </c>
      <c r="KD25" s="487">
        <v>956.47150480000005</v>
      </c>
      <c r="KE25" s="487">
        <v>415.84000000000003</v>
      </c>
      <c r="KF25" s="487">
        <v>0</v>
      </c>
      <c r="KG25" s="491">
        <v>0</v>
      </c>
      <c r="KH25" s="487">
        <v>0</v>
      </c>
      <c r="KI25" s="487">
        <v>956.47150480000005</v>
      </c>
      <c r="KJ25" s="491">
        <v>2300.0949999999998</v>
      </c>
      <c r="KK25" s="487">
        <v>415.84000000000003</v>
      </c>
      <c r="KL25" s="487">
        <v>0</v>
      </c>
      <c r="KM25" s="491">
        <v>0</v>
      </c>
      <c r="KN25" s="487">
        <v>0</v>
      </c>
      <c r="KO25" s="487">
        <v>0</v>
      </c>
      <c r="KP25" s="491">
        <v>0</v>
      </c>
      <c r="KQ25" s="487">
        <v>0</v>
      </c>
      <c r="KR25" s="467"/>
      <c r="KS25" s="467"/>
      <c r="KT25" s="487">
        <v>173.32214999999999</v>
      </c>
      <c r="KU25" s="487">
        <v>83</v>
      </c>
      <c r="KV25" s="467"/>
      <c r="KW25" s="487">
        <v>1902.66976</v>
      </c>
      <c r="KX25" s="487">
        <v>0.39900000000000002</v>
      </c>
      <c r="KY25" s="487"/>
      <c r="KZ25" s="467"/>
      <c r="LA25" s="487">
        <v>415.84</v>
      </c>
      <c r="LB25" s="492"/>
      <c r="LC25" s="493">
        <v>1E-3</v>
      </c>
      <c r="LD25" s="494">
        <f t="shared" si="11"/>
        <v>1182.8547522909598</v>
      </c>
      <c r="LE25" s="471">
        <f t="shared" si="12"/>
        <v>985.71229357579989</v>
      </c>
      <c r="LF25" s="495">
        <f t="shared" si="13"/>
        <v>486.68259667579997</v>
      </c>
      <c r="LG25" s="476">
        <f t="shared" si="14"/>
        <v>398.10280789439997</v>
      </c>
      <c r="LH25" s="496">
        <f t="shared" si="31"/>
        <v>1.03</v>
      </c>
      <c r="LI25" s="497">
        <f t="shared" si="15"/>
        <v>398.10280789439997</v>
      </c>
      <c r="LJ25" s="496">
        <f t="shared" si="32"/>
        <v>1.0389999999999999</v>
      </c>
      <c r="LK25" s="497">
        <f t="shared" si="16"/>
        <v>0</v>
      </c>
      <c r="LL25" s="496">
        <f t="shared" si="33"/>
        <v>1.0349999999999999</v>
      </c>
      <c r="LM25" s="497">
        <f t="shared" si="17"/>
        <v>0</v>
      </c>
      <c r="LN25" s="496">
        <f t="shared" si="34"/>
        <v>1.0349999999999999</v>
      </c>
      <c r="LO25" s="497">
        <f t="shared" si="18"/>
        <v>0</v>
      </c>
      <c r="LP25" s="496">
        <f t="shared" si="35"/>
        <v>1.0349999999999999</v>
      </c>
      <c r="LQ25" s="497">
        <f t="shared" si="19"/>
        <v>79.175293421399999</v>
      </c>
      <c r="LR25" s="496">
        <f t="shared" si="36"/>
        <v>1.04</v>
      </c>
      <c r="LS25" s="497">
        <f t="shared" si="20"/>
        <v>9.4044953600000021</v>
      </c>
      <c r="LT25" s="499">
        <f t="shared" si="21"/>
        <v>378.31247189999993</v>
      </c>
      <c r="LU25" s="500">
        <f t="shared" si="22"/>
        <v>0</v>
      </c>
      <c r="LV25" s="501">
        <f t="shared" si="23"/>
        <v>378.31247189999993</v>
      </c>
      <c r="LW25" s="499">
        <f t="shared" si="24"/>
        <v>120.717225</v>
      </c>
      <c r="LX25" s="500">
        <f t="shared" si="25"/>
        <v>0</v>
      </c>
      <c r="LY25" s="500">
        <f t="shared" si="26"/>
        <v>74.225025000000002</v>
      </c>
      <c r="LZ25" s="502">
        <f t="shared" si="27"/>
        <v>46.492199999999997</v>
      </c>
      <c r="MA25" s="503">
        <f t="shared" si="28"/>
        <v>0</v>
      </c>
      <c r="MB25" s="504">
        <f t="shared" si="29"/>
        <v>0</v>
      </c>
    </row>
    <row r="26" spans="1:340" ht="16.5" customHeight="1">
      <c r="A26" s="505">
        <v>1</v>
      </c>
      <c r="B26" s="506">
        <v>16</v>
      </c>
      <c r="C26" s="507" t="s">
        <v>162</v>
      </c>
      <c r="D26" s="508">
        <v>5261077695</v>
      </c>
      <c r="E26" s="469">
        <f t="shared" si="3"/>
        <v>8559.6172000044044</v>
      </c>
      <c r="F26" s="470" t="s">
        <v>281</v>
      </c>
      <c r="G26" s="595">
        <v>4308.3075121000002</v>
      </c>
      <c r="H26" s="597">
        <f t="shared" si="30"/>
        <v>4251.3096879044042</v>
      </c>
      <c r="I26" s="597" t="s">
        <v>858</v>
      </c>
      <c r="J26" s="509">
        <f t="shared" si="4"/>
        <v>7133.0143333370033</v>
      </c>
      <c r="K26" s="510">
        <f t="shared" si="5"/>
        <v>3949.3342260090044</v>
      </c>
      <c r="L26" s="511">
        <f t="shared" si="6"/>
        <v>2982.1510841540044</v>
      </c>
      <c r="M26" s="512">
        <v>2982.1510841540044</v>
      </c>
      <c r="N26" s="513">
        <v>0</v>
      </c>
      <c r="O26" s="513">
        <v>0</v>
      </c>
      <c r="P26" s="514">
        <v>0</v>
      </c>
      <c r="Q26" s="515">
        <v>892.21564342500005</v>
      </c>
      <c r="R26" s="516">
        <f t="shared" si="7"/>
        <v>74.967498429999992</v>
      </c>
      <c r="S26" s="517">
        <f t="shared" si="8"/>
        <v>2258.7658033279995</v>
      </c>
      <c r="T26" s="518">
        <v>2061.2927999999997</v>
      </c>
      <c r="U26" s="519">
        <v>197.47300332799978</v>
      </c>
      <c r="V26" s="520">
        <f t="shared" si="9"/>
        <v>740.31430399999999</v>
      </c>
      <c r="W26" s="521">
        <v>628.69430399999999</v>
      </c>
      <c r="X26" s="518">
        <v>73.09999999999998</v>
      </c>
      <c r="Y26" s="522">
        <v>38.520000000000024</v>
      </c>
      <c r="Z26" s="523">
        <v>184.60000000000082</v>
      </c>
      <c r="AA26" s="524">
        <v>0</v>
      </c>
      <c r="AB26" s="486"/>
      <c r="AC26" s="525">
        <v>2982.1510841540044</v>
      </c>
      <c r="AD26" s="525">
        <v>2982.1510841540044</v>
      </c>
      <c r="AE26" s="525">
        <v>0</v>
      </c>
      <c r="AF26" s="525">
        <v>0</v>
      </c>
      <c r="AG26" s="525">
        <v>0</v>
      </c>
      <c r="AH26" s="525">
        <v>892.21564342500005</v>
      </c>
      <c r="AI26" s="525">
        <v>892.21564342500005</v>
      </c>
      <c r="AJ26" s="525">
        <v>0</v>
      </c>
      <c r="AK26" s="525">
        <v>0</v>
      </c>
      <c r="AL26" s="525">
        <v>0</v>
      </c>
      <c r="AM26" s="525">
        <v>0</v>
      </c>
      <c r="AN26" s="525">
        <v>0</v>
      </c>
      <c r="AO26" s="525">
        <v>0</v>
      </c>
      <c r="AP26" s="525">
        <v>0</v>
      </c>
      <c r="AQ26" s="525">
        <v>0</v>
      </c>
      <c r="AR26" s="525">
        <v>0</v>
      </c>
      <c r="AS26" s="525">
        <v>0</v>
      </c>
      <c r="AT26" s="525">
        <v>0</v>
      </c>
      <c r="AU26" s="525">
        <v>0</v>
      </c>
      <c r="AV26" s="525">
        <v>0</v>
      </c>
      <c r="AW26" s="525">
        <v>0</v>
      </c>
      <c r="AX26" s="525">
        <v>0</v>
      </c>
      <c r="AY26" s="525">
        <v>0</v>
      </c>
      <c r="AZ26" s="525">
        <v>0</v>
      </c>
      <c r="BA26" s="525">
        <v>892.21564342500005</v>
      </c>
      <c r="BB26" s="525">
        <v>111.2107</v>
      </c>
      <c r="BC26" s="525">
        <v>0</v>
      </c>
      <c r="BD26" s="525">
        <v>0</v>
      </c>
      <c r="BE26" s="525">
        <v>0</v>
      </c>
      <c r="BF26" s="525">
        <v>0</v>
      </c>
      <c r="BG26" s="525">
        <v>0</v>
      </c>
      <c r="BH26" s="525">
        <v>0</v>
      </c>
      <c r="BI26" s="525">
        <v>0</v>
      </c>
      <c r="BJ26" s="525">
        <v>892.21564342500005</v>
      </c>
      <c r="BK26" s="525">
        <v>8.0227500000000003</v>
      </c>
      <c r="BL26" s="525">
        <v>111.2107</v>
      </c>
      <c r="BM26" s="525">
        <v>0</v>
      </c>
      <c r="BN26" s="525">
        <v>0</v>
      </c>
      <c r="BO26" s="525">
        <v>0</v>
      </c>
      <c r="BP26" s="525">
        <v>0</v>
      </c>
      <c r="BQ26" s="525">
        <v>0</v>
      </c>
      <c r="BR26" s="525">
        <v>0</v>
      </c>
      <c r="BS26" s="525">
        <v>0</v>
      </c>
      <c r="BT26" s="525">
        <v>0</v>
      </c>
      <c r="BU26" s="525">
        <v>0</v>
      </c>
      <c r="BV26" s="525">
        <v>0</v>
      </c>
      <c r="BW26" s="525">
        <v>0</v>
      </c>
      <c r="BX26" s="525">
        <v>0</v>
      </c>
      <c r="BY26" s="525">
        <v>0</v>
      </c>
      <c r="BZ26" s="525">
        <v>0</v>
      </c>
      <c r="CA26" s="525">
        <v>0</v>
      </c>
      <c r="CB26" s="525">
        <v>0</v>
      </c>
      <c r="CC26" s="525">
        <v>0</v>
      </c>
      <c r="CD26" s="525">
        <v>0</v>
      </c>
      <c r="CE26" s="525">
        <v>0</v>
      </c>
      <c r="CF26" s="525">
        <v>0</v>
      </c>
      <c r="CG26" s="525">
        <v>0</v>
      </c>
      <c r="CH26" s="525">
        <v>0</v>
      </c>
      <c r="CI26" s="525">
        <v>0</v>
      </c>
      <c r="CJ26" s="525">
        <v>0</v>
      </c>
      <c r="CK26" s="525">
        <v>0</v>
      </c>
      <c r="CL26" s="525">
        <v>0</v>
      </c>
      <c r="CM26" s="525">
        <v>2061.2927999999997</v>
      </c>
      <c r="CN26" s="525">
        <v>1731.86</v>
      </c>
      <c r="CO26" s="525">
        <v>0</v>
      </c>
      <c r="CP26" s="525">
        <v>329.43279999999999</v>
      </c>
      <c r="CQ26" s="525">
        <v>0</v>
      </c>
      <c r="CR26" s="525">
        <v>0</v>
      </c>
      <c r="CS26" s="525">
        <v>628.69430399999999</v>
      </c>
      <c r="CT26" s="525">
        <v>528.21730000000002</v>
      </c>
      <c r="CU26" s="525">
        <v>0</v>
      </c>
      <c r="CV26" s="525">
        <v>100.47700399999999</v>
      </c>
      <c r="CW26" s="525">
        <v>0</v>
      </c>
      <c r="CX26" s="525">
        <v>0</v>
      </c>
      <c r="CY26" s="525">
        <v>74.967498429999992</v>
      </c>
      <c r="CZ26" s="526"/>
      <c r="DA26" s="525">
        <v>4.3690000000000007</v>
      </c>
      <c r="DB26" s="525">
        <v>0</v>
      </c>
      <c r="DC26" s="526"/>
      <c r="DD26" s="525">
        <v>0</v>
      </c>
      <c r="DE26" s="525">
        <v>0</v>
      </c>
      <c r="DF26" s="525">
        <v>0</v>
      </c>
      <c r="DG26" s="525">
        <v>97.468101120000014</v>
      </c>
      <c r="DH26" s="525">
        <v>59.421828160000004</v>
      </c>
      <c r="DI26" s="525">
        <v>0</v>
      </c>
      <c r="DJ26" s="525">
        <v>38.046272960000003</v>
      </c>
      <c r="DK26" s="525">
        <v>0</v>
      </c>
      <c r="DL26" s="525">
        <v>0</v>
      </c>
      <c r="DM26" s="525">
        <v>0</v>
      </c>
      <c r="DN26" s="525">
        <v>0</v>
      </c>
      <c r="DO26" s="525">
        <v>0</v>
      </c>
      <c r="DP26" s="525">
        <v>59.197632000000006</v>
      </c>
      <c r="DQ26" s="525">
        <v>0</v>
      </c>
      <c r="DR26" s="525">
        <v>0</v>
      </c>
      <c r="DS26" s="525">
        <v>0</v>
      </c>
      <c r="DT26" s="525">
        <v>59.197632000000006</v>
      </c>
      <c r="DU26" s="525">
        <v>0</v>
      </c>
      <c r="DV26" s="525">
        <v>0</v>
      </c>
      <c r="DW26" s="525">
        <v>0</v>
      </c>
      <c r="DX26" s="525">
        <v>0</v>
      </c>
      <c r="DY26" s="525">
        <v>0</v>
      </c>
      <c r="DZ26" s="525">
        <v>0</v>
      </c>
      <c r="EA26" s="525">
        <v>0</v>
      </c>
      <c r="EB26" s="525">
        <v>0</v>
      </c>
      <c r="EC26" s="525">
        <v>0</v>
      </c>
      <c r="ED26" s="525">
        <v>0</v>
      </c>
      <c r="EE26" s="525">
        <v>0</v>
      </c>
      <c r="EF26" s="525">
        <v>0</v>
      </c>
      <c r="EG26" s="525">
        <v>0</v>
      </c>
      <c r="EH26" s="525">
        <v>0</v>
      </c>
      <c r="EI26" s="525">
        <v>0</v>
      </c>
      <c r="EJ26" s="525">
        <v>0</v>
      </c>
      <c r="EK26" s="525">
        <v>0</v>
      </c>
      <c r="EL26" s="525">
        <v>0</v>
      </c>
      <c r="EM26" s="525">
        <v>12.026739424000001</v>
      </c>
      <c r="EN26" s="525">
        <v>0</v>
      </c>
      <c r="EO26" s="525">
        <v>0</v>
      </c>
      <c r="EP26" s="525">
        <v>28.780530784000003</v>
      </c>
      <c r="EQ26" s="525">
        <v>0</v>
      </c>
      <c r="ER26" s="525">
        <v>28.780530784000003</v>
      </c>
      <c r="ES26" s="525">
        <v>0</v>
      </c>
      <c r="ET26" s="525">
        <v>0</v>
      </c>
      <c r="EU26" s="525">
        <v>0</v>
      </c>
      <c r="EV26" s="525">
        <v>0</v>
      </c>
      <c r="EW26" s="525">
        <v>0</v>
      </c>
      <c r="EX26" s="525">
        <v>0</v>
      </c>
      <c r="EY26" s="525">
        <v>0</v>
      </c>
      <c r="EZ26" s="525">
        <v>0</v>
      </c>
      <c r="FA26" s="525">
        <v>0</v>
      </c>
      <c r="FB26" s="525">
        <v>38.519999999999996</v>
      </c>
      <c r="FC26" s="525">
        <v>0.13</v>
      </c>
      <c r="FD26" s="525">
        <v>15.68</v>
      </c>
      <c r="FE26" s="525">
        <v>0</v>
      </c>
      <c r="FF26" s="525">
        <v>22.709999999999997</v>
      </c>
      <c r="FG26" s="525">
        <v>0.6</v>
      </c>
      <c r="FH26" s="525">
        <v>21.29</v>
      </c>
      <c r="FI26" s="525">
        <v>0.82</v>
      </c>
      <c r="FJ26" s="525">
        <v>0</v>
      </c>
      <c r="FK26" s="525">
        <v>0</v>
      </c>
      <c r="FL26" s="525">
        <v>0</v>
      </c>
      <c r="FM26" s="525">
        <v>73.09999999999998</v>
      </c>
      <c r="FN26" s="525">
        <v>73.09999999999998</v>
      </c>
      <c r="FO26" s="525">
        <v>0</v>
      </c>
      <c r="FP26" s="525">
        <v>0</v>
      </c>
      <c r="FQ26" s="525">
        <v>0</v>
      </c>
      <c r="FR26" s="525">
        <v>0</v>
      </c>
      <c r="FS26" s="527">
        <v>6948.4143333370039</v>
      </c>
      <c r="FT26" s="525">
        <v>0</v>
      </c>
      <c r="FU26" s="525">
        <v>0</v>
      </c>
      <c r="FV26" s="525">
        <v>0</v>
      </c>
      <c r="FW26" s="525">
        <v>0</v>
      </c>
      <c r="FX26" s="525">
        <v>0</v>
      </c>
      <c r="FY26" s="525">
        <v>0</v>
      </c>
      <c r="FZ26" s="525">
        <v>0</v>
      </c>
      <c r="GA26" s="525">
        <v>0</v>
      </c>
      <c r="GB26" s="525">
        <v>0</v>
      </c>
      <c r="GC26" s="525">
        <v>0</v>
      </c>
      <c r="GD26" s="525">
        <v>0</v>
      </c>
      <c r="GE26" s="525">
        <v>0</v>
      </c>
      <c r="GF26" s="525">
        <v>0</v>
      </c>
      <c r="GG26" s="525">
        <v>0</v>
      </c>
      <c r="GH26" s="525">
        <v>0</v>
      </c>
      <c r="GI26" s="525">
        <v>0</v>
      </c>
      <c r="GJ26" s="526"/>
      <c r="GK26" s="525">
        <v>0</v>
      </c>
      <c r="GL26" s="526"/>
      <c r="GM26" s="525">
        <v>0</v>
      </c>
      <c r="GN26" s="525">
        <v>0</v>
      </c>
      <c r="GO26" s="526"/>
      <c r="GP26" s="526"/>
      <c r="GQ26" s="525">
        <v>0</v>
      </c>
      <c r="GR26" s="526"/>
      <c r="GS26" s="526"/>
      <c r="GT26" s="525">
        <v>0</v>
      </c>
      <c r="GU26" s="525">
        <v>0</v>
      </c>
      <c r="GV26" s="525">
        <v>0</v>
      </c>
      <c r="GW26" s="525">
        <v>0</v>
      </c>
      <c r="GX26" s="525">
        <v>0</v>
      </c>
      <c r="GY26" s="525">
        <v>0</v>
      </c>
      <c r="GZ26" s="525">
        <v>0</v>
      </c>
      <c r="HA26" s="525">
        <v>0</v>
      </c>
      <c r="HB26" s="525">
        <v>0</v>
      </c>
      <c r="HC26" s="525">
        <v>0</v>
      </c>
      <c r="HD26" s="525">
        <v>0</v>
      </c>
      <c r="HE26" s="525">
        <v>0</v>
      </c>
      <c r="HF26" s="525">
        <v>0</v>
      </c>
      <c r="HG26" s="525">
        <v>0</v>
      </c>
      <c r="HH26" s="525">
        <v>0</v>
      </c>
      <c r="HI26" s="525">
        <v>0</v>
      </c>
      <c r="HJ26" s="525">
        <v>0</v>
      </c>
      <c r="HK26" s="525">
        <v>0</v>
      </c>
      <c r="HL26" s="526"/>
      <c r="HM26" s="526"/>
      <c r="HN26" s="526"/>
      <c r="HO26" s="526"/>
      <c r="HP26" s="526"/>
      <c r="HQ26" s="526"/>
      <c r="HR26" s="526"/>
      <c r="HS26" s="526"/>
      <c r="HT26" s="526"/>
      <c r="HU26" s="526"/>
      <c r="HV26" s="526"/>
      <c r="HW26" s="526"/>
      <c r="HX26" s="526"/>
      <c r="HY26" s="526"/>
      <c r="HZ26" s="526"/>
      <c r="IA26" s="526"/>
      <c r="IB26" s="526"/>
      <c r="IC26" s="526"/>
      <c r="ID26" s="526"/>
      <c r="IE26" s="526"/>
      <c r="IF26" s="526"/>
      <c r="IG26" s="526"/>
      <c r="IH26" s="526"/>
      <c r="II26" s="526"/>
      <c r="IJ26" s="526"/>
      <c r="IK26" s="526"/>
      <c r="IL26" s="526"/>
      <c r="IM26" s="526"/>
      <c r="IN26" s="526"/>
      <c r="IO26" s="526"/>
      <c r="IP26" s="526"/>
      <c r="IQ26" s="526"/>
      <c r="IR26" s="526"/>
      <c r="IS26" s="526"/>
      <c r="IT26" s="526"/>
      <c r="IU26" s="526"/>
      <c r="IV26" s="526"/>
      <c r="IW26" s="526"/>
      <c r="IX26" s="526"/>
      <c r="IY26" s="526"/>
      <c r="IZ26" s="526"/>
      <c r="JA26" s="526"/>
      <c r="JB26" s="526"/>
      <c r="JC26" s="526"/>
      <c r="JD26" s="526"/>
      <c r="JE26" s="526"/>
      <c r="JF26" s="526"/>
      <c r="JG26" s="526"/>
      <c r="JH26" s="526"/>
      <c r="JI26" s="526"/>
      <c r="JJ26" s="526"/>
      <c r="JK26" s="526"/>
      <c r="JL26" s="526"/>
      <c r="JM26" s="526"/>
      <c r="JN26" s="525">
        <v>2258.7658033279995</v>
      </c>
      <c r="JO26" s="525">
        <v>740.31430399999999</v>
      </c>
      <c r="JP26" s="525">
        <v>3949.3342260090044</v>
      </c>
      <c r="JQ26" s="525">
        <v>0</v>
      </c>
      <c r="JR26" s="525">
        <v>0</v>
      </c>
      <c r="JS26" s="527">
        <v>7133.0143333370042</v>
      </c>
      <c r="JT26" s="528">
        <f t="shared" si="10"/>
        <v>184.60000000000082</v>
      </c>
      <c r="JU26" s="525">
        <v>8559.6172000044044</v>
      </c>
      <c r="JV26" s="525">
        <v>3593.9293508513219</v>
      </c>
      <c r="JW26" s="525">
        <v>4312.7152210215863</v>
      </c>
      <c r="JX26" s="525">
        <v>3884.6080000000002</v>
      </c>
      <c r="JY26" s="525">
        <v>1957.2380000000001</v>
      </c>
      <c r="JZ26" s="526"/>
      <c r="KA26" s="525">
        <v>1957.2380000000001</v>
      </c>
      <c r="KB26" s="529">
        <v>0</v>
      </c>
      <c r="KC26" s="525">
        <v>3.657024611322413</v>
      </c>
      <c r="KD26" s="525">
        <v>3590.2723262399995</v>
      </c>
      <c r="KE26" s="525">
        <v>1957.2380000000001</v>
      </c>
      <c r="KF26" s="525">
        <v>0</v>
      </c>
      <c r="KG26" s="530">
        <v>0</v>
      </c>
      <c r="KH26" s="525">
        <v>0</v>
      </c>
      <c r="KI26" s="525">
        <v>3325.4870063999997</v>
      </c>
      <c r="KJ26" s="530">
        <v>1833.9015333031864</v>
      </c>
      <c r="KK26" s="525">
        <v>1813.34</v>
      </c>
      <c r="KL26" s="525">
        <v>264.78531983999994</v>
      </c>
      <c r="KM26" s="530">
        <v>1840.0903406579657</v>
      </c>
      <c r="KN26" s="525">
        <v>143.898</v>
      </c>
      <c r="KO26" s="525">
        <v>0</v>
      </c>
      <c r="KP26" s="530">
        <v>0</v>
      </c>
      <c r="KQ26" s="525">
        <v>0</v>
      </c>
      <c r="KR26" s="526"/>
      <c r="KS26" s="526"/>
      <c r="KT26" s="531">
        <v>501.58</v>
      </c>
      <c r="KU26" s="531">
        <v>63</v>
      </c>
      <c r="KV26" s="526"/>
      <c r="KW26" s="531">
        <v>501.58</v>
      </c>
      <c r="KX26" s="531">
        <v>0.3</v>
      </c>
      <c r="KY26" s="531"/>
      <c r="KZ26" s="526"/>
      <c r="LA26" s="531">
        <v>1575.644</v>
      </c>
      <c r="LB26" s="532">
        <v>22</v>
      </c>
      <c r="LC26" s="533">
        <v>1E-3</v>
      </c>
      <c r="LD26" s="494">
        <f t="shared" si="11"/>
        <v>8811.8664563872226</v>
      </c>
      <c r="LE26" s="509">
        <f t="shared" si="12"/>
        <v>7343.2220469893527</v>
      </c>
      <c r="LF26" s="534">
        <f t="shared" si="13"/>
        <v>4073.0250059906994</v>
      </c>
      <c r="LG26" s="535">
        <f t="shared" si="14"/>
        <v>3071.6156166786245</v>
      </c>
      <c r="LH26" s="536">
        <f t="shared" si="31"/>
        <v>1.03</v>
      </c>
      <c r="LI26" s="537">
        <f t="shared" si="15"/>
        <v>3071.6156166786245</v>
      </c>
      <c r="LJ26" s="536">
        <f t="shared" si="32"/>
        <v>1.0389999999999999</v>
      </c>
      <c r="LK26" s="537">
        <f t="shared" si="16"/>
        <v>0</v>
      </c>
      <c r="LL26" s="536">
        <f t="shared" si="33"/>
        <v>1.0349999999999999</v>
      </c>
      <c r="LM26" s="537">
        <f t="shared" si="17"/>
        <v>0</v>
      </c>
      <c r="LN26" s="536">
        <f t="shared" si="34"/>
        <v>1.0349999999999999</v>
      </c>
      <c r="LO26" s="537">
        <f t="shared" si="18"/>
        <v>0</v>
      </c>
      <c r="LP26" s="536">
        <f t="shared" si="35"/>
        <v>1.0349999999999999</v>
      </c>
      <c r="LQ26" s="537">
        <f t="shared" si="19"/>
        <v>923.44319094487503</v>
      </c>
      <c r="LR26" s="536">
        <f t="shared" si="36"/>
        <v>1.04</v>
      </c>
      <c r="LS26" s="537">
        <f t="shared" si="20"/>
        <v>77.966198367199993</v>
      </c>
      <c r="LT26" s="539">
        <f t="shared" si="21"/>
        <v>2323.3890929612135</v>
      </c>
      <c r="LU26" s="540">
        <f t="shared" si="22"/>
        <v>2120.2663870079996</v>
      </c>
      <c r="LV26" s="541">
        <f t="shared" si="23"/>
        <v>203.12270595321382</v>
      </c>
      <c r="LW26" s="542">
        <f t="shared" si="24"/>
        <v>762.20794803744002</v>
      </c>
      <c r="LX26" s="540">
        <f t="shared" si="25"/>
        <v>646.68124803744001</v>
      </c>
      <c r="LY26" s="540">
        <f t="shared" si="26"/>
        <v>75.658499999999975</v>
      </c>
      <c r="LZ26" s="543">
        <f t="shared" si="27"/>
        <v>39.868200000000023</v>
      </c>
      <c r="MA26" s="544">
        <f t="shared" si="28"/>
        <v>184.60000000000082</v>
      </c>
      <c r="MB26" s="545">
        <f t="shared" si="29"/>
        <v>0</v>
      </c>
    </row>
    <row r="27" spans="1:340" ht="16.5" customHeight="1">
      <c r="A27" s="465">
        <v>1</v>
      </c>
      <c r="B27" s="466">
        <v>17</v>
      </c>
      <c r="C27" s="467" t="s">
        <v>312</v>
      </c>
      <c r="D27" s="468">
        <v>4622005001</v>
      </c>
      <c r="E27" s="469">
        <f t="shared" si="3"/>
        <v>4356.5646988578255</v>
      </c>
      <c r="F27" s="470" t="s">
        <v>287</v>
      </c>
      <c r="G27" s="595">
        <v>4356.5607599999994</v>
      </c>
      <c r="H27" s="595">
        <f t="shared" si="30"/>
        <v>3.938857826142339E-3</v>
      </c>
      <c r="I27" s="595"/>
      <c r="J27" s="471">
        <f t="shared" si="4"/>
        <v>4356.5646988578255</v>
      </c>
      <c r="K27" s="472">
        <f t="shared" si="5"/>
        <v>1875.6537888578246</v>
      </c>
      <c r="L27" s="473">
        <f t="shared" si="6"/>
        <v>1513.5826771178583</v>
      </c>
      <c r="M27" s="474">
        <v>1513.5826771178583</v>
      </c>
      <c r="N27" s="475">
        <v>0</v>
      </c>
      <c r="O27" s="475">
        <v>0</v>
      </c>
      <c r="P27" s="476">
        <v>0</v>
      </c>
      <c r="Q27" s="477">
        <v>320.95157094000007</v>
      </c>
      <c r="R27" s="478">
        <f t="shared" si="7"/>
        <v>41.119540799966224</v>
      </c>
      <c r="S27" s="479">
        <f t="shared" si="8"/>
        <v>1952.0620000000004</v>
      </c>
      <c r="T27" s="479">
        <v>1531.2050000000002</v>
      </c>
      <c r="U27" s="480">
        <v>420.8570000000002</v>
      </c>
      <c r="V27" s="481">
        <f t="shared" si="9"/>
        <v>509.88890999999995</v>
      </c>
      <c r="W27" s="482">
        <v>462.42390999999998</v>
      </c>
      <c r="X27" s="479">
        <v>0</v>
      </c>
      <c r="Y27" s="483">
        <v>47.464999999999975</v>
      </c>
      <c r="Z27" s="484">
        <v>18.960000000000719</v>
      </c>
      <c r="AA27" s="485">
        <v>0</v>
      </c>
      <c r="AB27" s="486"/>
      <c r="AC27" s="487">
        <v>1513.5826771178583</v>
      </c>
      <c r="AD27" s="487">
        <v>1513.5826771178583</v>
      </c>
      <c r="AE27" s="487">
        <v>0</v>
      </c>
      <c r="AF27" s="487">
        <v>0</v>
      </c>
      <c r="AG27" s="487">
        <v>0</v>
      </c>
      <c r="AH27" s="487">
        <v>320.95157094000007</v>
      </c>
      <c r="AI27" s="487">
        <v>320.95157094000007</v>
      </c>
      <c r="AJ27" s="487">
        <v>0</v>
      </c>
      <c r="AK27" s="487">
        <v>0</v>
      </c>
      <c r="AL27" s="487">
        <v>0</v>
      </c>
      <c r="AM27" s="487">
        <v>0</v>
      </c>
      <c r="AN27" s="487">
        <v>0</v>
      </c>
      <c r="AO27" s="487">
        <v>0</v>
      </c>
      <c r="AP27" s="487">
        <v>0</v>
      </c>
      <c r="AQ27" s="487">
        <v>0</v>
      </c>
      <c r="AR27" s="487">
        <v>0</v>
      </c>
      <c r="AS27" s="487">
        <v>0</v>
      </c>
      <c r="AT27" s="487">
        <v>0</v>
      </c>
      <c r="AU27" s="487">
        <v>0</v>
      </c>
      <c r="AV27" s="487">
        <v>0</v>
      </c>
      <c r="AW27" s="487">
        <v>0</v>
      </c>
      <c r="AX27" s="487">
        <v>0</v>
      </c>
      <c r="AY27" s="487">
        <v>0</v>
      </c>
      <c r="AZ27" s="487">
        <v>0</v>
      </c>
      <c r="BA27" s="487">
        <v>320.95157094000007</v>
      </c>
      <c r="BB27" s="487">
        <v>33.741399999999999</v>
      </c>
      <c r="BC27" s="487">
        <v>0</v>
      </c>
      <c r="BD27" s="487">
        <v>320.95157094000007</v>
      </c>
      <c r="BE27" s="487">
        <v>9.512100000000002</v>
      </c>
      <c r="BF27" s="487">
        <v>33.741399999999999</v>
      </c>
      <c r="BG27" s="487">
        <v>0</v>
      </c>
      <c r="BH27" s="487">
        <v>0</v>
      </c>
      <c r="BI27" s="487">
        <v>0</v>
      </c>
      <c r="BJ27" s="487">
        <v>0</v>
      </c>
      <c r="BK27" s="487">
        <v>0</v>
      </c>
      <c r="BL27" s="487">
        <v>0</v>
      </c>
      <c r="BM27" s="487">
        <v>0</v>
      </c>
      <c r="BN27" s="487">
        <v>0</v>
      </c>
      <c r="BO27" s="487">
        <v>0</v>
      </c>
      <c r="BP27" s="487">
        <v>0</v>
      </c>
      <c r="BQ27" s="487">
        <v>0</v>
      </c>
      <c r="BR27" s="487">
        <v>0</v>
      </c>
      <c r="BS27" s="487">
        <v>0</v>
      </c>
      <c r="BT27" s="487">
        <v>0</v>
      </c>
      <c r="BU27" s="487">
        <v>0</v>
      </c>
      <c r="BV27" s="487">
        <v>0</v>
      </c>
      <c r="BW27" s="487">
        <v>0</v>
      </c>
      <c r="BX27" s="487">
        <v>0</v>
      </c>
      <c r="BY27" s="487">
        <v>0</v>
      </c>
      <c r="BZ27" s="487">
        <v>0</v>
      </c>
      <c r="CA27" s="487">
        <v>0</v>
      </c>
      <c r="CB27" s="487">
        <v>0</v>
      </c>
      <c r="CC27" s="487">
        <v>0</v>
      </c>
      <c r="CD27" s="487">
        <v>0</v>
      </c>
      <c r="CE27" s="487">
        <v>0</v>
      </c>
      <c r="CF27" s="487">
        <v>0</v>
      </c>
      <c r="CG27" s="487">
        <v>0</v>
      </c>
      <c r="CH27" s="487">
        <v>0</v>
      </c>
      <c r="CI27" s="487">
        <v>0</v>
      </c>
      <c r="CJ27" s="487">
        <v>0</v>
      </c>
      <c r="CK27" s="487">
        <v>0</v>
      </c>
      <c r="CL27" s="487">
        <v>0</v>
      </c>
      <c r="CM27" s="487">
        <v>1531.2050000000002</v>
      </c>
      <c r="CN27" s="487">
        <v>1531.2050000000002</v>
      </c>
      <c r="CO27" s="487">
        <v>0</v>
      </c>
      <c r="CP27" s="487">
        <v>0</v>
      </c>
      <c r="CQ27" s="487">
        <v>0</v>
      </c>
      <c r="CR27" s="487">
        <v>0</v>
      </c>
      <c r="CS27" s="487">
        <v>462.42390999999998</v>
      </c>
      <c r="CT27" s="487">
        <v>462.42390999999998</v>
      </c>
      <c r="CU27" s="487">
        <v>0</v>
      </c>
      <c r="CV27" s="487">
        <v>0</v>
      </c>
      <c r="CW27" s="487">
        <v>0</v>
      </c>
      <c r="CX27" s="487">
        <v>0</v>
      </c>
      <c r="CY27" s="487">
        <v>41.119540799966224</v>
      </c>
      <c r="CZ27" s="467"/>
      <c r="DA27" s="487">
        <v>0.91512000000004456</v>
      </c>
      <c r="DB27" s="487">
        <v>0</v>
      </c>
      <c r="DC27" s="467"/>
      <c r="DD27" s="487">
        <v>0</v>
      </c>
      <c r="DE27" s="487">
        <v>0</v>
      </c>
      <c r="DF27" s="487">
        <v>0</v>
      </c>
      <c r="DG27" s="487">
        <v>142.02100000000002</v>
      </c>
      <c r="DH27" s="487">
        <v>14.1</v>
      </c>
      <c r="DI27" s="487">
        <v>0</v>
      </c>
      <c r="DJ27" s="487">
        <v>127.92100000000001</v>
      </c>
      <c r="DK27" s="487">
        <v>0</v>
      </c>
      <c r="DL27" s="487">
        <v>0</v>
      </c>
      <c r="DM27" s="487">
        <v>0</v>
      </c>
      <c r="DN27" s="487">
        <v>0</v>
      </c>
      <c r="DO27" s="487">
        <v>0</v>
      </c>
      <c r="DP27" s="487">
        <v>78.796000000000006</v>
      </c>
      <c r="DQ27" s="487">
        <v>0</v>
      </c>
      <c r="DR27" s="487">
        <v>0</v>
      </c>
      <c r="DS27" s="487">
        <v>0</v>
      </c>
      <c r="DT27" s="487">
        <v>78.796000000000006</v>
      </c>
      <c r="DU27" s="487">
        <v>147.76599999999999</v>
      </c>
      <c r="DV27" s="487">
        <v>0</v>
      </c>
      <c r="DW27" s="487">
        <v>0</v>
      </c>
      <c r="DX27" s="487">
        <v>0</v>
      </c>
      <c r="DY27" s="487">
        <v>0</v>
      </c>
      <c r="DZ27" s="487">
        <v>0</v>
      </c>
      <c r="EA27" s="487">
        <v>0</v>
      </c>
      <c r="EB27" s="487">
        <v>0</v>
      </c>
      <c r="EC27" s="487">
        <v>0</v>
      </c>
      <c r="ED27" s="487">
        <v>0</v>
      </c>
      <c r="EE27" s="487">
        <v>0</v>
      </c>
      <c r="EF27" s="487">
        <v>0</v>
      </c>
      <c r="EG27" s="487">
        <v>147.76599999999999</v>
      </c>
      <c r="EH27" s="487">
        <v>0</v>
      </c>
      <c r="EI27" s="487">
        <v>0</v>
      </c>
      <c r="EJ27" s="487">
        <v>0</v>
      </c>
      <c r="EK27" s="487">
        <v>0</v>
      </c>
      <c r="EL27" s="487">
        <v>0</v>
      </c>
      <c r="EM27" s="487">
        <v>52.274000000000001</v>
      </c>
      <c r="EN27" s="487">
        <v>0</v>
      </c>
      <c r="EO27" s="487">
        <v>0</v>
      </c>
      <c r="EP27" s="487">
        <v>0</v>
      </c>
      <c r="EQ27" s="487">
        <v>0</v>
      </c>
      <c r="ER27" s="487">
        <v>0</v>
      </c>
      <c r="ES27" s="487">
        <v>0</v>
      </c>
      <c r="ET27" s="487">
        <v>0</v>
      </c>
      <c r="EU27" s="487">
        <v>0</v>
      </c>
      <c r="EV27" s="487">
        <v>0</v>
      </c>
      <c r="EW27" s="487">
        <v>0</v>
      </c>
      <c r="EX27" s="487">
        <v>0</v>
      </c>
      <c r="EY27" s="487">
        <v>0</v>
      </c>
      <c r="EZ27" s="487">
        <v>0</v>
      </c>
      <c r="FA27" s="487">
        <v>0</v>
      </c>
      <c r="FB27" s="487">
        <v>47.464999999999996</v>
      </c>
      <c r="FC27" s="487">
        <v>0</v>
      </c>
      <c r="FD27" s="487">
        <v>4.09</v>
      </c>
      <c r="FE27" s="487">
        <v>0</v>
      </c>
      <c r="FF27" s="487">
        <v>43.375</v>
      </c>
      <c r="FG27" s="487">
        <v>0</v>
      </c>
      <c r="FH27" s="487">
        <v>0</v>
      </c>
      <c r="FI27" s="487">
        <v>0</v>
      </c>
      <c r="FJ27" s="487">
        <v>0</v>
      </c>
      <c r="FK27" s="487">
        <v>43.375</v>
      </c>
      <c r="FL27" s="487">
        <v>0</v>
      </c>
      <c r="FM27" s="487">
        <v>0</v>
      </c>
      <c r="FN27" s="487">
        <v>0</v>
      </c>
      <c r="FO27" s="487">
        <v>0</v>
      </c>
      <c r="FP27" s="487">
        <v>0</v>
      </c>
      <c r="FQ27" s="487">
        <v>0</v>
      </c>
      <c r="FR27" s="487">
        <v>0</v>
      </c>
      <c r="FS27" s="488">
        <v>4337.6046988578255</v>
      </c>
      <c r="FT27" s="487">
        <v>0</v>
      </c>
      <c r="FU27" s="487">
        <v>0</v>
      </c>
      <c r="FV27" s="487">
        <v>0</v>
      </c>
      <c r="FW27" s="487">
        <v>0</v>
      </c>
      <c r="FX27" s="487">
        <v>0</v>
      </c>
      <c r="FY27" s="487">
        <v>0</v>
      </c>
      <c r="FZ27" s="487">
        <v>0</v>
      </c>
      <c r="GA27" s="487">
        <v>0</v>
      </c>
      <c r="GB27" s="487">
        <v>0</v>
      </c>
      <c r="GC27" s="487">
        <v>0</v>
      </c>
      <c r="GD27" s="487">
        <v>0</v>
      </c>
      <c r="GE27" s="487">
        <v>0</v>
      </c>
      <c r="GF27" s="487">
        <v>0</v>
      </c>
      <c r="GG27" s="487">
        <v>0</v>
      </c>
      <c r="GH27" s="487">
        <v>0</v>
      </c>
      <c r="GI27" s="487">
        <v>0</v>
      </c>
      <c r="GJ27" s="467"/>
      <c r="GK27" s="487">
        <v>0</v>
      </c>
      <c r="GL27" s="467"/>
      <c r="GM27" s="487">
        <v>0</v>
      </c>
      <c r="GN27" s="487">
        <v>0</v>
      </c>
      <c r="GO27" s="467"/>
      <c r="GP27" s="467"/>
      <c r="GQ27" s="487">
        <v>0</v>
      </c>
      <c r="GR27" s="467"/>
      <c r="GS27" s="467"/>
      <c r="GT27" s="487">
        <v>0</v>
      </c>
      <c r="GU27" s="487">
        <v>0</v>
      </c>
      <c r="GV27" s="487">
        <v>0</v>
      </c>
      <c r="GW27" s="487">
        <v>0</v>
      </c>
      <c r="GX27" s="487">
        <v>0</v>
      </c>
      <c r="GY27" s="487">
        <v>0</v>
      </c>
      <c r="GZ27" s="487">
        <v>0</v>
      </c>
      <c r="HA27" s="487">
        <v>0</v>
      </c>
      <c r="HB27" s="487">
        <v>0</v>
      </c>
      <c r="HC27" s="487">
        <v>0</v>
      </c>
      <c r="HD27" s="487">
        <v>0</v>
      </c>
      <c r="HE27" s="487">
        <v>0</v>
      </c>
      <c r="HF27" s="487">
        <v>0</v>
      </c>
      <c r="HG27" s="487">
        <v>0</v>
      </c>
      <c r="HH27" s="487">
        <v>0</v>
      </c>
      <c r="HI27" s="487">
        <v>0</v>
      </c>
      <c r="HJ27" s="487">
        <v>0</v>
      </c>
      <c r="HK27" s="487">
        <v>0</v>
      </c>
      <c r="HL27" s="467"/>
      <c r="HM27" s="467"/>
      <c r="HN27" s="467"/>
      <c r="HO27" s="467"/>
      <c r="HP27" s="467"/>
      <c r="HQ27" s="467"/>
      <c r="HR27" s="467"/>
      <c r="HS27" s="467"/>
      <c r="HT27" s="467"/>
      <c r="HU27" s="467"/>
      <c r="HV27" s="467"/>
      <c r="HW27" s="467"/>
      <c r="HX27" s="467"/>
      <c r="HY27" s="467"/>
      <c r="HZ27" s="467"/>
      <c r="IA27" s="467"/>
      <c r="IB27" s="467"/>
      <c r="IC27" s="467"/>
      <c r="ID27" s="467"/>
      <c r="IE27" s="467"/>
      <c r="IF27" s="467"/>
      <c r="IG27" s="467"/>
      <c r="IH27" s="467"/>
      <c r="II27" s="467"/>
      <c r="IJ27" s="467"/>
      <c r="IK27" s="467"/>
      <c r="IL27" s="467"/>
      <c r="IM27" s="467"/>
      <c r="IN27" s="467"/>
      <c r="IO27" s="467"/>
      <c r="IP27" s="467"/>
      <c r="IQ27" s="467"/>
      <c r="IR27" s="467"/>
      <c r="IS27" s="467"/>
      <c r="IT27" s="467"/>
      <c r="IU27" s="467"/>
      <c r="IV27" s="467"/>
      <c r="IW27" s="467"/>
      <c r="IX27" s="467"/>
      <c r="IY27" s="467"/>
      <c r="IZ27" s="467"/>
      <c r="JA27" s="467"/>
      <c r="JB27" s="467"/>
      <c r="JC27" s="467"/>
      <c r="JD27" s="467"/>
      <c r="JE27" s="467"/>
      <c r="JF27" s="467"/>
      <c r="JG27" s="467"/>
      <c r="JH27" s="467"/>
      <c r="JI27" s="467"/>
      <c r="JJ27" s="467"/>
      <c r="JK27" s="467"/>
      <c r="JL27" s="467"/>
      <c r="JM27" s="467"/>
      <c r="JN27" s="487">
        <v>1952.0620000000004</v>
      </c>
      <c r="JO27" s="487">
        <v>509.88890999999995</v>
      </c>
      <c r="JP27" s="487">
        <v>1875.6537888578246</v>
      </c>
      <c r="JQ27" s="487">
        <v>0</v>
      </c>
      <c r="JR27" s="487">
        <v>0</v>
      </c>
      <c r="JS27" s="488">
        <v>4356.5646988578255</v>
      </c>
      <c r="JT27" s="489">
        <f t="shared" si="10"/>
        <v>18.960000000000719</v>
      </c>
      <c r="JU27" s="487">
        <v>4356.5646988578255</v>
      </c>
      <c r="JV27" s="487">
        <v>4356.5646988578255</v>
      </c>
      <c r="JW27" s="487">
        <v>4356.5646988578255</v>
      </c>
      <c r="JX27" s="487">
        <v>1348</v>
      </c>
      <c r="JY27" s="487">
        <v>1348</v>
      </c>
      <c r="JZ27" s="467"/>
      <c r="KA27" s="487">
        <v>1348</v>
      </c>
      <c r="KB27" s="490">
        <v>0</v>
      </c>
      <c r="KC27" s="487">
        <v>3.938857826142339E-3</v>
      </c>
      <c r="KD27" s="487">
        <v>4356.5607599999994</v>
      </c>
      <c r="KE27" s="487">
        <v>1348</v>
      </c>
      <c r="KF27" s="487">
        <v>0</v>
      </c>
      <c r="KG27" s="491">
        <v>0</v>
      </c>
      <c r="KH27" s="487">
        <v>0</v>
      </c>
      <c r="KI27" s="487">
        <v>3910.5626999999995</v>
      </c>
      <c r="KJ27" s="491">
        <v>3231.87</v>
      </c>
      <c r="KK27" s="487">
        <v>1210</v>
      </c>
      <c r="KL27" s="487">
        <v>445.99806000000001</v>
      </c>
      <c r="KM27" s="491">
        <v>3231.87</v>
      </c>
      <c r="KN27" s="487">
        <v>138</v>
      </c>
      <c r="KO27" s="487">
        <v>0</v>
      </c>
      <c r="KP27" s="491">
        <v>0</v>
      </c>
      <c r="KQ27" s="487">
        <v>0</v>
      </c>
      <c r="KR27" s="467"/>
      <c r="KS27" s="467"/>
      <c r="KT27" s="487">
        <v>6804</v>
      </c>
      <c r="KU27" s="487">
        <v>30</v>
      </c>
      <c r="KV27" s="467"/>
      <c r="KW27" s="487">
        <v>1307.002</v>
      </c>
      <c r="KX27" s="487">
        <v>1.3</v>
      </c>
      <c r="KY27" s="487">
        <v>1.3</v>
      </c>
      <c r="KZ27" s="467"/>
      <c r="LA27" s="487">
        <v>600</v>
      </c>
      <c r="LB27" s="492">
        <v>19</v>
      </c>
      <c r="LC27" s="493">
        <v>2.3E-2</v>
      </c>
      <c r="LD27" s="494">
        <f t="shared" si="11"/>
        <v>4485.5899826713603</v>
      </c>
      <c r="LE27" s="471">
        <f t="shared" si="12"/>
        <v>4485.5899826713603</v>
      </c>
      <c r="LF27" s="495">
        <f t="shared" si="13"/>
        <v>1933.9393557862593</v>
      </c>
      <c r="LG27" s="476">
        <f t="shared" si="14"/>
        <v>1558.9901574313942</v>
      </c>
      <c r="LH27" s="496">
        <f t="shared" si="31"/>
        <v>1.03</v>
      </c>
      <c r="LI27" s="497">
        <f t="shared" si="15"/>
        <v>1558.9901574313942</v>
      </c>
      <c r="LJ27" s="496">
        <f t="shared" si="32"/>
        <v>1.0389999999999999</v>
      </c>
      <c r="LK27" s="497">
        <f t="shared" si="16"/>
        <v>0</v>
      </c>
      <c r="LL27" s="496">
        <f t="shared" si="33"/>
        <v>1.0349999999999999</v>
      </c>
      <c r="LM27" s="497">
        <f t="shared" si="17"/>
        <v>0</v>
      </c>
      <c r="LN27" s="496">
        <f t="shared" si="34"/>
        <v>1.0349999999999999</v>
      </c>
      <c r="LO27" s="497">
        <f t="shared" si="18"/>
        <v>0</v>
      </c>
      <c r="LP27" s="496">
        <f t="shared" si="35"/>
        <v>1.0349999999999999</v>
      </c>
      <c r="LQ27" s="497">
        <f t="shared" si="19"/>
        <v>332.18487592290006</v>
      </c>
      <c r="LR27" s="496">
        <f t="shared" si="36"/>
        <v>1.04</v>
      </c>
      <c r="LS27" s="497">
        <f t="shared" si="20"/>
        <v>42.764322431964871</v>
      </c>
      <c r="LT27" s="499">
        <f t="shared" si="21"/>
        <v>2007.9104938200003</v>
      </c>
      <c r="LU27" s="500">
        <f t="shared" si="22"/>
        <v>1575.0127750500001</v>
      </c>
      <c r="LV27" s="501">
        <f t="shared" si="23"/>
        <v>432.89771877000015</v>
      </c>
      <c r="LW27" s="499">
        <f t="shared" si="24"/>
        <v>524.7801330650999</v>
      </c>
      <c r="LX27" s="500">
        <f t="shared" si="25"/>
        <v>475.65385806509994</v>
      </c>
      <c r="LY27" s="500">
        <f t="shared" si="26"/>
        <v>0</v>
      </c>
      <c r="LZ27" s="502">
        <f t="shared" si="27"/>
        <v>49.126274999999971</v>
      </c>
      <c r="MA27" s="503">
        <f t="shared" si="28"/>
        <v>18.960000000000719</v>
      </c>
      <c r="MB27" s="504">
        <f t="shared" si="29"/>
        <v>0</v>
      </c>
    </row>
    <row r="28" spans="1:340" ht="16.5" customHeight="1">
      <c r="A28" s="505">
        <v>1</v>
      </c>
      <c r="B28" s="506">
        <v>18</v>
      </c>
      <c r="C28" s="507" t="s">
        <v>313</v>
      </c>
      <c r="D28" s="508">
        <v>4633002394</v>
      </c>
      <c r="E28" s="469">
        <f t="shared" si="3"/>
        <v>1043834.839011304</v>
      </c>
      <c r="F28" s="470" t="s">
        <v>281</v>
      </c>
      <c r="G28" s="595">
        <v>1043834.8379792902</v>
      </c>
      <c r="H28" s="595">
        <f t="shared" si="30"/>
        <v>1.0320137953385711E-3</v>
      </c>
      <c r="I28" s="595"/>
      <c r="J28" s="509">
        <f t="shared" si="4"/>
        <v>869862.36584275332</v>
      </c>
      <c r="K28" s="510">
        <f t="shared" si="5"/>
        <v>636689.14585290791</v>
      </c>
      <c r="L28" s="511">
        <f t="shared" si="6"/>
        <v>496511.69110199489</v>
      </c>
      <c r="M28" s="512">
        <v>496511.69110199489</v>
      </c>
      <c r="N28" s="513">
        <v>0</v>
      </c>
      <c r="O28" s="513">
        <v>0</v>
      </c>
      <c r="P28" s="514">
        <v>0</v>
      </c>
      <c r="Q28" s="515">
        <v>135844.52157408002</v>
      </c>
      <c r="R28" s="516">
        <f t="shared" si="7"/>
        <v>4332.9331768329721</v>
      </c>
      <c r="S28" s="517">
        <f t="shared" si="8"/>
        <v>136449.42413505499</v>
      </c>
      <c r="T28" s="518">
        <v>108699.49296193699</v>
      </c>
      <c r="U28" s="519">
        <v>27749.931173117991</v>
      </c>
      <c r="V28" s="520">
        <f t="shared" si="9"/>
        <v>97551.481666029707</v>
      </c>
      <c r="W28" s="521">
        <v>33262.044846352721</v>
      </c>
      <c r="X28" s="518">
        <v>9680</v>
      </c>
      <c r="Y28" s="522">
        <v>54609.436819676986</v>
      </c>
      <c r="Z28" s="523">
        <v>-12518.604671232577</v>
      </c>
      <c r="AA28" s="524">
        <v>11690.918859993399</v>
      </c>
      <c r="AB28" s="486"/>
      <c r="AC28" s="525">
        <v>496511.69110199489</v>
      </c>
      <c r="AD28" s="525">
        <v>496511.69110199489</v>
      </c>
      <c r="AE28" s="525">
        <v>0</v>
      </c>
      <c r="AF28" s="525">
        <v>0</v>
      </c>
      <c r="AG28" s="525">
        <v>0</v>
      </c>
      <c r="AH28" s="525">
        <v>135844.52157408002</v>
      </c>
      <c r="AI28" s="525">
        <v>135844.52157408002</v>
      </c>
      <c r="AJ28" s="525">
        <v>0</v>
      </c>
      <c r="AK28" s="525">
        <v>0</v>
      </c>
      <c r="AL28" s="525">
        <v>0</v>
      </c>
      <c r="AM28" s="525">
        <v>0</v>
      </c>
      <c r="AN28" s="525">
        <v>0</v>
      </c>
      <c r="AO28" s="525">
        <v>0</v>
      </c>
      <c r="AP28" s="525">
        <v>0</v>
      </c>
      <c r="AQ28" s="525">
        <v>0</v>
      </c>
      <c r="AR28" s="525">
        <v>0</v>
      </c>
      <c r="AS28" s="525">
        <v>0</v>
      </c>
      <c r="AT28" s="525">
        <v>0</v>
      </c>
      <c r="AU28" s="525">
        <v>0</v>
      </c>
      <c r="AV28" s="525">
        <v>0</v>
      </c>
      <c r="AW28" s="525">
        <v>0</v>
      </c>
      <c r="AX28" s="525">
        <v>0</v>
      </c>
      <c r="AY28" s="525">
        <v>0</v>
      </c>
      <c r="AZ28" s="525">
        <v>0</v>
      </c>
      <c r="BA28" s="525">
        <v>135844.52157408002</v>
      </c>
      <c r="BB28" s="525">
        <v>21262.916600000004</v>
      </c>
      <c r="BC28" s="525">
        <v>0</v>
      </c>
      <c r="BD28" s="525">
        <v>0</v>
      </c>
      <c r="BE28" s="525">
        <v>0</v>
      </c>
      <c r="BF28" s="525">
        <v>0</v>
      </c>
      <c r="BG28" s="525">
        <v>0</v>
      </c>
      <c r="BH28" s="525">
        <v>0</v>
      </c>
      <c r="BI28" s="525">
        <v>0</v>
      </c>
      <c r="BJ28" s="525">
        <v>135844.52157408002</v>
      </c>
      <c r="BK28" s="525">
        <v>6.3887999999999998</v>
      </c>
      <c r="BL28" s="525">
        <v>21262.916600000004</v>
      </c>
      <c r="BM28" s="525">
        <v>0</v>
      </c>
      <c r="BN28" s="525">
        <v>0</v>
      </c>
      <c r="BO28" s="525">
        <v>0</v>
      </c>
      <c r="BP28" s="525">
        <v>0</v>
      </c>
      <c r="BQ28" s="525">
        <v>0</v>
      </c>
      <c r="BR28" s="525">
        <v>0</v>
      </c>
      <c r="BS28" s="525">
        <v>0</v>
      </c>
      <c r="BT28" s="525">
        <v>0</v>
      </c>
      <c r="BU28" s="525">
        <v>0</v>
      </c>
      <c r="BV28" s="525">
        <v>0</v>
      </c>
      <c r="BW28" s="525">
        <v>0</v>
      </c>
      <c r="BX28" s="525">
        <v>0</v>
      </c>
      <c r="BY28" s="525">
        <v>0</v>
      </c>
      <c r="BZ28" s="525">
        <v>0</v>
      </c>
      <c r="CA28" s="525">
        <v>0</v>
      </c>
      <c r="CB28" s="525">
        <v>0</v>
      </c>
      <c r="CC28" s="525">
        <v>0</v>
      </c>
      <c r="CD28" s="525">
        <v>0</v>
      </c>
      <c r="CE28" s="525">
        <v>0</v>
      </c>
      <c r="CF28" s="525">
        <v>0</v>
      </c>
      <c r="CG28" s="525">
        <v>0</v>
      </c>
      <c r="CH28" s="525">
        <v>0</v>
      </c>
      <c r="CI28" s="525">
        <v>0</v>
      </c>
      <c r="CJ28" s="525">
        <v>0</v>
      </c>
      <c r="CK28" s="525">
        <v>0</v>
      </c>
      <c r="CL28" s="525">
        <v>0</v>
      </c>
      <c r="CM28" s="525">
        <v>108699.49296193699</v>
      </c>
      <c r="CN28" s="525">
        <v>108699.49296193699</v>
      </c>
      <c r="CO28" s="525">
        <v>0</v>
      </c>
      <c r="CP28" s="525">
        <v>0</v>
      </c>
      <c r="CQ28" s="525">
        <v>0</v>
      </c>
      <c r="CR28" s="525">
        <v>0</v>
      </c>
      <c r="CS28" s="525">
        <v>33262.044846352721</v>
      </c>
      <c r="CT28" s="525">
        <v>33262.044846352721</v>
      </c>
      <c r="CU28" s="525">
        <v>0</v>
      </c>
      <c r="CV28" s="525">
        <v>0</v>
      </c>
      <c r="CW28" s="525">
        <v>0</v>
      </c>
      <c r="CX28" s="525">
        <v>0</v>
      </c>
      <c r="CY28" s="525">
        <v>3718.1556472329717</v>
      </c>
      <c r="CZ28" s="526"/>
      <c r="DA28" s="525">
        <v>281.89636973972398</v>
      </c>
      <c r="DB28" s="525">
        <v>614.77752959999998</v>
      </c>
      <c r="DC28" s="526"/>
      <c r="DD28" s="525">
        <v>37.374000000000009</v>
      </c>
      <c r="DE28" s="525">
        <v>0</v>
      </c>
      <c r="DF28" s="525">
        <v>0</v>
      </c>
      <c r="DG28" s="525">
        <v>17088.8998956984</v>
      </c>
      <c r="DH28" s="525">
        <v>921.80787819119996</v>
      </c>
      <c r="DI28" s="525">
        <v>0</v>
      </c>
      <c r="DJ28" s="525">
        <v>16167.092017507199</v>
      </c>
      <c r="DK28" s="525">
        <v>0</v>
      </c>
      <c r="DL28" s="525">
        <v>0</v>
      </c>
      <c r="DM28" s="525">
        <v>0</v>
      </c>
      <c r="DN28" s="525">
        <v>0</v>
      </c>
      <c r="DO28" s="525">
        <v>0</v>
      </c>
      <c r="DP28" s="525">
        <v>1166.3264644415999</v>
      </c>
      <c r="DQ28" s="525">
        <v>0</v>
      </c>
      <c r="DR28" s="525">
        <v>0</v>
      </c>
      <c r="DS28" s="525">
        <v>0</v>
      </c>
      <c r="DT28" s="525">
        <v>1166.3264644415999</v>
      </c>
      <c r="DU28" s="525">
        <v>8774.3267025875994</v>
      </c>
      <c r="DV28" s="525">
        <v>355.27358318760002</v>
      </c>
      <c r="DW28" s="525">
        <v>1050.6559954967997</v>
      </c>
      <c r="DX28" s="525">
        <v>1352.1731401331999</v>
      </c>
      <c r="DY28" s="525">
        <v>0</v>
      </c>
      <c r="DZ28" s="525">
        <v>621.02282513039995</v>
      </c>
      <c r="EA28" s="525">
        <v>0</v>
      </c>
      <c r="EB28" s="525">
        <v>0</v>
      </c>
      <c r="EC28" s="525">
        <v>0</v>
      </c>
      <c r="ED28" s="525">
        <v>0</v>
      </c>
      <c r="EE28" s="525">
        <v>0</v>
      </c>
      <c r="EF28" s="525">
        <v>0</v>
      </c>
      <c r="EG28" s="525">
        <v>5395.2011586396002</v>
      </c>
      <c r="EH28" s="525">
        <v>0</v>
      </c>
      <c r="EI28" s="525">
        <v>0</v>
      </c>
      <c r="EJ28" s="525">
        <v>0</v>
      </c>
      <c r="EK28" s="525">
        <v>0</v>
      </c>
      <c r="EL28" s="525">
        <v>135.2277724644</v>
      </c>
      <c r="EM28" s="525">
        <v>247.86529059599999</v>
      </c>
      <c r="EN28" s="525">
        <v>0</v>
      </c>
      <c r="EO28" s="525">
        <v>0</v>
      </c>
      <c r="EP28" s="525">
        <v>337.28504733</v>
      </c>
      <c r="EQ28" s="525">
        <v>0</v>
      </c>
      <c r="ER28" s="525">
        <v>337.28504733</v>
      </c>
      <c r="ES28" s="525">
        <v>0</v>
      </c>
      <c r="ET28" s="525">
        <v>0</v>
      </c>
      <c r="EU28" s="525">
        <v>0</v>
      </c>
      <c r="EV28" s="525">
        <v>0</v>
      </c>
      <c r="EW28" s="525">
        <v>0</v>
      </c>
      <c r="EX28" s="525">
        <v>0</v>
      </c>
      <c r="EY28" s="525">
        <v>0</v>
      </c>
      <c r="EZ28" s="525">
        <v>0</v>
      </c>
      <c r="FA28" s="525">
        <v>0</v>
      </c>
      <c r="FB28" s="525">
        <v>5573.2517010894153</v>
      </c>
      <c r="FC28" s="525">
        <v>1700</v>
      </c>
      <c r="FD28" s="525">
        <v>341.30000000000007</v>
      </c>
      <c r="FE28" s="525">
        <v>0</v>
      </c>
      <c r="FF28" s="525">
        <v>3531.9517010894156</v>
      </c>
      <c r="FG28" s="525">
        <v>2331.5</v>
      </c>
      <c r="FH28" s="525">
        <v>11.67888908941487</v>
      </c>
      <c r="FI28" s="525">
        <v>211.6</v>
      </c>
      <c r="FJ28" s="525">
        <v>0</v>
      </c>
      <c r="FK28" s="525">
        <v>977.17281200000002</v>
      </c>
      <c r="FL28" s="525">
        <v>13789.057040199999</v>
      </c>
      <c r="FM28" s="525">
        <v>9680</v>
      </c>
      <c r="FN28" s="525">
        <v>9680</v>
      </c>
      <c r="FO28" s="525">
        <v>0</v>
      </c>
      <c r="FP28" s="525">
        <v>3735.26441095891</v>
      </c>
      <c r="FQ28" s="525">
        <v>28589.133952430297</v>
      </c>
      <c r="FR28" s="525">
        <v>2922.7297149983497</v>
      </c>
      <c r="FS28" s="527">
        <v>870690.05165399262</v>
      </c>
      <c r="FT28" s="525">
        <v>0</v>
      </c>
      <c r="FU28" s="525">
        <v>0</v>
      </c>
      <c r="FV28" s="525">
        <v>0</v>
      </c>
      <c r="FW28" s="525">
        <v>0</v>
      </c>
      <c r="FX28" s="525">
        <v>0</v>
      </c>
      <c r="FY28" s="525">
        <v>0</v>
      </c>
      <c r="FZ28" s="525">
        <v>0</v>
      </c>
      <c r="GA28" s="525">
        <v>0</v>
      </c>
      <c r="GB28" s="525">
        <v>0</v>
      </c>
      <c r="GC28" s="525">
        <v>0</v>
      </c>
      <c r="GD28" s="525">
        <v>0</v>
      </c>
      <c r="GE28" s="525">
        <v>0</v>
      </c>
      <c r="GF28" s="525">
        <v>0</v>
      </c>
      <c r="GG28" s="525">
        <v>0</v>
      </c>
      <c r="GH28" s="525">
        <v>11690.918859993399</v>
      </c>
      <c r="GI28" s="525">
        <v>0</v>
      </c>
      <c r="GJ28" s="526"/>
      <c r="GK28" s="525">
        <v>11690.918859993399</v>
      </c>
      <c r="GL28" s="526"/>
      <c r="GM28" s="525">
        <v>0</v>
      </c>
      <c r="GN28" s="525">
        <v>0</v>
      </c>
      <c r="GO28" s="526"/>
      <c r="GP28" s="526"/>
      <c r="GQ28" s="525">
        <v>0</v>
      </c>
      <c r="GR28" s="526"/>
      <c r="GS28" s="526"/>
      <c r="GT28" s="525">
        <v>0</v>
      </c>
      <c r="GU28" s="525">
        <v>0</v>
      </c>
      <c r="GV28" s="525">
        <v>0</v>
      </c>
      <c r="GW28" s="525">
        <v>0</v>
      </c>
      <c r="GX28" s="525">
        <v>0</v>
      </c>
      <c r="GY28" s="525">
        <v>0</v>
      </c>
      <c r="GZ28" s="525">
        <v>0</v>
      </c>
      <c r="HA28" s="525">
        <v>0</v>
      </c>
      <c r="HB28" s="525">
        <v>0</v>
      </c>
      <c r="HC28" s="525">
        <v>0</v>
      </c>
      <c r="HD28" s="525">
        <v>0</v>
      </c>
      <c r="HE28" s="525">
        <v>0</v>
      </c>
      <c r="HF28" s="525">
        <v>0</v>
      </c>
      <c r="HG28" s="525">
        <v>0</v>
      </c>
      <c r="HH28" s="525">
        <v>0</v>
      </c>
      <c r="HI28" s="525">
        <v>0</v>
      </c>
      <c r="HJ28" s="525">
        <v>0</v>
      </c>
      <c r="HK28" s="525">
        <v>0</v>
      </c>
      <c r="HL28" s="526"/>
      <c r="HM28" s="526"/>
      <c r="HN28" s="526"/>
      <c r="HO28" s="526"/>
      <c r="HP28" s="526"/>
      <c r="HQ28" s="526"/>
      <c r="HR28" s="526"/>
      <c r="HS28" s="526"/>
      <c r="HT28" s="526"/>
      <c r="HU28" s="526"/>
      <c r="HV28" s="526"/>
      <c r="HW28" s="526"/>
      <c r="HX28" s="526"/>
      <c r="HY28" s="526"/>
      <c r="HZ28" s="526"/>
      <c r="IA28" s="526"/>
      <c r="IB28" s="526"/>
      <c r="IC28" s="526"/>
      <c r="ID28" s="526"/>
      <c r="IE28" s="526"/>
      <c r="IF28" s="526"/>
      <c r="IG28" s="526"/>
      <c r="IH28" s="526"/>
      <c r="II28" s="526"/>
      <c r="IJ28" s="526"/>
      <c r="IK28" s="526"/>
      <c r="IL28" s="526"/>
      <c r="IM28" s="526"/>
      <c r="IN28" s="526"/>
      <c r="IO28" s="526"/>
      <c r="IP28" s="526"/>
      <c r="IQ28" s="526"/>
      <c r="IR28" s="526"/>
      <c r="IS28" s="526"/>
      <c r="IT28" s="526"/>
      <c r="IU28" s="526"/>
      <c r="IV28" s="526"/>
      <c r="IW28" s="526"/>
      <c r="IX28" s="526"/>
      <c r="IY28" s="526"/>
      <c r="IZ28" s="526"/>
      <c r="JA28" s="526"/>
      <c r="JB28" s="526"/>
      <c r="JC28" s="526"/>
      <c r="JD28" s="526"/>
      <c r="JE28" s="526"/>
      <c r="JF28" s="526"/>
      <c r="JG28" s="526"/>
      <c r="JH28" s="526"/>
      <c r="JI28" s="526"/>
      <c r="JJ28" s="526"/>
      <c r="JK28" s="526"/>
      <c r="JL28" s="526"/>
      <c r="JM28" s="526"/>
      <c r="JN28" s="525">
        <v>136449.42413505499</v>
      </c>
      <c r="JO28" s="525">
        <v>97551.481666029707</v>
      </c>
      <c r="JP28" s="525">
        <v>636689.14585290791</v>
      </c>
      <c r="JQ28" s="525">
        <v>0</v>
      </c>
      <c r="JR28" s="525">
        <v>11690.918859993399</v>
      </c>
      <c r="JS28" s="527">
        <v>869862.36584275332</v>
      </c>
      <c r="JT28" s="528">
        <f t="shared" si="10"/>
        <v>-12518.604671232577</v>
      </c>
      <c r="JU28" s="525">
        <v>1043834.839011304</v>
      </c>
      <c r="JV28" s="525">
        <v>869862.36584275332</v>
      </c>
      <c r="JW28" s="525">
        <v>1043834.839011304</v>
      </c>
      <c r="JX28" s="525">
        <v>543315.58100000001</v>
      </c>
      <c r="JY28" s="525">
        <v>543315.58100000001</v>
      </c>
      <c r="JZ28" s="526"/>
      <c r="KA28" s="525">
        <v>543315.58100000001</v>
      </c>
      <c r="KB28" s="529">
        <v>1.3427187823939102</v>
      </c>
      <c r="KC28" s="525">
        <v>-0.67398050671909004</v>
      </c>
      <c r="KD28" s="525">
        <v>869863.03982326004</v>
      </c>
      <c r="KE28" s="525">
        <v>543315.58100000001</v>
      </c>
      <c r="KF28" s="525">
        <v>0</v>
      </c>
      <c r="KG28" s="530">
        <v>0</v>
      </c>
      <c r="KH28" s="525">
        <v>0</v>
      </c>
      <c r="KI28" s="525">
        <v>98766.776840000006</v>
      </c>
      <c r="KJ28" s="530">
        <v>1601.0176177662506</v>
      </c>
      <c r="KK28" s="525">
        <v>61690</v>
      </c>
      <c r="KL28" s="525">
        <v>705636.73602326005</v>
      </c>
      <c r="KM28" s="530">
        <v>1601.0432704848033</v>
      </c>
      <c r="KN28" s="525">
        <v>440735.58100000001</v>
      </c>
      <c r="KO28" s="525">
        <v>65459.526960000003</v>
      </c>
      <c r="KP28" s="530">
        <v>1600.8688422597213</v>
      </c>
      <c r="KQ28" s="525">
        <v>40890</v>
      </c>
      <c r="KR28" s="526"/>
      <c r="KS28" s="526"/>
      <c r="KT28" s="531">
        <v>124478.7</v>
      </c>
      <c r="KU28" s="531">
        <v>64.3</v>
      </c>
      <c r="KV28" s="526"/>
      <c r="KW28" s="531">
        <v>207427.8</v>
      </c>
      <c r="KX28" s="531">
        <v>111.52</v>
      </c>
      <c r="KY28" s="531">
        <v>79.52</v>
      </c>
      <c r="KZ28" s="526"/>
      <c r="LA28" s="531">
        <v>440735.58</v>
      </c>
      <c r="LB28" s="532">
        <v>95014</v>
      </c>
      <c r="LC28" s="533">
        <v>1.151</v>
      </c>
      <c r="LD28" s="494">
        <f t="shared" si="11"/>
        <v>1076640.4196811912</v>
      </c>
      <c r="LE28" s="509">
        <f t="shared" si="12"/>
        <v>897200.34973432601</v>
      </c>
      <c r="LF28" s="534">
        <f t="shared" si="13"/>
        <v>656512.37216813385</v>
      </c>
      <c r="LG28" s="535">
        <f t="shared" si="14"/>
        <v>511407.04183505476</v>
      </c>
      <c r="LH28" s="536">
        <f t="shared" si="31"/>
        <v>1.03</v>
      </c>
      <c r="LI28" s="537">
        <f t="shared" si="15"/>
        <v>511407.04183505476</v>
      </c>
      <c r="LJ28" s="536">
        <f t="shared" si="32"/>
        <v>1.0389999999999999</v>
      </c>
      <c r="LK28" s="537">
        <f t="shared" si="16"/>
        <v>0</v>
      </c>
      <c r="LL28" s="536">
        <f t="shared" si="33"/>
        <v>1.0349999999999999</v>
      </c>
      <c r="LM28" s="537">
        <f t="shared" si="17"/>
        <v>0</v>
      </c>
      <c r="LN28" s="536">
        <f t="shared" si="34"/>
        <v>1.0349999999999999</v>
      </c>
      <c r="LO28" s="537">
        <f t="shared" si="18"/>
        <v>0</v>
      </c>
      <c r="LP28" s="536">
        <f t="shared" si="35"/>
        <v>1.0349999999999999</v>
      </c>
      <c r="LQ28" s="537">
        <f t="shared" si="19"/>
        <v>140599.07982917281</v>
      </c>
      <c r="LR28" s="536">
        <f t="shared" si="36"/>
        <v>1.04</v>
      </c>
      <c r="LS28" s="537">
        <f t="shared" si="20"/>
        <v>4506.2505039062908</v>
      </c>
      <c r="LT28" s="539">
        <f t="shared" si="21"/>
        <v>140353.2421595589</v>
      </c>
      <c r="LU28" s="540">
        <f t="shared" si="22"/>
        <v>111809.38545557801</v>
      </c>
      <c r="LV28" s="541">
        <f t="shared" si="23"/>
        <v>28543.856703980895</v>
      </c>
      <c r="LW28" s="542">
        <f t="shared" si="24"/>
        <v>100753.23905777255</v>
      </c>
      <c r="LX28" s="540">
        <f t="shared" si="25"/>
        <v>34213.671949406867</v>
      </c>
      <c r="LY28" s="540">
        <f t="shared" si="26"/>
        <v>10018.799999999999</v>
      </c>
      <c r="LZ28" s="543">
        <f t="shared" si="27"/>
        <v>56520.767108365675</v>
      </c>
      <c r="MA28" s="544">
        <f t="shared" si="28"/>
        <v>-12518.604671232577</v>
      </c>
      <c r="MB28" s="545">
        <f t="shared" si="29"/>
        <v>12100.101020093167</v>
      </c>
    </row>
    <row r="29" spans="1:340" ht="16.5" customHeight="1">
      <c r="A29" s="465">
        <v>1</v>
      </c>
      <c r="B29" s="466">
        <v>19</v>
      </c>
      <c r="C29" s="467" t="s">
        <v>298</v>
      </c>
      <c r="D29" s="468">
        <v>4632000330</v>
      </c>
      <c r="E29" s="469">
        <f t="shared" si="3"/>
        <v>227450.28464090405</v>
      </c>
      <c r="F29" s="470" t="s">
        <v>281</v>
      </c>
      <c r="G29" s="595">
        <v>5753.7392</v>
      </c>
      <c r="H29" s="597">
        <f t="shared" si="30"/>
        <v>221696.54544090404</v>
      </c>
      <c r="I29" s="597" t="s">
        <v>857</v>
      </c>
      <c r="J29" s="471">
        <f t="shared" si="4"/>
        <v>189541.90386742004</v>
      </c>
      <c r="K29" s="472">
        <f t="shared" si="5"/>
        <v>103414.22404742002</v>
      </c>
      <c r="L29" s="473">
        <f t="shared" si="6"/>
        <v>85202.474175420022</v>
      </c>
      <c r="M29" s="474">
        <v>85202.474175420022</v>
      </c>
      <c r="N29" s="475">
        <v>0</v>
      </c>
      <c r="O29" s="475">
        <v>0</v>
      </c>
      <c r="P29" s="476">
        <v>0</v>
      </c>
      <c r="Q29" s="477">
        <v>17547.927752000003</v>
      </c>
      <c r="R29" s="478">
        <f t="shared" si="7"/>
        <v>663.82211999999993</v>
      </c>
      <c r="S29" s="479">
        <f t="shared" si="8"/>
        <v>62275.067800000004</v>
      </c>
      <c r="T29" s="479">
        <v>53654.51</v>
      </c>
      <c r="U29" s="480">
        <v>8620.5578000000023</v>
      </c>
      <c r="V29" s="481">
        <f t="shared" si="9"/>
        <v>22037.442019999999</v>
      </c>
      <c r="W29" s="482">
        <v>16203.66202</v>
      </c>
      <c r="X29" s="479">
        <v>3326.3499999999995</v>
      </c>
      <c r="Y29" s="483">
        <v>2507.4299999999994</v>
      </c>
      <c r="Z29" s="484">
        <v>59.790000000012469</v>
      </c>
      <c r="AA29" s="485">
        <v>1755.3800000000003</v>
      </c>
      <c r="AB29" s="486"/>
      <c r="AC29" s="487">
        <v>85202.474175420022</v>
      </c>
      <c r="AD29" s="487">
        <v>85202.474175420022</v>
      </c>
      <c r="AE29" s="487">
        <v>0</v>
      </c>
      <c r="AF29" s="487">
        <v>0</v>
      </c>
      <c r="AG29" s="487">
        <v>0</v>
      </c>
      <c r="AH29" s="487">
        <v>17547.927752000003</v>
      </c>
      <c r="AI29" s="487">
        <v>17547.927752000003</v>
      </c>
      <c r="AJ29" s="487">
        <v>0</v>
      </c>
      <c r="AK29" s="487">
        <v>0</v>
      </c>
      <c r="AL29" s="487">
        <v>0</v>
      </c>
      <c r="AM29" s="487">
        <v>0</v>
      </c>
      <c r="AN29" s="487">
        <v>0</v>
      </c>
      <c r="AO29" s="487">
        <v>0</v>
      </c>
      <c r="AP29" s="487">
        <v>0</v>
      </c>
      <c r="AQ29" s="487">
        <v>0</v>
      </c>
      <c r="AR29" s="487">
        <v>0</v>
      </c>
      <c r="AS29" s="487">
        <v>0</v>
      </c>
      <c r="AT29" s="487">
        <v>0</v>
      </c>
      <c r="AU29" s="487">
        <v>0</v>
      </c>
      <c r="AV29" s="487">
        <v>0</v>
      </c>
      <c r="AW29" s="487">
        <v>0</v>
      </c>
      <c r="AX29" s="487">
        <v>0</v>
      </c>
      <c r="AY29" s="487">
        <v>0</v>
      </c>
      <c r="AZ29" s="487">
        <v>0</v>
      </c>
      <c r="BA29" s="487">
        <v>17547.927752000003</v>
      </c>
      <c r="BB29" s="487">
        <v>2348.6800000000003</v>
      </c>
      <c r="BC29" s="487">
        <v>0</v>
      </c>
      <c r="BD29" s="487">
        <v>0</v>
      </c>
      <c r="BE29" s="487">
        <v>0</v>
      </c>
      <c r="BF29" s="487">
        <v>0</v>
      </c>
      <c r="BG29" s="487">
        <v>0</v>
      </c>
      <c r="BH29" s="487">
        <v>0</v>
      </c>
      <c r="BI29" s="487">
        <v>0</v>
      </c>
      <c r="BJ29" s="487">
        <v>17547.927752000003</v>
      </c>
      <c r="BK29" s="487">
        <v>7.4714</v>
      </c>
      <c r="BL29" s="487">
        <v>2348.6800000000003</v>
      </c>
      <c r="BM29" s="487">
        <v>0</v>
      </c>
      <c r="BN29" s="487">
        <v>0</v>
      </c>
      <c r="BO29" s="487">
        <v>0</v>
      </c>
      <c r="BP29" s="487">
        <v>0</v>
      </c>
      <c r="BQ29" s="487">
        <v>0</v>
      </c>
      <c r="BR29" s="487">
        <v>0</v>
      </c>
      <c r="BS29" s="487">
        <v>0</v>
      </c>
      <c r="BT29" s="487">
        <v>0</v>
      </c>
      <c r="BU29" s="487">
        <v>0</v>
      </c>
      <c r="BV29" s="487">
        <v>0</v>
      </c>
      <c r="BW29" s="487">
        <v>0</v>
      </c>
      <c r="BX29" s="487">
        <v>0</v>
      </c>
      <c r="BY29" s="487">
        <v>0</v>
      </c>
      <c r="BZ29" s="487">
        <v>0</v>
      </c>
      <c r="CA29" s="487">
        <v>0</v>
      </c>
      <c r="CB29" s="487">
        <v>0</v>
      </c>
      <c r="CC29" s="487">
        <v>0</v>
      </c>
      <c r="CD29" s="487">
        <v>0</v>
      </c>
      <c r="CE29" s="487">
        <v>0</v>
      </c>
      <c r="CF29" s="487">
        <v>0</v>
      </c>
      <c r="CG29" s="487">
        <v>0</v>
      </c>
      <c r="CH29" s="487">
        <v>0</v>
      </c>
      <c r="CI29" s="487">
        <v>0</v>
      </c>
      <c r="CJ29" s="487">
        <v>0</v>
      </c>
      <c r="CK29" s="487">
        <v>0</v>
      </c>
      <c r="CL29" s="487">
        <v>0</v>
      </c>
      <c r="CM29" s="487">
        <v>53654.51</v>
      </c>
      <c r="CN29" s="487">
        <v>53654.51</v>
      </c>
      <c r="CO29" s="487">
        <v>0</v>
      </c>
      <c r="CP29" s="487">
        <v>0</v>
      </c>
      <c r="CQ29" s="487">
        <v>0</v>
      </c>
      <c r="CR29" s="487">
        <v>0</v>
      </c>
      <c r="CS29" s="487">
        <v>16203.66202</v>
      </c>
      <c r="CT29" s="487">
        <v>16203.66202</v>
      </c>
      <c r="CU29" s="487">
        <v>0</v>
      </c>
      <c r="CV29" s="487">
        <v>0</v>
      </c>
      <c r="CW29" s="487">
        <v>0</v>
      </c>
      <c r="CX29" s="487">
        <v>0</v>
      </c>
      <c r="CY29" s="487">
        <v>663.82211999999993</v>
      </c>
      <c r="CZ29" s="467"/>
      <c r="DA29" s="487">
        <v>29.983999999999998</v>
      </c>
      <c r="DB29" s="487">
        <v>0</v>
      </c>
      <c r="DC29" s="467"/>
      <c r="DD29" s="487">
        <v>0</v>
      </c>
      <c r="DE29" s="487">
        <v>0</v>
      </c>
      <c r="DF29" s="487">
        <v>0</v>
      </c>
      <c r="DG29" s="487">
        <v>4428.1239999999998</v>
      </c>
      <c r="DH29" s="487">
        <v>0</v>
      </c>
      <c r="DI29" s="487">
        <v>0</v>
      </c>
      <c r="DJ29" s="487">
        <v>972.32399999999996</v>
      </c>
      <c r="DK29" s="487">
        <v>0</v>
      </c>
      <c r="DL29" s="487">
        <v>0</v>
      </c>
      <c r="DM29" s="487">
        <v>0</v>
      </c>
      <c r="DN29" s="487">
        <v>3455.8</v>
      </c>
      <c r="DO29" s="487">
        <v>0</v>
      </c>
      <c r="DP29" s="487">
        <v>8.2563999999999993</v>
      </c>
      <c r="DQ29" s="487">
        <v>0</v>
      </c>
      <c r="DR29" s="487">
        <v>0</v>
      </c>
      <c r="DS29" s="487">
        <v>0</v>
      </c>
      <c r="DT29" s="487">
        <v>8.2563999999999993</v>
      </c>
      <c r="DU29" s="487">
        <v>3960.4233999999997</v>
      </c>
      <c r="DV29" s="487">
        <v>281.10739999999998</v>
      </c>
      <c r="DW29" s="487">
        <v>0</v>
      </c>
      <c r="DX29" s="487">
        <v>78.656000000000006</v>
      </c>
      <c r="DY29" s="487">
        <v>0</v>
      </c>
      <c r="DZ29" s="487">
        <v>669.60000000000014</v>
      </c>
      <c r="EA29" s="487">
        <v>0</v>
      </c>
      <c r="EB29" s="487">
        <v>0</v>
      </c>
      <c r="EC29" s="487">
        <v>0</v>
      </c>
      <c r="ED29" s="487">
        <v>0</v>
      </c>
      <c r="EE29" s="487">
        <v>0</v>
      </c>
      <c r="EF29" s="487">
        <v>0</v>
      </c>
      <c r="EG29" s="487">
        <v>2931.06</v>
      </c>
      <c r="EH29" s="487">
        <v>0</v>
      </c>
      <c r="EI29" s="487">
        <v>0</v>
      </c>
      <c r="EJ29" s="487">
        <v>0</v>
      </c>
      <c r="EK29" s="487">
        <v>0</v>
      </c>
      <c r="EL29" s="487">
        <v>0</v>
      </c>
      <c r="EM29" s="487">
        <v>223.75399999999999</v>
      </c>
      <c r="EN29" s="487">
        <v>0</v>
      </c>
      <c r="EO29" s="487">
        <v>0</v>
      </c>
      <c r="EP29" s="487">
        <v>0</v>
      </c>
      <c r="EQ29" s="487">
        <v>0</v>
      </c>
      <c r="ER29" s="487">
        <v>0</v>
      </c>
      <c r="ES29" s="487">
        <v>0</v>
      </c>
      <c r="ET29" s="487">
        <v>0</v>
      </c>
      <c r="EU29" s="487">
        <v>0</v>
      </c>
      <c r="EV29" s="487">
        <v>0</v>
      </c>
      <c r="EW29" s="487">
        <v>0</v>
      </c>
      <c r="EX29" s="487">
        <v>0</v>
      </c>
      <c r="EY29" s="487">
        <v>0</v>
      </c>
      <c r="EZ29" s="487">
        <v>0</v>
      </c>
      <c r="FA29" s="487">
        <v>0</v>
      </c>
      <c r="FB29" s="487">
        <v>2068.6</v>
      </c>
      <c r="FC29" s="487">
        <v>7.7</v>
      </c>
      <c r="FD29" s="487">
        <v>103.8</v>
      </c>
      <c r="FE29" s="487">
        <v>0</v>
      </c>
      <c r="FF29" s="487">
        <v>1957.1000000000001</v>
      </c>
      <c r="FG29" s="487">
        <v>1887.6</v>
      </c>
      <c r="FH29" s="487">
        <v>0</v>
      </c>
      <c r="FI29" s="487">
        <v>69.5</v>
      </c>
      <c r="FJ29" s="487">
        <v>0</v>
      </c>
      <c r="FK29" s="487">
        <v>0</v>
      </c>
      <c r="FL29" s="487">
        <v>0</v>
      </c>
      <c r="FM29" s="487">
        <v>3326.3499999999995</v>
      </c>
      <c r="FN29" s="487">
        <v>3326.3499999999995</v>
      </c>
      <c r="FO29" s="487">
        <v>0</v>
      </c>
      <c r="FP29" s="487">
        <v>0</v>
      </c>
      <c r="FQ29" s="487">
        <v>0</v>
      </c>
      <c r="FR29" s="487">
        <v>438.83</v>
      </c>
      <c r="FS29" s="488">
        <v>187726.73386742003</v>
      </c>
      <c r="FT29" s="487">
        <v>0</v>
      </c>
      <c r="FU29" s="487">
        <v>0</v>
      </c>
      <c r="FV29" s="487">
        <v>0</v>
      </c>
      <c r="FW29" s="487">
        <v>0</v>
      </c>
      <c r="FX29" s="487">
        <v>0</v>
      </c>
      <c r="FY29" s="487">
        <v>0</v>
      </c>
      <c r="FZ29" s="487">
        <v>0</v>
      </c>
      <c r="GA29" s="487">
        <v>0</v>
      </c>
      <c r="GB29" s="487">
        <v>0</v>
      </c>
      <c r="GC29" s="487">
        <v>0</v>
      </c>
      <c r="GD29" s="487">
        <v>0</v>
      </c>
      <c r="GE29" s="487">
        <v>0</v>
      </c>
      <c r="GF29" s="487">
        <v>0</v>
      </c>
      <c r="GG29" s="487">
        <v>0</v>
      </c>
      <c r="GH29" s="487">
        <v>1755.3800000000003</v>
      </c>
      <c r="GI29" s="487">
        <v>0</v>
      </c>
      <c r="GJ29" s="467"/>
      <c r="GK29" s="487">
        <v>1755.3800000000003</v>
      </c>
      <c r="GL29" s="467"/>
      <c r="GM29" s="487">
        <v>0</v>
      </c>
      <c r="GN29" s="487">
        <v>0</v>
      </c>
      <c r="GO29" s="467"/>
      <c r="GP29" s="467"/>
      <c r="GQ29" s="487">
        <v>0</v>
      </c>
      <c r="GR29" s="467"/>
      <c r="GS29" s="467"/>
      <c r="GT29" s="487">
        <v>0</v>
      </c>
      <c r="GU29" s="487">
        <v>0</v>
      </c>
      <c r="GV29" s="487">
        <v>0</v>
      </c>
      <c r="GW29" s="487">
        <v>0</v>
      </c>
      <c r="GX29" s="487">
        <v>0</v>
      </c>
      <c r="GY29" s="487">
        <v>0</v>
      </c>
      <c r="GZ29" s="487">
        <v>0</v>
      </c>
      <c r="HA29" s="487">
        <v>0</v>
      </c>
      <c r="HB29" s="487">
        <v>0</v>
      </c>
      <c r="HC29" s="487">
        <v>0</v>
      </c>
      <c r="HD29" s="487">
        <v>0</v>
      </c>
      <c r="HE29" s="487">
        <v>0</v>
      </c>
      <c r="HF29" s="487">
        <v>0</v>
      </c>
      <c r="HG29" s="487">
        <v>0</v>
      </c>
      <c r="HH29" s="487">
        <v>0</v>
      </c>
      <c r="HI29" s="487">
        <v>0</v>
      </c>
      <c r="HJ29" s="487">
        <v>0</v>
      </c>
      <c r="HK29" s="487">
        <v>0</v>
      </c>
      <c r="HL29" s="467"/>
      <c r="HM29" s="467"/>
      <c r="HN29" s="467"/>
      <c r="HO29" s="467"/>
      <c r="HP29" s="467"/>
      <c r="HQ29" s="467"/>
      <c r="HR29" s="467"/>
      <c r="HS29" s="467"/>
      <c r="HT29" s="467"/>
      <c r="HU29" s="467"/>
      <c r="HV29" s="467"/>
      <c r="HW29" s="467"/>
      <c r="HX29" s="467"/>
      <c r="HY29" s="467"/>
      <c r="HZ29" s="467"/>
      <c r="IA29" s="467"/>
      <c r="IB29" s="467"/>
      <c r="IC29" s="467"/>
      <c r="ID29" s="467"/>
      <c r="IE29" s="467"/>
      <c r="IF29" s="467"/>
      <c r="IG29" s="467"/>
      <c r="IH29" s="467"/>
      <c r="II29" s="467"/>
      <c r="IJ29" s="467"/>
      <c r="IK29" s="467"/>
      <c r="IL29" s="467"/>
      <c r="IM29" s="467"/>
      <c r="IN29" s="467"/>
      <c r="IO29" s="467"/>
      <c r="IP29" s="467"/>
      <c r="IQ29" s="467"/>
      <c r="IR29" s="467"/>
      <c r="IS29" s="467"/>
      <c r="IT29" s="467"/>
      <c r="IU29" s="467"/>
      <c r="IV29" s="467"/>
      <c r="IW29" s="467"/>
      <c r="IX29" s="467"/>
      <c r="IY29" s="467"/>
      <c r="IZ29" s="467"/>
      <c r="JA29" s="467"/>
      <c r="JB29" s="467"/>
      <c r="JC29" s="467"/>
      <c r="JD29" s="467"/>
      <c r="JE29" s="467"/>
      <c r="JF29" s="467"/>
      <c r="JG29" s="467"/>
      <c r="JH29" s="467"/>
      <c r="JI29" s="467"/>
      <c r="JJ29" s="467"/>
      <c r="JK29" s="467"/>
      <c r="JL29" s="467"/>
      <c r="JM29" s="467"/>
      <c r="JN29" s="487">
        <v>62275.067800000004</v>
      </c>
      <c r="JO29" s="487">
        <v>22037.442019999999</v>
      </c>
      <c r="JP29" s="487">
        <v>103414.22404742002</v>
      </c>
      <c r="JQ29" s="487">
        <v>0</v>
      </c>
      <c r="JR29" s="487">
        <v>1755.3800000000003</v>
      </c>
      <c r="JS29" s="488">
        <v>189541.90386742004</v>
      </c>
      <c r="JT29" s="489">
        <f t="shared" si="10"/>
        <v>59.790000000012469</v>
      </c>
      <c r="JU29" s="487">
        <v>227450.28464090405</v>
      </c>
      <c r="JV29" s="487">
        <v>189541.90386742004</v>
      </c>
      <c r="JW29" s="487">
        <v>227450.28464090405</v>
      </c>
      <c r="JX29" s="487">
        <v>99179.72</v>
      </c>
      <c r="JY29" s="487">
        <v>99179.72</v>
      </c>
      <c r="JZ29" s="467"/>
      <c r="KA29" s="487">
        <v>1733</v>
      </c>
      <c r="KB29" s="490">
        <v>0.93507193346245421</v>
      </c>
      <c r="KC29" s="487">
        <v>4.9306200271530543E-3</v>
      </c>
      <c r="KD29" s="487">
        <v>189541.89893680002</v>
      </c>
      <c r="KE29" s="487">
        <v>99179.72</v>
      </c>
      <c r="KF29" s="487">
        <v>184747.11307680001</v>
      </c>
      <c r="KG29" s="491">
        <v>1895.8782099264092</v>
      </c>
      <c r="KH29" s="487">
        <v>97446.720000000001</v>
      </c>
      <c r="KI29" s="487">
        <v>1808.27998</v>
      </c>
      <c r="KJ29" s="491">
        <v>2769.1883307810108</v>
      </c>
      <c r="KK29" s="487">
        <v>653</v>
      </c>
      <c r="KL29" s="487">
        <v>1752.5932399999999</v>
      </c>
      <c r="KM29" s="491">
        <v>2764.3426498422714</v>
      </c>
      <c r="KN29" s="487">
        <v>634</v>
      </c>
      <c r="KO29" s="487">
        <v>1233.91264</v>
      </c>
      <c r="KP29" s="491">
        <v>2766.6202690582959</v>
      </c>
      <c r="KQ29" s="487">
        <v>446</v>
      </c>
      <c r="KR29" s="467"/>
      <c r="KS29" s="467"/>
      <c r="KT29" s="487">
        <v>153390.29999999999</v>
      </c>
      <c r="KU29" s="487">
        <v>28</v>
      </c>
      <c r="KV29" s="467"/>
      <c r="KW29" s="487">
        <v>389</v>
      </c>
      <c r="KX29" s="487">
        <v>1.17</v>
      </c>
      <c r="KY29" s="487">
        <v>1.17</v>
      </c>
      <c r="KZ29" s="467"/>
      <c r="LA29" s="487">
        <v>89.552000000000007</v>
      </c>
      <c r="LB29" s="492">
        <v>106</v>
      </c>
      <c r="LC29" s="493">
        <v>0.11</v>
      </c>
      <c r="LD29" s="494">
        <f t="shared" si="11"/>
        <v>234299.5266107434</v>
      </c>
      <c r="LE29" s="471">
        <f t="shared" si="12"/>
        <v>195249.60550895284</v>
      </c>
      <c r="LF29" s="495">
        <f t="shared" si="13"/>
        <v>106611.02862880263</v>
      </c>
      <c r="LG29" s="476">
        <f t="shared" si="14"/>
        <v>87758.54840068263</v>
      </c>
      <c r="LH29" s="496">
        <f t="shared" si="31"/>
        <v>1.03</v>
      </c>
      <c r="LI29" s="497">
        <f t="shared" si="15"/>
        <v>87758.54840068263</v>
      </c>
      <c r="LJ29" s="496">
        <f t="shared" si="32"/>
        <v>1.0389999999999999</v>
      </c>
      <c r="LK29" s="497">
        <f t="shared" si="16"/>
        <v>0</v>
      </c>
      <c r="LL29" s="496">
        <f t="shared" si="33"/>
        <v>1.0349999999999999</v>
      </c>
      <c r="LM29" s="497">
        <f t="shared" si="17"/>
        <v>0</v>
      </c>
      <c r="LN29" s="496">
        <f t="shared" si="34"/>
        <v>1.0349999999999999</v>
      </c>
      <c r="LO29" s="497">
        <f t="shared" si="18"/>
        <v>0</v>
      </c>
      <c r="LP29" s="496">
        <f t="shared" si="35"/>
        <v>1.0349999999999999</v>
      </c>
      <c r="LQ29" s="497">
        <f t="shared" si="19"/>
        <v>18162.105223320003</v>
      </c>
      <c r="LR29" s="496">
        <f t="shared" si="36"/>
        <v>1.04</v>
      </c>
      <c r="LS29" s="497">
        <f t="shared" si="20"/>
        <v>690.37500479999994</v>
      </c>
      <c r="LT29" s="499">
        <f t="shared" si="21"/>
        <v>64056.757489757991</v>
      </c>
      <c r="LU29" s="500">
        <f t="shared" si="22"/>
        <v>55189.565531099994</v>
      </c>
      <c r="LV29" s="501">
        <f t="shared" si="23"/>
        <v>8867.1919586580007</v>
      </c>
      <c r="LW29" s="499">
        <f t="shared" si="24"/>
        <v>22705.211090392193</v>
      </c>
      <c r="LX29" s="500">
        <f t="shared" si="25"/>
        <v>16667.248790392197</v>
      </c>
      <c r="LY29" s="500">
        <f t="shared" si="26"/>
        <v>3442.7722499999991</v>
      </c>
      <c r="LZ29" s="502">
        <f t="shared" si="27"/>
        <v>2595.1900499999992</v>
      </c>
      <c r="MA29" s="503">
        <f t="shared" si="28"/>
        <v>59.790000000012469</v>
      </c>
      <c r="MB29" s="504">
        <f t="shared" si="29"/>
        <v>1816.8183000000001</v>
      </c>
    </row>
    <row r="30" spans="1:340" ht="16.5" customHeight="1">
      <c r="A30" s="505">
        <v>1</v>
      </c>
      <c r="B30" s="506">
        <v>20</v>
      </c>
      <c r="C30" s="507" t="s">
        <v>20</v>
      </c>
      <c r="D30" s="508">
        <v>4634008455</v>
      </c>
      <c r="E30" s="469">
        <f t="shared" si="3"/>
        <v>20738.022219113096</v>
      </c>
      <c r="F30" s="470" t="s">
        <v>287</v>
      </c>
      <c r="G30" s="595">
        <v>20737.99584</v>
      </c>
      <c r="H30" s="597">
        <f t="shared" si="30"/>
        <v>2.6379113096481888E-2</v>
      </c>
      <c r="I30" s="597" t="s">
        <v>860</v>
      </c>
      <c r="J30" s="509">
        <f t="shared" si="4"/>
        <v>20738.022219113096</v>
      </c>
      <c r="K30" s="510">
        <f t="shared" si="5"/>
        <v>10672.582259113105</v>
      </c>
      <c r="L30" s="511">
        <f t="shared" si="6"/>
        <v>0</v>
      </c>
      <c r="M30" s="512">
        <v>0</v>
      </c>
      <c r="N30" s="513">
        <v>0</v>
      </c>
      <c r="O30" s="513">
        <v>0</v>
      </c>
      <c r="P30" s="514">
        <v>0</v>
      </c>
      <c r="Q30" s="515">
        <v>10512.122259113106</v>
      </c>
      <c r="R30" s="516">
        <f t="shared" si="7"/>
        <v>160.46</v>
      </c>
      <c r="S30" s="517">
        <f t="shared" si="8"/>
        <v>5498.4499999999989</v>
      </c>
      <c r="T30" s="518">
        <v>4498.7299999999996</v>
      </c>
      <c r="U30" s="519">
        <v>999.71999999999935</v>
      </c>
      <c r="V30" s="520">
        <f t="shared" si="9"/>
        <v>4114.4499599999999</v>
      </c>
      <c r="W30" s="521">
        <v>1358.6164600000002</v>
      </c>
      <c r="X30" s="518">
        <v>1074.95</v>
      </c>
      <c r="Y30" s="522">
        <v>1680.8834999999997</v>
      </c>
      <c r="Z30" s="523">
        <v>351.93999999999539</v>
      </c>
      <c r="AA30" s="524">
        <v>100.6</v>
      </c>
      <c r="AB30" s="486"/>
      <c r="AC30" s="525">
        <v>0</v>
      </c>
      <c r="AD30" s="525">
        <v>0</v>
      </c>
      <c r="AE30" s="525">
        <v>0</v>
      </c>
      <c r="AF30" s="525">
        <v>0</v>
      </c>
      <c r="AG30" s="525">
        <v>0</v>
      </c>
      <c r="AH30" s="525">
        <v>10512.122259113106</v>
      </c>
      <c r="AI30" s="525">
        <v>10512.122259113106</v>
      </c>
      <c r="AJ30" s="525">
        <v>9201.3347391131065</v>
      </c>
      <c r="AK30" s="525">
        <v>9201.3347391131065</v>
      </c>
      <c r="AL30" s="525">
        <v>9201.3347391131065</v>
      </c>
      <c r="AM30" s="525">
        <v>32.192999999999998</v>
      </c>
      <c r="AN30" s="525">
        <v>285.8178715594417</v>
      </c>
      <c r="AO30" s="525">
        <v>0</v>
      </c>
      <c r="AP30" s="525">
        <v>0</v>
      </c>
      <c r="AQ30" s="525">
        <v>0</v>
      </c>
      <c r="AR30" s="525">
        <v>0</v>
      </c>
      <c r="AS30" s="525">
        <v>0</v>
      </c>
      <c r="AT30" s="525">
        <v>0</v>
      </c>
      <c r="AU30" s="525">
        <v>0</v>
      </c>
      <c r="AV30" s="525">
        <v>0</v>
      </c>
      <c r="AW30" s="525">
        <v>0</v>
      </c>
      <c r="AX30" s="525">
        <v>0</v>
      </c>
      <c r="AY30" s="525">
        <v>0</v>
      </c>
      <c r="AZ30" s="525">
        <v>0</v>
      </c>
      <c r="BA30" s="525">
        <v>1310.7875199999999</v>
      </c>
      <c r="BB30" s="525">
        <v>154.57399999999998</v>
      </c>
      <c r="BC30" s="525">
        <v>0</v>
      </c>
      <c r="BD30" s="525">
        <v>1310.7875199999999</v>
      </c>
      <c r="BE30" s="525">
        <v>8.48</v>
      </c>
      <c r="BF30" s="525">
        <v>154.57399999999998</v>
      </c>
      <c r="BG30" s="525">
        <v>0</v>
      </c>
      <c r="BH30" s="525">
        <v>0</v>
      </c>
      <c r="BI30" s="525">
        <v>0</v>
      </c>
      <c r="BJ30" s="525">
        <v>0</v>
      </c>
      <c r="BK30" s="525">
        <v>0</v>
      </c>
      <c r="BL30" s="525">
        <v>0</v>
      </c>
      <c r="BM30" s="525">
        <v>0</v>
      </c>
      <c r="BN30" s="525">
        <v>0</v>
      </c>
      <c r="BO30" s="525">
        <v>0</v>
      </c>
      <c r="BP30" s="525">
        <v>0</v>
      </c>
      <c r="BQ30" s="525">
        <v>0</v>
      </c>
      <c r="BR30" s="525">
        <v>0</v>
      </c>
      <c r="BS30" s="525">
        <v>0</v>
      </c>
      <c r="BT30" s="525">
        <v>0</v>
      </c>
      <c r="BU30" s="525">
        <v>0</v>
      </c>
      <c r="BV30" s="525">
        <v>0</v>
      </c>
      <c r="BW30" s="525">
        <v>0</v>
      </c>
      <c r="BX30" s="525">
        <v>0</v>
      </c>
      <c r="BY30" s="525">
        <v>0</v>
      </c>
      <c r="BZ30" s="525">
        <v>0</v>
      </c>
      <c r="CA30" s="525">
        <v>0</v>
      </c>
      <c r="CB30" s="525">
        <v>0</v>
      </c>
      <c r="CC30" s="525">
        <v>0</v>
      </c>
      <c r="CD30" s="525">
        <v>0</v>
      </c>
      <c r="CE30" s="525">
        <v>0</v>
      </c>
      <c r="CF30" s="525">
        <v>0</v>
      </c>
      <c r="CG30" s="525">
        <v>0</v>
      </c>
      <c r="CH30" s="525">
        <v>0</v>
      </c>
      <c r="CI30" s="525">
        <v>0</v>
      </c>
      <c r="CJ30" s="525">
        <v>0</v>
      </c>
      <c r="CK30" s="525">
        <v>0</v>
      </c>
      <c r="CL30" s="525">
        <v>0</v>
      </c>
      <c r="CM30" s="525">
        <v>4498.7299999999996</v>
      </c>
      <c r="CN30" s="525">
        <v>1912.9999999999998</v>
      </c>
      <c r="CO30" s="525">
        <v>0</v>
      </c>
      <c r="CP30" s="525">
        <v>256.83</v>
      </c>
      <c r="CQ30" s="525">
        <v>2328.9</v>
      </c>
      <c r="CR30" s="525">
        <v>0</v>
      </c>
      <c r="CS30" s="525">
        <v>1358.6164600000002</v>
      </c>
      <c r="CT30" s="525">
        <v>577.726</v>
      </c>
      <c r="CU30" s="525">
        <v>0</v>
      </c>
      <c r="CV30" s="525">
        <v>77.562659999999994</v>
      </c>
      <c r="CW30" s="525">
        <v>703.32780000000002</v>
      </c>
      <c r="CX30" s="525">
        <v>0</v>
      </c>
      <c r="CY30" s="525">
        <v>0</v>
      </c>
      <c r="CZ30" s="526"/>
      <c r="DA30" s="525">
        <v>0</v>
      </c>
      <c r="DB30" s="525">
        <v>0</v>
      </c>
      <c r="DC30" s="526"/>
      <c r="DD30" s="525">
        <v>0</v>
      </c>
      <c r="DE30" s="525">
        <v>160.46</v>
      </c>
      <c r="DF30" s="525">
        <v>0</v>
      </c>
      <c r="DG30" s="525">
        <v>234.12</v>
      </c>
      <c r="DH30" s="525">
        <v>0</v>
      </c>
      <c r="DI30" s="525">
        <v>0</v>
      </c>
      <c r="DJ30" s="525">
        <v>234.12</v>
      </c>
      <c r="DK30" s="525">
        <v>0</v>
      </c>
      <c r="DL30" s="525">
        <v>0</v>
      </c>
      <c r="DM30" s="525">
        <v>0</v>
      </c>
      <c r="DN30" s="525">
        <v>0</v>
      </c>
      <c r="DO30" s="525">
        <v>0</v>
      </c>
      <c r="DP30" s="525">
        <v>604.9</v>
      </c>
      <c r="DQ30" s="525">
        <v>0</v>
      </c>
      <c r="DR30" s="525">
        <v>0</v>
      </c>
      <c r="DS30" s="525">
        <v>0</v>
      </c>
      <c r="DT30" s="525">
        <v>604.9</v>
      </c>
      <c r="DU30" s="525">
        <v>0</v>
      </c>
      <c r="DV30" s="525">
        <v>0</v>
      </c>
      <c r="DW30" s="525">
        <v>0</v>
      </c>
      <c r="DX30" s="525">
        <v>0</v>
      </c>
      <c r="DY30" s="525">
        <v>0</v>
      </c>
      <c r="DZ30" s="525">
        <v>0</v>
      </c>
      <c r="EA30" s="525">
        <v>0</v>
      </c>
      <c r="EB30" s="525">
        <v>0</v>
      </c>
      <c r="EC30" s="525">
        <v>0</v>
      </c>
      <c r="ED30" s="525">
        <v>0</v>
      </c>
      <c r="EE30" s="525">
        <v>0</v>
      </c>
      <c r="EF30" s="525">
        <v>0</v>
      </c>
      <c r="EG30" s="525">
        <v>0</v>
      </c>
      <c r="EH30" s="525">
        <v>17.999999999999996</v>
      </c>
      <c r="EI30" s="525">
        <v>0</v>
      </c>
      <c r="EJ30" s="525">
        <v>17.999999999999996</v>
      </c>
      <c r="EK30" s="525">
        <v>0</v>
      </c>
      <c r="EL30" s="525">
        <v>0</v>
      </c>
      <c r="EM30" s="525">
        <v>7.4</v>
      </c>
      <c r="EN30" s="525">
        <v>0</v>
      </c>
      <c r="EO30" s="525">
        <v>0</v>
      </c>
      <c r="EP30" s="525">
        <v>153.30000000000001</v>
      </c>
      <c r="EQ30" s="525">
        <v>0</v>
      </c>
      <c r="ER30" s="525">
        <v>153.30000000000001</v>
      </c>
      <c r="ES30" s="525">
        <v>0</v>
      </c>
      <c r="ET30" s="525">
        <v>17.999999999999996</v>
      </c>
      <c r="EU30" s="525">
        <v>17.999999999999996</v>
      </c>
      <c r="EV30" s="525">
        <v>0</v>
      </c>
      <c r="EW30" s="525">
        <v>0</v>
      </c>
      <c r="EX30" s="525">
        <v>0</v>
      </c>
      <c r="EY30" s="525">
        <v>0</v>
      </c>
      <c r="EZ30" s="525">
        <v>0</v>
      </c>
      <c r="FA30" s="525">
        <v>0</v>
      </c>
      <c r="FB30" s="525">
        <v>418.62349999999998</v>
      </c>
      <c r="FC30" s="525">
        <v>12.286499999999998</v>
      </c>
      <c r="FD30" s="525">
        <v>8.1620000000000008</v>
      </c>
      <c r="FE30" s="525">
        <v>389.03499999999997</v>
      </c>
      <c r="FF30" s="525">
        <v>9.14</v>
      </c>
      <c r="FG30" s="525">
        <v>0</v>
      </c>
      <c r="FH30" s="525">
        <v>0</v>
      </c>
      <c r="FI30" s="525">
        <v>9.14</v>
      </c>
      <c r="FJ30" s="525">
        <v>0</v>
      </c>
      <c r="FK30" s="525">
        <v>0</v>
      </c>
      <c r="FL30" s="525">
        <v>0</v>
      </c>
      <c r="FM30" s="525">
        <v>1074.95</v>
      </c>
      <c r="FN30" s="525">
        <v>1074.95</v>
      </c>
      <c r="FO30" s="525">
        <v>0</v>
      </c>
      <c r="FP30" s="525">
        <v>0</v>
      </c>
      <c r="FQ30" s="525">
        <v>0</v>
      </c>
      <c r="FR30" s="525">
        <v>1244.26</v>
      </c>
      <c r="FS30" s="527">
        <v>20285.482219113102</v>
      </c>
      <c r="FT30" s="525">
        <v>0</v>
      </c>
      <c r="FU30" s="525">
        <v>0</v>
      </c>
      <c r="FV30" s="525">
        <v>0</v>
      </c>
      <c r="FW30" s="525">
        <v>0</v>
      </c>
      <c r="FX30" s="525">
        <v>0</v>
      </c>
      <c r="FY30" s="525">
        <v>0</v>
      </c>
      <c r="FZ30" s="525">
        <v>0</v>
      </c>
      <c r="GA30" s="525">
        <v>0</v>
      </c>
      <c r="GB30" s="525">
        <v>0</v>
      </c>
      <c r="GC30" s="525">
        <v>0</v>
      </c>
      <c r="GD30" s="525">
        <v>0</v>
      </c>
      <c r="GE30" s="525">
        <v>0</v>
      </c>
      <c r="GF30" s="525">
        <v>0</v>
      </c>
      <c r="GG30" s="525">
        <v>0</v>
      </c>
      <c r="GH30" s="525">
        <v>100.6</v>
      </c>
      <c r="GI30" s="525">
        <v>0</v>
      </c>
      <c r="GJ30" s="526"/>
      <c r="GK30" s="525">
        <v>100.6</v>
      </c>
      <c r="GL30" s="526"/>
      <c r="GM30" s="525">
        <v>0</v>
      </c>
      <c r="GN30" s="525">
        <v>0</v>
      </c>
      <c r="GO30" s="526"/>
      <c r="GP30" s="526"/>
      <c r="GQ30" s="525">
        <v>0</v>
      </c>
      <c r="GR30" s="526"/>
      <c r="GS30" s="526"/>
      <c r="GT30" s="525">
        <v>0</v>
      </c>
      <c r="GU30" s="525">
        <v>0</v>
      </c>
      <c r="GV30" s="525">
        <v>0</v>
      </c>
      <c r="GW30" s="525">
        <v>0</v>
      </c>
      <c r="GX30" s="525">
        <v>0</v>
      </c>
      <c r="GY30" s="525">
        <v>0</v>
      </c>
      <c r="GZ30" s="525">
        <v>0</v>
      </c>
      <c r="HA30" s="525">
        <v>0</v>
      </c>
      <c r="HB30" s="525">
        <v>0</v>
      </c>
      <c r="HC30" s="525">
        <v>0</v>
      </c>
      <c r="HD30" s="525">
        <v>0</v>
      </c>
      <c r="HE30" s="525">
        <v>0</v>
      </c>
      <c r="HF30" s="525">
        <v>0</v>
      </c>
      <c r="HG30" s="525">
        <v>0</v>
      </c>
      <c r="HH30" s="525">
        <v>0</v>
      </c>
      <c r="HI30" s="525">
        <v>0</v>
      </c>
      <c r="HJ30" s="525">
        <v>0</v>
      </c>
      <c r="HK30" s="525">
        <v>0</v>
      </c>
      <c r="HL30" s="526"/>
      <c r="HM30" s="526"/>
      <c r="HN30" s="526"/>
      <c r="HO30" s="526"/>
      <c r="HP30" s="526"/>
      <c r="HQ30" s="526"/>
      <c r="HR30" s="526"/>
      <c r="HS30" s="526"/>
      <c r="HT30" s="526"/>
      <c r="HU30" s="526"/>
      <c r="HV30" s="526"/>
      <c r="HW30" s="526"/>
      <c r="HX30" s="526"/>
      <c r="HY30" s="526"/>
      <c r="HZ30" s="526"/>
      <c r="IA30" s="526"/>
      <c r="IB30" s="526"/>
      <c r="IC30" s="526"/>
      <c r="ID30" s="526"/>
      <c r="IE30" s="526"/>
      <c r="IF30" s="526"/>
      <c r="IG30" s="526"/>
      <c r="IH30" s="526"/>
      <c r="II30" s="526"/>
      <c r="IJ30" s="526"/>
      <c r="IK30" s="526"/>
      <c r="IL30" s="526"/>
      <c r="IM30" s="526"/>
      <c r="IN30" s="526"/>
      <c r="IO30" s="526"/>
      <c r="IP30" s="526"/>
      <c r="IQ30" s="526"/>
      <c r="IR30" s="526"/>
      <c r="IS30" s="526"/>
      <c r="IT30" s="526"/>
      <c r="IU30" s="526"/>
      <c r="IV30" s="526"/>
      <c r="IW30" s="526"/>
      <c r="IX30" s="526"/>
      <c r="IY30" s="526"/>
      <c r="IZ30" s="526"/>
      <c r="JA30" s="526"/>
      <c r="JB30" s="526"/>
      <c r="JC30" s="526"/>
      <c r="JD30" s="526"/>
      <c r="JE30" s="526"/>
      <c r="JF30" s="526"/>
      <c r="JG30" s="526"/>
      <c r="JH30" s="526"/>
      <c r="JI30" s="526"/>
      <c r="JJ30" s="526"/>
      <c r="JK30" s="526"/>
      <c r="JL30" s="526"/>
      <c r="JM30" s="526"/>
      <c r="JN30" s="525">
        <v>5498.4499999999989</v>
      </c>
      <c r="JO30" s="525">
        <v>4114.4499599999999</v>
      </c>
      <c r="JP30" s="525">
        <v>10672.582259113105</v>
      </c>
      <c r="JQ30" s="525">
        <v>0</v>
      </c>
      <c r="JR30" s="525">
        <v>100.6</v>
      </c>
      <c r="JS30" s="527">
        <v>20738.0222191131</v>
      </c>
      <c r="JT30" s="528">
        <f t="shared" si="10"/>
        <v>351.93999999999539</v>
      </c>
      <c r="JU30" s="525">
        <v>20738.0222191131</v>
      </c>
      <c r="JV30" s="525">
        <v>20738.0222191131</v>
      </c>
      <c r="JW30" s="525">
        <v>20738.0222191131</v>
      </c>
      <c r="JX30" s="525">
        <v>28761.9999999998</v>
      </c>
      <c r="JY30" s="525">
        <v>28761.9999999998</v>
      </c>
      <c r="JZ30" s="526"/>
      <c r="KA30" s="525">
        <v>28761.9999999998</v>
      </c>
      <c r="KB30" s="529">
        <v>0.49592116624772214</v>
      </c>
      <c r="KC30" s="525">
        <v>2.6379113249276998E-2</v>
      </c>
      <c r="KD30" s="525">
        <v>20737.99583999985</v>
      </c>
      <c r="KE30" s="525">
        <v>28761.9999999998</v>
      </c>
      <c r="KF30" s="525">
        <v>0</v>
      </c>
      <c r="KG30" s="530">
        <v>0</v>
      </c>
      <c r="KH30" s="525">
        <v>0</v>
      </c>
      <c r="KI30" s="525">
        <v>2231.0641799999999</v>
      </c>
      <c r="KJ30" s="530">
        <v>718.07665915674272</v>
      </c>
      <c r="KK30" s="525">
        <v>3107</v>
      </c>
      <c r="KL30" s="525">
        <v>4073.2783799998529</v>
      </c>
      <c r="KM30" s="530">
        <v>722.5968387440123</v>
      </c>
      <c r="KN30" s="525">
        <v>5636.9999999997999</v>
      </c>
      <c r="KO30" s="525">
        <v>14433.65328</v>
      </c>
      <c r="KP30" s="530">
        <v>721.03373363972435</v>
      </c>
      <c r="KQ30" s="525">
        <v>20018</v>
      </c>
      <c r="KR30" s="526"/>
      <c r="KS30" s="526"/>
      <c r="KT30" s="531"/>
      <c r="KU30" s="531"/>
      <c r="KV30" s="526"/>
      <c r="KW30" s="531">
        <v>57.454099999999997</v>
      </c>
      <c r="KX30" s="531">
        <v>29.226800000000001</v>
      </c>
      <c r="KY30" s="531">
        <v>15.693200000000001</v>
      </c>
      <c r="KZ30" s="526"/>
      <c r="LA30" s="531">
        <v>5428.9</v>
      </c>
      <c r="LB30" s="532">
        <v>1140</v>
      </c>
      <c r="LC30" s="533">
        <v>0.505</v>
      </c>
      <c r="LD30" s="494">
        <f t="shared" si="11"/>
        <v>21408.520742102657</v>
      </c>
      <c r="LE30" s="509">
        <f t="shared" si="12"/>
        <v>21408.520742102657</v>
      </c>
      <c r="LF30" s="534">
        <f t="shared" si="13"/>
        <v>11046.924938182065</v>
      </c>
      <c r="LG30" s="535">
        <f t="shared" si="14"/>
        <v>0</v>
      </c>
      <c r="LH30" s="536">
        <f t="shared" si="31"/>
        <v>1.03</v>
      </c>
      <c r="LI30" s="537">
        <f t="shared" si="15"/>
        <v>0</v>
      </c>
      <c r="LJ30" s="536">
        <f t="shared" si="32"/>
        <v>1.0389999999999999</v>
      </c>
      <c r="LK30" s="537">
        <f t="shared" si="16"/>
        <v>0</v>
      </c>
      <c r="LL30" s="536">
        <f t="shared" si="33"/>
        <v>1.0349999999999999</v>
      </c>
      <c r="LM30" s="537">
        <f t="shared" si="17"/>
        <v>0</v>
      </c>
      <c r="LN30" s="536">
        <f t="shared" si="34"/>
        <v>1.0349999999999999</v>
      </c>
      <c r="LO30" s="537">
        <f t="shared" si="18"/>
        <v>0</v>
      </c>
      <c r="LP30" s="536">
        <f t="shared" si="35"/>
        <v>1.0349999999999999</v>
      </c>
      <c r="LQ30" s="537">
        <f t="shared" si="19"/>
        <v>10880.046538182065</v>
      </c>
      <c r="LR30" s="536">
        <f t="shared" si="36"/>
        <v>1.04</v>
      </c>
      <c r="LS30" s="537">
        <f t="shared" si="20"/>
        <v>166.87840000000003</v>
      </c>
      <c r="LT30" s="539">
        <f t="shared" si="21"/>
        <v>5655.7606544999981</v>
      </c>
      <c r="LU30" s="540">
        <f t="shared" si="22"/>
        <v>4627.4386652999992</v>
      </c>
      <c r="LV30" s="541">
        <f t="shared" si="23"/>
        <v>1028.3219891999993</v>
      </c>
      <c r="LW30" s="542">
        <f t="shared" si="24"/>
        <v>4249.7741494205993</v>
      </c>
      <c r="LX30" s="540">
        <f t="shared" si="25"/>
        <v>1397.4864769206001</v>
      </c>
      <c r="LY30" s="540">
        <f t="shared" si="26"/>
        <v>1112.5732499999999</v>
      </c>
      <c r="LZ30" s="543">
        <f t="shared" si="27"/>
        <v>1739.7144224999995</v>
      </c>
      <c r="MA30" s="544">
        <f t="shared" si="28"/>
        <v>351.93999999999539</v>
      </c>
      <c r="MB30" s="545">
        <f t="shared" si="29"/>
        <v>104.12099999999998</v>
      </c>
    </row>
    <row r="31" spans="1:340" ht="16.5" customHeight="1">
      <c r="A31" s="465">
        <v>1</v>
      </c>
      <c r="B31" s="466">
        <v>21</v>
      </c>
      <c r="C31" s="467" t="s">
        <v>299</v>
      </c>
      <c r="D31" s="468">
        <v>4634002573</v>
      </c>
      <c r="E31" s="469">
        <f t="shared" si="3"/>
        <v>212293.20878574596</v>
      </c>
      <c r="F31" s="470" t="s">
        <v>281</v>
      </c>
      <c r="G31" s="595">
        <v>212292.94775329999</v>
      </c>
      <c r="H31" s="595">
        <f t="shared" si="30"/>
        <v>0.26103244596743025</v>
      </c>
      <c r="I31" s="595"/>
      <c r="J31" s="471">
        <f t="shared" si="4"/>
        <v>176911.00732145496</v>
      </c>
      <c r="K31" s="472">
        <f t="shared" si="5"/>
        <v>89922.741621454901</v>
      </c>
      <c r="L31" s="473">
        <f t="shared" si="6"/>
        <v>0</v>
      </c>
      <c r="M31" s="474">
        <v>0</v>
      </c>
      <c r="N31" s="475">
        <v>0</v>
      </c>
      <c r="O31" s="475">
        <v>0</v>
      </c>
      <c r="P31" s="476">
        <v>0</v>
      </c>
      <c r="Q31" s="477">
        <v>89922.741621454901</v>
      </c>
      <c r="R31" s="478">
        <f t="shared" si="7"/>
        <v>0</v>
      </c>
      <c r="S31" s="479">
        <f t="shared" si="8"/>
        <v>48666.469999999994</v>
      </c>
      <c r="T31" s="479">
        <v>39277.599999999999</v>
      </c>
      <c r="U31" s="480">
        <v>9388.8699999999953</v>
      </c>
      <c r="V31" s="481">
        <f t="shared" si="9"/>
        <v>37231.015700000047</v>
      </c>
      <c r="W31" s="482">
        <v>11861.8352</v>
      </c>
      <c r="X31" s="479">
        <v>21160.00000000004</v>
      </c>
      <c r="Y31" s="483">
        <v>4209.1805000000058</v>
      </c>
      <c r="Z31" s="484">
        <v>-237.81999999998652</v>
      </c>
      <c r="AA31" s="485">
        <v>1328.6</v>
      </c>
      <c r="AB31" s="486"/>
      <c r="AC31" s="487">
        <v>0</v>
      </c>
      <c r="AD31" s="487">
        <v>0</v>
      </c>
      <c r="AE31" s="487">
        <v>0</v>
      </c>
      <c r="AF31" s="487">
        <v>0</v>
      </c>
      <c r="AG31" s="487">
        <v>0</v>
      </c>
      <c r="AH31" s="487">
        <v>89922.741621454901</v>
      </c>
      <c r="AI31" s="487">
        <v>89922.741621454901</v>
      </c>
      <c r="AJ31" s="487">
        <v>80002.654994723998</v>
      </c>
      <c r="AK31" s="487">
        <v>80002.654994723998</v>
      </c>
      <c r="AL31" s="487">
        <v>80002.654994723998</v>
      </c>
      <c r="AM31" s="487">
        <v>336.40512000000001</v>
      </c>
      <c r="AN31" s="487">
        <v>237.81640123290632</v>
      </c>
      <c r="AO31" s="487">
        <v>0</v>
      </c>
      <c r="AP31" s="487">
        <v>0</v>
      </c>
      <c r="AQ31" s="487">
        <v>0</v>
      </c>
      <c r="AR31" s="487">
        <v>0</v>
      </c>
      <c r="AS31" s="487">
        <v>0</v>
      </c>
      <c r="AT31" s="487">
        <v>0</v>
      </c>
      <c r="AU31" s="487">
        <v>0</v>
      </c>
      <c r="AV31" s="487">
        <v>0</v>
      </c>
      <c r="AW31" s="487">
        <v>0</v>
      </c>
      <c r="AX31" s="487">
        <v>0</v>
      </c>
      <c r="AY31" s="487">
        <v>0</v>
      </c>
      <c r="AZ31" s="487">
        <v>2811.7299999999996</v>
      </c>
      <c r="BA31" s="487">
        <v>7108.3566267309125</v>
      </c>
      <c r="BB31" s="487">
        <v>863.59999999998831</v>
      </c>
      <c r="BC31" s="487">
        <v>0</v>
      </c>
      <c r="BD31" s="487">
        <v>0</v>
      </c>
      <c r="BE31" s="487">
        <v>0</v>
      </c>
      <c r="BF31" s="487">
        <v>0</v>
      </c>
      <c r="BG31" s="487">
        <v>0</v>
      </c>
      <c r="BH31" s="487">
        <v>0</v>
      </c>
      <c r="BI31" s="487">
        <v>0</v>
      </c>
      <c r="BJ31" s="487">
        <v>7108.3566267309125</v>
      </c>
      <c r="BK31" s="487">
        <v>8.2310752972800003</v>
      </c>
      <c r="BL31" s="487">
        <v>863.59999999998831</v>
      </c>
      <c r="BM31" s="487">
        <v>0</v>
      </c>
      <c r="BN31" s="487">
        <v>0</v>
      </c>
      <c r="BO31" s="487">
        <v>0</v>
      </c>
      <c r="BP31" s="487">
        <v>0</v>
      </c>
      <c r="BQ31" s="487">
        <v>0</v>
      </c>
      <c r="BR31" s="487">
        <v>0</v>
      </c>
      <c r="BS31" s="487">
        <v>0</v>
      </c>
      <c r="BT31" s="487">
        <v>0</v>
      </c>
      <c r="BU31" s="487">
        <v>0</v>
      </c>
      <c r="BV31" s="487">
        <v>0</v>
      </c>
      <c r="BW31" s="487">
        <v>0</v>
      </c>
      <c r="BX31" s="487">
        <v>0</v>
      </c>
      <c r="BY31" s="487">
        <v>0</v>
      </c>
      <c r="BZ31" s="487">
        <v>0</v>
      </c>
      <c r="CA31" s="487">
        <v>0</v>
      </c>
      <c r="CB31" s="487">
        <v>0</v>
      </c>
      <c r="CC31" s="487">
        <v>0</v>
      </c>
      <c r="CD31" s="487">
        <v>0</v>
      </c>
      <c r="CE31" s="487">
        <v>0</v>
      </c>
      <c r="CF31" s="487">
        <v>0</v>
      </c>
      <c r="CG31" s="487">
        <v>0</v>
      </c>
      <c r="CH31" s="487">
        <v>0</v>
      </c>
      <c r="CI31" s="487">
        <v>0</v>
      </c>
      <c r="CJ31" s="487">
        <v>0</v>
      </c>
      <c r="CK31" s="487">
        <v>0</v>
      </c>
      <c r="CL31" s="487">
        <v>0</v>
      </c>
      <c r="CM31" s="487">
        <v>39277.599999999999</v>
      </c>
      <c r="CN31" s="487">
        <v>39277.599999999999</v>
      </c>
      <c r="CO31" s="487">
        <v>0</v>
      </c>
      <c r="CP31" s="487">
        <v>0</v>
      </c>
      <c r="CQ31" s="487">
        <v>0</v>
      </c>
      <c r="CR31" s="487">
        <v>0</v>
      </c>
      <c r="CS31" s="487">
        <v>11861.8352</v>
      </c>
      <c r="CT31" s="487">
        <v>11861.8352</v>
      </c>
      <c r="CU31" s="487">
        <v>0</v>
      </c>
      <c r="CV31" s="487">
        <v>0</v>
      </c>
      <c r="CW31" s="487">
        <v>0</v>
      </c>
      <c r="CX31" s="487">
        <v>0</v>
      </c>
      <c r="CY31" s="487">
        <v>0</v>
      </c>
      <c r="CZ31" s="467"/>
      <c r="DA31" s="487">
        <v>0</v>
      </c>
      <c r="DB31" s="487">
        <v>0</v>
      </c>
      <c r="DC31" s="467"/>
      <c r="DD31" s="487">
        <v>0</v>
      </c>
      <c r="DE31" s="487">
        <v>0</v>
      </c>
      <c r="DF31" s="487">
        <v>0</v>
      </c>
      <c r="DG31" s="487">
        <v>2292.6999999999998</v>
      </c>
      <c r="DH31" s="487">
        <v>0</v>
      </c>
      <c r="DI31" s="487">
        <v>0</v>
      </c>
      <c r="DJ31" s="487">
        <v>2292.6999999999998</v>
      </c>
      <c r="DK31" s="487">
        <v>0</v>
      </c>
      <c r="DL31" s="487">
        <v>0</v>
      </c>
      <c r="DM31" s="487">
        <v>0</v>
      </c>
      <c r="DN31" s="487">
        <v>0</v>
      </c>
      <c r="DO31" s="487">
        <v>0</v>
      </c>
      <c r="DP31" s="487">
        <v>2539.8299999999995</v>
      </c>
      <c r="DQ31" s="487">
        <v>0</v>
      </c>
      <c r="DR31" s="487">
        <v>0</v>
      </c>
      <c r="DS31" s="487">
        <v>0</v>
      </c>
      <c r="DT31" s="487">
        <v>2539.8299999999995</v>
      </c>
      <c r="DU31" s="487">
        <v>354.01999999999992</v>
      </c>
      <c r="DV31" s="487">
        <v>174.87</v>
      </c>
      <c r="DW31" s="487">
        <v>0</v>
      </c>
      <c r="DX31" s="487">
        <v>0</v>
      </c>
      <c r="DY31" s="487">
        <v>0</v>
      </c>
      <c r="DZ31" s="487">
        <v>0</v>
      </c>
      <c r="EA31" s="487">
        <v>179.15</v>
      </c>
      <c r="EB31" s="487">
        <v>0</v>
      </c>
      <c r="EC31" s="487">
        <v>0</v>
      </c>
      <c r="ED31" s="487">
        <v>0</v>
      </c>
      <c r="EE31" s="487">
        <v>0</v>
      </c>
      <c r="EF31" s="487">
        <v>0</v>
      </c>
      <c r="EG31" s="487">
        <v>0</v>
      </c>
      <c r="EH31" s="487">
        <v>25.62</v>
      </c>
      <c r="EI31" s="487">
        <v>0</v>
      </c>
      <c r="EJ31" s="487">
        <v>25.62</v>
      </c>
      <c r="EK31" s="487">
        <v>0</v>
      </c>
      <c r="EL31" s="487">
        <v>13.18</v>
      </c>
      <c r="EM31" s="487">
        <v>175.18</v>
      </c>
      <c r="EN31" s="487">
        <v>0</v>
      </c>
      <c r="EO31" s="487">
        <v>254.20000000000002</v>
      </c>
      <c r="EP31" s="487">
        <v>3759.7599999999998</v>
      </c>
      <c r="EQ31" s="487">
        <v>0</v>
      </c>
      <c r="ER31" s="487">
        <v>3759.7599999999998</v>
      </c>
      <c r="ES31" s="487">
        <v>0</v>
      </c>
      <c r="ET31" s="487">
        <v>25.62</v>
      </c>
      <c r="EU31" s="487">
        <v>25.62</v>
      </c>
      <c r="EV31" s="487">
        <v>0</v>
      </c>
      <c r="EW31" s="487">
        <v>0</v>
      </c>
      <c r="EX31" s="487">
        <v>0</v>
      </c>
      <c r="EY31" s="487">
        <v>0</v>
      </c>
      <c r="EZ31" s="487">
        <v>0</v>
      </c>
      <c r="FA31" s="487">
        <v>0</v>
      </c>
      <c r="FB31" s="487">
        <v>2476.8000000000043</v>
      </c>
      <c r="FC31" s="487">
        <v>24.5</v>
      </c>
      <c r="FD31" s="487">
        <v>170.50000000000756</v>
      </c>
      <c r="FE31" s="487">
        <v>0</v>
      </c>
      <c r="FF31" s="487">
        <v>2281.799999999997</v>
      </c>
      <c r="FG31" s="487">
        <v>2151.5999999999967</v>
      </c>
      <c r="FH31" s="487">
        <v>0</v>
      </c>
      <c r="FI31" s="487">
        <v>130.19999999999999</v>
      </c>
      <c r="FJ31" s="487">
        <v>0</v>
      </c>
      <c r="FK31" s="487">
        <v>0</v>
      </c>
      <c r="FL31" s="487">
        <v>0</v>
      </c>
      <c r="FM31" s="487">
        <v>21160.00000000004</v>
      </c>
      <c r="FN31" s="487">
        <v>21160.00000000004</v>
      </c>
      <c r="FO31" s="487">
        <v>0</v>
      </c>
      <c r="FP31" s="487">
        <v>0</v>
      </c>
      <c r="FQ31" s="487">
        <v>1374.6105</v>
      </c>
      <c r="FR31" s="487">
        <v>332.15</v>
      </c>
      <c r="FS31" s="488">
        <v>175820.22732145496</v>
      </c>
      <c r="FT31" s="487">
        <v>0</v>
      </c>
      <c r="FU31" s="487">
        <v>0</v>
      </c>
      <c r="FV31" s="487">
        <v>0</v>
      </c>
      <c r="FW31" s="487">
        <v>0</v>
      </c>
      <c r="FX31" s="487">
        <v>0</v>
      </c>
      <c r="FY31" s="487">
        <v>0</v>
      </c>
      <c r="FZ31" s="487">
        <v>0</v>
      </c>
      <c r="GA31" s="487">
        <v>0</v>
      </c>
      <c r="GB31" s="487">
        <v>0</v>
      </c>
      <c r="GC31" s="487">
        <v>0</v>
      </c>
      <c r="GD31" s="487">
        <v>0</v>
      </c>
      <c r="GE31" s="487">
        <v>0</v>
      </c>
      <c r="GF31" s="487">
        <v>0</v>
      </c>
      <c r="GG31" s="487">
        <v>0</v>
      </c>
      <c r="GH31" s="487">
        <v>1328.6</v>
      </c>
      <c r="GI31" s="487">
        <v>0</v>
      </c>
      <c r="GJ31" s="467"/>
      <c r="GK31" s="487">
        <v>1328.6</v>
      </c>
      <c r="GL31" s="467"/>
      <c r="GM31" s="487">
        <v>0</v>
      </c>
      <c r="GN31" s="487">
        <v>0</v>
      </c>
      <c r="GO31" s="467"/>
      <c r="GP31" s="467"/>
      <c r="GQ31" s="487">
        <v>0</v>
      </c>
      <c r="GR31" s="467"/>
      <c r="GS31" s="467"/>
      <c r="GT31" s="487">
        <v>0</v>
      </c>
      <c r="GU31" s="487">
        <v>0</v>
      </c>
      <c r="GV31" s="487">
        <v>0</v>
      </c>
      <c r="GW31" s="487">
        <v>0</v>
      </c>
      <c r="GX31" s="487">
        <v>0</v>
      </c>
      <c r="GY31" s="487">
        <v>0</v>
      </c>
      <c r="GZ31" s="487">
        <v>0</v>
      </c>
      <c r="HA31" s="487">
        <v>0</v>
      </c>
      <c r="HB31" s="487">
        <v>0</v>
      </c>
      <c r="HC31" s="487">
        <v>0</v>
      </c>
      <c r="HD31" s="487">
        <v>0</v>
      </c>
      <c r="HE31" s="487">
        <v>0</v>
      </c>
      <c r="HF31" s="487">
        <v>0</v>
      </c>
      <c r="HG31" s="487">
        <v>0</v>
      </c>
      <c r="HH31" s="487">
        <v>0</v>
      </c>
      <c r="HI31" s="487">
        <v>0</v>
      </c>
      <c r="HJ31" s="487">
        <v>0</v>
      </c>
      <c r="HK31" s="487">
        <v>0</v>
      </c>
      <c r="HL31" s="467"/>
      <c r="HM31" s="467"/>
      <c r="HN31" s="467"/>
      <c r="HO31" s="467"/>
      <c r="HP31" s="467"/>
      <c r="HQ31" s="467"/>
      <c r="HR31" s="467"/>
      <c r="HS31" s="467"/>
      <c r="HT31" s="467"/>
      <c r="HU31" s="467"/>
      <c r="HV31" s="467"/>
      <c r="HW31" s="467"/>
      <c r="HX31" s="467"/>
      <c r="HY31" s="467"/>
      <c r="HZ31" s="467"/>
      <c r="IA31" s="467"/>
      <c r="IB31" s="467"/>
      <c r="IC31" s="467"/>
      <c r="ID31" s="467"/>
      <c r="IE31" s="467"/>
      <c r="IF31" s="467"/>
      <c r="IG31" s="467"/>
      <c r="IH31" s="467"/>
      <c r="II31" s="467"/>
      <c r="IJ31" s="467"/>
      <c r="IK31" s="467"/>
      <c r="IL31" s="467"/>
      <c r="IM31" s="467"/>
      <c r="IN31" s="467"/>
      <c r="IO31" s="467"/>
      <c r="IP31" s="467"/>
      <c r="IQ31" s="467"/>
      <c r="IR31" s="467"/>
      <c r="IS31" s="467"/>
      <c r="IT31" s="467"/>
      <c r="IU31" s="467"/>
      <c r="IV31" s="467"/>
      <c r="IW31" s="467"/>
      <c r="IX31" s="467"/>
      <c r="IY31" s="467"/>
      <c r="IZ31" s="467"/>
      <c r="JA31" s="467"/>
      <c r="JB31" s="467"/>
      <c r="JC31" s="467"/>
      <c r="JD31" s="467"/>
      <c r="JE31" s="467"/>
      <c r="JF31" s="467"/>
      <c r="JG31" s="467"/>
      <c r="JH31" s="467"/>
      <c r="JI31" s="467"/>
      <c r="JJ31" s="467"/>
      <c r="JK31" s="467"/>
      <c r="JL31" s="467"/>
      <c r="JM31" s="467"/>
      <c r="JN31" s="487">
        <v>48666.469999999994</v>
      </c>
      <c r="JO31" s="487">
        <v>37231.015700000047</v>
      </c>
      <c r="JP31" s="487">
        <v>89922.741621454901</v>
      </c>
      <c r="JQ31" s="487">
        <v>0</v>
      </c>
      <c r="JR31" s="487">
        <v>1328.6</v>
      </c>
      <c r="JS31" s="488">
        <v>176911.00732145496</v>
      </c>
      <c r="JT31" s="489">
        <f t="shared" si="10"/>
        <v>-237.81999999998652</v>
      </c>
      <c r="JU31" s="487">
        <v>212293.20878574596</v>
      </c>
      <c r="JV31" s="487">
        <v>176911.00732145496</v>
      </c>
      <c r="JW31" s="487">
        <v>212293.20878574596</v>
      </c>
      <c r="JX31" s="487">
        <v>299499.99799999996</v>
      </c>
      <c r="JY31" s="487">
        <v>299499.99799999996</v>
      </c>
      <c r="JZ31" s="467"/>
      <c r="KA31" s="487">
        <v>299499.99799999996</v>
      </c>
      <c r="KB31" s="490">
        <v>0.75565821989918092</v>
      </c>
      <c r="KC31" s="487">
        <v>-4.4178250118420692E-3</v>
      </c>
      <c r="KD31" s="487">
        <v>176911.01173927999</v>
      </c>
      <c r="KE31" s="487">
        <v>299499.99799999996</v>
      </c>
      <c r="KF31" s="487">
        <v>0</v>
      </c>
      <c r="KG31" s="491">
        <v>0</v>
      </c>
      <c r="KH31" s="487">
        <v>0</v>
      </c>
      <c r="KI31" s="487">
        <v>22777.550568599996</v>
      </c>
      <c r="KJ31" s="491">
        <v>590.0308405502019</v>
      </c>
      <c r="KK31" s="487">
        <v>38604</v>
      </c>
      <c r="KL31" s="487">
        <v>129525.20959107998</v>
      </c>
      <c r="KM31" s="491">
        <v>590.85731065634616</v>
      </c>
      <c r="KN31" s="487">
        <v>219215.71799999999</v>
      </c>
      <c r="KO31" s="487">
        <v>24608.251579600001</v>
      </c>
      <c r="KP31" s="491">
        <v>590.40514074281646</v>
      </c>
      <c r="KQ31" s="487">
        <v>41680.28</v>
      </c>
      <c r="KR31" s="467"/>
      <c r="KS31" s="467"/>
      <c r="KT31" s="487"/>
      <c r="KU31" s="487"/>
      <c r="KV31" s="467"/>
      <c r="KW31" s="487">
        <v>329169.8</v>
      </c>
      <c r="KX31" s="487">
        <v>70.08</v>
      </c>
      <c r="KY31" s="487">
        <v>38.299999999999997</v>
      </c>
      <c r="KZ31" s="467"/>
      <c r="LA31" s="487">
        <v>7089.88</v>
      </c>
      <c r="LB31" s="492">
        <v>40811</v>
      </c>
      <c r="LC31" s="493">
        <v>0.4</v>
      </c>
      <c r="LD31" s="494">
        <f t="shared" si="11"/>
        <v>219269.32848897344</v>
      </c>
      <c r="LE31" s="471">
        <f t="shared" si="12"/>
        <v>182724.44040747787</v>
      </c>
      <c r="LF31" s="495">
        <f t="shared" si="13"/>
        <v>93070.037578205811</v>
      </c>
      <c r="LG31" s="476">
        <f t="shared" si="14"/>
        <v>0</v>
      </c>
      <c r="LH31" s="496">
        <f t="shared" si="31"/>
        <v>1.03</v>
      </c>
      <c r="LI31" s="497">
        <f t="shared" si="15"/>
        <v>0</v>
      </c>
      <c r="LJ31" s="496">
        <f t="shared" si="32"/>
        <v>1.0389999999999999</v>
      </c>
      <c r="LK31" s="497">
        <f t="shared" si="16"/>
        <v>0</v>
      </c>
      <c r="LL31" s="496">
        <f t="shared" si="33"/>
        <v>1.0349999999999999</v>
      </c>
      <c r="LM31" s="497">
        <f t="shared" si="17"/>
        <v>0</v>
      </c>
      <c r="LN31" s="496">
        <f t="shared" si="34"/>
        <v>1.0349999999999999</v>
      </c>
      <c r="LO31" s="497">
        <f t="shared" si="18"/>
        <v>0</v>
      </c>
      <c r="LP31" s="496">
        <f t="shared" si="35"/>
        <v>1.0349999999999999</v>
      </c>
      <c r="LQ31" s="497">
        <f t="shared" si="19"/>
        <v>93070.037578205811</v>
      </c>
      <c r="LR31" s="496">
        <f t="shared" si="36"/>
        <v>1.04</v>
      </c>
      <c r="LS31" s="497">
        <f t="shared" si="20"/>
        <v>0</v>
      </c>
      <c r="LT31" s="499">
        <f t="shared" si="21"/>
        <v>50058.817706699992</v>
      </c>
      <c r="LU31" s="500">
        <f t="shared" si="22"/>
        <v>40401.332135999997</v>
      </c>
      <c r="LV31" s="501">
        <f t="shared" si="23"/>
        <v>9657.4855706999952</v>
      </c>
      <c r="LW31" s="499">
        <f t="shared" si="24"/>
        <v>38458.304122572044</v>
      </c>
      <c r="LX31" s="500">
        <f t="shared" si="25"/>
        <v>12201.202305072</v>
      </c>
      <c r="LY31" s="500">
        <f t="shared" si="26"/>
        <v>21900.600000000039</v>
      </c>
      <c r="LZ31" s="502">
        <f t="shared" si="27"/>
        <v>4356.5018175000059</v>
      </c>
      <c r="MA31" s="503">
        <f t="shared" si="28"/>
        <v>-237.81999999998652</v>
      </c>
      <c r="MB31" s="504">
        <f t="shared" si="29"/>
        <v>1375.1009999999999</v>
      </c>
    </row>
    <row r="32" spans="1:340" ht="16.5" customHeight="1">
      <c r="A32" s="505">
        <v>1</v>
      </c>
      <c r="B32" s="506">
        <v>22</v>
      </c>
      <c r="C32" s="507" t="s">
        <v>300</v>
      </c>
      <c r="D32" s="508">
        <v>4623002116</v>
      </c>
      <c r="E32" s="469">
        <f t="shared" si="3"/>
        <v>21661.261490235847</v>
      </c>
      <c r="F32" s="470" t="s">
        <v>287</v>
      </c>
      <c r="G32" s="595">
        <v>21661.267019999999</v>
      </c>
      <c r="H32" s="595">
        <f t="shared" si="30"/>
        <v>-5.5297641520155594E-3</v>
      </c>
      <c r="I32" s="595"/>
      <c r="J32" s="509">
        <f t="shared" si="4"/>
        <v>21661.261490235847</v>
      </c>
      <c r="K32" s="510">
        <f t="shared" si="5"/>
        <v>11445.255656507847</v>
      </c>
      <c r="L32" s="511">
        <f t="shared" si="6"/>
        <v>9481.2504468138704</v>
      </c>
      <c r="M32" s="512">
        <v>9481.2504468138704</v>
      </c>
      <c r="N32" s="513">
        <v>0</v>
      </c>
      <c r="O32" s="513">
        <v>0</v>
      </c>
      <c r="P32" s="514">
        <v>0</v>
      </c>
      <c r="Q32" s="515">
        <v>1950.8382136944488</v>
      </c>
      <c r="R32" s="516">
        <f t="shared" si="7"/>
        <v>13.166995999527014</v>
      </c>
      <c r="S32" s="517">
        <f t="shared" si="8"/>
        <v>7864.9736857280004</v>
      </c>
      <c r="T32" s="518">
        <v>6949.9740000000002</v>
      </c>
      <c r="U32" s="519">
        <v>914.99968572800026</v>
      </c>
      <c r="V32" s="520">
        <f t="shared" si="9"/>
        <v>3673.9521480000003</v>
      </c>
      <c r="W32" s="521">
        <v>2098.8921480000004</v>
      </c>
      <c r="X32" s="518">
        <v>262.64</v>
      </c>
      <c r="Y32" s="522">
        <v>1312.42</v>
      </c>
      <c r="Z32" s="523">
        <v>-2487.3500000000004</v>
      </c>
      <c r="AA32" s="524">
        <v>1164.43</v>
      </c>
      <c r="AB32" s="486"/>
      <c r="AC32" s="525">
        <v>9481.2504468138704</v>
      </c>
      <c r="AD32" s="525">
        <v>9481.2504468138704</v>
      </c>
      <c r="AE32" s="525">
        <v>0</v>
      </c>
      <c r="AF32" s="525">
        <v>0</v>
      </c>
      <c r="AG32" s="525">
        <v>0</v>
      </c>
      <c r="AH32" s="525">
        <v>1950.8382136944488</v>
      </c>
      <c r="AI32" s="525">
        <v>1950.8382136944488</v>
      </c>
      <c r="AJ32" s="525">
        <v>0</v>
      </c>
      <c r="AK32" s="525">
        <v>0</v>
      </c>
      <c r="AL32" s="525">
        <v>0</v>
      </c>
      <c r="AM32" s="525">
        <v>0</v>
      </c>
      <c r="AN32" s="525">
        <v>0</v>
      </c>
      <c r="AO32" s="525">
        <v>0</v>
      </c>
      <c r="AP32" s="525">
        <v>0</v>
      </c>
      <c r="AQ32" s="525">
        <v>0</v>
      </c>
      <c r="AR32" s="525">
        <v>0</v>
      </c>
      <c r="AS32" s="525">
        <v>0</v>
      </c>
      <c r="AT32" s="525">
        <v>0</v>
      </c>
      <c r="AU32" s="525">
        <v>0</v>
      </c>
      <c r="AV32" s="525">
        <v>0</v>
      </c>
      <c r="AW32" s="525">
        <v>0</v>
      </c>
      <c r="AX32" s="525">
        <v>0</v>
      </c>
      <c r="AY32" s="525">
        <v>0</v>
      </c>
      <c r="AZ32" s="525">
        <v>0</v>
      </c>
      <c r="BA32" s="525">
        <v>1950.8382136944488</v>
      </c>
      <c r="BB32" s="525">
        <v>218.05114888109009</v>
      </c>
      <c r="BC32" s="525">
        <v>0</v>
      </c>
      <c r="BD32" s="525">
        <v>1950.8382136944488</v>
      </c>
      <c r="BE32" s="525">
        <v>8.9466999999999999</v>
      </c>
      <c r="BF32" s="525">
        <v>218.05114888109009</v>
      </c>
      <c r="BG32" s="525">
        <v>0</v>
      </c>
      <c r="BH32" s="525">
        <v>0</v>
      </c>
      <c r="BI32" s="525">
        <v>0</v>
      </c>
      <c r="BJ32" s="525">
        <v>0</v>
      </c>
      <c r="BK32" s="525">
        <v>0</v>
      </c>
      <c r="BL32" s="525">
        <v>0</v>
      </c>
      <c r="BM32" s="525">
        <v>0</v>
      </c>
      <c r="BN32" s="525">
        <v>0</v>
      </c>
      <c r="BO32" s="525">
        <v>0</v>
      </c>
      <c r="BP32" s="525">
        <v>0</v>
      </c>
      <c r="BQ32" s="525">
        <v>0</v>
      </c>
      <c r="BR32" s="525">
        <v>0</v>
      </c>
      <c r="BS32" s="525">
        <v>0</v>
      </c>
      <c r="BT32" s="525">
        <v>0</v>
      </c>
      <c r="BU32" s="525">
        <v>0</v>
      </c>
      <c r="BV32" s="525">
        <v>0</v>
      </c>
      <c r="BW32" s="525">
        <v>0</v>
      </c>
      <c r="BX32" s="525">
        <v>0</v>
      </c>
      <c r="BY32" s="525">
        <v>0</v>
      </c>
      <c r="BZ32" s="525">
        <v>0</v>
      </c>
      <c r="CA32" s="525">
        <v>0</v>
      </c>
      <c r="CB32" s="525">
        <v>0</v>
      </c>
      <c r="CC32" s="525">
        <v>0</v>
      </c>
      <c r="CD32" s="525">
        <v>0</v>
      </c>
      <c r="CE32" s="525">
        <v>0</v>
      </c>
      <c r="CF32" s="525">
        <v>0</v>
      </c>
      <c r="CG32" s="525">
        <v>0</v>
      </c>
      <c r="CH32" s="525">
        <v>0</v>
      </c>
      <c r="CI32" s="525">
        <v>0</v>
      </c>
      <c r="CJ32" s="525">
        <v>0</v>
      </c>
      <c r="CK32" s="525">
        <v>0</v>
      </c>
      <c r="CL32" s="525">
        <v>0</v>
      </c>
      <c r="CM32" s="525">
        <v>6949.9740000000002</v>
      </c>
      <c r="CN32" s="525">
        <v>3650.94</v>
      </c>
      <c r="CO32" s="525">
        <v>0</v>
      </c>
      <c r="CP32" s="525">
        <v>1574.7439999999999</v>
      </c>
      <c r="CQ32" s="525">
        <v>1724.29</v>
      </c>
      <c r="CR32" s="525">
        <v>0</v>
      </c>
      <c r="CS32" s="525">
        <v>2098.8921480000004</v>
      </c>
      <c r="CT32" s="525">
        <v>1102.5838800000001</v>
      </c>
      <c r="CU32" s="525">
        <v>0</v>
      </c>
      <c r="CV32" s="525">
        <v>475.57268799999997</v>
      </c>
      <c r="CW32" s="525">
        <v>520.73558000000003</v>
      </c>
      <c r="CX32" s="525">
        <v>0</v>
      </c>
      <c r="CY32" s="525">
        <v>13.166995999527014</v>
      </c>
      <c r="CZ32" s="526"/>
      <c r="DA32" s="525">
        <v>0.28779999998889316</v>
      </c>
      <c r="DB32" s="525">
        <v>0</v>
      </c>
      <c r="DC32" s="526"/>
      <c r="DD32" s="525">
        <v>0</v>
      </c>
      <c r="DE32" s="525">
        <v>0</v>
      </c>
      <c r="DF32" s="525">
        <v>0</v>
      </c>
      <c r="DG32" s="525">
        <v>637.80012800000009</v>
      </c>
      <c r="DH32" s="525">
        <v>39.126640000000002</v>
      </c>
      <c r="DI32" s="525">
        <v>0</v>
      </c>
      <c r="DJ32" s="525">
        <v>598.67348800000002</v>
      </c>
      <c r="DK32" s="525">
        <v>0</v>
      </c>
      <c r="DL32" s="525">
        <v>0</v>
      </c>
      <c r="DM32" s="525">
        <v>0</v>
      </c>
      <c r="DN32" s="525">
        <v>0</v>
      </c>
      <c r="DO32" s="525">
        <v>0</v>
      </c>
      <c r="DP32" s="525">
        <v>0</v>
      </c>
      <c r="DQ32" s="525">
        <v>0</v>
      </c>
      <c r="DR32" s="525">
        <v>0</v>
      </c>
      <c r="DS32" s="525">
        <v>0</v>
      </c>
      <c r="DT32" s="525">
        <v>0</v>
      </c>
      <c r="DU32" s="525">
        <v>140.77180480000001</v>
      </c>
      <c r="DV32" s="525">
        <v>50.623616000000005</v>
      </c>
      <c r="DW32" s="525">
        <v>0</v>
      </c>
      <c r="DX32" s="525">
        <v>0</v>
      </c>
      <c r="DY32" s="525">
        <v>0</v>
      </c>
      <c r="DZ32" s="525">
        <v>0</v>
      </c>
      <c r="EA32" s="525">
        <v>0</v>
      </c>
      <c r="EB32" s="525">
        <v>0</v>
      </c>
      <c r="EC32" s="525">
        <v>0</v>
      </c>
      <c r="ED32" s="525">
        <v>0</v>
      </c>
      <c r="EE32" s="525">
        <v>0</v>
      </c>
      <c r="EF32" s="525">
        <v>0</v>
      </c>
      <c r="EG32" s="525">
        <v>90.1481888</v>
      </c>
      <c r="EH32" s="525">
        <v>85.57</v>
      </c>
      <c r="EI32" s="525">
        <v>0</v>
      </c>
      <c r="EJ32" s="525">
        <v>85.57</v>
      </c>
      <c r="EK32" s="525">
        <v>0</v>
      </c>
      <c r="EL32" s="525">
        <v>18.860784000000002</v>
      </c>
      <c r="EM32" s="525">
        <v>28.255280000000003</v>
      </c>
      <c r="EN32" s="525">
        <v>0</v>
      </c>
      <c r="EO32" s="525">
        <v>0</v>
      </c>
      <c r="EP32" s="525">
        <v>89.311688928000024</v>
      </c>
      <c r="EQ32" s="525">
        <v>0</v>
      </c>
      <c r="ER32" s="525">
        <v>89.311688928000024</v>
      </c>
      <c r="ES32" s="525">
        <v>0</v>
      </c>
      <c r="ET32" s="525">
        <v>85.56</v>
      </c>
      <c r="EU32" s="525">
        <v>85.56</v>
      </c>
      <c r="EV32" s="525">
        <v>0</v>
      </c>
      <c r="EW32" s="525">
        <v>0</v>
      </c>
      <c r="EX32" s="525">
        <v>0</v>
      </c>
      <c r="EY32" s="525">
        <v>0</v>
      </c>
      <c r="EZ32" s="525">
        <v>0</v>
      </c>
      <c r="FA32" s="525">
        <v>0</v>
      </c>
      <c r="FB32" s="525">
        <v>889.46</v>
      </c>
      <c r="FC32" s="525">
        <v>0</v>
      </c>
      <c r="FD32" s="525">
        <v>26.48</v>
      </c>
      <c r="FE32" s="525">
        <v>0</v>
      </c>
      <c r="FF32" s="525">
        <v>862.98</v>
      </c>
      <c r="FG32" s="525">
        <v>0</v>
      </c>
      <c r="FH32" s="525">
        <v>17.2</v>
      </c>
      <c r="FI32" s="525">
        <v>8.68</v>
      </c>
      <c r="FJ32" s="525">
        <v>0</v>
      </c>
      <c r="FK32" s="525">
        <v>837.1</v>
      </c>
      <c r="FL32" s="525">
        <v>0</v>
      </c>
      <c r="FM32" s="525">
        <v>262.64</v>
      </c>
      <c r="FN32" s="525">
        <v>262.64</v>
      </c>
      <c r="FO32" s="525">
        <v>0</v>
      </c>
      <c r="FP32" s="525">
        <v>0</v>
      </c>
      <c r="FQ32" s="525">
        <v>120.75</v>
      </c>
      <c r="FR32" s="525">
        <v>216.65</v>
      </c>
      <c r="FS32" s="527">
        <v>22984.181490235846</v>
      </c>
      <c r="FT32" s="525">
        <v>0</v>
      </c>
      <c r="FU32" s="525">
        <v>0</v>
      </c>
      <c r="FV32" s="525">
        <v>0</v>
      </c>
      <c r="FW32" s="525">
        <v>0</v>
      </c>
      <c r="FX32" s="525">
        <v>0</v>
      </c>
      <c r="FY32" s="525">
        <v>0</v>
      </c>
      <c r="FZ32" s="525">
        <v>0</v>
      </c>
      <c r="GA32" s="525">
        <v>0</v>
      </c>
      <c r="GB32" s="525">
        <v>0</v>
      </c>
      <c r="GC32" s="525">
        <v>0</v>
      </c>
      <c r="GD32" s="525">
        <v>0</v>
      </c>
      <c r="GE32" s="525">
        <v>0</v>
      </c>
      <c r="GF32" s="525">
        <v>0</v>
      </c>
      <c r="GG32" s="525">
        <v>0</v>
      </c>
      <c r="GH32" s="525">
        <v>1164.43</v>
      </c>
      <c r="GI32" s="525">
        <v>0</v>
      </c>
      <c r="GJ32" s="526"/>
      <c r="GK32" s="525">
        <v>1164.43</v>
      </c>
      <c r="GL32" s="526"/>
      <c r="GM32" s="525">
        <v>0</v>
      </c>
      <c r="GN32" s="525">
        <v>0</v>
      </c>
      <c r="GO32" s="526"/>
      <c r="GP32" s="526"/>
      <c r="GQ32" s="525">
        <v>0</v>
      </c>
      <c r="GR32" s="526"/>
      <c r="GS32" s="526"/>
      <c r="GT32" s="525">
        <v>0</v>
      </c>
      <c r="GU32" s="525">
        <v>0</v>
      </c>
      <c r="GV32" s="525">
        <v>0</v>
      </c>
      <c r="GW32" s="525">
        <v>0</v>
      </c>
      <c r="GX32" s="525">
        <v>0</v>
      </c>
      <c r="GY32" s="525">
        <v>0</v>
      </c>
      <c r="GZ32" s="525">
        <v>0</v>
      </c>
      <c r="HA32" s="525">
        <v>0</v>
      </c>
      <c r="HB32" s="525">
        <v>0</v>
      </c>
      <c r="HC32" s="525">
        <v>0</v>
      </c>
      <c r="HD32" s="525">
        <v>0</v>
      </c>
      <c r="HE32" s="525">
        <v>0</v>
      </c>
      <c r="HF32" s="525">
        <v>0</v>
      </c>
      <c r="HG32" s="525">
        <v>0</v>
      </c>
      <c r="HH32" s="525">
        <v>0</v>
      </c>
      <c r="HI32" s="525">
        <v>0</v>
      </c>
      <c r="HJ32" s="525">
        <v>0</v>
      </c>
      <c r="HK32" s="525">
        <v>0</v>
      </c>
      <c r="HL32" s="526"/>
      <c r="HM32" s="526"/>
      <c r="HN32" s="526"/>
      <c r="HO32" s="526"/>
      <c r="HP32" s="526"/>
      <c r="HQ32" s="526"/>
      <c r="HR32" s="526"/>
      <c r="HS32" s="526"/>
      <c r="HT32" s="526"/>
      <c r="HU32" s="526"/>
      <c r="HV32" s="526"/>
      <c r="HW32" s="526"/>
      <c r="HX32" s="526"/>
      <c r="HY32" s="526"/>
      <c r="HZ32" s="526"/>
      <c r="IA32" s="526"/>
      <c r="IB32" s="526"/>
      <c r="IC32" s="526"/>
      <c r="ID32" s="526"/>
      <c r="IE32" s="526"/>
      <c r="IF32" s="526"/>
      <c r="IG32" s="526"/>
      <c r="IH32" s="526"/>
      <c r="II32" s="526"/>
      <c r="IJ32" s="526"/>
      <c r="IK32" s="526"/>
      <c r="IL32" s="526"/>
      <c r="IM32" s="526"/>
      <c r="IN32" s="526"/>
      <c r="IO32" s="526"/>
      <c r="IP32" s="526"/>
      <c r="IQ32" s="526"/>
      <c r="IR32" s="526"/>
      <c r="IS32" s="526"/>
      <c r="IT32" s="526"/>
      <c r="IU32" s="526"/>
      <c r="IV32" s="526"/>
      <c r="IW32" s="526"/>
      <c r="IX32" s="526"/>
      <c r="IY32" s="526"/>
      <c r="IZ32" s="526"/>
      <c r="JA32" s="526"/>
      <c r="JB32" s="526"/>
      <c r="JC32" s="526"/>
      <c r="JD32" s="526"/>
      <c r="JE32" s="526"/>
      <c r="JF32" s="526"/>
      <c r="JG32" s="526"/>
      <c r="JH32" s="526"/>
      <c r="JI32" s="526"/>
      <c r="JJ32" s="526"/>
      <c r="JK32" s="526"/>
      <c r="JL32" s="526"/>
      <c r="JM32" s="526"/>
      <c r="JN32" s="525">
        <v>7864.9736857280004</v>
      </c>
      <c r="JO32" s="525">
        <v>3673.9521480000003</v>
      </c>
      <c r="JP32" s="525">
        <v>11445.255656507847</v>
      </c>
      <c r="JQ32" s="525">
        <v>0</v>
      </c>
      <c r="JR32" s="525">
        <v>1164.43</v>
      </c>
      <c r="JS32" s="527">
        <v>21661.261490235847</v>
      </c>
      <c r="JT32" s="528">
        <f t="shared" si="10"/>
        <v>-2487.3500000000004</v>
      </c>
      <c r="JU32" s="525">
        <v>21661.261490235847</v>
      </c>
      <c r="JV32" s="525">
        <v>21661.261490235847</v>
      </c>
      <c r="JW32" s="525">
        <v>21661.261490235847</v>
      </c>
      <c r="JX32" s="525">
        <v>7192</v>
      </c>
      <c r="JY32" s="525">
        <v>7192</v>
      </c>
      <c r="JZ32" s="526"/>
      <c r="KA32" s="525">
        <v>7192</v>
      </c>
      <c r="KB32" s="529">
        <v>5.066223482853518</v>
      </c>
      <c r="KC32" s="525">
        <v>-5.5297641520155594E-3</v>
      </c>
      <c r="KD32" s="525">
        <v>21661.267019999999</v>
      </c>
      <c r="KE32" s="525">
        <v>7192</v>
      </c>
      <c r="KF32" s="525">
        <v>0</v>
      </c>
      <c r="KG32" s="530">
        <v>0</v>
      </c>
      <c r="KH32" s="525">
        <v>0</v>
      </c>
      <c r="KI32" s="525">
        <v>21358.013944999999</v>
      </c>
      <c r="KJ32" s="530">
        <v>3011.7766262426849</v>
      </c>
      <c r="KK32" s="525">
        <v>7091.5</v>
      </c>
      <c r="KL32" s="525">
        <v>131.140355</v>
      </c>
      <c r="KM32" s="530">
        <v>3014.7208045977013</v>
      </c>
      <c r="KN32" s="525">
        <v>43.5</v>
      </c>
      <c r="KO32" s="525">
        <v>172.11272</v>
      </c>
      <c r="KP32" s="530">
        <v>3019.521403508772</v>
      </c>
      <c r="KQ32" s="525">
        <v>57</v>
      </c>
      <c r="KR32" s="526"/>
      <c r="KS32" s="526"/>
      <c r="KT32" s="531">
        <v>10851</v>
      </c>
      <c r="KU32" s="531">
        <v>80</v>
      </c>
      <c r="KV32" s="526"/>
      <c r="KW32" s="531">
        <v>2687</v>
      </c>
      <c r="KX32" s="531">
        <v>3.4620000000000002</v>
      </c>
      <c r="KY32" s="531">
        <v>0.02</v>
      </c>
      <c r="KZ32" s="526"/>
      <c r="LA32" s="531">
        <v>2905</v>
      </c>
      <c r="LB32" s="532">
        <v>11</v>
      </c>
      <c r="LC32" s="533">
        <v>7.0000000000000001E-3</v>
      </c>
      <c r="LD32" s="494">
        <f t="shared" si="11"/>
        <v>22395.453372462507</v>
      </c>
      <c r="LE32" s="509">
        <f t="shared" si="12"/>
        <v>22395.453372462507</v>
      </c>
      <c r="LF32" s="534">
        <f t="shared" si="13"/>
        <v>11798.49918723155</v>
      </c>
      <c r="LG32" s="535">
        <f t="shared" si="14"/>
        <v>9765.6879602182871</v>
      </c>
      <c r="LH32" s="536">
        <f t="shared" si="31"/>
        <v>1.03</v>
      </c>
      <c r="LI32" s="537">
        <f t="shared" si="15"/>
        <v>9765.6879602182871</v>
      </c>
      <c r="LJ32" s="536">
        <f t="shared" si="32"/>
        <v>1.0389999999999999</v>
      </c>
      <c r="LK32" s="537">
        <f t="shared" si="16"/>
        <v>0</v>
      </c>
      <c r="LL32" s="536">
        <f t="shared" si="33"/>
        <v>1.0349999999999999</v>
      </c>
      <c r="LM32" s="537">
        <f t="shared" si="17"/>
        <v>0</v>
      </c>
      <c r="LN32" s="536">
        <f t="shared" si="34"/>
        <v>1.0349999999999999</v>
      </c>
      <c r="LO32" s="537">
        <f t="shared" si="18"/>
        <v>0</v>
      </c>
      <c r="LP32" s="536">
        <f t="shared" si="35"/>
        <v>1.0349999999999999</v>
      </c>
      <c r="LQ32" s="537">
        <f t="shared" si="19"/>
        <v>2019.1175511737542</v>
      </c>
      <c r="LR32" s="536">
        <f t="shared" si="36"/>
        <v>1.04</v>
      </c>
      <c r="LS32" s="537">
        <f t="shared" si="20"/>
        <v>13.693675839508096</v>
      </c>
      <c r="LT32" s="539">
        <f t="shared" si="21"/>
        <v>8089.9905828766778</v>
      </c>
      <c r="LU32" s="540">
        <f t="shared" si="22"/>
        <v>7148.8127561399997</v>
      </c>
      <c r="LV32" s="541">
        <f t="shared" si="23"/>
        <v>941.1778267366783</v>
      </c>
      <c r="LW32" s="542">
        <f t="shared" si="24"/>
        <v>3789.1285523542797</v>
      </c>
      <c r="LX32" s="540">
        <f t="shared" si="25"/>
        <v>2158.94145235428</v>
      </c>
      <c r="LY32" s="540">
        <f t="shared" si="26"/>
        <v>271.83239999999995</v>
      </c>
      <c r="LZ32" s="543">
        <f t="shared" si="27"/>
        <v>1358.3546999999999</v>
      </c>
      <c r="MA32" s="544">
        <f t="shared" si="28"/>
        <v>-2487.3500000000004</v>
      </c>
      <c r="MB32" s="545">
        <f t="shared" si="29"/>
        <v>1205.18505</v>
      </c>
    </row>
    <row r="33" spans="1:340" ht="16.5" customHeight="1">
      <c r="A33" s="465">
        <v>1</v>
      </c>
      <c r="B33" s="466">
        <v>23</v>
      </c>
      <c r="C33" s="467" t="s">
        <v>301</v>
      </c>
      <c r="D33" s="468">
        <v>4611013586</v>
      </c>
      <c r="E33" s="469">
        <f t="shared" si="3"/>
        <v>4348.8877757227201</v>
      </c>
      <c r="F33" s="470" t="s">
        <v>287</v>
      </c>
      <c r="G33" s="595">
        <v>4348.8892561000002</v>
      </c>
      <c r="H33" s="595">
        <f t="shared" si="30"/>
        <v>-1.4803772801315063E-3</v>
      </c>
      <c r="I33" s="595"/>
      <c r="J33" s="471">
        <f t="shared" si="4"/>
        <v>4348.8877757227201</v>
      </c>
      <c r="K33" s="472">
        <f t="shared" si="5"/>
        <v>1601.0301094315198</v>
      </c>
      <c r="L33" s="473">
        <f t="shared" si="6"/>
        <v>1240.9648485839998</v>
      </c>
      <c r="M33" s="474">
        <v>1240.9648485839998</v>
      </c>
      <c r="N33" s="475">
        <v>0</v>
      </c>
      <c r="O33" s="475">
        <v>0</v>
      </c>
      <c r="P33" s="476">
        <v>0</v>
      </c>
      <c r="Q33" s="477">
        <v>341.47888984752001</v>
      </c>
      <c r="R33" s="478">
        <f t="shared" si="7"/>
        <v>18.586371</v>
      </c>
      <c r="S33" s="479">
        <f t="shared" si="8"/>
        <v>1335.4380110912</v>
      </c>
      <c r="T33" s="479">
        <v>1066.1876</v>
      </c>
      <c r="U33" s="480">
        <v>269.25041109120002</v>
      </c>
      <c r="V33" s="481">
        <f t="shared" si="9"/>
        <v>781.31965519999994</v>
      </c>
      <c r="W33" s="482">
        <v>321.98865519999998</v>
      </c>
      <c r="X33" s="479">
        <v>422.15099999999995</v>
      </c>
      <c r="Y33" s="483">
        <v>37.180000000000007</v>
      </c>
      <c r="Z33" s="484">
        <v>631.10000000000059</v>
      </c>
      <c r="AA33" s="485">
        <v>0</v>
      </c>
      <c r="AB33" s="486"/>
      <c r="AC33" s="487">
        <v>1240.9648485839998</v>
      </c>
      <c r="AD33" s="487">
        <v>1240.9648485839998</v>
      </c>
      <c r="AE33" s="487">
        <v>0</v>
      </c>
      <c r="AF33" s="487">
        <v>0</v>
      </c>
      <c r="AG33" s="487">
        <v>0</v>
      </c>
      <c r="AH33" s="487">
        <v>341.47888984752001</v>
      </c>
      <c r="AI33" s="487">
        <v>341.47888984752001</v>
      </c>
      <c r="AJ33" s="487">
        <v>0</v>
      </c>
      <c r="AK33" s="487">
        <v>0</v>
      </c>
      <c r="AL33" s="487">
        <v>0</v>
      </c>
      <c r="AM33" s="487">
        <v>0</v>
      </c>
      <c r="AN33" s="487">
        <v>0</v>
      </c>
      <c r="AO33" s="487">
        <v>0</v>
      </c>
      <c r="AP33" s="487">
        <v>0</v>
      </c>
      <c r="AQ33" s="487">
        <v>0</v>
      </c>
      <c r="AR33" s="487">
        <v>0</v>
      </c>
      <c r="AS33" s="487">
        <v>0</v>
      </c>
      <c r="AT33" s="487">
        <v>0</v>
      </c>
      <c r="AU33" s="487">
        <v>0</v>
      </c>
      <c r="AV33" s="487">
        <v>0</v>
      </c>
      <c r="AW33" s="487">
        <v>0</v>
      </c>
      <c r="AX33" s="487">
        <v>0</v>
      </c>
      <c r="AY33" s="487">
        <v>0</v>
      </c>
      <c r="AZ33" s="487">
        <v>0</v>
      </c>
      <c r="BA33" s="487">
        <v>341.47888984752001</v>
      </c>
      <c r="BB33" s="487">
        <v>34.762819999999998</v>
      </c>
      <c r="BC33" s="487">
        <v>0</v>
      </c>
      <c r="BD33" s="487">
        <v>341.47888984752001</v>
      </c>
      <c r="BE33" s="487">
        <v>9.8231066940921377</v>
      </c>
      <c r="BF33" s="487">
        <v>34.762819999999998</v>
      </c>
      <c r="BG33" s="487">
        <v>0</v>
      </c>
      <c r="BH33" s="487">
        <v>0</v>
      </c>
      <c r="BI33" s="487">
        <v>0</v>
      </c>
      <c r="BJ33" s="487">
        <v>0</v>
      </c>
      <c r="BK33" s="487">
        <v>0</v>
      </c>
      <c r="BL33" s="487">
        <v>0</v>
      </c>
      <c r="BM33" s="487">
        <v>0</v>
      </c>
      <c r="BN33" s="487">
        <v>0</v>
      </c>
      <c r="BO33" s="487">
        <v>0</v>
      </c>
      <c r="BP33" s="487">
        <v>0</v>
      </c>
      <c r="BQ33" s="487">
        <v>0</v>
      </c>
      <c r="BR33" s="487">
        <v>0</v>
      </c>
      <c r="BS33" s="487">
        <v>0</v>
      </c>
      <c r="BT33" s="487">
        <v>0</v>
      </c>
      <c r="BU33" s="487">
        <v>0</v>
      </c>
      <c r="BV33" s="487">
        <v>0</v>
      </c>
      <c r="BW33" s="487">
        <v>0</v>
      </c>
      <c r="BX33" s="487">
        <v>0</v>
      </c>
      <c r="BY33" s="487">
        <v>0</v>
      </c>
      <c r="BZ33" s="487">
        <v>0</v>
      </c>
      <c r="CA33" s="487">
        <v>0</v>
      </c>
      <c r="CB33" s="487">
        <v>0</v>
      </c>
      <c r="CC33" s="487">
        <v>0</v>
      </c>
      <c r="CD33" s="487">
        <v>0</v>
      </c>
      <c r="CE33" s="487">
        <v>0</v>
      </c>
      <c r="CF33" s="487">
        <v>0</v>
      </c>
      <c r="CG33" s="487">
        <v>0</v>
      </c>
      <c r="CH33" s="487">
        <v>0</v>
      </c>
      <c r="CI33" s="487">
        <v>0</v>
      </c>
      <c r="CJ33" s="487">
        <v>0</v>
      </c>
      <c r="CK33" s="487">
        <v>0</v>
      </c>
      <c r="CL33" s="487">
        <v>0</v>
      </c>
      <c r="CM33" s="487">
        <v>1066.1876</v>
      </c>
      <c r="CN33" s="487">
        <v>937.83339999999998</v>
      </c>
      <c r="CO33" s="487">
        <v>0</v>
      </c>
      <c r="CP33" s="487">
        <v>128.35419999999999</v>
      </c>
      <c r="CQ33" s="487">
        <v>0</v>
      </c>
      <c r="CR33" s="487">
        <v>0</v>
      </c>
      <c r="CS33" s="487">
        <v>321.98865519999998</v>
      </c>
      <c r="CT33" s="487">
        <v>283.22568680000001</v>
      </c>
      <c r="CU33" s="487">
        <v>0</v>
      </c>
      <c r="CV33" s="487">
        <v>38.762968399999998</v>
      </c>
      <c r="CW33" s="487">
        <v>0</v>
      </c>
      <c r="CX33" s="487">
        <v>0</v>
      </c>
      <c r="CY33" s="487">
        <v>18.586371</v>
      </c>
      <c r="CZ33" s="467"/>
      <c r="DA33" s="487">
        <v>0.5051000000000001</v>
      </c>
      <c r="DB33" s="487">
        <v>0</v>
      </c>
      <c r="DC33" s="467"/>
      <c r="DD33" s="487">
        <v>0</v>
      </c>
      <c r="DE33" s="487">
        <v>0</v>
      </c>
      <c r="DF33" s="487">
        <v>0</v>
      </c>
      <c r="DG33" s="487">
        <v>176.02376697280002</v>
      </c>
      <c r="DH33" s="487">
        <v>0</v>
      </c>
      <c r="DI33" s="487">
        <v>0</v>
      </c>
      <c r="DJ33" s="487">
        <v>176.02376697280002</v>
      </c>
      <c r="DK33" s="487">
        <v>0</v>
      </c>
      <c r="DL33" s="487">
        <v>0</v>
      </c>
      <c r="DM33" s="487">
        <v>0</v>
      </c>
      <c r="DN33" s="487">
        <v>0</v>
      </c>
      <c r="DO33" s="487">
        <v>0</v>
      </c>
      <c r="DP33" s="487">
        <v>93.226644118400003</v>
      </c>
      <c r="DQ33" s="487">
        <v>0</v>
      </c>
      <c r="DR33" s="487">
        <v>0</v>
      </c>
      <c r="DS33" s="487">
        <v>0</v>
      </c>
      <c r="DT33" s="487">
        <v>93.226644118400003</v>
      </c>
      <c r="DU33" s="487">
        <v>0</v>
      </c>
      <c r="DV33" s="487">
        <v>0</v>
      </c>
      <c r="DW33" s="487">
        <v>0</v>
      </c>
      <c r="DX33" s="487">
        <v>0</v>
      </c>
      <c r="DY33" s="487">
        <v>0</v>
      </c>
      <c r="DZ33" s="487">
        <v>0</v>
      </c>
      <c r="EA33" s="487">
        <v>0</v>
      </c>
      <c r="EB33" s="487">
        <v>0</v>
      </c>
      <c r="EC33" s="487">
        <v>0</v>
      </c>
      <c r="ED33" s="487">
        <v>0</v>
      </c>
      <c r="EE33" s="487">
        <v>0</v>
      </c>
      <c r="EF33" s="487">
        <v>0</v>
      </c>
      <c r="EG33" s="487">
        <v>0</v>
      </c>
      <c r="EH33" s="487">
        <v>0</v>
      </c>
      <c r="EI33" s="487">
        <v>0</v>
      </c>
      <c r="EJ33" s="487">
        <v>0</v>
      </c>
      <c r="EK33" s="487">
        <v>0</v>
      </c>
      <c r="EL33" s="487">
        <v>0</v>
      </c>
      <c r="EM33" s="487">
        <v>0</v>
      </c>
      <c r="EN33" s="487">
        <v>0</v>
      </c>
      <c r="EO33" s="487">
        <v>0</v>
      </c>
      <c r="EP33" s="487">
        <v>0</v>
      </c>
      <c r="EQ33" s="487">
        <v>0</v>
      </c>
      <c r="ER33" s="487">
        <v>0</v>
      </c>
      <c r="ES33" s="487">
        <v>0</v>
      </c>
      <c r="ET33" s="487">
        <v>0</v>
      </c>
      <c r="EU33" s="487">
        <v>0</v>
      </c>
      <c r="EV33" s="487">
        <v>0</v>
      </c>
      <c r="EW33" s="487">
        <v>0</v>
      </c>
      <c r="EX33" s="487">
        <v>0</v>
      </c>
      <c r="EY33" s="487">
        <v>0</v>
      </c>
      <c r="EZ33" s="487">
        <v>0</v>
      </c>
      <c r="FA33" s="487">
        <v>0</v>
      </c>
      <c r="FB33" s="487">
        <v>0</v>
      </c>
      <c r="FC33" s="487">
        <v>0</v>
      </c>
      <c r="FD33" s="487">
        <v>0</v>
      </c>
      <c r="FE33" s="487">
        <v>0</v>
      </c>
      <c r="FF33" s="487">
        <v>0</v>
      </c>
      <c r="FG33" s="487">
        <v>0</v>
      </c>
      <c r="FH33" s="487">
        <v>0</v>
      </c>
      <c r="FI33" s="487">
        <v>0</v>
      </c>
      <c r="FJ33" s="487">
        <v>0</v>
      </c>
      <c r="FK33" s="487">
        <v>0</v>
      </c>
      <c r="FL33" s="487">
        <v>0</v>
      </c>
      <c r="FM33" s="487">
        <v>422.15099999999995</v>
      </c>
      <c r="FN33" s="487">
        <v>422.15099999999995</v>
      </c>
      <c r="FO33" s="487">
        <v>0</v>
      </c>
      <c r="FP33" s="487">
        <v>0</v>
      </c>
      <c r="FQ33" s="487">
        <v>37.18</v>
      </c>
      <c r="FR33" s="487">
        <v>0</v>
      </c>
      <c r="FS33" s="488">
        <v>3717.7877757227197</v>
      </c>
      <c r="FT33" s="487">
        <v>0</v>
      </c>
      <c r="FU33" s="487">
        <v>0</v>
      </c>
      <c r="FV33" s="487">
        <v>0</v>
      </c>
      <c r="FW33" s="487">
        <v>0</v>
      </c>
      <c r="FX33" s="487">
        <v>0</v>
      </c>
      <c r="FY33" s="487">
        <v>0</v>
      </c>
      <c r="FZ33" s="487">
        <v>0</v>
      </c>
      <c r="GA33" s="487">
        <v>0</v>
      </c>
      <c r="GB33" s="487">
        <v>0</v>
      </c>
      <c r="GC33" s="487">
        <v>0</v>
      </c>
      <c r="GD33" s="487">
        <v>0</v>
      </c>
      <c r="GE33" s="487">
        <v>0</v>
      </c>
      <c r="GF33" s="487">
        <v>0</v>
      </c>
      <c r="GG33" s="487">
        <v>0</v>
      </c>
      <c r="GH33" s="487">
        <v>0</v>
      </c>
      <c r="GI33" s="487">
        <v>0</v>
      </c>
      <c r="GJ33" s="467"/>
      <c r="GK33" s="487">
        <v>0</v>
      </c>
      <c r="GL33" s="467"/>
      <c r="GM33" s="487">
        <v>0</v>
      </c>
      <c r="GN33" s="487">
        <v>0</v>
      </c>
      <c r="GO33" s="467"/>
      <c r="GP33" s="467"/>
      <c r="GQ33" s="487">
        <v>0</v>
      </c>
      <c r="GR33" s="467"/>
      <c r="GS33" s="467"/>
      <c r="GT33" s="487">
        <v>0</v>
      </c>
      <c r="GU33" s="487">
        <v>0</v>
      </c>
      <c r="GV33" s="487">
        <v>0</v>
      </c>
      <c r="GW33" s="487">
        <v>0</v>
      </c>
      <c r="GX33" s="487">
        <v>0</v>
      </c>
      <c r="GY33" s="487">
        <v>0</v>
      </c>
      <c r="GZ33" s="487">
        <v>0</v>
      </c>
      <c r="HA33" s="487">
        <v>0</v>
      </c>
      <c r="HB33" s="487">
        <v>0</v>
      </c>
      <c r="HC33" s="487">
        <v>0</v>
      </c>
      <c r="HD33" s="487">
        <v>0</v>
      </c>
      <c r="HE33" s="487">
        <v>0</v>
      </c>
      <c r="HF33" s="487">
        <v>0</v>
      </c>
      <c r="HG33" s="487">
        <v>0</v>
      </c>
      <c r="HH33" s="487">
        <v>0</v>
      </c>
      <c r="HI33" s="487">
        <v>0</v>
      </c>
      <c r="HJ33" s="487">
        <v>0</v>
      </c>
      <c r="HK33" s="487">
        <v>0</v>
      </c>
      <c r="HL33" s="467"/>
      <c r="HM33" s="467"/>
      <c r="HN33" s="467"/>
      <c r="HO33" s="467"/>
      <c r="HP33" s="467"/>
      <c r="HQ33" s="467"/>
      <c r="HR33" s="467"/>
      <c r="HS33" s="467"/>
      <c r="HT33" s="467"/>
      <c r="HU33" s="467"/>
      <c r="HV33" s="467"/>
      <c r="HW33" s="467"/>
      <c r="HX33" s="467"/>
      <c r="HY33" s="467"/>
      <c r="HZ33" s="467"/>
      <c r="IA33" s="467"/>
      <c r="IB33" s="467"/>
      <c r="IC33" s="467"/>
      <c r="ID33" s="467"/>
      <c r="IE33" s="467"/>
      <c r="IF33" s="467"/>
      <c r="IG33" s="467"/>
      <c r="IH33" s="467"/>
      <c r="II33" s="467"/>
      <c r="IJ33" s="467"/>
      <c r="IK33" s="467"/>
      <c r="IL33" s="467"/>
      <c r="IM33" s="467"/>
      <c r="IN33" s="467"/>
      <c r="IO33" s="467"/>
      <c r="IP33" s="467"/>
      <c r="IQ33" s="467"/>
      <c r="IR33" s="467"/>
      <c r="IS33" s="467"/>
      <c r="IT33" s="467"/>
      <c r="IU33" s="467"/>
      <c r="IV33" s="467"/>
      <c r="IW33" s="467"/>
      <c r="IX33" s="467"/>
      <c r="IY33" s="467"/>
      <c r="IZ33" s="467"/>
      <c r="JA33" s="467"/>
      <c r="JB33" s="467"/>
      <c r="JC33" s="467"/>
      <c r="JD33" s="467"/>
      <c r="JE33" s="467"/>
      <c r="JF33" s="467"/>
      <c r="JG33" s="467"/>
      <c r="JH33" s="467"/>
      <c r="JI33" s="467"/>
      <c r="JJ33" s="467"/>
      <c r="JK33" s="467"/>
      <c r="JL33" s="467"/>
      <c r="JM33" s="467"/>
      <c r="JN33" s="487">
        <v>1335.4380110912</v>
      </c>
      <c r="JO33" s="487">
        <v>781.31965519999994</v>
      </c>
      <c r="JP33" s="487">
        <v>1601.0301094315198</v>
      </c>
      <c r="JQ33" s="487">
        <v>0</v>
      </c>
      <c r="JR33" s="487">
        <v>0</v>
      </c>
      <c r="JS33" s="488">
        <v>4348.8877757227201</v>
      </c>
      <c r="JT33" s="489">
        <f t="shared" si="10"/>
        <v>631.10000000000059</v>
      </c>
      <c r="JU33" s="487">
        <v>4348.8877757227201</v>
      </c>
      <c r="JV33" s="487">
        <v>4348.8877757227201</v>
      </c>
      <c r="JW33" s="487">
        <v>4348.8877757227201</v>
      </c>
      <c r="JX33" s="487">
        <v>1262.8910000000001</v>
      </c>
      <c r="JY33" s="487">
        <v>1262.8910000000001</v>
      </c>
      <c r="JZ33" s="467"/>
      <c r="KA33" s="487">
        <v>1262.8910000000001</v>
      </c>
      <c r="KB33" s="490">
        <v>0</v>
      </c>
      <c r="KC33" s="487">
        <v>-2.8890576672803263</v>
      </c>
      <c r="KD33" s="487">
        <v>4351.7768333900003</v>
      </c>
      <c r="KE33" s="487">
        <v>1262.8910000000001</v>
      </c>
      <c r="KF33" s="487">
        <v>0</v>
      </c>
      <c r="KG33" s="491">
        <v>0</v>
      </c>
      <c r="KH33" s="487">
        <v>0</v>
      </c>
      <c r="KI33" s="487">
        <v>0</v>
      </c>
      <c r="KJ33" s="491">
        <v>0</v>
      </c>
      <c r="KK33" s="487">
        <v>0</v>
      </c>
      <c r="KL33" s="487">
        <v>4351.7768333900003</v>
      </c>
      <c r="KM33" s="491">
        <v>3445.8847464983123</v>
      </c>
      <c r="KN33" s="487">
        <v>1262.8910000000001</v>
      </c>
      <c r="KO33" s="487">
        <v>0</v>
      </c>
      <c r="KP33" s="491">
        <v>0</v>
      </c>
      <c r="KQ33" s="487">
        <v>0</v>
      </c>
      <c r="KR33" s="467"/>
      <c r="KS33" s="467"/>
      <c r="KT33" s="487">
        <v>10087.36</v>
      </c>
      <c r="KU33" s="487">
        <v>59</v>
      </c>
      <c r="KV33" s="467"/>
      <c r="KW33" s="487"/>
      <c r="KX33" s="487">
        <v>0.45300000000000001</v>
      </c>
      <c r="KY33" s="487"/>
      <c r="KZ33" s="467"/>
      <c r="LA33" s="487">
        <v>747.28</v>
      </c>
      <c r="LB33" s="492">
        <v>258</v>
      </c>
      <c r="LC33" s="493">
        <v>0.14000000000000001</v>
      </c>
      <c r="LD33" s="494">
        <f t="shared" si="11"/>
        <v>4462.3074990874948</v>
      </c>
      <c r="LE33" s="471">
        <f t="shared" si="12"/>
        <v>4462.3074990874948</v>
      </c>
      <c r="LF33" s="495">
        <f t="shared" si="13"/>
        <v>1650.9542708737031</v>
      </c>
      <c r="LG33" s="476">
        <f t="shared" si="14"/>
        <v>1278.1937940415198</v>
      </c>
      <c r="LH33" s="496">
        <f t="shared" si="31"/>
        <v>1.03</v>
      </c>
      <c r="LI33" s="497">
        <f t="shared" si="15"/>
        <v>1278.1937940415198</v>
      </c>
      <c r="LJ33" s="496">
        <f t="shared" si="32"/>
        <v>1.0389999999999999</v>
      </c>
      <c r="LK33" s="497">
        <f t="shared" si="16"/>
        <v>0</v>
      </c>
      <c r="LL33" s="496">
        <f t="shared" si="33"/>
        <v>1.0349999999999999</v>
      </c>
      <c r="LM33" s="497">
        <f t="shared" si="17"/>
        <v>0</v>
      </c>
      <c r="LN33" s="496">
        <f t="shared" si="34"/>
        <v>1.0349999999999999</v>
      </c>
      <c r="LO33" s="497">
        <f t="shared" si="18"/>
        <v>0</v>
      </c>
      <c r="LP33" s="496">
        <f t="shared" si="35"/>
        <v>1.0349999999999999</v>
      </c>
      <c r="LQ33" s="497">
        <f t="shared" si="19"/>
        <v>353.43065099218319</v>
      </c>
      <c r="LR33" s="496">
        <f t="shared" si="36"/>
        <v>1.04</v>
      </c>
      <c r="LS33" s="497">
        <f t="shared" si="20"/>
        <v>19.329825840000002</v>
      </c>
      <c r="LT33" s="499">
        <f t="shared" si="21"/>
        <v>1373.644892588519</v>
      </c>
      <c r="LU33" s="500">
        <f t="shared" si="22"/>
        <v>1096.6912272359998</v>
      </c>
      <c r="LV33" s="501">
        <f t="shared" si="23"/>
        <v>276.95366535251924</v>
      </c>
      <c r="LW33" s="499">
        <f t="shared" si="24"/>
        <v>806.60833562527193</v>
      </c>
      <c r="LX33" s="500">
        <f t="shared" si="25"/>
        <v>331.20075062527195</v>
      </c>
      <c r="LY33" s="500">
        <f t="shared" si="26"/>
        <v>436.92628499999989</v>
      </c>
      <c r="LZ33" s="502">
        <f t="shared" si="27"/>
        <v>38.481300000000005</v>
      </c>
      <c r="MA33" s="503">
        <f t="shared" si="28"/>
        <v>631.10000000000059</v>
      </c>
      <c r="MB33" s="504">
        <f t="shared" si="29"/>
        <v>0</v>
      </c>
    </row>
    <row r="34" spans="1:340" ht="16.5" customHeight="1">
      <c r="A34" s="505">
        <v>1</v>
      </c>
      <c r="B34" s="506">
        <v>24</v>
      </c>
      <c r="C34" s="507" t="s">
        <v>302</v>
      </c>
      <c r="D34" s="508">
        <v>4610006900</v>
      </c>
      <c r="E34" s="469">
        <f t="shared" si="3"/>
        <v>15444.243362600851</v>
      </c>
      <c r="F34" s="470" t="s">
        <v>287</v>
      </c>
      <c r="G34" s="595">
        <v>15444.247116659999</v>
      </c>
      <c r="H34" s="595">
        <f t="shared" si="30"/>
        <v>-3.7540591474680696E-3</v>
      </c>
      <c r="I34" s="595"/>
      <c r="J34" s="509">
        <f t="shared" si="4"/>
        <v>15444.243362600851</v>
      </c>
      <c r="K34" s="510">
        <f t="shared" si="5"/>
        <v>9806.1297426008477</v>
      </c>
      <c r="L34" s="511">
        <f t="shared" si="6"/>
        <v>7140.050390600848</v>
      </c>
      <c r="M34" s="512">
        <v>7140.050390600848</v>
      </c>
      <c r="N34" s="513">
        <v>0</v>
      </c>
      <c r="O34" s="513">
        <v>0</v>
      </c>
      <c r="P34" s="514">
        <v>0</v>
      </c>
      <c r="Q34" s="515">
        <v>2665.5809519999998</v>
      </c>
      <c r="R34" s="516">
        <f t="shared" si="7"/>
        <v>0.49840000000000001</v>
      </c>
      <c r="S34" s="517">
        <f t="shared" si="8"/>
        <v>4410.2200000000012</v>
      </c>
      <c r="T34" s="518">
        <v>3445.3100000000004</v>
      </c>
      <c r="U34" s="519">
        <v>964.91000000000076</v>
      </c>
      <c r="V34" s="520">
        <f t="shared" si="9"/>
        <v>1227.8936199999998</v>
      </c>
      <c r="W34" s="521">
        <v>1040.48362</v>
      </c>
      <c r="X34" s="518">
        <v>0</v>
      </c>
      <c r="Y34" s="522">
        <v>187.40999999999985</v>
      </c>
      <c r="Z34" s="523">
        <v>1.8189894035458565E-12</v>
      </c>
      <c r="AA34" s="524">
        <v>0</v>
      </c>
      <c r="AB34" s="486"/>
      <c r="AC34" s="525">
        <v>7140.050390600848</v>
      </c>
      <c r="AD34" s="525">
        <v>7140.050390600848</v>
      </c>
      <c r="AE34" s="525">
        <v>0</v>
      </c>
      <c r="AF34" s="525">
        <v>0</v>
      </c>
      <c r="AG34" s="525">
        <v>0</v>
      </c>
      <c r="AH34" s="525">
        <v>2665.5809519999998</v>
      </c>
      <c r="AI34" s="525">
        <v>2665.5809519999998</v>
      </c>
      <c r="AJ34" s="525">
        <v>0</v>
      </c>
      <c r="AK34" s="525">
        <v>0</v>
      </c>
      <c r="AL34" s="525">
        <v>0</v>
      </c>
      <c r="AM34" s="525">
        <v>0</v>
      </c>
      <c r="AN34" s="525">
        <v>0</v>
      </c>
      <c r="AO34" s="525">
        <v>0</v>
      </c>
      <c r="AP34" s="525">
        <v>0</v>
      </c>
      <c r="AQ34" s="525">
        <v>0</v>
      </c>
      <c r="AR34" s="525">
        <v>0</v>
      </c>
      <c r="AS34" s="525">
        <v>0</v>
      </c>
      <c r="AT34" s="525">
        <v>0</v>
      </c>
      <c r="AU34" s="525">
        <v>0</v>
      </c>
      <c r="AV34" s="525">
        <v>0</v>
      </c>
      <c r="AW34" s="525">
        <v>0</v>
      </c>
      <c r="AX34" s="525">
        <v>0</v>
      </c>
      <c r="AY34" s="525">
        <v>0</v>
      </c>
      <c r="AZ34" s="525">
        <v>0</v>
      </c>
      <c r="BA34" s="525">
        <v>2665.5809519999998</v>
      </c>
      <c r="BB34" s="525">
        <v>298.69799999999998</v>
      </c>
      <c r="BC34" s="525">
        <v>0</v>
      </c>
      <c r="BD34" s="525">
        <v>2665.5809519999998</v>
      </c>
      <c r="BE34" s="525">
        <v>8.9239999999999995</v>
      </c>
      <c r="BF34" s="525">
        <v>298.69799999999998</v>
      </c>
      <c r="BG34" s="525">
        <v>0</v>
      </c>
      <c r="BH34" s="525">
        <v>0</v>
      </c>
      <c r="BI34" s="525">
        <v>0</v>
      </c>
      <c r="BJ34" s="525">
        <v>0</v>
      </c>
      <c r="BK34" s="525">
        <v>0</v>
      </c>
      <c r="BL34" s="525">
        <v>0</v>
      </c>
      <c r="BM34" s="525">
        <v>0</v>
      </c>
      <c r="BN34" s="525">
        <v>0</v>
      </c>
      <c r="BO34" s="525">
        <v>0</v>
      </c>
      <c r="BP34" s="525">
        <v>0</v>
      </c>
      <c r="BQ34" s="525">
        <v>0</v>
      </c>
      <c r="BR34" s="525">
        <v>0</v>
      </c>
      <c r="BS34" s="525">
        <v>0</v>
      </c>
      <c r="BT34" s="525">
        <v>0</v>
      </c>
      <c r="BU34" s="525">
        <v>0</v>
      </c>
      <c r="BV34" s="525">
        <v>0</v>
      </c>
      <c r="BW34" s="525">
        <v>0</v>
      </c>
      <c r="BX34" s="525">
        <v>0</v>
      </c>
      <c r="BY34" s="525">
        <v>0</v>
      </c>
      <c r="BZ34" s="525">
        <v>0</v>
      </c>
      <c r="CA34" s="525">
        <v>0</v>
      </c>
      <c r="CB34" s="525">
        <v>0</v>
      </c>
      <c r="CC34" s="525">
        <v>0</v>
      </c>
      <c r="CD34" s="525">
        <v>0</v>
      </c>
      <c r="CE34" s="525">
        <v>0</v>
      </c>
      <c r="CF34" s="525">
        <v>0</v>
      </c>
      <c r="CG34" s="525">
        <v>0</v>
      </c>
      <c r="CH34" s="525">
        <v>0</v>
      </c>
      <c r="CI34" s="525">
        <v>0</v>
      </c>
      <c r="CJ34" s="525">
        <v>0</v>
      </c>
      <c r="CK34" s="525">
        <v>0</v>
      </c>
      <c r="CL34" s="525">
        <v>0</v>
      </c>
      <c r="CM34" s="525">
        <v>3445.3100000000004</v>
      </c>
      <c r="CN34" s="525">
        <v>2170.31</v>
      </c>
      <c r="CO34" s="525">
        <v>0</v>
      </c>
      <c r="CP34" s="525">
        <v>0</v>
      </c>
      <c r="CQ34" s="525">
        <v>1275</v>
      </c>
      <c r="CR34" s="525">
        <v>0</v>
      </c>
      <c r="CS34" s="525">
        <v>1040.48362</v>
      </c>
      <c r="CT34" s="525">
        <v>655.43361999999991</v>
      </c>
      <c r="CU34" s="525">
        <v>0</v>
      </c>
      <c r="CV34" s="525">
        <v>0</v>
      </c>
      <c r="CW34" s="525">
        <v>385.05000000000007</v>
      </c>
      <c r="CX34" s="525">
        <v>0</v>
      </c>
      <c r="CY34" s="525">
        <v>0.49840000000000001</v>
      </c>
      <c r="CZ34" s="526"/>
      <c r="DA34" s="525">
        <v>8.0000000000000002E-3</v>
      </c>
      <c r="DB34" s="525">
        <v>0</v>
      </c>
      <c r="DC34" s="526"/>
      <c r="DD34" s="525">
        <v>0</v>
      </c>
      <c r="DE34" s="525">
        <v>0</v>
      </c>
      <c r="DF34" s="525">
        <v>0</v>
      </c>
      <c r="DG34" s="525">
        <v>390.18000000000006</v>
      </c>
      <c r="DH34" s="525">
        <v>204.34000000000003</v>
      </c>
      <c r="DI34" s="525">
        <v>0</v>
      </c>
      <c r="DJ34" s="525">
        <v>185.84</v>
      </c>
      <c r="DK34" s="525">
        <v>0</v>
      </c>
      <c r="DL34" s="525">
        <v>0</v>
      </c>
      <c r="DM34" s="525">
        <v>0</v>
      </c>
      <c r="DN34" s="525">
        <v>0</v>
      </c>
      <c r="DO34" s="525">
        <v>0</v>
      </c>
      <c r="DP34" s="525">
        <v>250</v>
      </c>
      <c r="DQ34" s="525">
        <v>0</v>
      </c>
      <c r="DR34" s="525">
        <v>0</v>
      </c>
      <c r="DS34" s="525">
        <v>0</v>
      </c>
      <c r="DT34" s="525">
        <v>250</v>
      </c>
      <c r="DU34" s="525">
        <v>80.97</v>
      </c>
      <c r="DV34" s="525">
        <v>0</v>
      </c>
      <c r="DW34" s="525">
        <v>0</v>
      </c>
      <c r="DX34" s="525">
        <v>0</v>
      </c>
      <c r="DY34" s="525">
        <v>0</v>
      </c>
      <c r="DZ34" s="525">
        <v>0</v>
      </c>
      <c r="EA34" s="525">
        <v>26.67</v>
      </c>
      <c r="EB34" s="525">
        <v>0</v>
      </c>
      <c r="EC34" s="525">
        <v>0</v>
      </c>
      <c r="ED34" s="525">
        <v>44.999999999999993</v>
      </c>
      <c r="EE34" s="525">
        <v>0</v>
      </c>
      <c r="EF34" s="525">
        <v>0</v>
      </c>
      <c r="EG34" s="525">
        <v>9.3000000000000007</v>
      </c>
      <c r="EH34" s="525">
        <v>0</v>
      </c>
      <c r="EI34" s="525">
        <v>0</v>
      </c>
      <c r="EJ34" s="525">
        <v>0</v>
      </c>
      <c r="EK34" s="525">
        <v>0</v>
      </c>
      <c r="EL34" s="525">
        <v>0</v>
      </c>
      <c r="EM34" s="525">
        <v>62.5</v>
      </c>
      <c r="EN34" s="525">
        <v>0</v>
      </c>
      <c r="EO34" s="525">
        <v>0</v>
      </c>
      <c r="EP34" s="525">
        <v>181.26</v>
      </c>
      <c r="EQ34" s="525">
        <v>0</v>
      </c>
      <c r="ER34" s="525">
        <v>181.26</v>
      </c>
      <c r="ES34" s="525">
        <v>28.56</v>
      </c>
      <c r="ET34" s="525">
        <v>0</v>
      </c>
      <c r="EU34" s="525">
        <v>0</v>
      </c>
      <c r="EV34" s="525">
        <v>0</v>
      </c>
      <c r="EW34" s="525">
        <v>0</v>
      </c>
      <c r="EX34" s="525">
        <v>0</v>
      </c>
      <c r="EY34" s="525">
        <v>0</v>
      </c>
      <c r="EZ34" s="525">
        <v>0</v>
      </c>
      <c r="FA34" s="525">
        <v>0</v>
      </c>
      <c r="FB34" s="525">
        <v>158.85000000000002</v>
      </c>
      <c r="FC34" s="525">
        <v>0.41</v>
      </c>
      <c r="FD34" s="525">
        <v>4</v>
      </c>
      <c r="FE34" s="525">
        <v>0</v>
      </c>
      <c r="FF34" s="525">
        <v>154.44</v>
      </c>
      <c r="FG34" s="525">
        <v>0</v>
      </c>
      <c r="FH34" s="525">
        <v>0</v>
      </c>
      <c r="FI34" s="525">
        <v>0</v>
      </c>
      <c r="FJ34" s="525">
        <v>0</v>
      </c>
      <c r="FK34" s="525">
        <v>154.44</v>
      </c>
      <c r="FL34" s="525">
        <v>0</v>
      </c>
      <c r="FM34" s="525">
        <v>0</v>
      </c>
      <c r="FN34" s="525">
        <v>0</v>
      </c>
      <c r="FO34" s="525">
        <v>0</v>
      </c>
      <c r="FP34" s="525">
        <v>0</v>
      </c>
      <c r="FQ34" s="525">
        <v>0</v>
      </c>
      <c r="FR34" s="525">
        <v>0</v>
      </c>
      <c r="FS34" s="527">
        <v>15444.24336260085</v>
      </c>
      <c r="FT34" s="525">
        <v>0</v>
      </c>
      <c r="FU34" s="525">
        <v>0</v>
      </c>
      <c r="FV34" s="525">
        <v>0</v>
      </c>
      <c r="FW34" s="525">
        <v>0</v>
      </c>
      <c r="FX34" s="525">
        <v>0</v>
      </c>
      <c r="FY34" s="525">
        <v>0</v>
      </c>
      <c r="FZ34" s="525">
        <v>0</v>
      </c>
      <c r="GA34" s="525">
        <v>0</v>
      </c>
      <c r="GB34" s="525">
        <v>0</v>
      </c>
      <c r="GC34" s="525">
        <v>0</v>
      </c>
      <c r="GD34" s="525">
        <v>0</v>
      </c>
      <c r="GE34" s="525">
        <v>0</v>
      </c>
      <c r="GF34" s="525">
        <v>0</v>
      </c>
      <c r="GG34" s="525">
        <v>0</v>
      </c>
      <c r="GH34" s="525">
        <v>0</v>
      </c>
      <c r="GI34" s="525">
        <v>0</v>
      </c>
      <c r="GJ34" s="526"/>
      <c r="GK34" s="525">
        <v>0</v>
      </c>
      <c r="GL34" s="526"/>
      <c r="GM34" s="525">
        <v>0</v>
      </c>
      <c r="GN34" s="525">
        <v>0</v>
      </c>
      <c r="GO34" s="526"/>
      <c r="GP34" s="526"/>
      <c r="GQ34" s="525">
        <v>0</v>
      </c>
      <c r="GR34" s="526"/>
      <c r="GS34" s="526"/>
      <c r="GT34" s="525">
        <v>0</v>
      </c>
      <c r="GU34" s="525">
        <v>0</v>
      </c>
      <c r="GV34" s="525">
        <v>0</v>
      </c>
      <c r="GW34" s="525">
        <v>0</v>
      </c>
      <c r="GX34" s="525">
        <v>0</v>
      </c>
      <c r="GY34" s="525">
        <v>0</v>
      </c>
      <c r="GZ34" s="525">
        <v>0</v>
      </c>
      <c r="HA34" s="525">
        <v>0</v>
      </c>
      <c r="HB34" s="525">
        <v>0</v>
      </c>
      <c r="HC34" s="525">
        <v>0</v>
      </c>
      <c r="HD34" s="525">
        <v>0</v>
      </c>
      <c r="HE34" s="525">
        <v>0</v>
      </c>
      <c r="HF34" s="525">
        <v>0</v>
      </c>
      <c r="HG34" s="525">
        <v>0</v>
      </c>
      <c r="HH34" s="525">
        <v>0</v>
      </c>
      <c r="HI34" s="525">
        <v>0</v>
      </c>
      <c r="HJ34" s="525">
        <v>0</v>
      </c>
      <c r="HK34" s="525">
        <v>0</v>
      </c>
      <c r="HL34" s="526"/>
      <c r="HM34" s="526"/>
      <c r="HN34" s="526"/>
      <c r="HO34" s="526"/>
      <c r="HP34" s="526"/>
      <c r="HQ34" s="526"/>
      <c r="HR34" s="526"/>
      <c r="HS34" s="526"/>
      <c r="HT34" s="526"/>
      <c r="HU34" s="526"/>
      <c r="HV34" s="526"/>
      <c r="HW34" s="526"/>
      <c r="HX34" s="526"/>
      <c r="HY34" s="526"/>
      <c r="HZ34" s="526"/>
      <c r="IA34" s="526"/>
      <c r="IB34" s="526"/>
      <c r="IC34" s="526"/>
      <c r="ID34" s="526"/>
      <c r="IE34" s="526"/>
      <c r="IF34" s="526"/>
      <c r="IG34" s="526"/>
      <c r="IH34" s="526"/>
      <c r="II34" s="526"/>
      <c r="IJ34" s="526"/>
      <c r="IK34" s="526"/>
      <c r="IL34" s="526"/>
      <c r="IM34" s="526"/>
      <c r="IN34" s="526"/>
      <c r="IO34" s="526"/>
      <c r="IP34" s="526"/>
      <c r="IQ34" s="526"/>
      <c r="IR34" s="526"/>
      <c r="IS34" s="526"/>
      <c r="IT34" s="526"/>
      <c r="IU34" s="526"/>
      <c r="IV34" s="526"/>
      <c r="IW34" s="526"/>
      <c r="IX34" s="526"/>
      <c r="IY34" s="526"/>
      <c r="IZ34" s="526"/>
      <c r="JA34" s="526"/>
      <c r="JB34" s="526"/>
      <c r="JC34" s="526"/>
      <c r="JD34" s="526"/>
      <c r="JE34" s="526"/>
      <c r="JF34" s="526"/>
      <c r="JG34" s="526"/>
      <c r="JH34" s="526"/>
      <c r="JI34" s="526"/>
      <c r="JJ34" s="526"/>
      <c r="JK34" s="526"/>
      <c r="JL34" s="526"/>
      <c r="JM34" s="526"/>
      <c r="JN34" s="525">
        <v>4410.2200000000012</v>
      </c>
      <c r="JO34" s="525">
        <v>1227.8936199999998</v>
      </c>
      <c r="JP34" s="525">
        <v>9806.1297426008477</v>
      </c>
      <c r="JQ34" s="525">
        <v>0</v>
      </c>
      <c r="JR34" s="525">
        <v>0</v>
      </c>
      <c r="JS34" s="527">
        <v>15444.24336260085</v>
      </c>
      <c r="JT34" s="528">
        <f t="shared" si="10"/>
        <v>1.8189894035458565E-12</v>
      </c>
      <c r="JU34" s="525">
        <v>15444.24336260085</v>
      </c>
      <c r="JV34" s="525">
        <v>15444.24336260085</v>
      </c>
      <c r="JW34" s="525">
        <v>15444.24336260085</v>
      </c>
      <c r="JX34" s="525">
        <v>5453.2629999999999</v>
      </c>
      <c r="JY34" s="525">
        <v>5453.2629999999999</v>
      </c>
      <c r="JZ34" s="526"/>
      <c r="KA34" s="525">
        <v>5453.2629999999999</v>
      </c>
      <c r="KB34" s="529">
        <v>0</v>
      </c>
      <c r="KC34" s="525">
        <v>-1.2914219149024575E-2</v>
      </c>
      <c r="KD34" s="525">
        <v>15444.256276819999</v>
      </c>
      <c r="KE34" s="525">
        <v>5453.2629999999999</v>
      </c>
      <c r="KF34" s="525">
        <v>0</v>
      </c>
      <c r="KG34" s="530">
        <v>0</v>
      </c>
      <c r="KH34" s="525">
        <v>0</v>
      </c>
      <c r="KI34" s="525">
        <v>8428.1374029999988</v>
      </c>
      <c r="KJ34" s="530">
        <v>2833.8446598971113</v>
      </c>
      <c r="KK34" s="525">
        <v>2974.1</v>
      </c>
      <c r="KL34" s="525">
        <v>5946.6998397199995</v>
      </c>
      <c r="KM34" s="530">
        <v>2831.4611542298126</v>
      </c>
      <c r="KN34" s="525">
        <v>2100.223</v>
      </c>
      <c r="KO34" s="525">
        <v>1069.4190340999999</v>
      </c>
      <c r="KP34" s="530">
        <v>2822.1328814588055</v>
      </c>
      <c r="KQ34" s="525">
        <v>378.94</v>
      </c>
      <c r="KR34" s="526"/>
      <c r="KS34" s="526"/>
      <c r="KT34" s="531">
        <v>2400</v>
      </c>
      <c r="KU34" s="531">
        <v>80</v>
      </c>
      <c r="KV34" s="526"/>
      <c r="KW34" s="531">
        <v>4085.3</v>
      </c>
      <c r="KX34" s="531">
        <v>4.0452000000000004</v>
      </c>
      <c r="KY34" s="531">
        <v>2.1</v>
      </c>
      <c r="KZ34" s="526"/>
      <c r="LA34" s="531">
        <v>1129</v>
      </c>
      <c r="LB34" s="532">
        <v>620</v>
      </c>
      <c r="LC34" s="533">
        <v>1.6E-2</v>
      </c>
      <c r="LD34" s="494">
        <f t="shared" si="11"/>
        <v>15914.264124207075</v>
      </c>
      <c r="LE34" s="509">
        <f t="shared" si="12"/>
        <v>15914.264124207075</v>
      </c>
      <c r="LF34" s="534">
        <f t="shared" si="13"/>
        <v>10113.646523638872</v>
      </c>
      <c r="LG34" s="535">
        <f t="shared" si="14"/>
        <v>7354.2519023188734</v>
      </c>
      <c r="LH34" s="536">
        <f t="shared" si="31"/>
        <v>1.03</v>
      </c>
      <c r="LI34" s="537">
        <f t="shared" si="15"/>
        <v>7354.2519023188734</v>
      </c>
      <c r="LJ34" s="536">
        <f t="shared" si="32"/>
        <v>1.0389999999999999</v>
      </c>
      <c r="LK34" s="537">
        <f t="shared" si="16"/>
        <v>0</v>
      </c>
      <c r="LL34" s="536">
        <f t="shared" si="33"/>
        <v>1.0349999999999999</v>
      </c>
      <c r="LM34" s="537">
        <f t="shared" si="17"/>
        <v>0</v>
      </c>
      <c r="LN34" s="536">
        <f t="shared" si="34"/>
        <v>1.0349999999999999</v>
      </c>
      <c r="LO34" s="537">
        <f t="shared" si="18"/>
        <v>0</v>
      </c>
      <c r="LP34" s="536">
        <f t="shared" si="35"/>
        <v>1.0349999999999999</v>
      </c>
      <c r="LQ34" s="537">
        <f t="shared" si="19"/>
        <v>2758.8762853199996</v>
      </c>
      <c r="LR34" s="536">
        <f t="shared" si="36"/>
        <v>1.04</v>
      </c>
      <c r="LS34" s="537">
        <f t="shared" si="20"/>
        <v>0.51833600000000002</v>
      </c>
      <c r="LT34" s="539">
        <f t="shared" si="21"/>
        <v>4536.3963942000009</v>
      </c>
      <c r="LU34" s="540">
        <f t="shared" si="22"/>
        <v>3543.8803191000002</v>
      </c>
      <c r="LV34" s="541">
        <f t="shared" si="23"/>
        <v>992.51607510000076</v>
      </c>
      <c r="LW34" s="542">
        <f t="shared" si="24"/>
        <v>1264.2212063681995</v>
      </c>
      <c r="LX34" s="540">
        <f t="shared" si="25"/>
        <v>1070.2518563681997</v>
      </c>
      <c r="LY34" s="540">
        <f t="shared" si="26"/>
        <v>0</v>
      </c>
      <c r="LZ34" s="543">
        <f t="shared" si="27"/>
        <v>193.96934999999982</v>
      </c>
      <c r="MA34" s="544">
        <f t="shared" si="28"/>
        <v>1.8189894035458565E-12</v>
      </c>
      <c r="MB34" s="545">
        <f t="shared" si="29"/>
        <v>0</v>
      </c>
    </row>
    <row r="35" spans="1:340" ht="16.5" customHeight="1">
      <c r="A35" s="465">
        <v>1</v>
      </c>
      <c r="B35" s="466">
        <v>25</v>
      </c>
      <c r="C35" s="467" t="s">
        <v>137</v>
      </c>
      <c r="D35" s="468">
        <v>4632001454</v>
      </c>
      <c r="E35" s="469">
        <f t="shared" si="3"/>
        <v>22929.780256367962</v>
      </c>
      <c r="F35" s="470" t="s">
        <v>281</v>
      </c>
      <c r="G35" s="595">
        <v>2232.5220799999997</v>
      </c>
      <c r="H35" s="597">
        <f t="shared" si="30"/>
        <v>20697.258176367963</v>
      </c>
      <c r="I35" s="597" t="s">
        <v>859</v>
      </c>
      <c r="J35" s="471">
        <f t="shared" si="4"/>
        <v>19108.150213639969</v>
      </c>
      <c r="K35" s="472">
        <f t="shared" si="5"/>
        <v>17870.146788039969</v>
      </c>
      <c r="L35" s="473">
        <f t="shared" si="6"/>
        <v>0</v>
      </c>
      <c r="M35" s="474">
        <v>0</v>
      </c>
      <c r="N35" s="475">
        <v>0</v>
      </c>
      <c r="O35" s="475">
        <v>0</v>
      </c>
      <c r="P35" s="476">
        <v>0</v>
      </c>
      <c r="Q35" s="477">
        <v>17870.146788039969</v>
      </c>
      <c r="R35" s="478">
        <f t="shared" si="7"/>
        <v>0</v>
      </c>
      <c r="S35" s="479">
        <f t="shared" si="8"/>
        <v>713.4944256</v>
      </c>
      <c r="T35" s="479">
        <v>510.04</v>
      </c>
      <c r="U35" s="480">
        <v>203.45442559999998</v>
      </c>
      <c r="V35" s="481">
        <f t="shared" si="9"/>
        <v>256.35239999999999</v>
      </c>
      <c r="W35" s="482">
        <v>158.11239999999998</v>
      </c>
      <c r="X35" s="479">
        <v>93.066000000000003</v>
      </c>
      <c r="Y35" s="483">
        <v>5.1740000000000066</v>
      </c>
      <c r="Z35" s="484">
        <v>219.02999999999844</v>
      </c>
      <c r="AA35" s="485">
        <v>49.126600000000003</v>
      </c>
      <c r="AB35" s="486"/>
      <c r="AC35" s="487">
        <v>0</v>
      </c>
      <c r="AD35" s="487">
        <v>0</v>
      </c>
      <c r="AE35" s="487">
        <v>0</v>
      </c>
      <c r="AF35" s="487">
        <v>0</v>
      </c>
      <c r="AG35" s="487">
        <v>0</v>
      </c>
      <c r="AH35" s="487">
        <v>17870.146788039969</v>
      </c>
      <c r="AI35" s="487">
        <v>17794.736693439969</v>
      </c>
      <c r="AJ35" s="487">
        <v>17794.736693439969</v>
      </c>
      <c r="AK35" s="487">
        <v>0</v>
      </c>
      <c r="AL35" s="487">
        <v>0</v>
      </c>
      <c r="AM35" s="487">
        <v>0</v>
      </c>
      <c r="AN35" s="487">
        <v>0</v>
      </c>
      <c r="AO35" s="487">
        <v>17794.736693439969</v>
      </c>
      <c r="AP35" s="487">
        <v>17794.736693439969</v>
      </c>
      <c r="AQ35" s="487">
        <v>11.14</v>
      </c>
      <c r="AR35" s="487">
        <v>1597.3731322657063</v>
      </c>
      <c r="AS35" s="487">
        <v>0</v>
      </c>
      <c r="AT35" s="487">
        <v>0</v>
      </c>
      <c r="AU35" s="487">
        <v>0</v>
      </c>
      <c r="AV35" s="487">
        <v>0</v>
      </c>
      <c r="AW35" s="487">
        <v>0</v>
      </c>
      <c r="AX35" s="487">
        <v>0</v>
      </c>
      <c r="AY35" s="487">
        <v>0</v>
      </c>
      <c r="AZ35" s="487">
        <v>0</v>
      </c>
      <c r="BA35" s="487">
        <v>0</v>
      </c>
      <c r="BB35" s="487">
        <v>0</v>
      </c>
      <c r="BC35" s="487">
        <v>0</v>
      </c>
      <c r="BD35" s="487">
        <v>0</v>
      </c>
      <c r="BE35" s="487">
        <v>0</v>
      </c>
      <c r="BF35" s="487">
        <v>0</v>
      </c>
      <c r="BG35" s="487">
        <v>0</v>
      </c>
      <c r="BH35" s="487">
        <v>0</v>
      </c>
      <c r="BI35" s="487">
        <v>0</v>
      </c>
      <c r="BJ35" s="487">
        <v>0</v>
      </c>
      <c r="BK35" s="487">
        <v>0</v>
      </c>
      <c r="BL35" s="487">
        <v>0</v>
      </c>
      <c r="BM35" s="487">
        <v>0</v>
      </c>
      <c r="BN35" s="487">
        <v>0</v>
      </c>
      <c r="BO35" s="487">
        <v>0</v>
      </c>
      <c r="BP35" s="487">
        <v>0</v>
      </c>
      <c r="BQ35" s="487">
        <v>0</v>
      </c>
      <c r="BR35" s="487">
        <v>0</v>
      </c>
      <c r="BS35" s="487">
        <v>0</v>
      </c>
      <c r="BT35" s="487">
        <v>0</v>
      </c>
      <c r="BU35" s="487">
        <v>0</v>
      </c>
      <c r="BV35" s="487">
        <v>0</v>
      </c>
      <c r="BW35" s="487">
        <v>0</v>
      </c>
      <c r="BX35" s="487">
        <v>0</v>
      </c>
      <c r="BY35" s="487">
        <v>0</v>
      </c>
      <c r="BZ35" s="487">
        <v>0</v>
      </c>
      <c r="CA35" s="487">
        <v>0</v>
      </c>
      <c r="CB35" s="487">
        <v>75.410094599999994</v>
      </c>
      <c r="CC35" s="487">
        <v>0</v>
      </c>
      <c r="CD35" s="487">
        <v>75.410094599999994</v>
      </c>
      <c r="CE35" s="487">
        <v>0</v>
      </c>
      <c r="CF35" s="487">
        <v>16.481999999999999</v>
      </c>
      <c r="CG35" s="487">
        <v>0</v>
      </c>
      <c r="CH35" s="487">
        <v>0</v>
      </c>
      <c r="CI35" s="487">
        <v>0</v>
      </c>
      <c r="CJ35" s="487">
        <v>75.410094599999994</v>
      </c>
      <c r="CK35" s="487">
        <v>4.5752999999999995</v>
      </c>
      <c r="CL35" s="487">
        <v>16.481999999999999</v>
      </c>
      <c r="CM35" s="487">
        <v>510.04</v>
      </c>
      <c r="CN35" s="487">
        <v>510.04</v>
      </c>
      <c r="CO35" s="487">
        <v>0</v>
      </c>
      <c r="CP35" s="487">
        <v>0</v>
      </c>
      <c r="CQ35" s="487">
        <v>0</v>
      </c>
      <c r="CR35" s="487">
        <v>0</v>
      </c>
      <c r="CS35" s="487">
        <v>158.11239999999998</v>
      </c>
      <c r="CT35" s="487">
        <v>158.11239999999998</v>
      </c>
      <c r="CU35" s="487">
        <v>0</v>
      </c>
      <c r="CV35" s="487">
        <v>0</v>
      </c>
      <c r="CW35" s="487">
        <v>0</v>
      </c>
      <c r="CX35" s="487">
        <v>0</v>
      </c>
      <c r="CY35" s="487">
        <v>0</v>
      </c>
      <c r="CZ35" s="467"/>
      <c r="DA35" s="487">
        <v>0</v>
      </c>
      <c r="DB35" s="487">
        <v>0</v>
      </c>
      <c r="DC35" s="467"/>
      <c r="DD35" s="487">
        <v>0</v>
      </c>
      <c r="DE35" s="487">
        <v>0</v>
      </c>
      <c r="DF35" s="487">
        <v>0</v>
      </c>
      <c r="DG35" s="487">
        <v>103.32509760000001</v>
      </c>
      <c r="DH35" s="487">
        <v>79.585534400000014</v>
      </c>
      <c r="DI35" s="487">
        <v>0</v>
      </c>
      <c r="DJ35" s="487">
        <v>23.739563199999999</v>
      </c>
      <c r="DK35" s="487">
        <v>0</v>
      </c>
      <c r="DL35" s="487">
        <v>0</v>
      </c>
      <c r="DM35" s="487">
        <v>0</v>
      </c>
      <c r="DN35" s="487">
        <v>0</v>
      </c>
      <c r="DO35" s="487">
        <v>0</v>
      </c>
      <c r="DP35" s="487">
        <v>33.225132480000006</v>
      </c>
      <c r="DQ35" s="487">
        <v>0</v>
      </c>
      <c r="DR35" s="487">
        <v>0</v>
      </c>
      <c r="DS35" s="487">
        <v>0</v>
      </c>
      <c r="DT35" s="487">
        <v>33.225132480000006</v>
      </c>
      <c r="DU35" s="487">
        <v>58.004448960000005</v>
      </c>
      <c r="DV35" s="487">
        <v>1.1816963199999999</v>
      </c>
      <c r="DW35" s="487">
        <v>5.0929244799999998</v>
      </c>
      <c r="DX35" s="487">
        <v>6.5989155200000003</v>
      </c>
      <c r="DY35" s="487">
        <v>0</v>
      </c>
      <c r="DZ35" s="487">
        <v>0</v>
      </c>
      <c r="EA35" s="487">
        <v>0.23014464000000001</v>
      </c>
      <c r="EB35" s="487">
        <v>0</v>
      </c>
      <c r="EC35" s="487">
        <v>0</v>
      </c>
      <c r="ED35" s="487">
        <v>0</v>
      </c>
      <c r="EE35" s="487">
        <v>0</v>
      </c>
      <c r="EF35" s="487">
        <v>0</v>
      </c>
      <c r="EG35" s="487">
        <v>44.900767999999999</v>
      </c>
      <c r="EH35" s="487">
        <v>0</v>
      </c>
      <c r="EI35" s="487">
        <v>0</v>
      </c>
      <c r="EJ35" s="487">
        <v>0</v>
      </c>
      <c r="EK35" s="487">
        <v>0</v>
      </c>
      <c r="EL35" s="487">
        <v>0</v>
      </c>
      <c r="EM35" s="487">
        <v>0</v>
      </c>
      <c r="EN35" s="487">
        <v>0</v>
      </c>
      <c r="EO35" s="487">
        <v>0</v>
      </c>
      <c r="EP35" s="487">
        <v>8.8997465600000005</v>
      </c>
      <c r="EQ35" s="487">
        <v>0</v>
      </c>
      <c r="ER35" s="487">
        <v>8.8997465600000005</v>
      </c>
      <c r="ES35" s="487">
        <v>0</v>
      </c>
      <c r="ET35" s="487">
        <v>0</v>
      </c>
      <c r="EU35" s="487">
        <v>0</v>
      </c>
      <c r="EV35" s="487">
        <v>0</v>
      </c>
      <c r="EW35" s="487">
        <v>0</v>
      </c>
      <c r="EX35" s="487">
        <v>0</v>
      </c>
      <c r="EY35" s="487">
        <v>0</v>
      </c>
      <c r="EZ35" s="487">
        <v>0</v>
      </c>
      <c r="FA35" s="487">
        <v>0</v>
      </c>
      <c r="FB35" s="487">
        <v>5.1739999999999995</v>
      </c>
      <c r="FC35" s="487">
        <v>0</v>
      </c>
      <c r="FD35" s="487">
        <v>0</v>
      </c>
      <c r="FE35" s="487">
        <v>0</v>
      </c>
      <c r="FF35" s="487">
        <v>5.1739999999999995</v>
      </c>
      <c r="FG35" s="487">
        <v>2.2599999999999998</v>
      </c>
      <c r="FH35" s="487">
        <v>2.48</v>
      </c>
      <c r="FI35" s="487">
        <v>8.7999999999999995E-2</v>
      </c>
      <c r="FJ35" s="487">
        <v>0</v>
      </c>
      <c r="FK35" s="487">
        <v>0.34599999999999997</v>
      </c>
      <c r="FL35" s="487">
        <v>0</v>
      </c>
      <c r="FM35" s="487">
        <v>93.066000000000003</v>
      </c>
      <c r="FN35" s="487">
        <v>0</v>
      </c>
      <c r="FO35" s="487">
        <v>93.066000000000003</v>
      </c>
      <c r="FP35" s="487">
        <v>0</v>
      </c>
      <c r="FQ35" s="487">
        <v>0</v>
      </c>
      <c r="FR35" s="487">
        <v>0</v>
      </c>
      <c r="FS35" s="488">
        <v>18839.99361363997</v>
      </c>
      <c r="FT35" s="487">
        <v>0</v>
      </c>
      <c r="FU35" s="487">
        <v>0</v>
      </c>
      <c r="FV35" s="487">
        <v>0</v>
      </c>
      <c r="FW35" s="487">
        <v>0</v>
      </c>
      <c r="FX35" s="487">
        <v>0</v>
      </c>
      <c r="FY35" s="487">
        <v>0</v>
      </c>
      <c r="FZ35" s="487">
        <v>0</v>
      </c>
      <c r="GA35" s="487">
        <v>0</v>
      </c>
      <c r="GB35" s="487">
        <v>0</v>
      </c>
      <c r="GC35" s="487">
        <v>0</v>
      </c>
      <c r="GD35" s="487">
        <v>0</v>
      </c>
      <c r="GE35" s="487">
        <v>0</v>
      </c>
      <c r="GF35" s="487">
        <v>0</v>
      </c>
      <c r="GG35" s="487">
        <v>0</v>
      </c>
      <c r="GH35" s="487">
        <v>49.126600000000003</v>
      </c>
      <c r="GI35" s="487">
        <v>49.126600000000003</v>
      </c>
      <c r="GJ35" s="467"/>
      <c r="GK35" s="487">
        <v>0</v>
      </c>
      <c r="GL35" s="467"/>
      <c r="GM35" s="487">
        <v>0</v>
      </c>
      <c r="GN35" s="487">
        <v>0</v>
      </c>
      <c r="GO35" s="467"/>
      <c r="GP35" s="467"/>
      <c r="GQ35" s="487">
        <v>0</v>
      </c>
      <c r="GR35" s="467"/>
      <c r="GS35" s="467"/>
      <c r="GT35" s="487">
        <v>0</v>
      </c>
      <c r="GU35" s="487">
        <v>0</v>
      </c>
      <c r="GV35" s="487">
        <v>0</v>
      </c>
      <c r="GW35" s="487">
        <v>0</v>
      </c>
      <c r="GX35" s="487">
        <v>0</v>
      </c>
      <c r="GY35" s="487">
        <v>0</v>
      </c>
      <c r="GZ35" s="487">
        <v>0</v>
      </c>
      <c r="HA35" s="487">
        <v>0</v>
      </c>
      <c r="HB35" s="487">
        <v>0</v>
      </c>
      <c r="HC35" s="487">
        <v>0</v>
      </c>
      <c r="HD35" s="487">
        <v>0</v>
      </c>
      <c r="HE35" s="487">
        <v>0</v>
      </c>
      <c r="HF35" s="487">
        <v>0</v>
      </c>
      <c r="HG35" s="487">
        <v>0</v>
      </c>
      <c r="HH35" s="487">
        <v>0</v>
      </c>
      <c r="HI35" s="487">
        <v>0</v>
      </c>
      <c r="HJ35" s="487">
        <v>0</v>
      </c>
      <c r="HK35" s="487">
        <v>0</v>
      </c>
      <c r="HL35" s="467"/>
      <c r="HM35" s="467"/>
      <c r="HN35" s="467"/>
      <c r="HO35" s="467"/>
      <c r="HP35" s="467"/>
      <c r="HQ35" s="467"/>
      <c r="HR35" s="467"/>
      <c r="HS35" s="467"/>
      <c r="HT35" s="467"/>
      <c r="HU35" s="467"/>
      <c r="HV35" s="467"/>
      <c r="HW35" s="467"/>
      <c r="HX35" s="467"/>
      <c r="HY35" s="467"/>
      <c r="HZ35" s="467"/>
      <c r="IA35" s="467"/>
      <c r="IB35" s="467"/>
      <c r="IC35" s="467"/>
      <c r="ID35" s="467"/>
      <c r="IE35" s="467"/>
      <c r="IF35" s="467"/>
      <c r="IG35" s="467"/>
      <c r="IH35" s="467"/>
      <c r="II35" s="467"/>
      <c r="IJ35" s="467"/>
      <c r="IK35" s="467"/>
      <c r="IL35" s="467"/>
      <c r="IM35" s="467"/>
      <c r="IN35" s="467"/>
      <c r="IO35" s="467"/>
      <c r="IP35" s="467"/>
      <c r="IQ35" s="467"/>
      <c r="IR35" s="467"/>
      <c r="IS35" s="467"/>
      <c r="IT35" s="467"/>
      <c r="IU35" s="467"/>
      <c r="IV35" s="467"/>
      <c r="IW35" s="467"/>
      <c r="IX35" s="467"/>
      <c r="IY35" s="467"/>
      <c r="IZ35" s="467"/>
      <c r="JA35" s="467"/>
      <c r="JB35" s="467"/>
      <c r="JC35" s="467"/>
      <c r="JD35" s="467"/>
      <c r="JE35" s="467"/>
      <c r="JF35" s="467"/>
      <c r="JG35" s="467"/>
      <c r="JH35" s="467"/>
      <c r="JI35" s="467"/>
      <c r="JJ35" s="467"/>
      <c r="JK35" s="467"/>
      <c r="JL35" s="467"/>
      <c r="JM35" s="467"/>
      <c r="JN35" s="487">
        <v>713.4944256</v>
      </c>
      <c r="JO35" s="487">
        <v>256.35239999999999</v>
      </c>
      <c r="JP35" s="487">
        <v>17870.146788039969</v>
      </c>
      <c r="JQ35" s="487">
        <v>0</v>
      </c>
      <c r="JR35" s="487">
        <v>49.126600000000003</v>
      </c>
      <c r="JS35" s="488">
        <v>19108.150213639969</v>
      </c>
      <c r="JT35" s="489">
        <f t="shared" si="10"/>
        <v>219.02999999999844</v>
      </c>
      <c r="JU35" s="487">
        <v>22929.780256367962</v>
      </c>
      <c r="JV35" s="487">
        <v>1871.726751847503</v>
      </c>
      <c r="JW35" s="487">
        <v>2246.0721022170037</v>
      </c>
      <c r="JX35" s="487">
        <v>7626</v>
      </c>
      <c r="JY35" s="487">
        <v>747</v>
      </c>
      <c r="JZ35" s="467"/>
      <c r="KA35" s="487">
        <v>747</v>
      </c>
      <c r="KB35" s="490">
        <v>0.26075698860339752</v>
      </c>
      <c r="KC35" s="487">
        <v>11.292341847502939</v>
      </c>
      <c r="KD35" s="487">
        <v>1860.4344100000001</v>
      </c>
      <c r="KE35" s="487">
        <v>747</v>
      </c>
      <c r="KF35" s="487">
        <v>0</v>
      </c>
      <c r="KG35" s="491">
        <v>0</v>
      </c>
      <c r="KH35" s="487">
        <v>0</v>
      </c>
      <c r="KI35" s="487">
        <v>0</v>
      </c>
      <c r="KJ35" s="491">
        <v>0</v>
      </c>
      <c r="KK35" s="487">
        <v>0</v>
      </c>
      <c r="KL35" s="487">
        <v>0</v>
      </c>
      <c r="KM35" s="491">
        <v>0</v>
      </c>
      <c r="KN35" s="487">
        <v>0</v>
      </c>
      <c r="KO35" s="487">
        <v>1860.4344100000001</v>
      </c>
      <c r="KP35" s="491">
        <v>2490.5413788487285</v>
      </c>
      <c r="KQ35" s="487">
        <v>747</v>
      </c>
      <c r="KR35" s="467"/>
      <c r="KS35" s="467"/>
      <c r="KT35" s="487"/>
      <c r="KU35" s="487"/>
      <c r="KV35" s="467"/>
      <c r="KW35" s="487">
        <v>2577.9</v>
      </c>
      <c r="KX35" s="487">
        <v>5.68</v>
      </c>
      <c r="KY35" s="487"/>
      <c r="KZ35" s="467"/>
      <c r="LA35" s="487">
        <v>400</v>
      </c>
      <c r="LB35" s="492"/>
      <c r="LC35" s="493">
        <v>7.0000000000000001E-3</v>
      </c>
      <c r="LD35" s="494">
        <f t="shared" si="11"/>
        <v>23716.439824202138</v>
      </c>
      <c r="LE35" s="471">
        <f t="shared" si="12"/>
        <v>19763.699853501781</v>
      </c>
      <c r="LF35" s="495">
        <f t="shared" si="13"/>
        <v>18495.601925621366</v>
      </c>
      <c r="LG35" s="476">
        <f t="shared" si="14"/>
        <v>0</v>
      </c>
      <c r="LH35" s="496">
        <f t="shared" si="31"/>
        <v>1.03</v>
      </c>
      <c r="LI35" s="497">
        <f t="shared" si="15"/>
        <v>0</v>
      </c>
      <c r="LJ35" s="496">
        <f t="shared" si="32"/>
        <v>1.0389999999999999</v>
      </c>
      <c r="LK35" s="497">
        <f t="shared" si="16"/>
        <v>0</v>
      </c>
      <c r="LL35" s="496">
        <f t="shared" si="33"/>
        <v>1.0349999999999999</v>
      </c>
      <c r="LM35" s="497">
        <f t="shared" si="17"/>
        <v>0</v>
      </c>
      <c r="LN35" s="496">
        <f t="shared" si="34"/>
        <v>1.0349999999999999</v>
      </c>
      <c r="LO35" s="497">
        <f t="shared" si="18"/>
        <v>0</v>
      </c>
      <c r="LP35" s="496">
        <f t="shared" si="35"/>
        <v>1.0349999999999999</v>
      </c>
      <c r="LQ35" s="497">
        <f t="shared" si="19"/>
        <v>18495.601925621366</v>
      </c>
      <c r="LR35" s="496">
        <f t="shared" si="36"/>
        <v>1.04</v>
      </c>
      <c r="LS35" s="497">
        <f t="shared" si="20"/>
        <v>0</v>
      </c>
      <c r="LT35" s="499">
        <f t="shared" si="21"/>
        <v>733.90750111641592</v>
      </c>
      <c r="LU35" s="500">
        <f t="shared" si="22"/>
        <v>524.63224439999999</v>
      </c>
      <c r="LV35" s="501">
        <f t="shared" si="23"/>
        <v>209.27525671641595</v>
      </c>
      <c r="LW35" s="499">
        <f t="shared" si="24"/>
        <v>264.31439576399998</v>
      </c>
      <c r="LX35" s="500">
        <f t="shared" si="25"/>
        <v>162.63599576399997</v>
      </c>
      <c r="LY35" s="500">
        <f t="shared" si="26"/>
        <v>96.323309999999992</v>
      </c>
      <c r="LZ35" s="502">
        <f t="shared" si="27"/>
        <v>5.3550900000000068</v>
      </c>
      <c r="MA35" s="503">
        <f t="shared" si="28"/>
        <v>219.02999999999844</v>
      </c>
      <c r="MB35" s="504">
        <f t="shared" si="29"/>
        <v>50.846030999999996</v>
      </c>
    </row>
    <row r="36" spans="1:340" ht="16.5" customHeight="1">
      <c r="A36" s="505">
        <v>1</v>
      </c>
      <c r="B36" s="506">
        <v>26</v>
      </c>
      <c r="C36" s="507" t="s">
        <v>189</v>
      </c>
      <c r="D36" s="508">
        <v>3666120176</v>
      </c>
      <c r="E36" s="469">
        <f t="shared" si="3"/>
        <v>25172.682632113996</v>
      </c>
      <c r="F36" s="470" t="s">
        <v>287</v>
      </c>
      <c r="G36" s="595">
        <v>25172.6871226</v>
      </c>
      <c r="H36" s="595">
        <f t="shared" si="30"/>
        <v>-4.4904860042151995E-3</v>
      </c>
      <c r="I36" s="595"/>
      <c r="J36" s="509">
        <f t="shared" si="4"/>
        <v>25172.682632113996</v>
      </c>
      <c r="K36" s="510">
        <f t="shared" si="5"/>
        <v>17748.497239794</v>
      </c>
      <c r="L36" s="511">
        <f t="shared" si="6"/>
        <v>15502.108470443998</v>
      </c>
      <c r="M36" s="512">
        <v>15502.108470443998</v>
      </c>
      <c r="N36" s="513">
        <v>0</v>
      </c>
      <c r="O36" s="513">
        <v>0</v>
      </c>
      <c r="P36" s="514">
        <v>0</v>
      </c>
      <c r="Q36" s="515">
        <v>2246.3887693500001</v>
      </c>
      <c r="R36" s="516">
        <f t="shared" si="7"/>
        <v>0</v>
      </c>
      <c r="S36" s="517">
        <f t="shared" si="8"/>
        <v>2237.1539923200003</v>
      </c>
      <c r="T36" s="518">
        <v>0</v>
      </c>
      <c r="U36" s="519">
        <v>2237.1539923200003</v>
      </c>
      <c r="V36" s="520">
        <f t="shared" si="9"/>
        <v>5216.1200000000008</v>
      </c>
      <c r="W36" s="521">
        <v>0</v>
      </c>
      <c r="X36" s="518">
        <v>4906.1000000000004</v>
      </c>
      <c r="Y36" s="522">
        <v>310.02000000000044</v>
      </c>
      <c r="Z36" s="523">
        <v>-92.279400000002767</v>
      </c>
      <c r="AA36" s="524">
        <v>63.190799999999996</v>
      </c>
      <c r="AB36" s="486"/>
      <c r="AC36" s="525">
        <v>15502.108470443998</v>
      </c>
      <c r="AD36" s="525">
        <v>15502.108470443998</v>
      </c>
      <c r="AE36" s="525">
        <v>0</v>
      </c>
      <c r="AF36" s="525">
        <v>0</v>
      </c>
      <c r="AG36" s="525">
        <v>0</v>
      </c>
      <c r="AH36" s="525">
        <v>2246.3887693500001</v>
      </c>
      <c r="AI36" s="525">
        <v>2246.3887693500001</v>
      </c>
      <c r="AJ36" s="525">
        <v>0</v>
      </c>
      <c r="AK36" s="525">
        <v>0</v>
      </c>
      <c r="AL36" s="525">
        <v>0</v>
      </c>
      <c r="AM36" s="525">
        <v>0</v>
      </c>
      <c r="AN36" s="525">
        <v>0</v>
      </c>
      <c r="AO36" s="525">
        <v>0</v>
      </c>
      <c r="AP36" s="525">
        <v>0</v>
      </c>
      <c r="AQ36" s="525">
        <v>0</v>
      </c>
      <c r="AR36" s="525">
        <v>0</v>
      </c>
      <c r="AS36" s="525">
        <v>0</v>
      </c>
      <c r="AT36" s="525">
        <v>0</v>
      </c>
      <c r="AU36" s="525">
        <v>0</v>
      </c>
      <c r="AV36" s="525">
        <v>0</v>
      </c>
      <c r="AW36" s="525">
        <v>0</v>
      </c>
      <c r="AX36" s="525">
        <v>0</v>
      </c>
      <c r="AY36" s="525">
        <v>0</v>
      </c>
      <c r="AZ36" s="525">
        <v>0</v>
      </c>
      <c r="BA36" s="525">
        <v>2246.3887693500001</v>
      </c>
      <c r="BB36" s="525">
        <v>259.72815000000003</v>
      </c>
      <c r="BC36" s="525">
        <v>0</v>
      </c>
      <c r="BD36" s="525">
        <v>0</v>
      </c>
      <c r="BE36" s="525">
        <v>0</v>
      </c>
      <c r="BF36" s="525">
        <v>0</v>
      </c>
      <c r="BG36" s="525">
        <v>0</v>
      </c>
      <c r="BH36" s="525">
        <v>0</v>
      </c>
      <c r="BI36" s="525">
        <v>0</v>
      </c>
      <c r="BJ36" s="525">
        <v>2246.3887693500001</v>
      </c>
      <c r="BK36" s="525">
        <v>8.6489999999999991</v>
      </c>
      <c r="BL36" s="525">
        <v>259.72815000000003</v>
      </c>
      <c r="BM36" s="525">
        <v>0</v>
      </c>
      <c r="BN36" s="525">
        <v>0</v>
      </c>
      <c r="BO36" s="525">
        <v>0</v>
      </c>
      <c r="BP36" s="525">
        <v>0</v>
      </c>
      <c r="BQ36" s="525">
        <v>0</v>
      </c>
      <c r="BR36" s="525">
        <v>0</v>
      </c>
      <c r="BS36" s="525">
        <v>0</v>
      </c>
      <c r="BT36" s="525">
        <v>0</v>
      </c>
      <c r="BU36" s="525">
        <v>0</v>
      </c>
      <c r="BV36" s="525">
        <v>0</v>
      </c>
      <c r="BW36" s="525">
        <v>0</v>
      </c>
      <c r="BX36" s="525">
        <v>0</v>
      </c>
      <c r="BY36" s="525">
        <v>0</v>
      </c>
      <c r="BZ36" s="525">
        <v>0</v>
      </c>
      <c r="CA36" s="525">
        <v>0</v>
      </c>
      <c r="CB36" s="525">
        <v>0</v>
      </c>
      <c r="CC36" s="525">
        <v>0</v>
      </c>
      <c r="CD36" s="525">
        <v>0</v>
      </c>
      <c r="CE36" s="525">
        <v>0</v>
      </c>
      <c r="CF36" s="525">
        <v>0</v>
      </c>
      <c r="CG36" s="525">
        <v>0</v>
      </c>
      <c r="CH36" s="525">
        <v>0</v>
      </c>
      <c r="CI36" s="525">
        <v>0</v>
      </c>
      <c r="CJ36" s="525">
        <v>0</v>
      </c>
      <c r="CK36" s="525">
        <v>0</v>
      </c>
      <c r="CL36" s="525">
        <v>0</v>
      </c>
      <c r="CM36" s="525">
        <v>0</v>
      </c>
      <c r="CN36" s="525">
        <v>0</v>
      </c>
      <c r="CO36" s="525">
        <v>0</v>
      </c>
      <c r="CP36" s="525">
        <v>0</v>
      </c>
      <c r="CQ36" s="525">
        <v>0</v>
      </c>
      <c r="CR36" s="525">
        <v>0</v>
      </c>
      <c r="CS36" s="525">
        <v>0</v>
      </c>
      <c r="CT36" s="525">
        <v>0</v>
      </c>
      <c r="CU36" s="525">
        <v>0</v>
      </c>
      <c r="CV36" s="525">
        <v>0</v>
      </c>
      <c r="CW36" s="525">
        <v>0</v>
      </c>
      <c r="CX36" s="525">
        <v>0</v>
      </c>
      <c r="CY36" s="525">
        <v>0</v>
      </c>
      <c r="CZ36" s="526"/>
      <c r="DA36" s="525">
        <v>0</v>
      </c>
      <c r="DB36" s="525">
        <v>0</v>
      </c>
      <c r="DC36" s="526"/>
      <c r="DD36" s="525">
        <v>0</v>
      </c>
      <c r="DE36" s="525">
        <v>0</v>
      </c>
      <c r="DF36" s="525">
        <v>0</v>
      </c>
      <c r="DG36" s="525">
        <v>0</v>
      </c>
      <c r="DH36" s="525">
        <v>0</v>
      </c>
      <c r="DI36" s="525">
        <v>0</v>
      </c>
      <c r="DJ36" s="525">
        <v>0</v>
      </c>
      <c r="DK36" s="525">
        <v>0</v>
      </c>
      <c r="DL36" s="525">
        <v>0</v>
      </c>
      <c r="DM36" s="525">
        <v>0</v>
      </c>
      <c r="DN36" s="525">
        <v>0</v>
      </c>
      <c r="DO36" s="525">
        <v>0</v>
      </c>
      <c r="DP36" s="525">
        <v>1517.76</v>
      </c>
      <c r="DQ36" s="525">
        <v>0</v>
      </c>
      <c r="DR36" s="525">
        <v>0</v>
      </c>
      <c r="DS36" s="525">
        <v>0</v>
      </c>
      <c r="DT36" s="525">
        <v>1517.76</v>
      </c>
      <c r="DU36" s="525">
        <v>719.39399232000017</v>
      </c>
      <c r="DV36" s="525">
        <v>0</v>
      </c>
      <c r="DW36" s="525">
        <v>100.39721472000001</v>
      </c>
      <c r="DX36" s="525">
        <v>0</v>
      </c>
      <c r="DY36" s="525">
        <v>0</v>
      </c>
      <c r="DZ36" s="525">
        <v>0</v>
      </c>
      <c r="EA36" s="525">
        <v>0</v>
      </c>
      <c r="EB36" s="525">
        <v>0</v>
      </c>
      <c r="EC36" s="525">
        <v>0</v>
      </c>
      <c r="ED36" s="525">
        <v>0</v>
      </c>
      <c r="EE36" s="525">
        <v>0</v>
      </c>
      <c r="EF36" s="525">
        <v>0</v>
      </c>
      <c r="EG36" s="525">
        <v>618.99677760000009</v>
      </c>
      <c r="EH36" s="525">
        <v>0</v>
      </c>
      <c r="EI36" s="525">
        <v>0</v>
      </c>
      <c r="EJ36" s="525">
        <v>0</v>
      </c>
      <c r="EK36" s="525">
        <v>0</v>
      </c>
      <c r="EL36" s="525">
        <v>0</v>
      </c>
      <c r="EM36" s="525">
        <v>0</v>
      </c>
      <c r="EN36" s="525">
        <v>0</v>
      </c>
      <c r="EO36" s="525">
        <v>0</v>
      </c>
      <c r="EP36" s="525">
        <v>0</v>
      </c>
      <c r="EQ36" s="525">
        <v>0</v>
      </c>
      <c r="ER36" s="525">
        <v>0</v>
      </c>
      <c r="ES36" s="525">
        <v>0</v>
      </c>
      <c r="ET36" s="525">
        <v>0</v>
      </c>
      <c r="EU36" s="525">
        <v>0</v>
      </c>
      <c r="EV36" s="525">
        <v>0</v>
      </c>
      <c r="EW36" s="525">
        <v>0</v>
      </c>
      <c r="EX36" s="525">
        <v>0</v>
      </c>
      <c r="EY36" s="525">
        <v>0</v>
      </c>
      <c r="EZ36" s="525">
        <v>0</v>
      </c>
      <c r="FA36" s="525">
        <v>0</v>
      </c>
      <c r="FB36" s="525">
        <v>58</v>
      </c>
      <c r="FC36" s="525">
        <v>0</v>
      </c>
      <c r="FD36" s="525">
        <v>58</v>
      </c>
      <c r="FE36" s="525">
        <v>0</v>
      </c>
      <c r="FF36" s="525">
        <v>0</v>
      </c>
      <c r="FG36" s="525">
        <v>0</v>
      </c>
      <c r="FH36" s="525">
        <v>0</v>
      </c>
      <c r="FI36" s="525">
        <v>0</v>
      </c>
      <c r="FJ36" s="525">
        <v>0</v>
      </c>
      <c r="FK36" s="525">
        <v>0</v>
      </c>
      <c r="FL36" s="525">
        <v>0</v>
      </c>
      <c r="FM36" s="525">
        <v>4906.1000000000004</v>
      </c>
      <c r="FN36" s="525">
        <v>4906.1000000000004</v>
      </c>
      <c r="FO36" s="525">
        <v>0</v>
      </c>
      <c r="FP36" s="525">
        <v>0</v>
      </c>
      <c r="FQ36" s="525">
        <v>252.01999999999998</v>
      </c>
      <c r="FR36" s="525">
        <v>0</v>
      </c>
      <c r="FS36" s="527">
        <v>25201.771232113999</v>
      </c>
      <c r="FT36" s="525">
        <v>0</v>
      </c>
      <c r="FU36" s="525">
        <v>0</v>
      </c>
      <c r="FV36" s="525">
        <v>0</v>
      </c>
      <c r="FW36" s="525">
        <v>0</v>
      </c>
      <c r="FX36" s="525">
        <v>0</v>
      </c>
      <c r="FY36" s="525">
        <v>0</v>
      </c>
      <c r="FZ36" s="525">
        <v>0</v>
      </c>
      <c r="GA36" s="525">
        <v>0</v>
      </c>
      <c r="GB36" s="525">
        <v>0</v>
      </c>
      <c r="GC36" s="525">
        <v>0</v>
      </c>
      <c r="GD36" s="525">
        <v>0</v>
      </c>
      <c r="GE36" s="525">
        <v>0</v>
      </c>
      <c r="GF36" s="525">
        <v>0</v>
      </c>
      <c r="GG36" s="525">
        <v>0</v>
      </c>
      <c r="GH36" s="525">
        <v>63.190799999999996</v>
      </c>
      <c r="GI36" s="525">
        <v>63.190799999999996</v>
      </c>
      <c r="GJ36" s="526"/>
      <c r="GK36" s="525">
        <v>0</v>
      </c>
      <c r="GL36" s="526"/>
      <c r="GM36" s="525">
        <v>0</v>
      </c>
      <c r="GN36" s="525">
        <v>0</v>
      </c>
      <c r="GO36" s="526"/>
      <c r="GP36" s="526"/>
      <c r="GQ36" s="525">
        <v>0</v>
      </c>
      <c r="GR36" s="526"/>
      <c r="GS36" s="526"/>
      <c r="GT36" s="525">
        <v>0</v>
      </c>
      <c r="GU36" s="525">
        <v>0</v>
      </c>
      <c r="GV36" s="525">
        <v>0</v>
      </c>
      <c r="GW36" s="525">
        <v>0</v>
      </c>
      <c r="GX36" s="525">
        <v>0</v>
      </c>
      <c r="GY36" s="525">
        <v>0</v>
      </c>
      <c r="GZ36" s="525">
        <v>0</v>
      </c>
      <c r="HA36" s="525">
        <v>0</v>
      </c>
      <c r="HB36" s="525">
        <v>0</v>
      </c>
      <c r="HC36" s="525">
        <v>0</v>
      </c>
      <c r="HD36" s="525">
        <v>0</v>
      </c>
      <c r="HE36" s="525">
        <v>0</v>
      </c>
      <c r="HF36" s="525">
        <v>0</v>
      </c>
      <c r="HG36" s="525">
        <v>0</v>
      </c>
      <c r="HH36" s="525">
        <v>0</v>
      </c>
      <c r="HI36" s="525">
        <v>0</v>
      </c>
      <c r="HJ36" s="525">
        <v>0</v>
      </c>
      <c r="HK36" s="525">
        <v>0</v>
      </c>
      <c r="HL36" s="526"/>
      <c r="HM36" s="526"/>
      <c r="HN36" s="526"/>
      <c r="HO36" s="526"/>
      <c r="HP36" s="526"/>
      <c r="HQ36" s="526"/>
      <c r="HR36" s="526"/>
      <c r="HS36" s="526"/>
      <c r="HT36" s="526"/>
      <c r="HU36" s="526"/>
      <c r="HV36" s="526"/>
      <c r="HW36" s="526"/>
      <c r="HX36" s="526"/>
      <c r="HY36" s="526"/>
      <c r="HZ36" s="526"/>
      <c r="IA36" s="526"/>
      <c r="IB36" s="526"/>
      <c r="IC36" s="526"/>
      <c r="ID36" s="526"/>
      <c r="IE36" s="526"/>
      <c r="IF36" s="526"/>
      <c r="IG36" s="526"/>
      <c r="IH36" s="526"/>
      <c r="II36" s="526"/>
      <c r="IJ36" s="526"/>
      <c r="IK36" s="526"/>
      <c r="IL36" s="526"/>
      <c r="IM36" s="526"/>
      <c r="IN36" s="526"/>
      <c r="IO36" s="526"/>
      <c r="IP36" s="526"/>
      <c r="IQ36" s="526"/>
      <c r="IR36" s="526"/>
      <c r="IS36" s="526"/>
      <c r="IT36" s="526"/>
      <c r="IU36" s="526"/>
      <c r="IV36" s="526"/>
      <c r="IW36" s="526"/>
      <c r="IX36" s="526"/>
      <c r="IY36" s="526"/>
      <c r="IZ36" s="526"/>
      <c r="JA36" s="526"/>
      <c r="JB36" s="526"/>
      <c r="JC36" s="526"/>
      <c r="JD36" s="526"/>
      <c r="JE36" s="526"/>
      <c r="JF36" s="526"/>
      <c r="JG36" s="526"/>
      <c r="JH36" s="526"/>
      <c r="JI36" s="526"/>
      <c r="JJ36" s="526"/>
      <c r="JK36" s="526"/>
      <c r="JL36" s="526"/>
      <c r="JM36" s="526"/>
      <c r="JN36" s="525">
        <v>2237.1539923200003</v>
      </c>
      <c r="JO36" s="525">
        <v>5216.1200000000008</v>
      </c>
      <c r="JP36" s="525">
        <v>17748.497239794</v>
      </c>
      <c r="JQ36" s="525">
        <v>0</v>
      </c>
      <c r="JR36" s="525">
        <v>63.190799999999996</v>
      </c>
      <c r="JS36" s="527">
        <v>25172.682632114</v>
      </c>
      <c r="JT36" s="528">
        <f t="shared" si="10"/>
        <v>-92.279400000002767</v>
      </c>
      <c r="JU36" s="525">
        <v>25172.682632114</v>
      </c>
      <c r="JV36" s="525">
        <v>25172.682632114</v>
      </c>
      <c r="JW36" s="525">
        <v>25172.682632114</v>
      </c>
      <c r="JX36" s="525">
        <v>14863.19</v>
      </c>
      <c r="JY36" s="525">
        <v>14863.19</v>
      </c>
      <c r="JZ36" s="526"/>
      <c r="KA36" s="525">
        <v>14863.19</v>
      </c>
      <c r="KB36" s="529">
        <v>0.25073951913140735</v>
      </c>
      <c r="KC36" s="525">
        <v>-4.4904860005772207E-3</v>
      </c>
      <c r="KD36" s="525">
        <v>25172.6871226</v>
      </c>
      <c r="KE36" s="525">
        <v>14863.19</v>
      </c>
      <c r="KF36" s="525">
        <v>0</v>
      </c>
      <c r="KG36" s="530">
        <v>0</v>
      </c>
      <c r="KH36" s="525">
        <v>0</v>
      </c>
      <c r="KI36" s="525">
        <v>0</v>
      </c>
      <c r="KJ36" s="530">
        <v>0</v>
      </c>
      <c r="KK36" s="525">
        <v>0</v>
      </c>
      <c r="KL36" s="525">
        <v>24923.006109000002</v>
      </c>
      <c r="KM36" s="530">
        <v>1693.598068294327</v>
      </c>
      <c r="KN36" s="525">
        <v>14716.01</v>
      </c>
      <c r="KO36" s="525">
        <v>249.68101359999997</v>
      </c>
      <c r="KP36" s="530">
        <v>1696.4330316619103</v>
      </c>
      <c r="KQ36" s="525">
        <v>147.18</v>
      </c>
      <c r="KR36" s="526"/>
      <c r="KS36" s="526"/>
      <c r="KT36" s="531">
        <v>60348.04</v>
      </c>
      <c r="KU36" s="531">
        <v>9.0500000000000007</v>
      </c>
      <c r="KV36" s="526"/>
      <c r="KW36" s="531">
        <v>1057.96</v>
      </c>
      <c r="KX36" s="531">
        <v>0.36799999999999999</v>
      </c>
      <c r="KY36" s="531"/>
      <c r="KZ36" s="526"/>
      <c r="LA36" s="531">
        <v>14716</v>
      </c>
      <c r="LB36" s="532">
        <v>1661</v>
      </c>
      <c r="LC36" s="533">
        <v>2.746</v>
      </c>
      <c r="LD36" s="494">
        <f t="shared" si="11"/>
        <v>25965.150346874841</v>
      </c>
      <c r="LE36" s="509">
        <f t="shared" si="12"/>
        <v>25965.150346874841</v>
      </c>
      <c r="LF36" s="534">
        <f t="shared" si="13"/>
        <v>18292.184100834569</v>
      </c>
      <c r="LG36" s="535">
        <f t="shared" si="14"/>
        <v>15967.171724557318</v>
      </c>
      <c r="LH36" s="536">
        <f t="shared" si="31"/>
        <v>1.03</v>
      </c>
      <c r="LI36" s="537">
        <f t="shared" si="15"/>
        <v>15967.171724557318</v>
      </c>
      <c r="LJ36" s="536">
        <f t="shared" si="32"/>
        <v>1.0389999999999999</v>
      </c>
      <c r="LK36" s="537">
        <f t="shared" si="16"/>
        <v>0</v>
      </c>
      <c r="LL36" s="536">
        <f t="shared" si="33"/>
        <v>1.0349999999999999</v>
      </c>
      <c r="LM36" s="537">
        <f t="shared" si="17"/>
        <v>0</v>
      </c>
      <c r="LN36" s="536">
        <f t="shared" si="34"/>
        <v>1.0349999999999999</v>
      </c>
      <c r="LO36" s="537">
        <f t="shared" si="18"/>
        <v>0</v>
      </c>
      <c r="LP36" s="536">
        <f t="shared" si="35"/>
        <v>1.0349999999999999</v>
      </c>
      <c r="LQ36" s="537">
        <f t="shared" si="19"/>
        <v>2325.01237627725</v>
      </c>
      <c r="LR36" s="536">
        <f t="shared" si="36"/>
        <v>1.04</v>
      </c>
      <c r="LS36" s="537">
        <f t="shared" si="20"/>
        <v>0</v>
      </c>
      <c r="LT36" s="539">
        <f t="shared" si="21"/>
        <v>2301.1589680402753</v>
      </c>
      <c r="LU36" s="540">
        <f t="shared" si="22"/>
        <v>0</v>
      </c>
      <c r="LV36" s="541">
        <f t="shared" si="23"/>
        <v>2301.1589680402753</v>
      </c>
      <c r="LW36" s="542">
        <f t="shared" si="24"/>
        <v>5398.6842000000006</v>
      </c>
      <c r="LX36" s="540">
        <f t="shared" si="25"/>
        <v>0</v>
      </c>
      <c r="LY36" s="540">
        <f t="shared" si="26"/>
        <v>5077.8135000000002</v>
      </c>
      <c r="LZ36" s="543">
        <f t="shared" si="27"/>
        <v>320.87070000000045</v>
      </c>
      <c r="MA36" s="544">
        <f t="shared" si="28"/>
        <v>-92.279400000002767</v>
      </c>
      <c r="MB36" s="545">
        <f t="shared" si="29"/>
        <v>65.402477999999988</v>
      </c>
    </row>
    <row r="37" spans="1:340" ht="16.5" customHeight="1">
      <c r="A37" s="465">
        <v>1</v>
      </c>
      <c r="B37" s="466">
        <v>27</v>
      </c>
      <c r="C37" s="467" t="s">
        <v>303</v>
      </c>
      <c r="D37" s="468">
        <v>4633016372</v>
      </c>
      <c r="E37" s="469">
        <f t="shared" si="3"/>
        <v>27014.769513324482</v>
      </c>
      <c r="F37" s="470" t="s">
        <v>281</v>
      </c>
      <c r="G37" s="595">
        <v>24236.582037840002</v>
      </c>
      <c r="H37" s="597">
        <f t="shared" si="30"/>
        <v>2778.1874754844794</v>
      </c>
      <c r="I37" s="597" t="s">
        <v>858</v>
      </c>
      <c r="J37" s="471">
        <f t="shared" si="4"/>
        <v>22512.307927770402</v>
      </c>
      <c r="K37" s="472">
        <f t="shared" si="5"/>
        <v>14732.083724098404</v>
      </c>
      <c r="L37" s="473">
        <f t="shared" si="6"/>
        <v>12783.770115899999</v>
      </c>
      <c r="M37" s="474">
        <v>12783.770115899999</v>
      </c>
      <c r="N37" s="475">
        <v>0</v>
      </c>
      <c r="O37" s="475">
        <v>0</v>
      </c>
      <c r="P37" s="476">
        <v>0</v>
      </c>
      <c r="Q37" s="477">
        <v>1289.5393288558048</v>
      </c>
      <c r="R37" s="478">
        <f t="shared" si="7"/>
        <v>658.77427934259993</v>
      </c>
      <c r="S37" s="479">
        <f t="shared" si="8"/>
        <v>6502.7266470719997</v>
      </c>
      <c r="T37" s="479">
        <v>1991.0710999999999</v>
      </c>
      <c r="U37" s="480">
        <v>4511.6555470719995</v>
      </c>
      <c r="V37" s="481">
        <f t="shared" si="9"/>
        <v>1167.9249565999999</v>
      </c>
      <c r="W37" s="482">
        <v>609.26775659999998</v>
      </c>
      <c r="X37" s="479">
        <v>0</v>
      </c>
      <c r="Y37" s="483">
        <v>558.65719999999988</v>
      </c>
      <c r="Z37" s="484">
        <v>75.472600000001336</v>
      </c>
      <c r="AA37" s="485">
        <v>34.1</v>
      </c>
      <c r="AB37" s="486"/>
      <c r="AC37" s="487">
        <v>12783.770115899999</v>
      </c>
      <c r="AD37" s="487">
        <v>12783.770115899999</v>
      </c>
      <c r="AE37" s="487">
        <v>0</v>
      </c>
      <c r="AF37" s="487">
        <v>0</v>
      </c>
      <c r="AG37" s="487">
        <v>0</v>
      </c>
      <c r="AH37" s="487">
        <v>1289.5393288558048</v>
      </c>
      <c r="AI37" s="487">
        <v>1289.5393288558048</v>
      </c>
      <c r="AJ37" s="487">
        <v>0</v>
      </c>
      <c r="AK37" s="487">
        <v>0</v>
      </c>
      <c r="AL37" s="487">
        <v>0</v>
      </c>
      <c r="AM37" s="487">
        <v>0</v>
      </c>
      <c r="AN37" s="487">
        <v>0</v>
      </c>
      <c r="AO37" s="487">
        <v>0</v>
      </c>
      <c r="AP37" s="487">
        <v>0</v>
      </c>
      <c r="AQ37" s="487">
        <v>0</v>
      </c>
      <c r="AR37" s="487">
        <v>0</v>
      </c>
      <c r="AS37" s="487">
        <v>0</v>
      </c>
      <c r="AT37" s="487">
        <v>0</v>
      </c>
      <c r="AU37" s="487">
        <v>0</v>
      </c>
      <c r="AV37" s="487">
        <v>0</v>
      </c>
      <c r="AW37" s="487">
        <v>0</v>
      </c>
      <c r="AX37" s="487">
        <v>0</v>
      </c>
      <c r="AY37" s="487">
        <v>0</v>
      </c>
      <c r="AZ37" s="487">
        <v>0</v>
      </c>
      <c r="BA37" s="487">
        <v>1289.5393288558048</v>
      </c>
      <c r="BB37" s="487">
        <v>354.26904638895735</v>
      </c>
      <c r="BC37" s="487">
        <v>0</v>
      </c>
      <c r="BD37" s="487">
        <v>0</v>
      </c>
      <c r="BE37" s="487">
        <v>0</v>
      </c>
      <c r="BF37" s="487">
        <v>0</v>
      </c>
      <c r="BG37" s="487">
        <v>0</v>
      </c>
      <c r="BH37" s="487">
        <v>0</v>
      </c>
      <c r="BI37" s="487">
        <v>0</v>
      </c>
      <c r="BJ37" s="487">
        <v>1289.5393288558048</v>
      </c>
      <c r="BK37" s="487">
        <v>3.64</v>
      </c>
      <c r="BL37" s="487">
        <v>354.26904638895735</v>
      </c>
      <c r="BM37" s="487">
        <v>0</v>
      </c>
      <c r="BN37" s="487">
        <v>0</v>
      </c>
      <c r="BO37" s="487">
        <v>0</v>
      </c>
      <c r="BP37" s="487">
        <v>0</v>
      </c>
      <c r="BQ37" s="487">
        <v>0</v>
      </c>
      <c r="BR37" s="487">
        <v>0</v>
      </c>
      <c r="BS37" s="487">
        <v>0</v>
      </c>
      <c r="BT37" s="487">
        <v>0</v>
      </c>
      <c r="BU37" s="487">
        <v>0</v>
      </c>
      <c r="BV37" s="487">
        <v>0</v>
      </c>
      <c r="BW37" s="487">
        <v>0</v>
      </c>
      <c r="BX37" s="487">
        <v>0</v>
      </c>
      <c r="BY37" s="487">
        <v>0</v>
      </c>
      <c r="BZ37" s="487">
        <v>0</v>
      </c>
      <c r="CA37" s="487">
        <v>0</v>
      </c>
      <c r="CB37" s="487">
        <v>0</v>
      </c>
      <c r="CC37" s="487">
        <v>0</v>
      </c>
      <c r="CD37" s="487">
        <v>0</v>
      </c>
      <c r="CE37" s="487">
        <v>0</v>
      </c>
      <c r="CF37" s="487">
        <v>0</v>
      </c>
      <c r="CG37" s="487">
        <v>0</v>
      </c>
      <c r="CH37" s="487">
        <v>0</v>
      </c>
      <c r="CI37" s="487">
        <v>0</v>
      </c>
      <c r="CJ37" s="487">
        <v>0</v>
      </c>
      <c r="CK37" s="487">
        <v>0</v>
      </c>
      <c r="CL37" s="487">
        <v>0</v>
      </c>
      <c r="CM37" s="487">
        <v>1991.0710999999999</v>
      </c>
      <c r="CN37" s="487">
        <v>1991.0710999999999</v>
      </c>
      <c r="CO37" s="487">
        <v>0</v>
      </c>
      <c r="CP37" s="487">
        <v>0</v>
      </c>
      <c r="CQ37" s="487">
        <v>0</v>
      </c>
      <c r="CR37" s="487">
        <v>0</v>
      </c>
      <c r="CS37" s="487">
        <v>609.26775659999998</v>
      </c>
      <c r="CT37" s="487">
        <v>609.26775659999998</v>
      </c>
      <c r="CU37" s="487">
        <v>0</v>
      </c>
      <c r="CV37" s="487">
        <v>0</v>
      </c>
      <c r="CW37" s="487">
        <v>0</v>
      </c>
      <c r="CX37" s="487">
        <v>0</v>
      </c>
      <c r="CY37" s="487">
        <v>571.00168523409991</v>
      </c>
      <c r="CZ37" s="467"/>
      <c r="DA37" s="487">
        <v>28.525837299999999</v>
      </c>
      <c r="DB37" s="487">
        <v>87.772594108499987</v>
      </c>
      <c r="DC37" s="467"/>
      <c r="DD37" s="487">
        <v>5.3340987000000002</v>
      </c>
      <c r="DE37" s="487">
        <v>0</v>
      </c>
      <c r="DF37" s="487">
        <v>0</v>
      </c>
      <c r="DG37" s="487">
        <v>2907.7440958399998</v>
      </c>
      <c r="DH37" s="487">
        <v>2.5937218880000001</v>
      </c>
      <c r="DI37" s="487">
        <v>0</v>
      </c>
      <c r="DJ37" s="487">
        <v>2905.1503739519999</v>
      </c>
      <c r="DK37" s="487">
        <v>0</v>
      </c>
      <c r="DL37" s="487">
        <v>0</v>
      </c>
      <c r="DM37" s="487">
        <v>0</v>
      </c>
      <c r="DN37" s="487">
        <v>0</v>
      </c>
      <c r="DO37" s="487">
        <v>0</v>
      </c>
      <c r="DP37" s="487">
        <v>586.83323342400001</v>
      </c>
      <c r="DQ37" s="487">
        <v>0</v>
      </c>
      <c r="DR37" s="487">
        <v>0</v>
      </c>
      <c r="DS37" s="487">
        <v>0</v>
      </c>
      <c r="DT37" s="487">
        <v>586.83323342400001</v>
      </c>
      <c r="DU37" s="487">
        <v>1017.0782178080002</v>
      </c>
      <c r="DV37" s="487">
        <v>0</v>
      </c>
      <c r="DW37" s="487">
        <v>0</v>
      </c>
      <c r="DX37" s="487">
        <v>0</v>
      </c>
      <c r="DY37" s="487">
        <v>0</v>
      </c>
      <c r="DZ37" s="487">
        <v>0</v>
      </c>
      <c r="EA37" s="487">
        <v>0</v>
      </c>
      <c r="EB37" s="487">
        <v>0</v>
      </c>
      <c r="EC37" s="487">
        <v>0</v>
      </c>
      <c r="ED37" s="487">
        <v>0</v>
      </c>
      <c r="EE37" s="487">
        <v>0</v>
      </c>
      <c r="EF37" s="487">
        <v>0</v>
      </c>
      <c r="EG37" s="487">
        <v>1017.0782178080002</v>
      </c>
      <c r="EH37" s="487">
        <v>533.90989999999999</v>
      </c>
      <c r="EI37" s="487">
        <v>0</v>
      </c>
      <c r="EJ37" s="487">
        <v>0</v>
      </c>
      <c r="EK37" s="487">
        <v>533.90989999999999</v>
      </c>
      <c r="EL37" s="487">
        <v>0</v>
      </c>
      <c r="EM37" s="487">
        <v>0</v>
      </c>
      <c r="EN37" s="487">
        <v>0</v>
      </c>
      <c r="EO37" s="487">
        <v>0</v>
      </c>
      <c r="EP37" s="487">
        <v>0</v>
      </c>
      <c r="EQ37" s="487">
        <v>0</v>
      </c>
      <c r="ER37" s="487">
        <v>0</v>
      </c>
      <c r="ES37" s="487">
        <v>0</v>
      </c>
      <c r="ET37" s="487">
        <v>533.90989999999999</v>
      </c>
      <c r="EU37" s="487">
        <v>533.90989999999999</v>
      </c>
      <c r="EV37" s="487">
        <v>0</v>
      </c>
      <c r="EW37" s="487">
        <v>0</v>
      </c>
      <c r="EX37" s="487">
        <v>0</v>
      </c>
      <c r="EY37" s="487">
        <v>0</v>
      </c>
      <c r="EZ37" s="487">
        <v>0</v>
      </c>
      <c r="FA37" s="487">
        <v>0</v>
      </c>
      <c r="FB37" s="487">
        <v>16.222300000000004</v>
      </c>
      <c r="FC37" s="487">
        <v>12.979700000000001</v>
      </c>
      <c r="FD37" s="487">
        <v>3.2426000000000004</v>
      </c>
      <c r="FE37" s="487">
        <v>0</v>
      </c>
      <c r="FF37" s="487">
        <v>0</v>
      </c>
      <c r="FG37" s="487">
        <v>0</v>
      </c>
      <c r="FH37" s="487">
        <v>0</v>
      </c>
      <c r="FI37" s="487">
        <v>0</v>
      </c>
      <c r="FJ37" s="487">
        <v>0</v>
      </c>
      <c r="FK37" s="487">
        <v>0</v>
      </c>
      <c r="FL37" s="487">
        <v>0</v>
      </c>
      <c r="FM37" s="487">
        <v>0</v>
      </c>
      <c r="FN37" s="487">
        <v>0</v>
      </c>
      <c r="FO37" s="487">
        <v>0</v>
      </c>
      <c r="FP37" s="487">
        <v>0</v>
      </c>
      <c r="FQ37" s="487">
        <v>0</v>
      </c>
      <c r="FR37" s="487">
        <v>8.5250000000000004</v>
      </c>
      <c r="FS37" s="488">
        <v>22402.735327770402</v>
      </c>
      <c r="FT37" s="487">
        <v>0</v>
      </c>
      <c r="FU37" s="487">
        <v>0</v>
      </c>
      <c r="FV37" s="487">
        <v>0</v>
      </c>
      <c r="FW37" s="487">
        <v>0</v>
      </c>
      <c r="FX37" s="487">
        <v>0</v>
      </c>
      <c r="FY37" s="487">
        <v>0</v>
      </c>
      <c r="FZ37" s="487">
        <v>0</v>
      </c>
      <c r="GA37" s="487">
        <v>0</v>
      </c>
      <c r="GB37" s="487">
        <v>0</v>
      </c>
      <c r="GC37" s="487">
        <v>0</v>
      </c>
      <c r="GD37" s="487">
        <v>0</v>
      </c>
      <c r="GE37" s="487">
        <v>0</v>
      </c>
      <c r="GF37" s="487">
        <v>0</v>
      </c>
      <c r="GG37" s="487">
        <v>0</v>
      </c>
      <c r="GH37" s="487">
        <v>34.1</v>
      </c>
      <c r="GI37" s="487">
        <v>0</v>
      </c>
      <c r="GJ37" s="467"/>
      <c r="GK37" s="487">
        <v>34.1</v>
      </c>
      <c r="GL37" s="467"/>
      <c r="GM37" s="487">
        <v>0</v>
      </c>
      <c r="GN37" s="487">
        <v>0</v>
      </c>
      <c r="GO37" s="467"/>
      <c r="GP37" s="467"/>
      <c r="GQ37" s="487">
        <v>0</v>
      </c>
      <c r="GR37" s="467"/>
      <c r="GS37" s="467"/>
      <c r="GT37" s="487">
        <v>0</v>
      </c>
      <c r="GU37" s="487">
        <v>0</v>
      </c>
      <c r="GV37" s="487">
        <v>0</v>
      </c>
      <c r="GW37" s="487">
        <v>0</v>
      </c>
      <c r="GX37" s="487">
        <v>0</v>
      </c>
      <c r="GY37" s="487">
        <v>0</v>
      </c>
      <c r="GZ37" s="487">
        <v>0</v>
      </c>
      <c r="HA37" s="487">
        <v>0</v>
      </c>
      <c r="HB37" s="487">
        <v>0</v>
      </c>
      <c r="HC37" s="487">
        <v>0</v>
      </c>
      <c r="HD37" s="487">
        <v>0</v>
      </c>
      <c r="HE37" s="487">
        <v>0</v>
      </c>
      <c r="HF37" s="487">
        <v>0</v>
      </c>
      <c r="HG37" s="487">
        <v>0</v>
      </c>
      <c r="HH37" s="487">
        <v>0</v>
      </c>
      <c r="HI37" s="487">
        <v>0</v>
      </c>
      <c r="HJ37" s="487">
        <v>0</v>
      </c>
      <c r="HK37" s="487">
        <v>0</v>
      </c>
      <c r="HL37" s="467"/>
      <c r="HM37" s="467"/>
      <c r="HN37" s="467"/>
      <c r="HO37" s="467"/>
      <c r="HP37" s="467"/>
      <c r="HQ37" s="467"/>
      <c r="HR37" s="467"/>
      <c r="HS37" s="467"/>
      <c r="HT37" s="467"/>
      <c r="HU37" s="467"/>
      <c r="HV37" s="467"/>
      <c r="HW37" s="467"/>
      <c r="HX37" s="467"/>
      <c r="HY37" s="467"/>
      <c r="HZ37" s="467"/>
      <c r="IA37" s="467"/>
      <c r="IB37" s="467"/>
      <c r="IC37" s="467"/>
      <c r="ID37" s="467"/>
      <c r="IE37" s="467"/>
      <c r="IF37" s="467"/>
      <c r="IG37" s="467"/>
      <c r="IH37" s="467"/>
      <c r="II37" s="467"/>
      <c r="IJ37" s="467"/>
      <c r="IK37" s="467"/>
      <c r="IL37" s="467"/>
      <c r="IM37" s="467"/>
      <c r="IN37" s="467"/>
      <c r="IO37" s="467"/>
      <c r="IP37" s="467"/>
      <c r="IQ37" s="467"/>
      <c r="IR37" s="467"/>
      <c r="IS37" s="467"/>
      <c r="IT37" s="467"/>
      <c r="IU37" s="467"/>
      <c r="IV37" s="467"/>
      <c r="IW37" s="467"/>
      <c r="IX37" s="467"/>
      <c r="IY37" s="467"/>
      <c r="IZ37" s="467"/>
      <c r="JA37" s="467"/>
      <c r="JB37" s="467"/>
      <c r="JC37" s="467"/>
      <c r="JD37" s="467"/>
      <c r="JE37" s="467"/>
      <c r="JF37" s="467"/>
      <c r="JG37" s="467"/>
      <c r="JH37" s="467"/>
      <c r="JI37" s="467"/>
      <c r="JJ37" s="467"/>
      <c r="JK37" s="467"/>
      <c r="JL37" s="467"/>
      <c r="JM37" s="467"/>
      <c r="JN37" s="487">
        <v>6502.7266470719997</v>
      </c>
      <c r="JO37" s="487">
        <v>1167.9249565999999</v>
      </c>
      <c r="JP37" s="487">
        <v>14732.083724098402</v>
      </c>
      <c r="JQ37" s="487">
        <v>0</v>
      </c>
      <c r="JR37" s="487">
        <v>34.1</v>
      </c>
      <c r="JS37" s="488">
        <v>22512.307927770402</v>
      </c>
      <c r="JT37" s="489">
        <f t="shared" si="10"/>
        <v>75.472600000001336</v>
      </c>
      <c r="JU37" s="487">
        <v>27014.769513324482</v>
      </c>
      <c r="JV37" s="487">
        <v>20207.308229848011</v>
      </c>
      <c r="JW37" s="487">
        <v>24248.769875817612</v>
      </c>
      <c r="JX37" s="487">
        <v>14361.780000000002</v>
      </c>
      <c r="JY37" s="487">
        <v>12891.300000000001</v>
      </c>
      <c r="JZ37" s="467"/>
      <c r="KA37" s="487">
        <v>12891.300000000001</v>
      </c>
      <c r="KB37" s="490">
        <v>0.15221355562652961</v>
      </c>
      <c r="KC37" s="487">
        <v>8.2066435788874514E-4</v>
      </c>
      <c r="KD37" s="487">
        <v>20207.307409183653</v>
      </c>
      <c r="KE37" s="487">
        <v>12891.300000000001</v>
      </c>
      <c r="KF37" s="487">
        <v>0</v>
      </c>
      <c r="KG37" s="491">
        <v>0</v>
      </c>
      <c r="KH37" s="487">
        <v>0</v>
      </c>
      <c r="KI37" s="487">
        <v>0</v>
      </c>
      <c r="KJ37" s="491">
        <v>0</v>
      </c>
      <c r="KK37" s="487">
        <v>0</v>
      </c>
      <c r="KL37" s="487">
        <v>0</v>
      </c>
      <c r="KM37" s="491">
        <v>0</v>
      </c>
      <c r="KN37" s="487">
        <v>0</v>
      </c>
      <c r="KO37" s="487">
        <v>20207.307409183653</v>
      </c>
      <c r="KP37" s="491">
        <v>1567.5151000429478</v>
      </c>
      <c r="KQ37" s="487">
        <v>12891.300000000001</v>
      </c>
      <c r="KR37" s="467"/>
      <c r="KS37" s="467"/>
      <c r="KT37" s="487">
        <v>8667.98</v>
      </c>
      <c r="KU37" s="487">
        <v>72.73</v>
      </c>
      <c r="KV37" s="467"/>
      <c r="KW37" s="487">
        <v>75.94</v>
      </c>
      <c r="KX37" s="487">
        <v>3.44</v>
      </c>
      <c r="KY37" s="487"/>
      <c r="KZ37" s="467"/>
      <c r="LA37" s="487">
        <v>4682</v>
      </c>
      <c r="LB37" s="492"/>
      <c r="LC37" s="493">
        <v>1.2999999999999999E-2</v>
      </c>
      <c r="LD37" s="494">
        <f t="shared" si="11"/>
        <v>27829.831848984137</v>
      </c>
      <c r="LE37" s="471">
        <f t="shared" si="12"/>
        <v>23191.526540820116</v>
      </c>
      <c r="LF37" s="495">
        <f t="shared" si="13"/>
        <v>15187.081675259062</v>
      </c>
      <c r="LG37" s="476">
        <f t="shared" si="14"/>
        <v>13167.283219376999</v>
      </c>
      <c r="LH37" s="496">
        <f t="shared" si="31"/>
        <v>1.03</v>
      </c>
      <c r="LI37" s="497">
        <f t="shared" si="15"/>
        <v>13167.283219376999</v>
      </c>
      <c r="LJ37" s="496">
        <f t="shared" si="32"/>
        <v>1.0389999999999999</v>
      </c>
      <c r="LK37" s="497">
        <f t="shared" si="16"/>
        <v>0</v>
      </c>
      <c r="LL37" s="496">
        <f t="shared" si="33"/>
        <v>1.0349999999999999</v>
      </c>
      <c r="LM37" s="497">
        <f t="shared" si="17"/>
        <v>0</v>
      </c>
      <c r="LN37" s="496">
        <f t="shared" si="34"/>
        <v>1.0349999999999999</v>
      </c>
      <c r="LO37" s="497">
        <f t="shared" si="18"/>
        <v>0</v>
      </c>
      <c r="LP37" s="496">
        <f t="shared" si="35"/>
        <v>1.0349999999999999</v>
      </c>
      <c r="LQ37" s="497">
        <f t="shared" si="19"/>
        <v>1334.6732053657579</v>
      </c>
      <c r="LR37" s="496">
        <f t="shared" si="36"/>
        <v>1.04</v>
      </c>
      <c r="LS37" s="497">
        <f t="shared" si="20"/>
        <v>685.12525051630394</v>
      </c>
      <c r="LT37" s="499">
        <f t="shared" si="21"/>
        <v>6688.7696564447288</v>
      </c>
      <c r="LU37" s="500">
        <f t="shared" si="22"/>
        <v>2048.0356441709996</v>
      </c>
      <c r="LV37" s="501">
        <f t="shared" si="23"/>
        <v>4640.7340122737287</v>
      </c>
      <c r="LW37" s="499">
        <f t="shared" si="24"/>
        <v>1204.9091091163259</v>
      </c>
      <c r="LX37" s="500">
        <f t="shared" si="25"/>
        <v>626.69890711632593</v>
      </c>
      <c r="LY37" s="500">
        <f t="shared" si="26"/>
        <v>0</v>
      </c>
      <c r="LZ37" s="502">
        <f t="shared" si="27"/>
        <v>578.21020199999987</v>
      </c>
      <c r="MA37" s="503">
        <f t="shared" si="28"/>
        <v>75.472600000001336</v>
      </c>
      <c r="MB37" s="504">
        <f t="shared" si="29"/>
        <v>35.293500000000002</v>
      </c>
    </row>
    <row r="38" spans="1:340" ht="16.5" customHeight="1">
      <c r="A38" s="505">
        <v>1</v>
      </c>
      <c r="B38" s="506">
        <v>28</v>
      </c>
      <c r="C38" s="507" t="s">
        <v>304</v>
      </c>
      <c r="D38" s="508">
        <v>4632033706</v>
      </c>
      <c r="E38" s="469">
        <f t="shared" si="3"/>
        <v>36458.100910890025</v>
      </c>
      <c r="F38" s="470" t="s">
        <v>281</v>
      </c>
      <c r="G38" s="595">
        <v>0</v>
      </c>
      <c r="H38" s="597">
        <f t="shared" si="30"/>
        <v>36458.100910890025</v>
      </c>
      <c r="I38" s="597" t="s">
        <v>859</v>
      </c>
      <c r="J38" s="509">
        <f t="shared" si="4"/>
        <v>30381.750759075021</v>
      </c>
      <c r="K38" s="510">
        <f t="shared" si="5"/>
        <v>12856.185949486395</v>
      </c>
      <c r="L38" s="511">
        <f t="shared" si="6"/>
        <v>0</v>
      </c>
      <c r="M38" s="512">
        <v>0</v>
      </c>
      <c r="N38" s="513">
        <v>0</v>
      </c>
      <c r="O38" s="513">
        <v>0</v>
      </c>
      <c r="P38" s="514">
        <v>0</v>
      </c>
      <c r="Q38" s="515">
        <v>11970.332441497198</v>
      </c>
      <c r="R38" s="516">
        <f t="shared" si="7"/>
        <v>885.85350798919785</v>
      </c>
      <c r="S38" s="517">
        <f t="shared" si="8"/>
        <v>8613.8676759299888</v>
      </c>
      <c r="T38" s="518">
        <v>4033.4543523877683</v>
      </c>
      <c r="U38" s="519">
        <v>4580.4133235422205</v>
      </c>
      <c r="V38" s="520">
        <f t="shared" si="9"/>
        <v>8758.9129484211062</v>
      </c>
      <c r="W38" s="521">
        <v>1218.103214421106</v>
      </c>
      <c r="X38" s="518">
        <v>7170.5949999999993</v>
      </c>
      <c r="Y38" s="522">
        <v>370.21473400000104</v>
      </c>
      <c r="Z38" s="523">
        <v>-364.49241484156073</v>
      </c>
      <c r="AA38" s="524">
        <v>517.27660007909208</v>
      </c>
      <c r="AB38" s="486"/>
      <c r="AC38" s="525">
        <v>0</v>
      </c>
      <c r="AD38" s="525">
        <v>0</v>
      </c>
      <c r="AE38" s="525">
        <v>0</v>
      </c>
      <c r="AF38" s="525">
        <v>0</v>
      </c>
      <c r="AG38" s="525">
        <v>0</v>
      </c>
      <c r="AH38" s="525">
        <v>11970.332441497198</v>
      </c>
      <c r="AI38" s="525">
        <v>11970.332441497198</v>
      </c>
      <c r="AJ38" s="525">
        <v>11968.013641497198</v>
      </c>
      <c r="AK38" s="525">
        <v>0</v>
      </c>
      <c r="AL38" s="525">
        <v>0</v>
      </c>
      <c r="AM38" s="525">
        <v>0</v>
      </c>
      <c r="AN38" s="525">
        <v>0</v>
      </c>
      <c r="AO38" s="525">
        <v>11968.013641497198</v>
      </c>
      <c r="AP38" s="525">
        <v>0</v>
      </c>
      <c r="AQ38" s="525">
        <v>0</v>
      </c>
      <c r="AR38" s="525">
        <v>0</v>
      </c>
      <c r="AS38" s="525">
        <v>11968.013641497198</v>
      </c>
      <c r="AT38" s="525">
        <v>7.48</v>
      </c>
      <c r="AU38" s="525">
        <v>1600.0018237295719</v>
      </c>
      <c r="AV38" s="525">
        <v>0</v>
      </c>
      <c r="AW38" s="525">
        <v>0</v>
      </c>
      <c r="AX38" s="525">
        <v>0</v>
      </c>
      <c r="AY38" s="525">
        <v>0</v>
      </c>
      <c r="AZ38" s="525">
        <v>0</v>
      </c>
      <c r="BA38" s="525">
        <v>2.3187999999999995</v>
      </c>
      <c r="BB38" s="525">
        <v>0.34099999999999997</v>
      </c>
      <c r="BC38" s="525">
        <v>0</v>
      </c>
      <c r="BD38" s="525">
        <v>0</v>
      </c>
      <c r="BE38" s="525">
        <v>0</v>
      </c>
      <c r="BF38" s="525">
        <v>0</v>
      </c>
      <c r="BG38" s="525">
        <v>0</v>
      </c>
      <c r="BH38" s="525">
        <v>0</v>
      </c>
      <c r="BI38" s="525">
        <v>0</v>
      </c>
      <c r="BJ38" s="525">
        <v>2.3187999999999995</v>
      </c>
      <c r="BK38" s="525">
        <v>6.7999999999999989</v>
      </c>
      <c r="BL38" s="525">
        <v>0.34099999999999997</v>
      </c>
      <c r="BM38" s="525">
        <v>0</v>
      </c>
      <c r="BN38" s="525">
        <v>0</v>
      </c>
      <c r="BO38" s="525">
        <v>0</v>
      </c>
      <c r="BP38" s="525">
        <v>0</v>
      </c>
      <c r="BQ38" s="525">
        <v>0</v>
      </c>
      <c r="BR38" s="525">
        <v>0</v>
      </c>
      <c r="BS38" s="525">
        <v>0</v>
      </c>
      <c r="BT38" s="525">
        <v>0</v>
      </c>
      <c r="BU38" s="525">
        <v>0</v>
      </c>
      <c r="BV38" s="525">
        <v>0</v>
      </c>
      <c r="BW38" s="525">
        <v>0</v>
      </c>
      <c r="BX38" s="525">
        <v>0</v>
      </c>
      <c r="BY38" s="525">
        <v>0</v>
      </c>
      <c r="BZ38" s="525">
        <v>0</v>
      </c>
      <c r="CA38" s="525">
        <v>0</v>
      </c>
      <c r="CB38" s="525">
        <v>0</v>
      </c>
      <c r="CC38" s="525">
        <v>0</v>
      </c>
      <c r="CD38" s="525">
        <v>0</v>
      </c>
      <c r="CE38" s="525">
        <v>0</v>
      </c>
      <c r="CF38" s="525">
        <v>0</v>
      </c>
      <c r="CG38" s="525">
        <v>0</v>
      </c>
      <c r="CH38" s="525">
        <v>0</v>
      </c>
      <c r="CI38" s="525">
        <v>0</v>
      </c>
      <c r="CJ38" s="525">
        <v>0</v>
      </c>
      <c r="CK38" s="525">
        <v>0</v>
      </c>
      <c r="CL38" s="525">
        <v>0</v>
      </c>
      <c r="CM38" s="525">
        <v>4033.4543523877683</v>
      </c>
      <c r="CN38" s="525">
        <v>3539.1921377274002</v>
      </c>
      <c r="CO38" s="525">
        <v>0</v>
      </c>
      <c r="CP38" s="525">
        <v>494.26221466036804</v>
      </c>
      <c r="CQ38" s="525">
        <v>0</v>
      </c>
      <c r="CR38" s="525">
        <v>0</v>
      </c>
      <c r="CS38" s="525">
        <v>1218.103214421106</v>
      </c>
      <c r="CT38" s="525">
        <v>1068.8360255936748</v>
      </c>
      <c r="CU38" s="525">
        <v>0</v>
      </c>
      <c r="CV38" s="525">
        <v>149.26718882743114</v>
      </c>
      <c r="CW38" s="525">
        <v>0</v>
      </c>
      <c r="CX38" s="525">
        <v>0</v>
      </c>
      <c r="CY38" s="525">
        <v>0</v>
      </c>
      <c r="CZ38" s="526"/>
      <c r="DA38" s="525">
        <v>0</v>
      </c>
      <c r="DB38" s="525">
        <v>0</v>
      </c>
      <c r="DC38" s="526"/>
      <c r="DD38" s="525">
        <v>0</v>
      </c>
      <c r="DE38" s="525">
        <v>885.85350798919785</v>
      </c>
      <c r="DF38" s="525">
        <v>0</v>
      </c>
      <c r="DG38" s="525">
        <v>436.38932976408006</v>
      </c>
      <c r="DH38" s="525">
        <v>0</v>
      </c>
      <c r="DI38" s="525">
        <v>0</v>
      </c>
      <c r="DJ38" s="525">
        <v>436.38932976408006</v>
      </c>
      <c r="DK38" s="525">
        <v>0</v>
      </c>
      <c r="DL38" s="525">
        <v>0</v>
      </c>
      <c r="DM38" s="525">
        <v>0</v>
      </c>
      <c r="DN38" s="525">
        <v>0</v>
      </c>
      <c r="DO38" s="525">
        <v>0</v>
      </c>
      <c r="DP38" s="525">
        <v>330.32889055397902</v>
      </c>
      <c r="DQ38" s="525">
        <v>0</v>
      </c>
      <c r="DR38" s="525">
        <v>0</v>
      </c>
      <c r="DS38" s="525">
        <v>0</v>
      </c>
      <c r="DT38" s="525">
        <v>330.32889055397902</v>
      </c>
      <c r="DU38" s="525">
        <v>65.359831491549301</v>
      </c>
      <c r="DV38" s="525">
        <v>0</v>
      </c>
      <c r="DW38" s="525">
        <v>0</v>
      </c>
      <c r="DX38" s="525">
        <v>0</v>
      </c>
      <c r="DY38" s="525">
        <v>0</v>
      </c>
      <c r="DZ38" s="525">
        <v>0</v>
      </c>
      <c r="EA38" s="525">
        <v>0</v>
      </c>
      <c r="EB38" s="525">
        <v>0</v>
      </c>
      <c r="EC38" s="525">
        <v>0</v>
      </c>
      <c r="ED38" s="525">
        <v>0</v>
      </c>
      <c r="EE38" s="525">
        <v>0</v>
      </c>
      <c r="EF38" s="525">
        <v>0</v>
      </c>
      <c r="EG38" s="525">
        <v>65.359831491549301</v>
      </c>
      <c r="EH38" s="525">
        <v>29.396260000000002</v>
      </c>
      <c r="EI38" s="525">
        <v>29.396260000000002</v>
      </c>
      <c r="EJ38" s="525">
        <v>0</v>
      </c>
      <c r="EK38" s="525">
        <v>0</v>
      </c>
      <c r="EL38" s="525">
        <v>22.700326602050701</v>
      </c>
      <c r="EM38" s="525">
        <v>14.976501946559996</v>
      </c>
      <c r="EN38" s="525">
        <v>0</v>
      </c>
      <c r="EO38" s="525">
        <v>15.42</v>
      </c>
      <c r="EP38" s="525">
        <v>3695.2384431840001</v>
      </c>
      <c r="EQ38" s="525">
        <v>3695.2384431840001</v>
      </c>
      <c r="ER38" s="525">
        <v>0</v>
      </c>
      <c r="ES38" s="525">
        <v>0</v>
      </c>
      <c r="ET38" s="525">
        <v>29.396260000000002</v>
      </c>
      <c r="EU38" s="525">
        <v>29.396260000000002</v>
      </c>
      <c r="EV38" s="525">
        <v>0</v>
      </c>
      <c r="EW38" s="525">
        <v>0</v>
      </c>
      <c r="EX38" s="525">
        <v>0</v>
      </c>
      <c r="EY38" s="525">
        <v>0</v>
      </c>
      <c r="EZ38" s="525">
        <v>0</v>
      </c>
      <c r="FA38" s="525">
        <v>0</v>
      </c>
      <c r="FB38" s="525">
        <v>325.39847400000002</v>
      </c>
      <c r="FC38" s="525">
        <v>0</v>
      </c>
      <c r="FD38" s="525">
        <v>15.98</v>
      </c>
      <c r="FE38" s="525">
        <v>0</v>
      </c>
      <c r="FF38" s="525">
        <v>309.418474</v>
      </c>
      <c r="FG38" s="525">
        <v>301.11700000000002</v>
      </c>
      <c r="FH38" s="525">
        <v>0.98147399999999996</v>
      </c>
      <c r="FI38" s="525">
        <v>7.3199999999999994</v>
      </c>
      <c r="FJ38" s="525">
        <v>0</v>
      </c>
      <c r="FK38" s="525">
        <v>0</v>
      </c>
      <c r="FL38" s="525">
        <v>0</v>
      </c>
      <c r="FM38" s="525">
        <v>7170.5949999999993</v>
      </c>
      <c r="FN38" s="525">
        <v>7170.5949999999993</v>
      </c>
      <c r="FO38" s="525">
        <v>0</v>
      </c>
      <c r="FP38" s="525">
        <v>0</v>
      </c>
      <c r="FQ38" s="525">
        <v>15.42</v>
      </c>
      <c r="FR38" s="525">
        <v>0</v>
      </c>
      <c r="FS38" s="527">
        <v>30228.96657383749</v>
      </c>
      <c r="FT38" s="525">
        <v>0</v>
      </c>
      <c r="FU38" s="525">
        <v>0</v>
      </c>
      <c r="FV38" s="525">
        <v>0</v>
      </c>
      <c r="FW38" s="525">
        <v>0</v>
      </c>
      <c r="FX38" s="525">
        <v>0</v>
      </c>
      <c r="FY38" s="525">
        <v>0</v>
      </c>
      <c r="FZ38" s="525">
        <v>0</v>
      </c>
      <c r="GA38" s="525">
        <v>0</v>
      </c>
      <c r="GB38" s="525">
        <v>0</v>
      </c>
      <c r="GC38" s="525">
        <v>0</v>
      </c>
      <c r="GD38" s="525">
        <v>0</v>
      </c>
      <c r="GE38" s="525">
        <v>0</v>
      </c>
      <c r="GF38" s="525">
        <v>0</v>
      </c>
      <c r="GG38" s="525">
        <v>0</v>
      </c>
      <c r="GH38" s="525">
        <v>517.27660007909208</v>
      </c>
      <c r="GI38" s="525">
        <v>517.27660007909208</v>
      </c>
      <c r="GJ38" s="526"/>
      <c r="GK38" s="525">
        <v>0</v>
      </c>
      <c r="GL38" s="526"/>
      <c r="GM38" s="525">
        <v>0</v>
      </c>
      <c r="GN38" s="525">
        <v>0</v>
      </c>
      <c r="GO38" s="526"/>
      <c r="GP38" s="526"/>
      <c r="GQ38" s="525">
        <v>0</v>
      </c>
      <c r="GR38" s="526"/>
      <c r="GS38" s="526"/>
      <c r="GT38" s="525">
        <v>0</v>
      </c>
      <c r="GU38" s="525">
        <v>0</v>
      </c>
      <c r="GV38" s="525">
        <v>0</v>
      </c>
      <c r="GW38" s="525">
        <v>0</v>
      </c>
      <c r="GX38" s="525">
        <v>0</v>
      </c>
      <c r="GY38" s="525">
        <v>0</v>
      </c>
      <c r="GZ38" s="525">
        <v>0</v>
      </c>
      <c r="HA38" s="525">
        <v>0</v>
      </c>
      <c r="HB38" s="525">
        <v>0</v>
      </c>
      <c r="HC38" s="525">
        <v>0</v>
      </c>
      <c r="HD38" s="525">
        <v>0</v>
      </c>
      <c r="HE38" s="525">
        <v>0</v>
      </c>
      <c r="HF38" s="525">
        <v>0</v>
      </c>
      <c r="HG38" s="525">
        <v>0</v>
      </c>
      <c r="HH38" s="525">
        <v>0</v>
      </c>
      <c r="HI38" s="525">
        <v>0</v>
      </c>
      <c r="HJ38" s="525">
        <v>0</v>
      </c>
      <c r="HK38" s="525">
        <v>0</v>
      </c>
      <c r="HL38" s="526"/>
      <c r="HM38" s="526"/>
      <c r="HN38" s="526"/>
      <c r="HO38" s="526"/>
      <c r="HP38" s="526"/>
      <c r="HQ38" s="526"/>
      <c r="HR38" s="526"/>
      <c r="HS38" s="526"/>
      <c r="HT38" s="526"/>
      <c r="HU38" s="526"/>
      <c r="HV38" s="526"/>
      <c r="HW38" s="526"/>
      <c r="HX38" s="526"/>
      <c r="HY38" s="526"/>
      <c r="HZ38" s="526"/>
      <c r="IA38" s="526"/>
      <c r="IB38" s="526"/>
      <c r="IC38" s="526"/>
      <c r="ID38" s="526"/>
      <c r="IE38" s="526"/>
      <c r="IF38" s="526"/>
      <c r="IG38" s="526"/>
      <c r="IH38" s="526"/>
      <c r="II38" s="526"/>
      <c r="IJ38" s="526"/>
      <c r="IK38" s="526"/>
      <c r="IL38" s="526"/>
      <c r="IM38" s="526"/>
      <c r="IN38" s="526"/>
      <c r="IO38" s="526"/>
      <c r="IP38" s="526"/>
      <c r="IQ38" s="526"/>
      <c r="IR38" s="526"/>
      <c r="IS38" s="526"/>
      <c r="IT38" s="526"/>
      <c r="IU38" s="526"/>
      <c r="IV38" s="526"/>
      <c r="IW38" s="526"/>
      <c r="IX38" s="526"/>
      <c r="IY38" s="526"/>
      <c r="IZ38" s="526"/>
      <c r="JA38" s="526"/>
      <c r="JB38" s="526"/>
      <c r="JC38" s="526"/>
      <c r="JD38" s="526"/>
      <c r="JE38" s="526"/>
      <c r="JF38" s="526"/>
      <c r="JG38" s="526"/>
      <c r="JH38" s="526"/>
      <c r="JI38" s="526"/>
      <c r="JJ38" s="526"/>
      <c r="JK38" s="526"/>
      <c r="JL38" s="526"/>
      <c r="JM38" s="526"/>
      <c r="JN38" s="525">
        <v>8613.8676759299888</v>
      </c>
      <c r="JO38" s="525">
        <v>8758.9129484211062</v>
      </c>
      <c r="JP38" s="525">
        <v>12856.185949486395</v>
      </c>
      <c r="JQ38" s="525">
        <v>0</v>
      </c>
      <c r="JR38" s="525">
        <v>517.27660007909208</v>
      </c>
      <c r="JS38" s="527">
        <v>30381.750759075021</v>
      </c>
      <c r="JT38" s="528">
        <f t="shared" si="10"/>
        <v>-364.49241484156073</v>
      </c>
      <c r="JU38" s="525">
        <v>36458.100910890025</v>
      </c>
      <c r="JV38" s="525">
        <v>30381.750759075021</v>
      </c>
      <c r="JW38" s="525">
        <v>36458.100910890025</v>
      </c>
      <c r="JX38" s="525">
        <v>191246.59999999998</v>
      </c>
      <c r="JY38" s="525">
        <v>191246.59999999998</v>
      </c>
      <c r="JZ38" s="526"/>
      <c r="KA38" s="525">
        <v>0</v>
      </c>
      <c r="KB38" s="529">
        <v>1.7111951174896718</v>
      </c>
      <c r="KC38" s="525">
        <v>8.2493875019281404E-2</v>
      </c>
      <c r="KD38" s="525">
        <v>30381.668265200002</v>
      </c>
      <c r="KE38" s="525">
        <v>191246.59999999998</v>
      </c>
      <c r="KF38" s="525">
        <v>30381.668265200002</v>
      </c>
      <c r="KG38" s="530">
        <v>158.86122035738154</v>
      </c>
      <c r="KH38" s="525">
        <v>191246.59999999998</v>
      </c>
      <c r="KI38" s="525">
        <v>0</v>
      </c>
      <c r="KJ38" s="530">
        <v>0</v>
      </c>
      <c r="KK38" s="525">
        <v>0</v>
      </c>
      <c r="KL38" s="525">
        <v>0</v>
      </c>
      <c r="KM38" s="530">
        <v>0</v>
      </c>
      <c r="KN38" s="525">
        <v>0</v>
      </c>
      <c r="KO38" s="525">
        <v>0</v>
      </c>
      <c r="KP38" s="530">
        <v>0</v>
      </c>
      <c r="KQ38" s="525">
        <v>0</v>
      </c>
      <c r="KR38" s="526"/>
      <c r="KS38" s="526"/>
      <c r="KT38" s="531"/>
      <c r="KU38" s="531"/>
      <c r="KV38" s="526"/>
      <c r="KW38" s="531">
        <v>24680.85</v>
      </c>
      <c r="KX38" s="531">
        <v>14.82</v>
      </c>
      <c r="KY38" s="531"/>
      <c r="KZ38" s="526"/>
      <c r="LA38" s="531"/>
      <c r="LB38" s="532"/>
      <c r="LC38" s="533"/>
      <c r="LD38" s="494">
        <f t="shared" si="11"/>
        <v>37679.366692455238</v>
      </c>
      <c r="LE38" s="509">
        <f t="shared" si="12"/>
        <v>31399.472243712702</v>
      </c>
      <c r="LF38" s="534">
        <f t="shared" si="13"/>
        <v>13310.581725258364</v>
      </c>
      <c r="LG38" s="535">
        <f t="shared" si="14"/>
        <v>0</v>
      </c>
      <c r="LH38" s="536">
        <f t="shared" si="31"/>
        <v>1.03</v>
      </c>
      <c r="LI38" s="537">
        <f t="shared" si="15"/>
        <v>0</v>
      </c>
      <c r="LJ38" s="536">
        <f t="shared" si="32"/>
        <v>1.0389999999999999</v>
      </c>
      <c r="LK38" s="537">
        <f t="shared" si="16"/>
        <v>0</v>
      </c>
      <c r="LL38" s="536">
        <f t="shared" si="33"/>
        <v>1.0349999999999999</v>
      </c>
      <c r="LM38" s="537">
        <f t="shared" si="17"/>
        <v>0</v>
      </c>
      <c r="LN38" s="536">
        <f t="shared" si="34"/>
        <v>1.0349999999999999</v>
      </c>
      <c r="LO38" s="537">
        <f t="shared" si="18"/>
        <v>0</v>
      </c>
      <c r="LP38" s="536">
        <f t="shared" si="35"/>
        <v>1.0349999999999999</v>
      </c>
      <c r="LQ38" s="537">
        <f t="shared" si="19"/>
        <v>12389.294076949598</v>
      </c>
      <c r="LR38" s="536">
        <f t="shared" si="36"/>
        <v>1.04</v>
      </c>
      <c r="LS38" s="537">
        <f t="shared" si="20"/>
        <v>921.28764830876582</v>
      </c>
      <c r="LT38" s="539">
        <f t="shared" si="21"/>
        <v>8860.3104301383464</v>
      </c>
      <c r="LU38" s="540">
        <f t="shared" si="22"/>
        <v>4148.8514814095824</v>
      </c>
      <c r="LV38" s="541">
        <f t="shared" si="23"/>
        <v>4711.4589487287631</v>
      </c>
      <c r="LW38" s="542">
        <f t="shared" si="24"/>
        <v>9057.6912220756931</v>
      </c>
      <c r="LX38" s="540">
        <f t="shared" si="25"/>
        <v>1252.9531473856939</v>
      </c>
      <c r="LY38" s="540">
        <f t="shared" si="26"/>
        <v>7421.5658249999988</v>
      </c>
      <c r="LZ38" s="543">
        <f t="shared" si="27"/>
        <v>383.17224969000102</v>
      </c>
      <c r="MA38" s="544">
        <f t="shared" si="28"/>
        <v>-364.49241484156073</v>
      </c>
      <c r="MB38" s="545">
        <f t="shared" si="29"/>
        <v>535.38128108186027</v>
      </c>
    </row>
    <row r="39" spans="1:340" ht="16.5" customHeight="1">
      <c r="A39" s="465">
        <v>1</v>
      </c>
      <c r="B39" s="466">
        <v>29</v>
      </c>
      <c r="C39" s="467" t="s">
        <v>40</v>
      </c>
      <c r="D39" s="468">
        <v>4626003929</v>
      </c>
      <c r="E39" s="469">
        <f t="shared" si="3"/>
        <v>7815.748961696685</v>
      </c>
      <c r="F39" s="470" t="s">
        <v>287</v>
      </c>
      <c r="G39" s="595">
        <v>7815.7303799999991</v>
      </c>
      <c r="H39" s="595">
        <f t="shared" si="30"/>
        <v>1.8581696685942006E-2</v>
      </c>
      <c r="I39" s="595"/>
      <c r="J39" s="471">
        <f t="shared" si="4"/>
        <v>7815.748961696685</v>
      </c>
      <c r="K39" s="472">
        <f t="shared" si="5"/>
        <v>4719.7253425399995</v>
      </c>
      <c r="L39" s="473">
        <f t="shared" si="6"/>
        <v>4050.2205531599998</v>
      </c>
      <c r="M39" s="474">
        <v>4050.2205531599998</v>
      </c>
      <c r="N39" s="475">
        <v>0</v>
      </c>
      <c r="O39" s="475">
        <v>0</v>
      </c>
      <c r="P39" s="476">
        <v>0</v>
      </c>
      <c r="Q39" s="477">
        <v>619.95457538000005</v>
      </c>
      <c r="R39" s="478">
        <f t="shared" si="7"/>
        <v>49.550213999999997</v>
      </c>
      <c r="S39" s="479">
        <f t="shared" si="8"/>
        <v>2101.4549999999999</v>
      </c>
      <c r="T39" s="479">
        <v>1720.98</v>
      </c>
      <c r="U39" s="480">
        <v>380.47499999999991</v>
      </c>
      <c r="V39" s="481">
        <f t="shared" si="9"/>
        <v>626.82461915668614</v>
      </c>
      <c r="W39" s="482">
        <v>519.73447999999996</v>
      </c>
      <c r="X39" s="479">
        <v>0</v>
      </c>
      <c r="Y39" s="483">
        <v>107.09013915668618</v>
      </c>
      <c r="Z39" s="484">
        <v>286.86399999999969</v>
      </c>
      <c r="AA39" s="485">
        <v>80.88</v>
      </c>
      <c r="AB39" s="486"/>
      <c r="AC39" s="487">
        <v>4050.2205531599998</v>
      </c>
      <c r="AD39" s="487">
        <v>4050.2205531599998</v>
      </c>
      <c r="AE39" s="487">
        <v>0</v>
      </c>
      <c r="AF39" s="487">
        <v>0</v>
      </c>
      <c r="AG39" s="487">
        <v>0</v>
      </c>
      <c r="AH39" s="487">
        <v>619.95457538000005</v>
      </c>
      <c r="AI39" s="487">
        <v>0</v>
      </c>
      <c r="AJ39" s="487">
        <v>0</v>
      </c>
      <c r="AK39" s="487">
        <v>0</v>
      </c>
      <c r="AL39" s="487">
        <v>0</v>
      </c>
      <c r="AM39" s="487">
        <v>0</v>
      </c>
      <c r="AN39" s="487">
        <v>0</v>
      </c>
      <c r="AO39" s="487">
        <v>0</v>
      </c>
      <c r="AP39" s="487">
        <v>0</v>
      </c>
      <c r="AQ39" s="487">
        <v>0</v>
      </c>
      <c r="AR39" s="487">
        <v>0</v>
      </c>
      <c r="AS39" s="487">
        <v>0</v>
      </c>
      <c r="AT39" s="487">
        <v>0</v>
      </c>
      <c r="AU39" s="487">
        <v>0</v>
      </c>
      <c r="AV39" s="487">
        <v>0</v>
      </c>
      <c r="AW39" s="487">
        <v>0</v>
      </c>
      <c r="AX39" s="487">
        <v>0</v>
      </c>
      <c r="AY39" s="487">
        <v>0</v>
      </c>
      <c r="AZ39" s="487">
        <v>0</v>
      </c>
      <c r="BA39" s="487">
        <v>0</v>
      </c>
      <c r="BB39" s="487">
        <v>0</v>
      </c>
      <c r="BC39" s="487">
        <v>0</v>
      </c>
      <c r="BD39" s="487">
        <v>0</v>
      </c>
      <c r="BE39" s="487">
        <v>0</v>
      </c>
      <c r="BF39" s="487">
        <v>0</v>
      </c>
      <c r="BG39" s="487">
        <v>0</v>
      </c>
      <c r="BH39" s="487">
        <v>0</v>
      </c>
      <c r="BI39" s="487">
        <v>0</v>
      </c>
      <c r="BJ39" s="487">
        <v>0</v>
      </c>
      <c r="BK39" s="487">
        <v>0</v>
      </c>
      <c r="BL39" s="487">
        <v>0</v>
      </c>
      <c r="BM39" s="487">
        <v>0</v>
      </c>
      <c r="BN39" s="487">
        <v>0</v>
      </c>
      <c r="BO39" s="487">
        <v>0</v>
      </c>
      <c r="BP39" s="487">
        <v>0</v>
      </c>
      <c r="BQ39" s="487">
        <v>0</v>
      </c>
      <c r="BR39" s="487">
        <v>0</v>
      </c>
      <c r="BS39" s="487">
        <v>0</v>
      </c>
      <c r="BT39" s="487">
        <v>0</v>
      </c>
      <c r="BU39" s="487">
        <v>0</v>
      </c>
      <c r="BV39" s="487">
        <v>0</v>
      </c>
      <c r="BW39" s="487">
        <v>0</v>
      </c>
      <c r="BX39" s="487">
        <v>0</v>
      </c>
      <c r="BY39" s="487">
        <v>0</v>
      </c>
      <c r="BZ39" s="487">
        <v>0</v>
      </c>
      <c r="CA39" s="487">
        <v>0</v>
      </c>
      <c r="CB39" s="487">
        <v>619.95457538000005</v>
      </c>
      <c r="CC39" s="487">
        <v>0</v>
      </c>
      <c r="CD39" s="487">
        <v>619.95457538000005</v>
      </c>
      <c r="CE39" s="487">
        <v>63.158200000000001</v>
      </c>
      <c r="CF39" s="487">
        <v>0</v>
      </c>
      <c r="CG39" s="487">
        <v>619.95457538000005</v>
      </c>
      <c r="CH39" s="487">
        <v>9.815900000000001</v>
      </c>
      <c r="CI39" s="487">
        <v>63.158200000000001</v>
      </c>
      <c r="CJ39" s="487">
        <v>0</v>
      </c>
      <c r="CK39" s="487">
        <v>0</v>
      </c>
      <c r="CL39" s="487">
        <v>0</v>
      </c>
      <c r="CM39" s="487">
        <v>1720.98</v>
      </c>
      <c r="CN39" s="487">
        <v>1154.74</v>
      </c>
      <c r="CO39" s="487">
        <v>0</v>
      </c>
      <c r="CP39" s="487">
        <v>141.56</v>
      </c>
      <c r="CQ39" s="487">
        <v>424.68</v>
      </c>
      <c r="CR39" s="487">
        <v>0</v>
      </c>
      <c r="CS39" s="487">
        <v>519.73447999999996</v>
      </c>
      <c r="CT39" s="487">
        <v>348.72999999999996</v>
      </c>
      <c r="CU39" s="487">
        <v>0</v>
      </c>
      <c r="CV39" s="487">
        <v>42.751119999999993</v>
      </c>
      <c r="CW39" s="487">
        <v>128.25335999999999</v>
      </c>
      <c r="CX39" s="487">
        <v>0</v>
      </c>
      <c r="CY39" s="487">
        <v>49.550213999999997</v>
      </c>
      <c r="CZ39" s="467"/>
      <c r="DA39" s="487">
        <v>1.6193999999999997</v>
      </c>
      <c r="DB39" s="487">
        <v>0</v>
      </c>
      <c r="DC39" s="467"/>
      <c r="DD39" s="487">
        <v>0</v>
      </c>
      <c r="DE39" s="487">
        <v>0</v>
      </c>
      <c r="DF39" s="487">
        <v>0</v>
      </c>
      <c r="DG39" s="487">
        <v>178.10599999999997</v>
      </c>
      <c r="DH39" s="487">
        <v>38.07</v>
      </c>
      <c r="DI39" s="487">
        <v>0</v>
      </c>
      <c r="DJ39" s="487">
        <v>140.036</v>
      </c>
      <c r="DK39" s="487">
        <v>0</v>
      </c>
      <c r="DL39" s="487">
        <v>0</v>
      </c>
      <c r="DM39" s="487">
        <v>0</v>
      </c>
      <c r="DN39" s="487">
        <v>0</v>
      </c>
      <c r="DO39" s="487">
        <v>0</v>
      </c>
      <c r="DP39" s="487">
        <v>0</v>
      </c>
      <c r="DQ39" s="487">
        <v>0</v>
      </c>
      <c r="DR39" s="487">
        <v>0</v>
      </c>
      <c r="DS39" s="487">
        <v>0</v>
      </c>
      <c r="DT39" s="487">
        <v>0</v>
      </c>
      <c r="DU39" s="487">
        <v>154.35999999999999</v>
      </c>
      <c r="DV39" s="487">
        <v>46.16</v>
      </c>
      <c r="DW39" s="487">
        <v>0</v>
      </c>
      <c r="DX39" s="487">
        <v>0</v>
      </c>
      <c r="DY39" s="487">
        <v>0</v>
      </c>
      <c r="DZ39" s="487">
        <v>0</v>
      </c>
      <c r="EA39" s="487">
        <v>0</v>
      </c>
      <c r="EB39" s="487">
        <v>0</v>
      </c>
      <c r="EC39" s="487">
        <v>0</v>
      </c>
      <c r="ED39" s="487">
        <v>0</v>
      </c>
      <c r="EE39" s="487">
        <v>0</v>
      </c>
      <c r="EF39" s="487">
        <v>0</v>
      </c>
      <c r="EG39" s="487">
        <v>108.2</v>
      </c>
      <c r="EH39" s="487">
        <v>16.670139156686101</v>
      </c>
      <c r="EI39" s="487">
        <v>0</v>
      </c>
      <c r="EJ39" s="487">
        <v>16.670139156686101</v>
      </c>
      <c r="EK39" s="487">
        <v>0</v>
      </c>
      <c r="EL39" s="487">
        <v>2.698</v>
      </c>
      <c r="EM39" s="487">
        <v>45.311</v>
      </c>
      <c r="EN39" s="487">
        <v>0</v>
      </c>
      <c r="EO39" s="487">
        <v>0</v>
      </c>
      <c r="EP39" s="487">
        <v>0</v>
      </c>
      <c r="EQ39" s="487">
        <v>0</v>
      </c>
      <c r="ER39" s="487">
        <v>0</v>
      </c>
      <c r="ES39" s="487">
        <v>0</v>
      </c>
      <c r="ET39" s="487">
        <v>16.670139156686101</v>
      </c>
      <c r="EU39" s="487">
        <v>16.670139156686101</v>
      </c>
      <c r="EV39" s="487">
        <v>0</v>
      </c>
      <c r="EW39" s="487">
        <v>0</v>
      </c>
      <c r="EX39" s="487">
        <v>0</v>
      </c>
      <c r="EY39" s="487">
        <v>0</v>
      </c>
      <c r="EZ39" s="487">
        <v>0</v>
      </c>
      <c r="FA39" s="487">
        <v>0</v>
      </c>
      <c r="FB39" s="487">
        <v>90.420000000000016</v>
      </c>
      <c r="FC39" s="487">
        <v>0.19</v>
      </c>
      <c r="FD39" s="487">
        <v>5.6</v>
      </c>
      <c r="FE39" s="487">
        <v>9.34</v>
      </c>
      <c r="FF39" s="487">
        <v>75.290000000000006</v>
      </c>
      <c r="FG39" s="487">
        <v>0</v>
      </c>
      <c r="FH39" s="487">
        <v>0</v>
      </c>
      <c r="FI39" s="487">
        <v>0</v>
      </c>
      <c r="FJ39" s="487">
        <v>0</v>
      </c>
      <c r="FK39" s="487">
        <v>75.290000000000006</v>
      </c>
      <c r="FL39" s="487">
        <v>0</v>
      </c>
      <c r="FM39" s="487">
        <v>0</v>
      </c>
      <c r="FN39" s="487">
        <v>0</v>
      </c>
      <c r="FO39" s="487">
        <v>0</v>
      </c>
      <c r="FP39" s="487">
        <v>0</v>
      </c>
      <c r="FQ39" s="487">
        <v>0</v>
      </c>
      <c r="FR39" s="487">
        <v>0</v>
      </c>
      <c r="FS39" s="488">
        <v>7448.0049616966853</v>
      </c>
      <c r="FT39" s="487">
        <v>0</v>
      </c>
      <c r="FU39" s="487">
        <v>0</v>
      </c>
      <c r="FV39" s="487">
        <v>0</v>
      </c>
      <c r="FW39" s="487">
        <v>0</v>
      </c>
      <c r="FX39" s="487">
        <v>0</v>
      </c>
      <c r="FY39" s="487">
        <v>0</v>
      </c>
      <c r="FZ39" s="487">
        <v>0</v>
      </c>
      <c r="GA39" s="487">
        <v>0</v>
      </c>
      <c r="GB39" s="487">
        <v>0</v>
      </c>
      <c r="GC39" s="487">
        <v>0</v>
      </c>
      <c r="GD39" s="487">
        <v>0</v>
      </c>
      <c r="GE39" s="487">
        <v>0</v>
      </c>
      <c r="GF39" s="487">
        <v>0</v>
      </c>
      <c r="GG39" s="487">
        <v>0</v>
      </c>
      <c r="GH39" s="487">
        <v>80.88</v>
      </c>
      <c r="GI39" s="487">
        <v>0</v>
      </c>
      <c r="GJ39" s="467"/>
      <c r="GK39" s="487">
        <v>80.88</v>
      </c>
      <c r="GL39" s="467"/>
      <c r="GM39" s="487">
        <v>0</v>
      </c>
      <c r="GN39" s="487">
        <v>0</v>
      </c>
      <c r="GO39" s="467"/>
      <c r="GP39" s="467"/>
      <c r="GQ39" s="487">
        <v>0</v>
      </c>
      <c r="GR39" s="467"/>
      <c r="GS39" s="467"/>
      <c r="GT39" s="487">
        <v>0</v>
      </c>
      <c r="GU39" s="487">
        <v>0</v>
      </c>
      <c r="GV39" s="487">
        <v>0</v>
      </c>
      <c r="GW39" s="487">
        <v>0</v>
      </c>
      <c r="GX39" s="487">
        <v>0</v>
      </c>
      <c r="GY39" s="487">
        <v>0</v>
      </c>
      <c r="GZ39" s="487">
        <v>0</v>
      </c>
      <c r="HA39" s="487">
        <v>0</v>
      </c>
      <c r="HB39" s="487">
        <v>0</v>
      </c>
      <c r="HC39" s="487">
        <v>0</v>
      </c>
      <c r="HD39" s="487">
        <v>0</v>
      </c>
      <c r="HE39" s="487">
        <v>0</v>
      </c>
      <c r="HF39" s="487">
        <v>0</v>
      </c>
      <c r="HG39" s="487">
        <v>0</v>
      </c>
      <c r="HH39" s="487">
        <v>0</v>
      </c>
      <c r="HI39" s="487">
        <v>0</v>
      </c>
      <c r="HJ39" s="487">
        <v>0</v>
      </c>
      <c r="HK39" s="487">
        <v>0</v>
      </c>
      <c r="HL39" s="467"/>
      <c r="HM39" s="467"/>
      <c r="HN39" s="467"/>
      <c r="HO39" s="467"/>
      <c r="HP39" s="467"/>
      <c r="HQ39" s="467"/>
      <c r="HR39" s="467"/>
      <c r="HS39" s="467"/>
      <c r="HT39" s="467"/>
      <c r="HU39" s="467"/>
      <c r="HV39" s="467"/>
      <c r="HW39" s="467"/>
      <c r="HX39" s="467"/>
      <c r="HY39" s="467"/>
      <c r="HZ39" s="467"/>
      <c r="IA39" s="467"/>
      <c r="IB39" s="467"/>
      <c r="IC39" s="467"/>
      <c r="ID39" s="467"/>
      <c r="IE39" s="467"/>
      <c r="IF39" s="467"/>
      <c r="IG39" s="467"/>
      <c r="IH39" s="467"/>
      <c r="II39" s="467"/>
      <c r="IJ39" s="467"/>
      <c r="IK39" s="467"/>
      <c r="IL39" s="467"/>
      <c r="IM39" s="467"/>
      <c r="IN39" s="467"/>
      <c r="IO39" s="467"/>
      <c r="IP39" s="467"/>
      <c r="IQ39" s="467"/>
      <c r="IR39" s="467"/>
      <c r="IS39" s="467"/>
      <c r="IT39" s="467"/>
      <c r="IU39" s="467"/>
      <c r="IV39" s="467"/>
      <c r="IW39" s="467"/>
      <c r="IX39" s="467"/>
      <c r="IY39" s="467"/>
      <c r="IZ39" s="467"/>
      <c r="JA39" s="467"/>
      <c r="JB39" s="467"/>
      <c r="JC39" s="467"/>
      <c r="JD39" s="467"/>
      <c r="JE39" s="467"/>
      <c r="JF39" s="467"/>
      <c r="JG39" s="467"/>
      <c r="JH39" s="467"/>
      <c r="JI39" s="467"/>
      <c r="JJ39" s="467"/>
      <c r="JK39" s="467"/>
      <c r="JL39" s="467"/>
      <c r="JM39" s="467"/>
      <c r="JN39" s="487">
        <v>2101.4549999999999</v>
      </c>
      <c r="JO39" s="487">
        <v>626.82461915668614</v>
      </c>
      <c r="JP39" s="487">
        <v>4719.7253425399995</v>
      </c>
      <c r="JQ39" s="487">
        <v>0</v>
      </c>
      <c r="JR39" s="487">
        <v>80.88</v>
      </c>
      <c r="JS39" s="488">
        <v>7815.748961696685</v>
      </c>
      <c r="JT39" s="489">
        <f t="shared" si="10"/>
        <v>286.86399999999969</v>
      </c>
      <c r="JU39" s="487">
        <v>7815.748961696685</v>
      </c>
      <c r="JV39" s="487">
        <v>7815.748961696685</v>
      </c>
      <c r="JW39" s="487">
        <v>7815.748961696685</v>
      </c>
      <c r="JX39" s="487">
        <v>3554</v>
      </c>
      <c r="JY39" s="487">
        <v>3554</v>
      </c>
      <c r="JZ39" s="467"/>
      <c r="KA39" s="487">
        <v>3554</v>
      </c>
      <c r="KB39" s="490">
        <v>1.0859283850634709</v>
      </c>
      <c r="KC39" s="487">
        <v>1.8581696684123017E-2</v>
      </c>
      <c r="KD39" s="487">
        <v>7815.7303800000009</v>
      </c>
      <c r="KE39" s="487">
        <v>3554</v>
      </c>
      <c r="KF39" s="487">
        <v>0</v>
      </c>
      <c r="KG39" s="491">
        <v>0</v>
      </c>
      <c r="KH39" s="487">
        <v>0</v>
      </c>
      <c r="KI39" s="487">
        <v>5314.7135109999999</v>
      </c>
      <c r="KJ39" s="491">
        <v>2194.8475132668445</v>
      </c>
      <c r="KK39" s="487">
        <v>2421.4499999999998</v>
      </c>
      <c r="KL39" s="487">
        <v>2480.3066980000003</v>
      </c>
      <c r="KM39" s="491">
        <v>2208.3485714285721</v>
      </c>
      <c r="KN39" s="487">
        <v>1123.1499999999999</v>
      </c>
      <c r="KO39" s="487">
        <v>20.710171000000003</v>
      </c>
      <c r="KP39" s="491">
        <v>2203.2096808510641</v>
      </c>
      <c r="KQ39" s="487">
        <v>9.4</v>
      </c>
      <c r="KR39" s="467"/>
      <c r="KS39" s="467"/>
      <c r="KT39" s="487">
        <v>1579.7</v>
      </c>
      <c r="KU39" s="487">
        <v>90</v>
      </c>
      <c r="KV39" s="467"/>
      <c r="KW39" s="487">
        <v>341</v>
      </c>
      <c r="KX39" s="487">
        <v>2.6</v>
      </c>
      <c r="KY39" s="487">
        <v>0.14000000000000001</v>
      </c>
      <c r="KZ39" s="467"/>
      <c r="LA39" s="487">
        <v>1567</v>
      </c>
      <c r="LB39" s="492">
        <v>239</v>
      </c>
      <c r="LC39" s="493">
        <v>0.14099999999999999</v>
      </c>
      <c r="LD39" s="494">
        <f t="shared" si="11"/>
        <v>8042.5071828830687</v>
      </c>
      <c r="LE39" s="471">
        <f t="shared" si="12"/>
        <v>8042.5071828830687</v>
      </c>
      <c r="LF39" s="495">
        <f t="shared" si="13"/>
        <v>4864.9123778330995</v>
      </c>
      <c r="LG39" s="476">
        <f t="shared" si="14"/>
        <v>4171.7271697547994</v>
      </c>
      <c r="LH39" s="496">
        <f t="shared" si="31"/>
        <v>1.03</v>
      </c>
      <c r="LI39" s="497">
        <f t="shared" si="15"/>
        <v>4171.7271697547994</v>
      </c>
      <c r="LJ39" s="496">
        <f t="shared" si="32"/>
        <v>1.0389999999999999</v>
      </c>
      <c r="LK39" s="497">
        <f t="shared" si="16"/>
        <v>0</v>
      </c>
      <c r="LL39" s="496">
        <f t="shared" si="33"/>
        <v>1.0349999999999999</v>
      </c>
      <c r="LM39" s="497">
        <f t="shared" si="17"/>
        <v>0</v>
      </c>
      <c r="LN39" s="496">
        <f t="shared" si="34"/>
        <v>1.0349999999999999</v>
      </c>
      <c r="LO39" s="497">
        <f t="shared" si="18"/>
        <v>0</v>
      </c>
      <c r="LP39" s="496">
        <f t="shared" si="35"/>
        <v>1.0349999999999999</v>
      </c>
      <c r="LQ39" s="497">
        <f t="shared" si="19"/>
        <v>641.65298551830006</v>
      </c>
      <c r="LR39" s="496">
        <f t="shared" si="36"/>
        <v>1.04</v>
      </c>
      <c r="LS39" s="497">
        <f t="shared" si="20"/>
        <v>51.532222560000001</v>
      </c>
      <c r="LT39" s="499">
        <f t="shared" si="21"/>
        <v>2161.5776275499998</v>
      </c>
      <c r="LU39" s="500">
        <f t="shared" si="22"/>
        <v>1770.2172377999998</v>
      </c>
      <c r="LV39" s="501">
        <f t="shared" si="23"/>
        <v>391.36038974999985</v>
      </c>
      <c r="LW39" s="499">
        <f t="shared" si="24"/>
        <v>645.44237749997012</v>
      </c>
      <c r="LX39" s="500">
        <f t="shared" si="25"/>
        <v>534.60408347279997</v>
      </c>
      <c r="LY39" s="500">
        <f t="shared" si="26"/>
        <v>0</v>
      </c>
      <c r="LZ39" s="502">
        <f t="shared" si="27"/>
        <v>110.83829402717018</v>
      </c>
      <c r="MA39" s="503">
        <f t="shared" si="28"/>
        <v>286.86399999999969</v>
      </c>
      <c r="MB39" s="504">
        <f t="shared" si="29"/>
        <v>83.710799999999992</v>
      </c>
    </row>
    <row r="40" spans="1:340" ht="16.5" customHeight="1">
      <c r="A40" s="505">
        <v>1</v>
      </c>
      <c r="B40" s="506">
        <v>30</v>
      </c>
      <c r="C40" s="507" t="s">
        <v>284</v>
      </c>
      <c r="D40" s="508">
        <v>4607005286</v>
      </c>
      <c r="E40" s="469">
        <f t="shared" si="3"/>
        <v>617.16251999999997</v>
      </c>
      <c r="F40" s="470" t="s">
        <v>287</v>
      </c>
      <c r="G40" s="595">
        <v>0</v>
      </c>
      <c r="H40" s="597">
        <f t="shared" si="30"/>
        <v>617.16251999999997</v>
      </c>
      <c r="I40" s="597" t="s">
        <v>859</v>
      </c>
      <c r="J40" s="509">
        <f t="shared" si="4"/>
        <v>617.16251999999997</v>
      </c>
      <c r="K40" s="510">
        <f t="shared" si="5"/>
        <v>157.553</v>
      </c>
      <c r="L40" s="511">
        <f t="shared" si="6"/>
        <v>0</v>
      </c>
      <c r="M40" s="512">
        <v>0</v>
      </c>
      <c r="N40" s="513">
        <v>0</v>
      </c>
      <c r="O40" s="513">
        <v>0</v>
      </c>
      <c r="P40" s="514">
        <v>0</v>
      </c>
      <c r="Q40" s="515">
        <v>157.553</v>
      </c>
      <c r="R40" s="516">
        <f t="shared" si="7"/>
        <v>0</v>
      </c>
      <c r="S40" s="517">
        <f t="shared" si="8"/>
        <v>353.39</v>
      </c>
      <c r="T40" s="518">
        <v>285.76</v>
      </c>
      <c r="U40" s="519">
        <v>67.63</v>
      </c>
      <c r="V40" s="520">
        <f t="shared" si="9"/>
        <v>86.299519999999987</v>
      </c>
      <c r="W40" s="521">
        <v>86.299519999999987</v>
      </c>
      <c r="X40" s="518">
        <v>0</v>
      </c>
      <c r="Y40" s="522">
        <v>0</v>
      </c>
      <c r="Z40" s="523">
        <v>0</v>
      </c>
      <c r="AA40" s="524">
        <v>19.920000000000002</v>
      </c>
      <c r="AB40" s="486"/>
      <c r="AC40" s="525">
        <v>0</v>
      </c>
      <c r="AD40" s="525">
        <v>0</v>
      </c>
      <c r="AE40" s="525">
        <v>0</v>
      </c>
      <c r="AF40" s="525">
        <v>0</v>
      </c>
      <c r="AG40" s="525">
        <v>0</v>
      </c>
      <c r="AH40" s="525">
        <v>157.553</v>
      </c>
      <c r="AI40" s="525">
        <v>157.553</v>
      </c>
      <c r="AJ40" s="525">
        <v>0</v>
      </c>
      <c r="AK40" s="525">
        <v>0</v>
      </c>
      <c r="AL40" s="525">
        <v>0</v>
      </c>
      <c r="AM40" s="525">
        <v>0</v>
      </c>
      <c r="AN40" s="525">
        <v>0</v>
      </c>
      <c r="AO40" s="525">
        <v>0</v>
      </c>
      <c r="AP40" s="525">
        <v>0</v>
      </c>
      <c r="AQ40" s="525">
        <v>0</v>
      </c>
      <c r="AR40" s="525">
        <v>0</v>
      </c>
      <c r="AS40" s="525">
        <v>0</v>
      </c>
      <c r="AT40" s="525">
        <v>0</v>
      </c>
      <c r="AU40" s="525">
        <v>0</v>
      </c>
      <c r="AV40" s="525">
        <v>0</v>
      </c>
      <c r="AW40" s="525">
        <v>0</v>
      </c>
      <c r="AX40" s="525">
        <v>0</v>
      </c>
      <c r="AY40" s="525">
        <v>0</v>
      </c>
      <c r="AZ40" s="525">
        <v>157.553</v>
      </c>
      <c r="BA40" s="525">
        <v>0</v>
      </c>
      <c r="BB40" s="525">
        <v>0</v>
      </c>
      <c r="BC40" s="525">
        <v>0</v>
      </c>
      <c r="BD40" s="525">
        <v>0</v>
      </c>
      <c r="BE40" s="525">
        <v>0</v>
      </c>
      <c r="BF40" s="525">
        <v>0</v>
      </c>
      <c r="BG40" s="525">
        <v>0</v>
      </c>
      <c r="BH40" s="525">
        <v>0</v>
      </c>
      <c r="BI40" s="525">
        <v>0</v>
      </c>
      <c r="BJ40" s="525">
        <v>0</v>
      </c>
      <c r="BK40" s="525">
        <v>0</v>
      </c>
      <c r="BL40" s="525">
        <v>0</v>
      </c>
      <c r="BM40" s="525">
        <v>0</v>
      </c>
      <c r="BN40" s="525">
        <v>0</v>
      </c>
      <c r="BO40" s="525">
        <v>0</v>
      </c>
      <c r="BP40" s="525">
        <v>0</v>
      </c>
      <c r="BQ40" s="525">
        <v>0</v>
      </c>
      <c r="BR40" s="525">
        <v>0</v>
      </c>
      <c r="BS40" s="525">
        <v>0</v>
      </c>
      <c r="BT40" s="525">
        <v>0</v>
      </c>
      <c r="BU40" s="525">
        <v>0</v>
      </c>
      <c r="BV40" s="525">
        <v>0</v>
      </c>
      <c r="BW40" s="525">
        <v>0</v>
      </c>
      <c r="BX40" s="525">
        <v>0</v>
      </c>
      <c r="BY40" s="525">
        <v>0</v>
      </c>
      <c r="BZ40" s="525">
        <v>0</v>
      </c>
      <c r="CA40" s="525">
        <v>0</v>
      </c>
      <c r="CB40" s="525">
        <v>0</v>
      </c>
      <c r="CC40" s="525">
        <v>0</v>
      </c>
      <c r="CD40" s="525">
        <v>0</v>
      </c>
      <c r="CE40" s="525">
        <v>0</v>
      </c>
      <c r="CF40" s="525">
        <v>0</v>
      </c>
      <c r="CG40" s="525">
        <v>0</v>
      </c>
      <c r="CH40" s="525">
        <v>0</v>
      </c>
      <c r="CI40" s="525">
        <v>0</v>
      </c>
      <c r="CJ40" s="525">
        <v>0</v>
      </c>
      <c r="CK40" s="525">
        <v>0</v>
      </c>
      <c r="CL40" s="525">
        <v>0</v>
      </c>
      <c r="CM40" s="525">
        <v>285.76</v>
      </c>
      <c r="CN40" s="525">
        <v>285.76</v>
      </c>
      <c r="CO40" s="525">
        <v>0</v>
      </c>
      <c r="CP40" s="525">
        <v>0</v>
      </c>
      <c r="CQ40" s="525">
        <v>0</v>
      </c>
      <c r="CR40" s="525">
        <v>0</v>
      </c>
      <c r="CS40" s="525">
        <v>86.299519999999987</v>
      </c>
      <c r="CT40" s="525">
        <v>86.299519999999987</v>
      </c>
      <c r="CU40" s="525">
        <v>0</v>
      </c>
      <c r="CV40" s="525">
        <v>0</v>
      </c>
      <c r="CW40" s="525">
        <v>0</v>
      </c>
      <c r="CX40" s="525">
        <v>0</v>
      </c>
      <c r="CY40" s="525">
        <v>0</v>
      </c>
      <c r="CZ40" s="526"/>
      <c r="DA40" s="525">
        <v>0</v>
      </c>
      <c r="DB40" s="525">
        <v>0</v>
      </c>
      <c r="DC40" s="526"/>
      <c r="DD40" s="525">
        <v>0</v>
      </c>
      <c r="DE40" s="525">
        <v>0</v>
      </c>
      <c r="DF40" s="525">
        <v>0</v>
      </c>
      <c r="DG40" s="525">
        <v>67.63000000000001</v>
      </c>
      <c r="DH40" s="525">
        <v>0</v>
      </c>
      <c r="DI40" s="525">
        <v>0</v>
      </c>
      <c r="DJ40" s="525">
        <v>67.63000000000001</v>
      </c>
      <c r="DK40" s="525">
        <v>0</v>
      </c>
      <c r="DL40" s="525">
        <v>0</v>
      </c>
      <c r="DM40" s="525">
        <v>0</v>
      </c>
      <c r="DN40" s="525">
        <v>0</v>
      </c>
      <c r="DO40" s="525">
        <v>0</v>
      </c>
      <c r="DP40" s="525">
        <v>0</v>
      </c>
      <c r="DQ40" s="525">
        <v>0</v>
      </c>
      <c r="DR40" s="525">
        <v>0</v>
      </c>
      <c r="DS40" s="525">
        <v>0</v>
      </c>
      <c r="DT40" s="525">
        <v>0</v>
      </c>
      <c r="DU40" s="525">
        <v>0</v>
      </c>
      <c r="DV40" s="525">
        <v>0</v>
      </c>
      <c r="DW40" s="525">
        <v>0</v>
      </c>
      <c r="DX40" s="525">
        <v>0</v>
      </c>
      <c r="DY40" s="525">
        <v>0</v>
      </c>
      <c r="DZ40" s="525">
        <v>0</v>
      </c>
      <c r="EA40" s="525">
        <v>0</v>
      </c>
      <c r="EB40" s="525">
        <v>0</v>
      </c>
      <c r="EC40" s="525">
        <v>0</v>
      </c>
      <c r="ED40" s="525">
        <v>0</v>
      </c>
      <c r="EE40" s="525">
        <v>0</v>
      </c>
      <c r="EF40" s="525">
        <v>0</v>
      </c>
      <c r="EG40" s="525">
        <v>0</v>
      </c>
      <c r="EH40" s="525">
        <v>0</v>
      </c>
      <c r="EI40" s="525">
        <v>0</v>
      </c>
      <c r="EJ40" s="525">
        <v>0</v>
      </c>
      <c r="EK40" s="525">
        <v>0</v>
      </c>
      <c r="EL40" s="525">
        <v>0</v>
      </c>
      <c r="EM40" s="525">
        <v>0</v>
      </c>
      <c r="EN40" s="525">
        <v>0</v>
      </c>
      <c r="EO40" s="525">
        <v>0</v>
      </c>
      <c r="EP40" s="525">
        <v>0</v>
      </c>
      <c r="EQ40" s="525">
        <v>0</v>
      </c>
      <c r="ER40" s="525">
        <v>0</v>
      </c>
      <c r="ES40" s="525">
        <v>0</v>
      </c>
      <c r="ET40" s="525">
        <v>0</v>
      </c>
      <c r="EU40" s="525">
        <v>0</v>
      </c>
      <c r="EV40" s="525">
        <v>0</v>
      </c>
      <c r="EW40" s="525">
        <v>0</v>
      </c>
      <c r="EX40" s="525">
        <v>0</v>
      </c>
      <c r="EY40" s="525">
        <v>0</v>
      </c>
      <c r="EZ40" s="525">
        <v>0</v>
      </c>
      <c r="FA40" s="525">
        <v>0</v>
      </c>
      <c r="FB40" s="525">
        <v>0</v>
      </c>
      <c r="FC40" s="525">
        <v>0</v>
      </c>
      <c r="FD40" s="525">
        <v>0</v>
      </c>
      <c r="FE40" s="525">
        <v>0</v>
      </c>
      <c r="FF40" s="525">
        <v>0</v>
      </c>
      <c r="FG40" s="525">
        <v>0</v>
      </c>
      <c r="FH40" s="525">
        <v>0</v>
      </c>
      <c r="FI40" s="525">
        <v>0</v>
      </c>
      <c r="FJ40" s="525">
        <v>0</v>
      </c>
      <c r="FK40" s="525">
        <v>0</v>
      </c>
      <c r="FL40" s="525">
        <v>0</v>
      </c>
      <c r="FM40" s="525">
        <v>0</v>
      </c>
      <c r="FN40" s="525">
        <v>0</v>
      </c>
      <c r="FO40" s="525">
        <v>0</v>
      </c>
      <c r="FP40" s="525">
        <v>0</v>
      </c>
      <c r="FQ40" s="525">
        <v>0</v>
      </c>
      <c r="FR40" s="525">
        <v>0</v>
      </c>
      <c r="FS40" s="527">
        <v>597.24252000000001</v>
      </c>
      <c r="FT40" s="525">
        <v>0</v>
      </c>
      <c r="FU40" s="525">
        <v>0</v>
      </c>
      <c r="FV40" s="525">
        <v>0</v>
      </c>
      <c r="FW40" s="525">
        <v>0</v>
      </c>
      <c r="FX40" s="525">
        <v>0</v>
      </c>
      <c r="FY40" s="525">
        <v>0</v>
      </c>
      <c r="FZ40" s="525">
        <v>0</v>
      </c>
      <c r="GA40" s="525">
        <v>0</v>
      </c>
      <c r="GB40" s="525">
        <v>0</v>
      </c>
      <c r="GC40" s="525">
        <v>0</v>
      </c>
      <c r="GD40" s="525">
        <v>0</v>
      </c>
      <c r="GE40" s="525">
        <v>0</v>
      </c>
      <c r="GF40" s="525">
        <v>0</v>
      </c>
      <c r="GG40" s="525">
        <v>0</v>
      </c>
      <c r="GH40" s="525">
        <v>19.920000000000002</v>
      </c>
      <c r="GI40" s="525">
        <v>0</v>
      </c>
      <c r="GJ40" s="526"/>
      <c r="GK40" s="525">
        <v>19.920000000000002</v>
      </c>
      <c r="GL40" s="526"/>
      <c r="GM40" s="525">
        <v>0</v>
      </c>
      <c r="GN40" s="525">
        <v>0</v>
      </c>
      <c r="GO40" s="526"/>
      <c r="GP40" s="526"/>
      <c r="GQ40" s="525">
        <v>0</v>
      </c>
      <c r="GR40" s="526"/>
      <c r="GS40" s="526"/>
      <c r="GT40" s="525">
        <v>0</v>
      </c>
      <c r="GU40" s="525">
        <v>0</v>
      </c>
      <c r="GV40" s="525">
        <v>0</v>
      </c>
      <c r="GW40" s="525">
        <v>0</v>
      </c>
      <c r="GX40" s="525">
        <v>0</v>
      </c>
      <c r="GY40" s="525">
        <v>0</v>
      </c>
      <c r="GZ40" s="525">
        <v>0</v>
      </c>
      <c r="HA40" s="525">
        <v>0</v>
      </c>
      <c r="HB40" s="525">
        <v>0</v>
      </c>
      <c r="HC40" s="525">
        <v>0</v>
      </c>
      <c r="HD40" s="525">
        <v>0</v>
      </c>
      <c r="HE40" s="525">
        <v>0</v>
      </c>
      <c r="HF40" s="525">
        <v>0</v>
      </c>
      <c r="HG40" s="525">
        <v>0</v>
      </c>
      <c r="HH40" s="525">
        <v>0</v>
      </c>
      <c r="HI40" s="525">
        <v>0</v>
      </c>
      <c r="HJ40" s="525">
        <v>0</v>
      </c>
      <c r="HK40" s="525">
        <v>0</v>
      </c>
      <c r="HL40" s="526"/>
      <c r="HM40" s="526"/>
      <c r="HN40" s="526"/>
      <c r="HO40" s="526"/>
      <c r="HP40" s="526"/>
      <c r="HQ40" s="526"/>
      <c r="HR40" s="526"/>
      <c r="HS40" s="526"/>
      <c r="HT40" s="526"/>
      <c r="HU40" s="526"/>
      <c r="HV40" s="526"/>
      <c r="HW40" s="526"/>
      <c r="HX40" s="526"/>
      <c r="HY40" s="526"/>
      <c r="HZ40" s="526"/>
      <c r="IA40" s="526"/>
      <c r="IB40" s="526"/>
      <c r="IC40" s="526"/>
      <c r="ID40" s="526"/>
      <c r="IE40" s="526"/>
      <c r="IF40" s="526"/>
      <c r="IG40" s="526"/>
      <c r="IH40" s="526"/>
      <c r="II40" s="526"/>
      <c r="IJ40" s="526"/>
      <c r="IK40" s="526"/>
      <c r="IL40" s="526"/>
      <c r="IM40" s="526"/>
      <c r="IN40" s="526"/>
      <c r="IO40" s="526"/>
      <c r="IP40" s="526"/>
      <c r="IQ40" s="526"/>
      <c r="IR40" s="526"/>
      <c r="IS40" s="526"/>
      <c r="IT40" s="526"/>
      <c r="IU40" s="526"/>
      <c r="IV40" s="526"/>
      <c r="IW40" s="526"/>
      <c r="IX40" s="526"/>
      <c r="IY40" s="526"/>
      <c r="IZ40" s="526"/>
      <c r="JA40" s="526"/>
      <c r="JB40" s="526"/>
      <c r="JC40" s="526"/>
      <c r="JD40" s="526"/>
      <c r="JE40" s="526"/>
      <c r="JF40" s="526"/>
      <c r="JG40" s="526"/>
      <c r="JH40" s="526"/>
      <c r="JI40" s="526"/>
      <c r="JJ40" s="526"/>
      <c r="JK40" s="526"/>
      <c r="JL40" s="526"/>
      <c r="JM40" s="526"/>
      <c r="JN40" s="525">
        <v>353.39</v>
      </c>
      <c r="JO40" s="525">
        <v>86.299519999999987</v>
      </c>
      <c r="JP40" s="525">
        <v>157.553</v>
      </c>
      <c r="JQ40" s="525">
        <v>0</v>
      </c>
      <c r="JR40" s="525">
        <v>19.920000000000002</v>
      </c>
      <c r="JS40" s="527">
        <v>617.16251999999997</v>
      </c>
      <c r="JT40" s="528">
        <f t="shared" si="10"/>
        <v>0</v>
      </c>
      <c r="JU40" s="525">
        <v>617.16251999999997</v>
      </c>
      <c r="JV40" s="525">
        <v>617.16251999999997</v>
      </c>
      <c r="JW40" s="525">
        <v>617.16251999999997</v>
      </c>
      <c r="JX40" s="525">
        <v>865.88</v>
      </c>
      <c r="JY40" s="525">
        <v>865.88</v>
      </c>
      <c r="JZ40" s="526"/>
      <c r="KA40" s="525">
        <v>0</v>
      </c>
      <c r="KB40" s="529">
        <v>3.3353285027328603</v>
      </c>
      <c r="KC40" s="525">
        <v>-2.0018000000163738E-3</v>
      </c>
      <c r="KD40" s="525">
        <v>617.16452179999999</v>
      </c>
      <c r="KE40" s="525">
        <v>865.88</v>
      </c>
      <c r="KF40" s="525">
        <v>617.16452179999999</v>
      </c>
      <c r="KG40" s="530">
        <v>712.75987642629468</v>
      </c>
      <c r="KH40" s="525">
        <v>865.88</v>
      </c>
      <c r="KI40" s="525">
        <v>0</v>
      </c>
      <c r="KJ40" s="530">
        <v>0</v>
      </c>
      <c r="KK40" s="525">
        <v>0</v>
      </c>
      <c r="KL40" s="525">
        <v>0</v>
      </c>
      <c r="KM40" s="530">
        <v>0</v>
      </c>
      <c r="KN40" s="525">
        <v>0</v>
      </c>
      <c r="KO40" s="525">
        <v>0</v>
      </c>
      <c r="KP40" s="530">
        <v>0</v>
      </c>
      <c r="KQ40" s="525">
        <v>0</v>
      </c>
      <c r="KR40" s="526"/>
      <c r="KS40" s="526"/>
      <c r="KT40" s="531"/>
      <c r="KU40" s="531"/>
      <c r="KV40" s="526"/>
      <c r="KW40" s="531">
        <v>2.2429999999999999</v>
      </c>
      <c r="KX40" s="531">
        <v>1.68</v>
      </c>
      <c r="KY40" s="531">
        <v>7.1999999999999995E-2</v>
      </c>
      <c r="KZ40" s="526"/>
      <c r="LA40" s="531"/>
      <c r="LB40" s="532"/>
      <c r="LC40" s="533"/>
      <c r="LD40" s="494">
        <f t="shared" si="11"/>
        <v>635.95359216719999</v>
      </c>
      <c r="LE40" s="509">
        <f t="shared" si="12"/>
        <v>635.95359216719999</v>
      </c>
      <c r="LF40" s="534">
        <f t="shared" si="13"/>
        <v>163.06735499999999</v>
      </c>
      <c r="LG40" s="535">
        <f t="shared" si="14"/>
        <v>0</v>
      </c>
      <c r="LH40" s="536">
        <f t="shared" si="31"/>
        <v>1.03</v>
      </c>
      <c r="LI40" s="537">
        <f t="shared" si="15"/>
        <v>0</v>
      </c>
      <c r="LJ40" s="536">
        <f t="shared" si="32"/>
        <v>1.0389999999999999</v>
      </c>
      <c r="LK40" s="537">
        <f t="shared" si="16"/>
        <v>0</v>
      </c>
      <c r="LL40" s="536">
        <f t="shared" si="33"/>
        <v>1.0349999999999999</v>
      </c>
      <c r="LM40" s="537">
        <f t="shared" si="17"/>
        <v>0</v>
      </c>
      <c r="LN40" s="536">
        <f t="shared" si="34"/>
        <v>1.0349999999999999</v>
      </c>
      <c r="LO40" s="537">
        <f t="shared" si="18"/>
        <v>0</v>
      </c>
      <c r="LP40" s="536">
        <f t="shared" si="35"/>
        <v>1.0349999999999999</v>
      </c>
      <c r="LQ40" s="537">
        <f t="shared" si="19"/>
        <v>163.06735499999999</v>
      </c>
      <c r="LR40" s="536">
        <f t="shared" si="36"/>
        <v>1.04</v>
      </c>
      <c r="LS40" s="537">
        <f t="shared" si="20"/>
        <v>0</v>
      </c>
      <c r="LT40" s="539">
        <f t="shared" si="21"/>
        <v>363.5004879</v>
      </c>
      <c r="LU40" s="540">
        <f t="shared" si="22"/>
        <v>293.9355936</v>
      </c>
      <c r="LV40" s="541">
        <f t="shared" si="23"/>
        <v>69.564894299999992</v>
      </c>
      <c r="LW40" s="542">
        <f t="shared" si="24"/>
        <v>88.768549267199973</v>
      </c>
      <c r="LX40" s="540">
        <f t="shared" si="25"/>
        <v>88.768549267199973</v>
      </c>
      <c r="LY40" s="540">
        <f t="shared" si="26"/>
        <v>0</v>
      </c>
      <c r="LZ40" s="543">
        <f t="shared" si="27"/>
        <v>0</v>
      </c>
      <c r="MA40" s="544">
        <f t="shared" si="28"/>
        <v>0</v>
      </c>
      <c r="MB40" s="545">
        <f t="shared" si="29"/>
        <v>20.6172</v>
      </c>
    </row>
    <row r="41" spans="1:340" ht="16.5" customHeight="1">
      <c r="A41" s="465">
        <v>1</v>
      </c>
      <c r="B41" s="466">
        <v>31</v>
      </c>
      <c r="C41" s="467" t="s">
        <v>24</v>
      </c>
      <c r="D41" s="468">
        <v>4616008283</v>
      </c>
      <c r="E41" s="469">
        <f t="shared" si="3"/>
        <v>30900.637913402003</v>
      </c>
      <c r="F41" s="470" t="s">
        <v>287</v>
      </c>
      <c r="G41" s="595">
        <v>30900.634901399993</v>
      </c>
      <c r="H41" s="595">
        <f t="shared" si="30"/>
        <v>3.0120020091999322E-3</v>
      </c>
      <c r="I41" s="595"/>
      <c r="J41" s="471">
        <f t="shared" si="4"/>
        <v>30900.637913402003</v>
      </c>
      <c r="K41" s="472">
        <f t="shared" si="5"/>
        <v>16385.823833401999</v>
      </c>
      <c r="L41" s="473">
        <f t="shared" si="6"/>
        <v>13977.996862280001</v>
      </c>
      <c r="M41" s="474">
        <v>13977.996862280001</v>
      </c>
      <c r="N41" s="475">
        <v>0</v>
      </c>
      <c r="O41" s="475">
        <v>0</v>
      </c>
      <c r="P41" s="476">
        <v>0</v>
      </c>
      <c r="Q41" s="477">
        <v>1958.089618622</v>
      </c>
      <c r="R41" s="478">
        <f t="shared" si="7"/>
        <v>449.73735249999999</v>
      </c>
      <c r="S41" s="479">
        <f t="shared" si="8"/>
        <v>9164.2380000000012</v>
      </c>
      <c r="T41" s="479">
        <v>5917.04</v>
      </c>
      <c r="U41" s="480">
        <v>3247.1980000000012</v>
      </c>
      <c r="V41" s="481">
        <f t="shared" si="9"/>
        <v>1982.4860799999997</v>
      </c>
      <c r="W41" s="482">
        <v>1786.9460799999997</v>
      </c>
      <c r="X41" s="479">
        <v>0</v>
      </c>
      <c r="Y41" s="483">
        <v>195.53999999999996</v>
      </c>
      <c r="Z41" s="484">
        <v>2694.7600000000039</v>
      </c>
      <c r="AA41" s="485">
        <v>673.33</v>
      </c>
      <c r="AB41" s="486"/>
      <c r="AC41" s="487">
        <v>13977.996862280001</v>
      </c>
      <c r="AD41" s="487">
        <v>13977.996862280001</v>
      </c>
      <c r="AE41" s="487">
        <v>0</v>
      </c>
      <c r="AF41" s="487">
        <v>0</v>
      </c>
      <c r="AG41" s="487">
        <v>0</v>
      </c>
      <c r="AH41" s="487">
        <v>1958.089618622</v>
      </c>
      <c r="AI41" s="487">
        <v>1958.089618622</v>
      </c>
      <c r="AJ41" s="487">
        <v>0</v>
      </c>
      <c r="AK41" s="487">
        <v>0</v>
      </c>
      <c r="AL41" s="487">
        <v>0</v>
      </c>
      <c r="AM41" s="487">
        <v>0</v>
      </c>
      <c r="AN41" s="487">
        <v>0</v>
      </c>
      <c r="AO41" s="487">
        <v>0</v>
      </c>
      <c r="AP41" s="487">
        <v>0</v>
      </c>
      <c r="AQ41" s="487">
        <v>0</v>
      </c>
      <c r="AR41" s="487">
        <v>0</v>
      </c>
      <c r="AS41" s="487">
        <v>0</v>
      </c>
      <c r="AT41" s="487">
        <v>0</v>
      </c>
      <c r="AU41" s="487">
        <v>0</v>
      </c>
      <c r="AV41" s="487">
        <v>0</v>
      </c>
      <c r="AW41" s="487">
        <v>0</v>
      </c>
      <c r="AX41" s="487">
        <v>0</v>
      </c>
      <c r="AY41" s="487">
        <v>0</v>
      </c>
      <c r="AZ41" s="487">
        <v>0</v>
      </c>
      <c r="BA41" s="487">
        <v>1958.089618622</v>
      </c>
      <c r="BB41" s="487">
        <v>221.03826999999998</v>
      </c>
      <c r="BC41" s="487">
        <v>0</v>
      </c>
      <c r="BD41" s="487">
        <v>1958.089618622</v>
      </c>
      <c r="BE41" s="487">
        <v>8.8586000000000009</v>
      </c>
      <c r="BF41" s="487">
        <v>221.03826999999998</v>
      </c>
      <c r="BG41" s="487">
        <v>0</v>
      </c>
      <c r="BH41" s="487">
        <v>0</v>
      </c>
      <c r="BI41" s="487">
        <v>0</v>
      </c>
      <c r="BJ41" s="487">
        <v>0</v>
      </c>
      <c r="BK41" s="487">
        <v>0</v>
      </c>
      <c r="BL41" s="487">
        <v>0</v>
      </c>
      <c r="BM41" s="487">
        <v>0</v>
      </c>
      <c r="BN41" s="487">
        <v>0</v>
      </c>
      <c r="BO41" s="487">
        <v>0</v>
      </c>
      <c r="BP41" s="487">
        <v>0</v>
      </c>
      <c r="BQ41" s="487">
        <v>0</v>
      </c>
      <c r="BR41" s="487">
        <v>0</v>
      </c>
      <c r="BS41" s="487">
        <v>0</v>
      </c>
      <c r="BT41" s="487">
        <v>0</v>
      </c>
      <c r="BU41" s="487">
        <v>0</v>
      </c>
      <c r="BV41" s="487">
        <v>0</v>
      </c>
      <c r="BW41" s="487">
        <v>0</v>
      </c>
      <c r="BX41" s="487">
        <v>0</v>
      </c>
      <c r="BY41" s="487">
        <v>0</v>
      </c>
      <c r="BZ41" s="487">
        <v>0</v>
      </c>
      <c r="CA41" s="487">
        <v>0</v>
      </c>
      <c r="CB41" s="487">
        <v>0</v>
      </c>
      <c r="CC41" s="487">
        <v>0</v>
      </c>
      <c r="CD41" s="487">
        <v>0</v>
      </c>
      <c r="CE41" s="487">
        <v>0</v>
      </c>
      <c r="CF41" s="487">
        <v>0</v>
      </c>
      <c r="CG41" s="487">
        <v>0</v>
      </c>
      <c r="CH41" s="487">
        <v>0</v>
      </c>
      <c r="CI41" s="487">
        <v>0</v>
      </c>
      <c r="CJ41" s="487">
        <v>0</v>
      </c>
      <c r="CK41" s="487">
        <v>0</v>
      </c>
      <c r="CL41" s="487">
        <v>0</v>
      </c>
      <c r="CM41" s="487">
        <v>5917.04</v>
      </c>
      <c r="CN41" s="487">
        <v>3222.2400000000002</v>
      </c>
      <c r="CO41" s="487">
        <v>0</v>
      </c>
      <c r="CP41" s="487">
        <v>587.4</v>
      </c>
      <c r="CQ41" s="487">
        <v>2107.4</v>
      </c>
      <c r="CR41" s="487">
        <v>0</v>
      </c>
      <c r="CS41" s="487">
        <v>1786.9460799999997</v>
      </c>
      <c r="CT41" s="487">
        <v>973.11647999999991</v>
      </c>
      <c r="CU41" s="487">
        <v>0</v>
      </c>
      <c r="CV41" s="487">
        <v>177.3948</v>
      </c>
      <c r="CW41" s="487">
        <v>636.43479999999988</v>
      </c>
      <c r="CX41" s="487">
        <v>0</v>
      </c>
      <c r="CY41" s="487">
        <v>449.73735249999999</v>
      </c>
      <c r="CZ41" s="467"/>
      <c r="DA41" s="487">
        <v>8.94679</v>
      </c>
      <c r="DB41" s="487">
        <v>0</v>
      </c>
      <c r="DC41" s="467"/>
      <c r="DD41" s="487">
        <v>0</v>
      </c>
      <c r="DE41" s="487">
        <v>0</v>
      </c>
      <c r="DF41" s="487">
        <v>0</v>
      </c>
      <c r="DG41" s="487">
        <v>1373.578</v>
      </c>
      <c r="DH41" s="487">
        <v>0</v>
      </c>
      <c r="DI41" s="487">
        <v>0</v>
      </c>
      <c r="DJ41" s="487">
        <v>1373.578</v>
      </c>
      <c r="DK41" s="487">
        <v>0</v>
      </c>
      <c r="DL41" s="487">
        <v>0</v>
      </c>
      <c r="DM41" s="487">
        <v>0</v>
      </c>
      <c r="DN41" s="487">
        <v>0</v>
      </c>
      <c r="DO41" s="487">
        <v>0</v>
      </c>
      <c r="DP41" s="487">
        <v>600</v>
      </c>
      <c r="DQ41" s="487">
        <v>0</v>
      </c>
      <c r="DR41" s="487">
        <v>0</v>
      </c>
      <c r="DS41" s="487">
        <v>0</v>
      </c>
      <c r="DT41" s="487">
        <v>600</v>
      </c>
      <c r="DU41" s="487">
        <v>0</v>
      </c>
      <c r="DV41" s="487">
        <v>0</v>
      </c>
      <c r="DW41" s="487">
        <v>0</v>
      </c>
      <c r="DX41" s="487">
        <v>0</v>
      </c>
      <c r="DY41" s="487">
        <v>0</v>
      </c>
      <c r="DZ41" s="487">
        <v>0</v>
      </c>
      <c r="EA41" s="487">
        <v>0</v>
      </c>
      <c r="EB41" s="487">
        <v>0</v>
      </c>
      <c r="EC41" s="487">
        <v>0</v>
      </c>
      <c r="ED41" s="487">
        <v>0</v>
      </c>
      <c r="EE41" s="487">
        <v>0</v>
      </c>
      <c r="EF41" s="487">
        <v>0</v>
      </c>
      <c r="EG41" s="487">
        <v>0</v>
      </c>
      <c r="EH41" s="487">
        <v>0</v>
      </c>
      <c r="EI41" s="487">
        <v>0</v>
      </c>
      <c r="EJ41" s="487">
        <v>0</v>
      </c>
      <c r="EK41" s="487">
        <v>0</v>
      </c>
      <c r="EL41" s="487">
        <v>0</v>
      </c>
      <c r="EM41" s="487">
        <v>0</v>
      </c>
      <c r="EN41" s="487">
        <v>0</v>
      </c>
      <c r="EO41" s="487">
        <v>0</v>
      </c>
      <c r="EP41" s="487">
        <v>1273.6199999999999</v>
      </c>
      <c r="EQ41" s="487">
        <v>0</v>
      </c>
      <c r="ER41" s="487">
        <v>1273.6199999999999</v>
      </c>
      <c r="ES41" s="487">
        <v>0</v>
      </c>
      <c r="ET41" s="487">
        <v>0</v>
      </c>
      <c r="EU41" s="487">
        <v>0</v>
      </c>
      <c r="EV41" s="487">
        <v>0</v>
      </c>
      <c r="EW41" s="487">
        <v>153.19999999999999</v>
      </c>
      <c r="EX41" s="487">
        <v>0</v>
      </c>
      <c r="EY41" s="487">
        <v>0</v>
      </c>
      <c r="EZ41" s="487">
        <v>0</v>
      </c>
      <c r="FA41" s="487">
        <v>0</v>
      </c>
      <c r="FB41" s="487">
        <v>42.34</v>
      </c>
      <c r="FC41" s="487">
        <v>0</v>
      </c>
      <c r="FD41" s="487">
        <v>25</v>
      </c>
      <c r="FE41" s="487">
        <v>0</v>
      </c>
      <c r="FF41" s="487">
        <v>17.34</v>
      </c>
      <c r="FG41" s="487">
        <v>0</v>
      </c>
      <c r="FH41" s="487">
        <v>0</v>
      </c>
      <c r="FI41" s="487">
        <v>17.34</v>
      </c>
      <c r="FJ41" s="487">
        <v>0</v>
      </c>
      <c r="FK41" s="487">
        <v>0</v>
      </c>
      <c r="FL41" s="487">
        <v>0</v>
      </c>
      <c r="FM41" s="487">
        <v>0</v>
      </c>
      <c r="FN41" s="487">
        <v>0</v>
      </c>
      <c r="FO41" s="487">
        <v>0</v>
      </c>
      <c r="FP41" s="487">
        <v>0</v>
      </c>
      <c r="FQ41" s="487">
        <v>0</v>
      </c>
      <c r="FR41" s="487">
        <v>0</v>
      </c>
      <c r="FS41" s="488">
        <v>27532.547913401999</v>
      </c>
      <c r="FT41" s="487">
        <v>0</v>
      </c>
      <c r="FU41" s="487">
        <v>0</v>
      </c>
      <c r="FV41" s="487">
        <v>0</v>
      </c>
      <c r="FW41" s="487">
        <v>0</v>
      </c>
      <c r="FX41" s="487">
        <v>0</v>
      </c>
      <c r="FY41" s="487">
        <v>0</v>
      </c>
      <c r="FZ41" s="487">
        <v>0</v>
      </c>
      <c r="GA41" s="487">
        <v>0</v>
      </c>
      <c r="GB41" s="487">
        <v>0</v>
      </c>
      <c r="GC41" s="487">
        <v>0</v>
      </c>
      <c r="GD41" s="487">
        <v>0</v>
      </c>
      <c r="GE41" s="487">
        <v>0</v>
      </c>
      <c r="GF41" s="487">
        <v>0</v>
      </c>
      <c r="GG41" s="487">
        <v>0</v>
      </c>
      <c r="GH41" s="487">
        <v>673.33</v>
      </c>
      <c r="GI41" s="487">
        <v>0</v>
      </c>
      <c r="GJ41" s="467"/>
      <c r="GK41" s="487">
        <v>673.33</v>
      </c>
      <c r="GL41" s="467"/>
      <c r="GM41" s="487">
        <v>0</v>
      </c>
      <c r="GN41" s="487">
        <v>0</v>
      </c>
      <c r="GO41" s="467"/>
      <c r="GP41" s="467"/>
      <c r="GQ41" s="487">
        <v>0</v>
      </c>
      <c r="GR41" s="467"/>
      <c r="GS41" s="467"/>
      <c r="GT41" s="487">
        <v>0</v>
      </c>
      <c r="GU41" s="487">
        <v>0</v>
      </c>
      <c r="GV41" s="487">
        <v>0</v>
      </c>
      <c r="GW41" s="487">
        <v>0</v>
      </c>
      <c r="GX41" s="487">
        <v>0</v>
      </c>
      <c r="GY41" s="487">
        <v>0</v>
      </c>
      <c r="GZ41" s="487">
        <v>0</v>
      </c>
      <c r="HA41" s="487">
        <v>0</v>
      </c>
      <c r="HB41" s="487">
        <v>0</v>
      </c>
      <c r="HC41" s="487">
        <v>0</v>
      </c>
      <c r="HD41" s="487">
        <v>0</v>
      </c>
      <c r="HE41" s="487">
        <v>0</v>
      </c>
      <c r="HF41" s="487">
        <v>0</v>
      </c>
      <c r="HG41" s="487">
        <v>0</v>
      </c>
      <c r="HH41" s="487">
        <v>0</v>
      </c>
      <c r="HI41" s="487">
        <v>0</v>
      </c>
      <c r="HJ41" s="487">
        <v>0</v>
      </c>
      <c r="HK41" s="487">
        <v>0</v>
      </c>
      <c r="HL41" s="467"/>
      <c r="HM41" s="467"/>
      <c r="HN41" s="467"/>
      <c r="HO41" s="467"/>
      <c r="HP41" s="467"/>
      <c r="HQ41" s="467"/>
      <c r="HR41" s="467"/>
      <c r="HS41" s="467"/>
      <c r="HT41" s="467"/>
      <c r="HU41" s="467"/>
      <c r="HV41" s="467"/>
      <c r="HW41" s="467"/>
      <c r="HX41" s="467"/>
      <c r="HY41" s="467"/>
      <c r="HZ41" s="467"/>
      <c r="IA41" s="467"/>
      <c r="IB41" s="467"/>
      <c r="IC41" s="467"/>
      <c r="ID41" s="467"/>
      <c r="IE41" s="467"/>
      <c r="IF41" s="467"/>
      <c r="IG41" s="467"/>
      <c r="IH41" s="467"/>
      <c r="II41" s="467"/>
      <c r="IJ41" s="467"/>
      <c r="IK41" s="467"/>
      <c r="IL41" s="467"/>
      <c r="IM41" s="467"/>
      <c r="IN41" s="467"/>
      <c r="IO41" s="467"/>
      <c r="IP41" s="467"/>
      <c r="IQ41" s="467"/>
      <c r="IR41" s="467"/>
      <c r="IS41" s="467"/>
      <c r="IT41" s="467"/>
      <c r="IU41" s="467"/>
      <c r="IV41" s="467"/>
      <c r="IW41" s="467"/>
      <c r="IX41" s="467"/>
      <c r="IY41" s="467"/>
      <c r="IZ41" s="467"/>
      <c r="JA41" s="467"/>
      <c r="JB41" s="467"/>
      <c r="JC41" s="467"/>
      <c r="JD41" s="467"/>
      <c r="JE41" s="467"/>
      <c r="JF41" s="467"/>
      <c r="JG41" s="467"/>
      <c r="JH41" s="467"/>
      <c r="JI41" s="467"/>
      <c r="JJ41" s="467"/>
      <c r="JK41" s="467"/>
      <c r="JL41" s="467"/>
      <c r="JM41" s="467"/>
      <c r="JN41" s="487">
        <v>9164.2380000000012</v>
      </c>
      <c r="JO41" s="487">
        <v>1982.4860799999997</v>
      </c>
      <c r="JP41" s="487">
        <v>16385.823833401999</v>
      </c>
      <c r="JQ41" s="487">
        <v>0</v>
      </c>
      <c r="JR41" s="487">
        <v>673.33</v>
      </c>
      <c r="JS41" s="488">
        <v>30900.637913402003</v>
      </c>
      <c r="JT41" s="489">
        <f t="shared" si="10"/>
        <v>2694.7600000000039</v>
      </c>
      <c r="JU41" s="487">
        <v>30900.637913402003</v>
      </c>
      <c r="JV41" s="487">
        <v>30900.637913402003</v>
      </c>
      <c r="JW41" s="487">
        <v>30900.637913402003</v>
      </c>
      <c r="JX41" s="487">
        <v>10972.23</v>
      </c>
      <c r="JY41" s="487">
        <v>10972.23</v>
      </c>
      <c r="JZ41" s="467"/>
      <c r="KA41" s="487">
        <v>10972.23</v>
      </c>
      <c r="KB41" s="490">
        <v>2.4455782375021085</v>
      </c>
      <c r="KC41" s="487">
        <v>3.0120020019239746E-3</v>
      </c>
      <c r="KD41" s="487">
        <v>30900.634901400001</v>
      </c>
      <c r="KE41" s="487">
        <v>10972.23</v>
      </c>
      <c r="KF41" s="487">
        <v>0</v>
      </c>
      <c r="KG41" s="491">
        <v>0</v>
      </c>
      <c r="KH41" s="487">
        <v>0</v>
      </c>
      <c r="KI41" s="487">
        <v>22006.278416000001</v>
      </c>
      <c r="KJ41" s="491">
        <v>2813.0013595702962</v>
      </c>
      <c r="KK41" s="487">
        <v>7823.0599999999995</v>
      </c>
      <c r="KL41" s="487">
        <v>7227.7816050000001</v>
      </c>
      <c r="KM41" s="491">
        <v>2827.7705809859158</v>
      </c>
      <c r="KN41" s="487">
        <v>2556</v>
      </c>
      <c r="KO41" s="487">
        <v>1666.5748804</v>
      </c>
      <c r="KP41" s="491">
        <v>2809.607499367803</v>
      </c>
      <c r="KQ41" s="487">
        <v>593.17000000000007</v>
      </c>
      <c r="KR41" s="467"/>
      <c r="KS41" s="467"/>
      <c r="KT41" s="487">
        <v>4605.2</v>
      </c>
      <c r="KU41" s="487">
        <v>54</v>
      </c>
      <c r="KV41" s="467"/>
      <c r="KW41" s="487">
        <v>1375.1</v>
      </c>
      <c r="KX41" s="487">
        <v>7.22</v>
      </c>
      <c r="KY41" s="487">
        <v>1.1000000000000001</v>
      </c>
      <c r="KZ41" s="467"/>
      <c r="LA41" s="487">
        <v>1410</v>
      </c>
      <c r="LB41" s="492">
        <v>722</v>
      </c>
      <c r="LC41" s="493">
        <v>0.39600000000000002</v>
      </c>
      <c r="LD41" s="494">
        <f t="shared" si="11"/>
        <v>31750.224276550976</v>
      </c>
      <c r="LE41" s="471">
        <f t="shared" si="12"/>
        <v>31750.224276550976</v>
      </c>
      <c r="LF41" s="495">
        <f t="shared" si="13"/>
        <v>16891.686370022169</v>
      </c>
      <c r="LG41" s="476">
        <f t="shared" si="14"/>
        <v>14397.336768148401</v>
      </c>
      <c r="LH41" s="496">
        <f t="shared" si="31"/>
        <v>1.03</v>
      </c>
      <c r="LI41" s="497">
        <f t="shared" si="15"/>
        <v>14397.336768148401</v>
      </c>
      <c r="LJ41" s="496">
        <f t="shared" si="32"/>
        <v>1.0389999999999999</v>
      </c>
      <c r="LK41" s="497">
        <f t="shared" si="16"/>
        <v>0</v>
      </c>
      <c r="LL41" s="496">
        <f t="shared" si="33"/>
        <v>1.0349999999999999</v>
      </c>
      <c r="LM41" s="497">
        <f t="shared" si="17"/>
        <v>0</v>
      </c>
      <c r="LN41" s="496">
        <f t="shared" si="34"/>
        <v>1.0349999999999999</v>
      </c>
      <c r="LO41" s="497">
        <f t="shared" si="18"/>
        <v>0</v>
      </c>
      <c r="LP41" s="496">
        <f t="shared" si="35"/>
        <v>1.0349999999999999</v>
      </c>
      <c r="LQ41" s="497">
        <f t="shared" si="19"/>
        <v>2026.6227552737698</v>
      </c>
      <c r="LR41" s="496">
        <f t="shared" si="36"/>
        <v>1.04</v>
      </c>
      <c r="LS41" s="497">
        <f t="shared" si="20"/>
        <v>467.72684659999999</v>
      </c>
      <c r="LT41" s="499">
        <f t="shared" si="21"/>
        <v>9426.4268491799994</v>
      </c>
      <c r="LU41" s="500">
        <f t="shared" si="22"/>
        <v>6086.3265143999997</v>
      </c>
      <c r="LV41" s="501">
        <f t="shared" si="23"/>
        <v>3340.1003347800006</v>
      </c>
      <c r="LW41" s="499">
        <f t="shared" si="24"/>
        <v>2040.4545073487996</v>
      </c>
      <c r="LX41" s="500">
        <f t="shared" si="25"/>
        <v>1838.0706073487995</v>
      </c>
      <c r="LY41" s="500">
        <f t="shared" si="26"/>
        <v>0</v>
      </c>
      <c r="LZ41" s="502">
        <f t="shared" si="27"/>
        <v>202.38389999999995</v>
      </c>
      <c r="MA41" s="503">
        <f t="shared" si="28"/>
        <v>2694.7600000000039</v>
      </c>
      <c r="MB41" s="504">
        <f t="shared" si="29"/>
        <v>696.89654999999993</v>
      </c>
    </row>
    <row r="42" spans="1:340" ht="16.5" customHeight="1">
      <c r="A42" s="505">
        <v>1</v>
      </c>
      <c r="B42" s="506">
        <v>32</v>
      </c>
      <c r="C42" s="507" t="s">
        <v>187</v>
      </c>
      <c r="D42" s="508">
        <v>4620014875</v>
      </c>
      <c r="E42" s="469">
        <f t="shared" si="3"/>
        <v>80304.054060441253</v>
      </c>
      <c r="F42" s="470" t="s">
        <v>287</v>
      </c>
      <c r="G42" s="595">
        <v>80304.051421199998</v>
      </c>
      <c r="H42" s="595">
        <f t="shared" si="30"/>
        <v>2.6392412546556443E-3</v>
      </c>
      <c r="I42" s="595"/>
      <c r="J42" s="509">
        <f t="shared" si="4"/>
        <v>80304.054060441253</v>
      </c>
      <c r="K42" s="510">
        <f t="shared" si="5"/>
        <v>57573.131142532613</v>
      </c>
      <c r="L42" s="511">
        <f t="shared" si="6"/>
        <v>41327.936871001104</v>
      </c>
      <c r="M42" s="512">
        <v>41327.936871001104</v>
      </c>
      <c r="N42" s="513">
        <v>0</v>
      </c>
      <c r="O42" s="513">
        <v>0</v>
      </c>
      <c r="P42" s="514">
        <v>0</v>
      </c>
      <c r="Q42" s="515">
        <v>14325.099344298515</v>
      </c>
      <c r="R42" s="516">
        <f t="shared" si="7"/>
        <v>1920.0949272329999</v>
      </c>
      <c r="S42" s="517">
        <f t="shared" si="8"/>
        <v>17268.016011908643</v>
      </c>
      <c r="T42" s="518">
        <v>12536.403</v>
      </c>
      <c r="U42" s="519">
        <v>4731.6130119086429</v>
      </c>
      <c r="V42" s="520">
        <f t="shared" si="9"/>
        <v>5462.9069060000002</v>
      </c>
      <c r="W42" s="521">
        <v>3785.9937059999997</v>
      </c>
      <c r="X42" s="518">
        <v>0</v>
      </c>
      <c r="Y42" s="522">
        <v>1676.9132000000004</v>
      </c>
      <c r="Z42" s="523">
        <v>0</v>
      </c>
      <c r="AA42" s="524">
        <v>0</v>
      </c>
      <c r="AB42" s="486"/>
      <c r="AC42" s="525">
        <v>41327.936871001104</v>
      </c>
      <c r="AD42" s="525">
        <v>41327.936871001104</v>
      </c>
      <c r="AE42" s="525">
        <v>0</v>
      </c>
      <c r="AF42" s="525">
        <v>0</v>
      </c>
      <c r="AG42" s="525">
        <v>0</v>
      </c>
      <c r="AH42" s="525">
        <v>14325.099344298515</v>
      </c>
      <c r="AI42" s="525">
        <v>14325.099344298515</v>
      </c>
      <c r="AJ42" s="525">
        <v>0</v>
      </c>
      <c r="AK42" s="525">
        <v>0</v>
      </c>
      <c r="AL42" s="525">
        <v>0</v>
      </c>
      <c r="AM42" s="525">
        <v>0</v>
      </c>
      <c r="AN42" s="525">
        <v>0</v>
      </c>
      <c r="AO42" s="525">
        <v>0</v>
      </c>
      <c r="AP42" s="525">
        <v>0</v>
      </c>
      <c r="AQ42" s="525">
        <v>0</v>
      </c>
      <c r="AR42" s="525">
        <v>0</v>
      </c>
      <c r="AS42" s="525">
        <v>0</v>
      </c>
      <c r="AT42" s="525">
        <v>0</v>
      </c>
      <c r="AU42" s="525">
        <v>0</v>
      </c>
      <c r="AV42" s="525">
        <v>0</v>
      </c>
      <c r="AW42" s="525">
        <v>0</v>
      </c>
      <c r="AX42" s="525">
        <v>0</v>
      </c>
      <c r="AY42" s="525">
        <v>0</v>
      </c>
      <c r="AZ42" s="525">
        <v>0</v>
      </c>
      <c r="BA42" s="525">
        <v>14325.099344298515</v>
      </c>
      <c r="BB42" s="525">
        <v>1590.4065395</v>
      </c>
      <c r="BC42" s="525">
        <v>0</v>
      </c>
      <c r="BD42" s="525">
        <v>0</v>
      </c>
      <c r="BE42" s="525">
        <v>0</v>
      </c>
      <c r="BF42" s="525">
        <v>0</v>
      </c>
      <c r="BG42" s="525">
        <v>0</v>
      </c>
      <c r="BH42" s="525">
        <v>0</v>
      </c>
      <c r="BI42" s="525">
        <v>0</v>
      </c>
      <c r="BJ42" s="525">
        <v>14325.099344298515</v>
      </c>
      <c r="BK42" s="525">
        <v>9.0071934367184578</v>
      </c>
      <c r="BL42" s="525">
        <v>1590.4065395</v>
      </c>
      <c r="BM42" s="525">
        <v>0</v>
      </c>
      <c r="BN42" s="525">
        <v>0</v>
      </c>
      <c r="BO42" s="525">
        <v>0</v>
      </c>
      <c r="BP42" s="525">
        <v>0</v>
      </c>
      <c r="BQ42" s="525">
        <v>0</v>
      </c>
      <c r="BR42" s="525">
        <v>0</v>
      </c>
      <c r="BS42" s="525">
        <v>0</v>
      </c>
      <c r="BT42" s="525">
        <v>0</v>
      </c>
      <c r="BU42" s="525">
        <v>0</v>
      </c>
      <c r="BV42" s="525">
        <v>0</v>
      </c>
      <c r="BW42" s="525">
        <v>0</v>
      </c>
      <c r="BX42" s="525">
        <v>0</v>
      </c>
      <c r="BY42" s="525">
        <v>0</v>
      </c>
      <c r="BZ42" s="525">
        <v>0</v>
      </c>
      <c r="CA42" s="525">
        <v>0</v>
      </c>
      <c r="CB42" s="525">
        <v>0</v>
      </c>
      <c r="CC42" s="525">
        <v>0</v>
      </c>
      <c r="CD42" s="525">
        <v>0</v>
      </c>
      <c r="CE42" s="525">
        <v>0</v>
      </c>
      <c r="CF42" s="525">
        <v>0</v>
      </c>
      <c r="CG42" s="525">
        <v>0</v>
      </c>
      <c r="CH42" s="525">
        <v>0</v>
      </c>
      <c r="CI42" s="525">
        <v>0</v>
      </c>
      <c r="CJ42" s="525">
        <v>0</v>
      </c>
      <c r="CK42" s="525">
        <v>0</v>
      </c>
      <c r="CL42" s="525">
        <v>0</v>
      </c>
      <c r="CM42" s="525">
        <v>12536.403</v>
      </c>
      <c r="CN42" s="525">
        <v>9508.3197999999993</v>
      </c>
      <c r="CO42" s="525">
        <v>0</v>
      </c>
      <c r="CP42" s="525">
        <v>0</v>
      </c>
      <c r="CQ42" s="525">
        <v>3028.0832</v>
      </c>
      <c r="CR42" s="525">
        <v>0</v>
      </c>
      <c r="CS42" s="525">
        <v>3785.9937059999997</v>
      </c>
      <c r="CT42" s="525">
        <v>2871.5125796000002</v>
      </c>
      <c r="CU42" s="525">
        <v>0</v>
      </c>
      <c r="CV42" s="525">
        <v>0</v>
      </c>
      <c r="CW42" s="525">
        <v>914.48112639999999</v>
      </c>
      <c r="CX42" s="525">
        <v>0</v>
      </c>
      <c r="CY42" s="525">
        <v>1920.0949272329999</v>
      </c>
      <c r="CZ42" s="526"/>
      <c r="DA42" s="525">
        <v>50.4914925</v>
      </c>
      <c r="DB42" s="525">
        <v>0</v>
      </c>
      <c r="DC42" s="526"/>
      <c r="DD42" s="525">
        <v>0</v>
      </c>
      <c r="DE42" s="525">
        <v>0</v>
      </c>
      <c r="DF42" s="525">
        <v>0</v>
      </c>
      <c r="DG42" s="525">
        <v>3483.3231968832001</v>
      </c>
      <c r="DH42" s="525">
        <v>633.84108226560011</v>
      </c>
      <c r="DI42" s="525">
        <v>0</v>
      </c>
      <c r="DJ42" s="525">
        <v>2849.4821146176005</v>
      </c>
      <c r="DK42" s="525">
        <v>0</v>
      </c>
      <c r="DL42" s="525">
        <v>0</v>
      </c>
      <c r="DM42" s="525">
        <v>0</v>
      </c>
      <c r="DN42" s="525">
        <v>0</v>
      </c>
      <c r="DO42" s="525">
        <v>0</v>
      </c>
      <c r="DP42" s="525">
        <v>695.56131581904015</v>
      </c>
      <c r="DQ42" s="525">
        <v>0</v>
      </c>
      <c r="DR42" s="525">
        <v>0</v>
      </c>
      <c r="DS42" s="525">
        <v>0</v>
      </c>
      <c r="DT42" s="525">
        <v>695.56131581904015</v>
      </c>
      <c r="DU42" s="525">
        <v>0</v>
      </c>
      <c r="DV42" s="525">
        <v>0</v>
      </c>
      <c r="DW42" s="525">
        <v>0</v>
      </c>
      <c r="DX42" s="525">
        <v>0</v>
      </c>
      <c r="DY42" s="525">
        <v>0</v>
      </c>
      <c r="DZ42" s="525">
        <v>0</v>
      </c>
      <c r="EA42" s="525">
        <v>0</v>
      </c>
      <c r="EB42" s="525">
        <v>0</v>
      </c>
      <c r="EC42" s="525">
        <v>0</v>
      </c>
      <c r="ED42" s="525">
        <v>0</v>
      </c>
      <c r="EE42" s="525">
        <v>0</v>
      </c>
      <c r="EF42" s="525">
        <v>0</v>
      </c>
      <c r="EG42" s="525">
        <v>0</v>
      </c>
      <c r="EH42" s="525">
        <v>48.489999999999995</v>
      </c>
      <c r="EI42" s="525">
        <v>0</v>
      </c>
      <c r="EJ42" s="525">
        <v>48.489999999999995</v>
      </c>
      <c r="EK42" s="525">
        <v>0</v>
      </c>
      <c r="EL42" s="525">
        <v>0</v>
      </c>
      <c r="EM42" s="525">
        <v>0</v>
      </c>
      <c r="EN42" s="525">
        <v>0</v>
      </c>
      <c r="EO42" s="525">
        <v>0</v>
      </c>
      <c r="EP42" s="525">
        <v>552.7284992064001</v>
      </c>
      <c r="EQ42" s="525">
        <v>0</v>
      </c>
      <c r="ER42" s="525">
        <v>552.7284992064001</v>
      </c>
      <c r="ES42" s="525">
        <v>801.62270000000001</v>
      </c>
      <c r="ET42" s="525">
        <v>48.489999999999995</v>
      </c>
      <c r="EU42" s="525">
        <v>48.489999999999995</v>
      </c>
      <c r="EV42" s="525">
        <v>0</v>
      </c>
      <c r="EW42" s="525">
        <v>0</v>
      </c>
      <c r="EX42" s="525">
        <v>0</v>
      </c>
      <c r="EY42" s="525">
        <v>0</v>
      </c>
      <c r="EZ42" s="525">
        <v>0</v>
      </c>
      <c r="FA42" s="525">
        <v>0</v>
      </c>
      <c r="FB42" s="525">
        <v>826.80049999999994</v>
      </c>
      <c r="FC42" s="525">
        <v>0</v>
      </c>
      <c r="FD42" s="525">
        <v>23.76</v>
      </c>
      <c r="FE42" s="525">
        <v>0</v>
      </c>
      <c r="FF42" s="525">
        <v>803.04049999999995</v>
      </c>
      <c r="FG42" s="525">
        <v>0</v>
      </c>
      <c r="FH42" s="525">
        <v>0</v>
      </c>
      <c r="FI42" s="525">
        <v>0</v>
      </c>
      <c r="FJ42" s="525">
        <v>0</v>
      </c>
      <c r="FK42" s="525">
        <v>803.04049999999995</v>
      </c>
      <c r="FL42" s="525">
        <v>0</v>
      </c>
      <c r="FM42" s="525">
        <v>0</v>
      </c>
      <c r="FN42" s="525">
        <v>0</v>
      </c>
      <c r="FO42" s="525">
        <v>0</v>
      </c>
      <c r="FP42" s="525">
        <v>0</v>
      </c>
      <c r="FQ42" s="525">
        <v>0</v>
      </c>
      <c r="FR42" s="525">
        <v>0</v>
      </c>
      <c r="FS42" s="527">
        <v>80304.054060441253</v>
      </c>
      <c r="FT42" s="525">
        <v>0</v>
      </c>
      <c r="FU42" s="525">
        <v>0</v>
      </c>
      <c r="FV42" s="525">
        <v>0</v>
      </c>
      <c r="FW42" s="525">
        <v>0</v>
      </c>
      <c r="FX42" s="525">
        <v>0</v>
      </c>
      <c r="FY42" s="525">
        <v>0</v>
      </c>
      <c r="FZ42" s="525">
        <v>0</v>
      </c>
      <c r="GA42" s="525">
        <v>0</v>
      </c>
      <c r="GB42" s="525">
        <v>0</v>
      </c>
      <c r="GC42" s="525">
        <v>0</v>
      </c>
      <c r="GD42" s="525">
        <v>0</v>
      </c>
      <c r="GE42" s="525">
        <v>0</v>
      </c>
      <c r="GF42" s="525">
        <v>0</v>
      </c>
      <c r="GG42" s="525">
        <v>0</v>
      </c>
      <c r="GH42" s="525">
        <v>0</v>
      </c>
      <c r="GI42" s="525">
        <v>0</v>
      </c>
      <c r="GJ42" s="526"/>
      <c r="GK42" s="525">
        <v>0</v>
      </c>
      <c r="GL42" s="526"/>
      <c r="GM42" s="525">
        <v>0</v>
      </c>
      <c r="GN42" s="525">
        <v>0</v>
      </c>
      <c r="GO42" s="526"/>
      <c r="GP42" s="526"/>
      <c r="GQ42" s="525">
        <v>0</v>
      </c>
      <c r="GR42" s="526"/>
      <c r="GS42" s="526"/>
      <c r="GT42" s="525">
        <v>0</v>
      </c>
      <c r="GU42" s="525">
        <v>0</v>
      </c>
      <c r="GV42" s="525">
        <v>0</v>
      </c>
      <c r="GW42" s="525">
        <v>0</v>
      </c>
      <c r="GX42" s="525">
        <v>0</v>
      </c>
      <c r="GY42" s="525">
        <v>0</v>
      </c>
      <c r="GZ42" s="525">
        <v>0</v>
      </c>
      <c r="HA42" s="525">
        <v>0</v>
      </c>
      <c r="HB42" s="525">
        <v>0</v>
      </c>
      <c r="HC42" s="525">
        <v>0</v>
      </c>
      <c r="HD42" s="525">
        <v>0</v>
      </c>
      <c r="HE42" s="525">
        <v>0</v>
      </c>
      <c r="HF42" s="525">
        <v>0</v>
      </c>
      <c r="HG42" s="525">
        <v>0</v>
      </c>
      <c r="HH42" s="525">
        <v>0</v>
      </c>
      <c r="HI42" s="525">
        <v>0</v>
      </c>
      <c r="HJ42" s="525">
        <v>0</v>
      </c>
      <c r="HK42" s="525">
        <v>0</v>
      </c>
      <c r="HL42" s="526"/>
      <c r="HM42" s="526"/>
      <c r="HN42" s="526"/>
      <c r="HO42" s="526"/>
      <c r="HP42" s="526"/>
      <c r="HQ42" s="526"/>
      <c r="HR42" s="526"/>
      <c r="HS42" s="526"/>
      <c r="HT42" s="526"/>
      <c r="HU42" s="526"/>
      <c r="HV42" s="526"/>
      <c r="HW42" s="526"/>
      <c r="HX42" s="526"/>
      <c r="HY42" s="526"/>
      <c r="HZ42" s="526"/>
      <c r="IA42" s="526"/>
      <c r="IB42" s="526"/>
      <c r="IC42" s="526"/>
      <c r="ID42" s="526"/>
      <c r="IE42" s="526"/>
      <c r="IF42" s="526"/>
      <c r="IG42" s="526"/>
      <c r="IH42" s="526"/>
      <c r="II42" s="526"/>
      <c r="IJ42" s="526"/>
      <c r="IK42" s="526"/>
      <c r="IL42" s="526"/>
      <c r="IM42" s="526"/>
      <c r="IN42" s="526"/>
      <c r="IO42" s="526"/>
      <c r="IP42" s="526"/>
      <c r="IQ42" s="526"/>
      <c r="IR42" s="526"/>
      <c r="IS42" s="526"/>
      <c r="IT42" s="526"/>
      <c r="IU42" s="526"/>
      <c r="IV42" s="526"/>
      <c r="IW42" s="526"/>
      <c r="IX42" s="526"/>
      <c r="IY42" s="526"/>
      <c r="IZ42" s="526"/>
      <c r="JA42" s="526"/>
      <c r="JB42" s="526"/>
      <c r="JC42" s="526"/>
      <c r="JD42" s="526"/>
      <c r="JE42" s="526"/>
      <c r="JF42" s="526"/>
      <c r="JG42" s="526"/>
      <c r="JH42" s="526"/>
      <c r="JI42" s="526"/>
      <c r="JJ42" s="526"/>
      <c r="JK42" s="526"/>
      <c r="JL42" s="526"/>
      <c r="JM42" s="526"/>
      <c r="JN42" s="525">
        <v>17268.016011908643</v>
      </c>
      <c r="JO42" s="525">
        <v>5462.9069060000002</v>
      </c>
      <c r="JP42" s="525">
        <v>57573.131142532613</v>
      </c>
      <c r="JQ42" s="525">
        <v>0</v>
      </c>
      <c r="JR42" s="525">
        <v>0</v>
      </c>
      <c r="JS42" s="527">
        <v>80304.054060441253</v>
      </c>
      <c r="JT42" s="528">
        <f t="shared" si="10"/>
        <v>0</v>
      </c>
      <c r="JU42" s="525">
        <v>80304.054060441253</v>
      </c>
      <c r="JV42" s="525">
        <v>80304.054060441253</v>
      </c>
      <c r="JW42" s="525">
        <v>80304.054060441253</v>
      </c>
      <c r="JX42" s="525">
        <v>32817.149999999994</v>
      </c>
      <c r="JY42" s="525">
        <v>32817.149999999994</v>
      </c>
      <c r="JZ42" s="526"/>
      <c r="KA42" s="525">
        <v>32817.149999999994</v>
      </c>
      <c r="KB42" s="529">
        <v>0</v>
      </c>
      <c r="KC42" s="525">
        <v>4.2694121269505558E-2</v>
      </c>
      <c r="KD42" s="525">
        <v>80304.011366319988</v>
      </c>
      <c r="KE42" s="525">
        <v>32817.149999999994</v>
      </c>
      <c r="KF42" s="525">
        <v>0</v>
      </c>
      <c r="KG42" s="530">
        <v>0</v>
      </c>
      <c r="KH42" s="525">
        <v>0</v>
      </c>
      <c r="KI42" s="525">
        <v>32413.606289520001</v>
      </c>
      <c r="KJ42" s="530">
        <v>2463.4930047561938</v>
      </c>
      <c r="KK42" s="525">
        <v>13157.58</v>
      </c>
      <c r="KL42" s="525">
        <v>43577.032846399998</v>
      </c>
      <c r="KM42" s="530">
        <v>2437.693221677368</v>
      </c>
      <c r="KN42" s="525">
        <v>17876.34</v>
      </c>
      <c r="KO42" s="525">
        <v>4313.3722304000003</v>
      </c>
      <c r="KP42" s="530">
        <v>2418.8535580940206</v>
      </c>
      <c r="KQ42" s="525">
        <v>1783.23</v>
      </c>
      <c r="KR42" s="526"/>
      <c r="KS42" s="526"/>
      <c r="KT42" s="531">
        <v>86820.71</v>
      </c>
      <c r="KU42" s="531">
        <v>68.78</v>
      </c>
      <c r="KV42" s="526"/>
      <c r="KW42" s="531">
        <v>14022.18</v>
      </c>
      <c r="KX42" s="531">
        <v>25.95</v>
      </c>
      <c r="KY42" s="531">
        <v>4.1399999999999997</v>
      </c>
      <c r="KZ42" s="526"/>
      <c r="LA42" s="531">
        <v>3035</v>
      </c>
      <c r="LB42" s="532">
        <v>5362</v>
      </c>
      <c r="LC42" s="533">
        <v>2.681</v>
      </c>
      <c r="LD42" s="494">
        <f t="shared" si="11"/>
        <v>82783.121620740421</v>
      </c>
      <c r="LE42" s="509">
        <f t="shared" si="12"/>
        <v>82783.121620740421</v>
      </c>
      <c r="LF42" s="534">
        <f t="shared" si="13"/>
        <v>59391.151522802422</v>
      </c>
      <c r="LG42" s="535">
        <f t="shared" si="14"/>
        <v>42567.774977131136</v>
      </c>
      <c r="LH42" s="536">
        <f t="shared" si="31"/>
        <v>1.03</v>
      </c>
      <c r="LI42" s="537">
        <f t="shared" si="15"/>
        <v>42567.774977131136</v>
      </c>
      <c r="LJ42" s="536">
        <f t="shared" si="32"/>
        <v>1.0389999999999999</v>
      </c>
      <c r="LK42" s="537">
        <f t="shared" si="16"/>
        <v>0</v>
      </c>
      <c r="LL42" s="536">
        <f t="shared" si="33"/>
        <v>1.0349999999999999</v>
      </c>
      <c r="LM42" s="537">
        <f t="shared" si="17"/>
        <v>0</v>
      </c>
      <c r="LN42" s="536">
        <f t="shared" si="34"/>
        <v>1.0349999999999999</v>
      </c>
      <c r="LO42" s="537">
        <f t="shared" si="18"/>
        <v>0</v>
      </c>
      <c r="LP42" s="536">
        <f t="shared" si="35"/>
        <v>1.0349999999999999</v>
      </c>
      <c r="LQ42" s="537">
        <f t="shared" si="19"/>
        <v>14826.477821348961</v>
      </c>
      <c r="LR42" s="536">
        <f t="shared" si="36"/>
        <v>1.04</v>
      </c>
      <c r="LS42" s="537">
        <f t="shared" si="20"/>
        <v>1996.89872432232</v>
      </c>
      <c r="LT42" s="539">
        <f t="shared" si="21"/>
        <v>17762.053950009347</v>
      </c>
      <c r="LU42" s="540">
        <f t="shared" si="22"/>
        <v>12895.069489829999</v>
      </c>
      <c r="LV42" s="541">
        <f t="shared" si="23"/>
        <v>4866.9844601793484</v>
      </c>
      <c r="LW42" s="542">
        <f t="shared" si="24"/>
        <v>5629.9161479286595</v>
      </c>
      <c r="LX42" s="540">
        <f t="shared" si="25"/>
        <v>3894.3109859286596</v>
      </c>
      <c r="LY42" s="540">
        <f t="shared" si="26"/>
        <v>0</v>
      </c>
      <c r="LZ42" s="543">
        <f t="shared" si="27"/>
        <v>1735.6051620000003</v>
      </c>
      <c r="MA42" s="544">
        <f t="shared" si="28"/>
        <v>0</v>
      </c>
      <c r="MB42" s="545">
        <f t="shared" si="29"/>
        <v>0</v>
      </c>
    </row>
    <row r="43" spans="1:340" ht="16.5" customHeight="1">
      <c r="A43" s="465">
        <v>1</v>
      </c>
      <c r="B43" s="466">
        <v>33</v>
      </c>
      <c r="C43" s="467" t="s">
        <v>224</v>
      </c>
      <c r="D43" s="468">
        <v>4632113278</v>
      </c>
      <c r="E43" s="469">
        <f t="shared" si="3"/>
        <v>5857.3857454078279</v>
      </c>
      <c r="F43" s="470" t="s">
        <v>287</v>
      </c>
      <c r="G43" s="595">
        <v>5857.3925409999993</v>
      </c>
      <c r="H43" s="595">
        <f t="shared" si="30"/>
        <v>-6.79559217132919E-3</v>
      </c>
      <c r="I43" s="595"/>
      <c r="J43" s="471">
        <f t="shared" si="4"/>
        <v>5857.3857454078279</v>
      </c>
      <c r="K43" s="472">
        <f t="shared" si="5"/>
        <v>4878.5301226878273</v>
      </c>
      <c r="L43" s="473">
        <f t="shared" si="6"/>
        <v>4095.0072484240663</v>
      </c>
      <c r="M43" s="474">
        <v>4095.0072484240663</v>
      </c>
      <c r="N43" s="475">
        <v>0</v>
      </c>
      <c r="O43" s="475">
        <v>0</v>
      </c>
      <c r="P43" s="476">
        <v>0</v>
      </c>
      <c r="Q43" s="477">
        <v>780.71840140000006</v>
      </c>
      <c r="R43" s="478">
        <f t="shared" si="7"/>
        <v>2.8044728637607212</v>
      </c>
      <c r="S43" s="479">
        <f t="shared" si="8"/>
        <v>901.44722272000013</v>
      </c>
      <c r="T43" s="479">
        <v>0</v>
      </c>
      <c r="U43" s="480">
        <v>901.44722272000013</v>
      </c>
      <c r="V43" s="481">
        <f t="shared" si="9"/>
        <v>77.4084</v>
      </c>
      <c r="W43" s="482">
        <v>0</v>
      </c>
      <c r="X43" s="479">
        <v>0</v>
      </c>
      <c r="Y43" s="483">
        <v>77.4084</v>
      </c>
      <c r="Z43" s="484">
        <v>0</v>
      </c>
      <c r="AA43" s="485">
        <v>0</v>
      </c>
      <c r="AB43" s="486"/>
      <c r="AC43" s="487">
        <v>4095.0072484240663</v>
      </c>
      <c r="AD43" s="487">
        <v>4095.0072484240663</v>
      </c>
      <c r="AE43" s="487">
        <v>0</v>
      </c>
      <c r="AF43" s="487">
        <v>0</v>
      </c>
      <c r="AG43" s="487">
        <v>0</v>
      </c>
      <c r="AH43" s="487">
        <v>780.71840140000006</v>
      </c>
      <c r="AI43" s="487">
        <v>780.71840140000006</v>
      </c>
      <c r="AJ43" s="487">
        <v>0</v>
      </c>
      <c r="AK43" s="487">
        <v>0</v>
      </c>
      <c r="AL43" s="487">
        <v>0</v>
      </c>
      <c r="AM43" s="487">
        <v>0</v>
      </c>
      <c r="AN43" s="487">
        <v>0</v>
      </c>
      <c r="AO43" s="487">
        <v>0</v>
      </c>
      <c r="AP43" s="487">
        <v>0</v>
      </c>
      <c r="AQ43" s="487">
        <v>0</v>
      </c>
      <c r="AR43" s="487">
        <v>0</v>
      </c>
      <c r="AS43" s="487">
        <v>0</v>
      </c>
      <c r="AT43" s="487">
        <v>0</v>
      </c>
      <c r="AU43" s="487">
        <v>0</v>
      </c>
      <c r="AV43" s="487">
        <v>0</v>
      </c>
      <c r="AW43" s="487">
        <v>0</v>
      </c>
      <c r="AX43" s="487">
        <v>0</v>
      </c>
      <c r="AY43" s="487">
        <v>0</v>
      </c>
      <c r="AZ43" s="487">
        <v>0</v>
      </c>
      <c r="BA43" s="487">
        <v>780.71840140000006</v>
      </c>
      <c r="BB43" s="487">
        <v>90.221000000000018</v>
      </c>
      <c r="BC43" s="487">
        <v>0</v>
      </c>
      <c r="BD43" s="487">
        <v>0</v>
      </c>
      <c r="BE43" s="487">
        <v>0</v>
      </c>
      <c r="BF43" s="487">
        <v>0</v>
      </c>
      <c r="BG43" s="487">
        <v>0</v>
      </c>
      <c r="BH43" s="487">
        <v>0</v>
      </c>
      <c r="BI43" s="487">
        <v>0</v>
      </c>
      <c r="BJ43" s="487">
        <v>780.71840140000006</v>
      </c>
      <c r="BK43" s="487">
        <v>8.6533999999999995</v>
      </c>
      <c r="BL43" s="487">
        <v>90.221000000000018</v>
      </c>
      <c r="BM43" s="487">
        <v>0</v>
      </c>
      <c r="BN43" s="487">
        <v>0</v>
      </c>
      <c r="BO43" s="487">
        <v>0</v>
      </c>
      <c r="BP43" s="487">
        <v>0</v>
      </c>
      <c r="BQ43" s="487">
        <v>0</v>
      </c>
      <c r="BR43" s="487">
        <v>0</v>
      </c>
      <c r="BS43" s="487">
        <v>0</v>
      </c>
      <c r="BT43" s="487">
        <v>0</v>
      </c>
      <c r="BU43" s="487">
        <v>0</v>
      </c>
      <c r="BV43" s="487">
        <v>0</v>
      </c>
      <c r="BW43" s="487">
        <v>0</v>
      </c>
      <c r="BX43" s="487">
        <v>0</v>
      </c>
      <c r="BY43" s="487">
        <v>0</v>
      </c>
      <c r="BZ43" s="487">
        <v>0</v>
      </c>
      <c r="CA43" s="487">
        <v>0</v>
      </c>
      <c r="CB43" s="487">
        <v>0</v>
      </c>
      <c r="CC43" s="487">
        <v>0</v>
      </c>
      <c r="CD43" s="487">
        <v>0</v>
      </c>
      <c r="CE43" s="487">
        <v>0</v>
      </c>
      <c r="CF43" s="487">
        <v>0</v>
      </c>
      <c r="CG43" s="487">
        <v>0</v>
      </c>
      <c r="CH43" s="487">
        <v>0</v>
      </c>
      <c r="CI43" s="487">
        <v>0</v>
      </c>
      <c r="CJ43" s="487">
        <v>0</v>
      </c>
      <c r="CK43" s="487">
        <v>0</v>
      </c>
      <c r="CL43" s="487">
        <v>0</v>
      </c>
      <c r="CM43" s="487">
        <v>0</v>
      </c>
      <c r="CN43" s="487">
        <v>0</v>
      </c>
      <c r="CO43" s="487">
        <v>0</v>
      </c>
      <c r="CP43" s="487">
        <v>0</v>
      </c>
      <c r="CQ43" s="487">
        <v>0</v>
      </c>
      <c r="CR43" s="487">
        <v>0</v>
      </c>
      <c r="CS43" s="487">
        <v>0</v>
      </c>
      <c r="CT43" s="487">
        <v>0</v>
      </c>
      <c r="CU43" s="487">
        <v>0</v>
      </c>
      <c r="CV43" s="487">
        <v>0</v>
      </c>
      <c r="CW43" s="487">
        <v>0</v>
      </c>
      <c r="CX43" s="487">
        <v>0</v>
      </c>
      <c r="CY43" s="487">
        <v>2.8044728637607212</v>
      </c>
      <c r="CZ43" s="467"/>
      <c r="DA43" s="487">
        <v>0.12512999999999999</v>
      </c>
      <c r="DB43" s="487">
        <v>0</v>
      </c>
      <c r="DC43" s="467"/>
      <c r="DD43" s="487">
        <v>0</v>
      </c>
      <c r="DE43" s="487">
        <v>0</v>
      </c>
      <c r="DF43" s="487">
        <v>0</v>
      </c>
      <c r="DG43" s="487">
        <v>205.93637760000001</v>
      </c>
      <c r="DH43" s="487">
        <v>4.0685552000000005</v>
      </c>
      <c r="DI43" s="487">
        <v>0</v>
      </c>
      <c r="DJ43" s="487">
        <v>201.86782240000002</v>
      </c>
      <c r="DK43" s="487">
        <v>0</v>
      </c>
      <c r="DL43" s="487">
        <v>0</v>
      </c>
      <c r="DM43" s="487">
        <v>0</v>
      </c>
      <c r="DN43" s="487">
        <v>0</v>
      </c>
      <c r="DO43" s="487">
        <v>0</v>
      </c>
      <c r="DP43" s="487">
        <v>531.3520784000001</v>
      </c>
      <c r="DQ43" s="487">
        <v>0</v>
      </c>
      <c r="DR43" s="487">
        <v>0</v>
      </c>
      <c r="DS43" s="487">
        <v>0</v>
      </c>
      <c r="DT43" s="487">
        <v>531.3520784000001</v>
      </c>
      <c r="DU43" s="487">
        <v>164.15876672000002</v>
      </c>
      <c r="DV43" s="487">
        <v>0</v>
      </c>
      <c r="DW43" s="487">
        <v>100.03251136000002</v>
      </c>
      <c r="DX43" s="487">
        <v>0</v>
      </c>
      <c r="DY43" s="487">
        <v>0</v>
      </c>
      <c r="DZ43" s="487">
        <v>0</v>
      </c>
      <c r="EA43" s="487">
        <v>0</v>
      </c>
      <c r="EB43" s="487">
        <v>0</v>
      </c>
      <c r="EC43" s="487">
        <v>0</v>
      </c>
      <c r="ED43" s="487">
        <v>0</v>
      </c>
      <c r="EE43" s="487">
        <v>0</v>
      </c>
      <c r="EF43" s="487">
        <v>0</v>
      </c>
      <c r="EG43" s="487">
        <v>64.126255360000002</v>
      </c>
      <c r="EH43" s="487">
        <v>18.29</v>
      </c>
      <c r="EI43" s="487">
        <v>0</v>
      </c>
      <c r="EJ43" s="487">
        <v>0</v>
      </c>
      <c r="EK43" s="487">
        <v>18.29</v>
      </c>
      <c r="EL43" s="487">
        <v>0</v>
      </c>
      <c r="EM43" s="487">
        <v>0</v>
      </c>
      <c r="EN43" s="487">
        <v>0</v>
      </c>
      <c r="EO43" s="487">
        <v>0</v>
      </c>
      <c r="EP43" s="487">
        <v>0</v>
      </c>
      <c r="EQ43" s="487">
        <v>0</v>
      </c>
      <c r="ER43" s="487">
        <v>0</v>
      </c>
      <c r="ES43" s="487">
        <v>0</v>
      </c>
      <c r="ET43" s="487">
        <v>18.285399999999999</v>
      </c>
      <c r="EU43" s="487">
        <v>18.285399999999999</v>
      </c>
      <c r="EV43" s="487">
        <v>0</v>
      </c>
      <c r="EW43" s="487">
        <v>0</v>
      </c>
      <c r="EX43" s="487">
        <v>0</v>
      </c>
      <c r="EY43" s="487">
        <v>0</v>
      </c>
      <c r="EZ43" s="487">
        <v>0</v>
      </c>
      <c r="FA43" s="487">
        <v>0</v>
      </c>
      <c r="FB43" s="487">
        <v>59.122999999999998</v>
      </c>
      <c r="FC43" s="487">
        <v>0</v>
      </c>
      <c r="FD43" s="487">
        <v>0</v>
      </c>
      <c r="FE43" s="487">
        <v>0</v>
      </c>
      <c r="FF43" s="487">
        <v>59.122999999999998</v>
      </c>
      <c r="FG43" s="487">
        <v>0</v>
      </c>
      <c r="FH43" s="487">
        <v>0</v>
      </c>
      <c r="FI43" s="487">
        <v>0</v>
      </c>
      <c r="FJ43" s="487">
        <v>0</v>
      </c>
      <c r="FK43" s="487">
        <v>59.122999999999998</v>
      </c>
      <c r="FL43" s="487">
        <v>0</v>
      </c>
      <c r="FM43" s="487">
        <v>0</v>
      </c>
      <c r="FN43" s="487">
        <v>0</v>
      </c>
      <c r="FO43" s="487">
        <v>0</v>
      </c>
      <c r="FP43" s="487">
        <v>0</v>
      </c>
      <c r="FQ43" s="487">
        <v>0</v>
      </c>
      <c r="FR43" s="487">
        <v>0</v>
      </c>
      <c r="FS43" s="488">
        <v>5857.3857454078279</v>
      </c>
      <c r="FT43" s="487">
        <v>0</v>
      </c>
      <c r="FU43" s="487">
        <v>0</v>
      </c>
      <c r="FV43" s="487">
        <v>0</v>
      </c>
      <c r="FW43" s="487">
        <v>0</v>
      </c>
      <c r="FX43" s="487">
        <v>0</v>
      </c>
      <c r="FY43" s="487">
        <v>0</v>
      </c>
      <c r="FZ43" s="487">
        <v>0</v>
      </c>
      <c r="GA43" s="487">
        <v>0</v>
      </c>
      <c r="GB43" s="487">
        <v>0</v>
      </c>
      <c r="GC43" s="487">
        <v>0</v>
      </c>
      <c r="GD43" s="487">
        <v>0</v>
      </c>
      <c r="GE43" s="487">
        <v>0</v>
      </c>
      <c r="GF43" s="487">
        <v>0</v>
      </c>
      <c r="GG43" s="487">
        <v>0</v>
      </c>
      <c r="GH43" s="487">
        <v>0</v>
      </c>
      <c r="GI43" s="487">
        <v>0</v>
      </c>
      <c r="GJ43" s="467"/>
      <c r="GK43" s="487">
        <v>0</v>
      </c>
      <c r="GL43" s="467"/>
      <c r="GM43" s="487">
        <v>0</v>
      </c>
      <c r="GN43" s="487">
        <v>0</v>
      </c>
      <c r="GO43" s="467"/>
      <c r="GP43" s="467"/>
      <c r="GQ43" s="487">
        <v>0</v>
      </c>
      <c r="GR43" s="467"/>
      <c r="GS43" s="467"/>
      <c r="GT43" s="487">
        <v>0</v>
      </c>
      <c r="GU43" s="487">
        <v>0</v>
      </c>
      <c r="GV43" s="487">
        <v>0</v>
      </c>
      <c r="GW43" s="487">
        <v>0</v>
      </c>
      <c r="GX43" s="487">
        <v>0</v>
      </c>
      <c r="GY43" s="487">
        <v>0</v>
      </c>
      <c r="GZ43" s="487">
        <v>0</v>
      </c>
      <c r="HA43" s="487">
        <v>0</v>
      </c>
      <c r="HB43" s="487">
        <v>0</v>
      </c>
      <c r="HC43" s="487">
        <v>0</v>
      </c>
      <c r="HD43" s="487">
        <v>0</v>
      </c>
      <c r="HE43" s="487">
        <v>0</v>
      </c>
      <c r="HF43" s="487">
        <v>0</v>
      </c>
      <c r="HG43" s="487">
        <v>0</v>
      </c>
      <c r="HH43" s="487">
        <v>0</v>
      </c>
      <c r="HI43" s="487">
        <v>0</v>
      </c>
      <c r="HJ43" s="487">
        <v>0</v>
      </c>
      <c r="HK43" s="487">
        <v>0</v>
      </c>
      <c r="HL43" s="467"/>
      <c r="HM43" s="467"/>
      <c r="HN43" s="467"/>
      <c r="HO43" s="467"/>
      <c r="HP43" s="467"/>
      <c r="HQ43" s="467"/>
      <c r="HR43" s="467"/>
      <c r="HS43" s="467"/>
      <c r="HT43" s="467"/>
      <c r="HU43" s="467"/>
      <c r="HV43" s="467"/>
      <c r="HW43" s="467"/>
      <c r="HX43" s="467"/>
      <c r="HY43" s="467"/>
      <c r="HZ43" s="467"/>
      <c r="IA43" s="467"/>
      <c r="IB43" s="467"/>
      <c r="IC43" s="467"/>
      <c r="ID43" s="467"/>
      <c r="IE43" s="467"/>
      <c r="IF43" s="467"/>
      <c r="IG43" s="467"/>
      <c r="IH43" s="467"/>
      <c r="II43" s="467"/>
      <c r="IJ43" s="467"/>
      <c r="IK43" s="467"/>
      <c r="IL43" s="467"/>
      <c r="IM43" s="467"/>
      <c r="IN43" s="467"/>
      <c r="IO43" s="467"/>
      <c r="IP43" s="467"/>
      <c r="IQ43" s="467"/>
      <c r="IR43" s="467"/>
      <c r="IS43" s="467"/>
      <c r="IT43" s="467"/>
      <c r="IU43" s="467"/>
      <c r="IV43" s="467"/>
      <c r="IW43" s="467"/>
      <c r="IX43" s="467"/>
      <c r="IY43" s="467"/>
      <c r="IZ43" s="467"/>
      <c r="JA43" s="467"/>
      <c r="JB43" s="467"/>
      <c r="JC43" s="467"/>
      <c r="JD43" s="467"/>
      <c r="JE43" s="467"/>
      <c r="JF43" s="467"/>
      <c r="JG43" s="467"/>
      <c r="JH43" s="467"/>
      <c r="JI43" s="467"/>
      <c r="JJ43" s="467"/>
      <c r="JK43" s="467"/>
      <c r="JL43" s="467"/>
      <c r="JM43" s="467"/>
      <c r="JN43" s="487">
        <v>901.44722272000013</v>
      </c>
      <c r="JO43" s="487">
        <v>77.4084</v>
      </c>
      <c r="JP43" s="487">
        <v>4878.5301226878273</v>
      </c>
      <c r="JQ43" s="487">
        <v>0</v>
      </c>
      <c r="JR43" s="487">
        <v>0</v>
      </c>
      <c r="JS43" s="488">
        <v>5857.3857454078279</v>
      </c>
      <c r="JT43" s="489">
        <f t="shared" si="10"/>
        <v>0</v>
      </c>
      <c r="JU43" s="487">
        <v>5857.3857454078279</v>
      </c>
      <c r="JV43" s="487">
        <v>5857.3857454078279</v>
      </c>
      <c r="JW43" s="487">
        <v>5857.3857454078279</v>
      </c>
      <c r="JX43" s="487">
        <v>4121.3900000000003</v>
      </c>
      <c r="JY43" s="487">
        <v>4121.3900000000003</v>
      </c>
      <c r="JZ43" s="467"/>
      <c r="KA43" s="487">
        <v>4121.3900000000003</v>
      </c>
      <c r="KB43" s="490">
        <v>0</v>
      </c>
      <c r="KC43" s="487">
        <v>-6.7955921731481794E-3</v>
      </c>
      <c r="KD43" s="487">
        <v>5857.3925410000011</v>
      </c>
      <c r="KE43" s="487">
        <v>4121.3900000000003</v>
      </c>
      <c r="KF43" s="487">
        <v>0</v>
      </c>
      <c r="KG43" s="491">
        <v>0</v>
      </c>
      <c r="KH43" s="487">
        <v>0</v>
      </c>
      <c r="KI43" s="487">
        <v>0</v>
      </c>
      <c r="KJ43" s="491">
        <v>0</v>
      </c>
      <c r="KK43" s="487">
        <v>0</v>
      </c>
      <c r="KL43" s="487">
        <v>5857.3925410000011</v>
      </c>
      <c r="KM43" s="491">
        <v>1421.2177301832635</v>
      </c>
      <c r="KN43" s="487">
        <v>4121.3900000000003</v>
      </c>
      <c r="KO43" s="487">
        <v>0</v>
      </c>
      <c r="KP43" s="491">
        <v>0</v>
      </c>
      <c r="KQ43" s="487">
        <v>0</v>
      </c>
      <c r="KR43" s="467"/>
      <c r="KS43" s="467"/>
      <c r="KT43" s="487">
        <v>1720.6</v>
      </c>
      <c r="KU43" s="487">
        <v>24.54</v>
      </c>
      <c r="KV43" s="467"/>
      <c r="KW43" s="487"/>
      <c r="KX43" s="487">
        <v>0.154</v>
      </c>
      <c r="KY43" s="487"/>
      <c r="KZ43" s="467"/>
      <c r="LA43" s="487">
        <v>4121.3900000000003</v>
      </c>
      <c r="LB43" s="492">
        <v>1195</v>
      </c>
      <c r="LC43" s="493">
        <v>0.624</v>
      </c>
      <c r="LD43" s="494">
        <f t="shared" si="11"/>
        <v>6036.1729848661189</v>
      </c>
      <c r="LE43" s="471">
        <f t="shared" si="12"/>
        <v>6036.1729848661189</v>
      </c>
      <c r="LF43" s="495">
        <f t="shared" si="13"/>
        <v>5028.8176631040997</v>
      </c>
      <c r="LG43" s="476">
        <f t="shared" si="14"/>
        <v>4217.8574658767884</v>
      </c>
      <c r="LH43" s="496">
        <f t="shared" si="31"/>
        <v>1.03</v>
      </c>
      <c r="LI43" s="497">
        <f t="shared" si="15"/>
        <v>4217.8574658767884</v>
      </c>
      <c r="LJ43" s="496">
        <f t="shared" si="32"/>
        <v>1.0389999999999999</v>
      </c>
      <c r="LK43" s="497">
        <f t="shared" si="16"/>
        <v>0</v>
      </c>
      <c r="LL43" s="496">
        <f t="shared" si="33"/>
        <v>1.0349999999999999</v>
      </c>
      <c r="LM43" s="497">
        <f t="shared" si="17"/>
        <v>0</v>
      </c>
      <c r="LN43" s="496">
        <f t="shared" si="34"/>
        <v>1.0349999999999999</v>
      </c>
      <c r="LO43" s="497">
        <f t="shared" si="18"/>
        <v>0</v>
      </c>
      <c r="LP43" s="496">
        <f t="shared" si="35"/>
        <v>1.0349999999999999</v>
      </c>
      <c r="LQ43" s="497">
        <f t="shared" si="19"/>
        <v>808.04354544900002</v>
      </c>
      <c r="LR43" s="496">
        <f t="shared" si="36"/>
        <v>1.04</v>
      </c>
      <c r="LS43" s="497">
        <f t="shared" si="20"/>
        <v>2.9166517783111501</v>
      </c>
      <c r="LT43" s="499">
        <f t="shared" si="21"/>
        <v>927.2376277620192</v>
      </c>
      <c r="LU43" s="500">
        <f t="shared" si="22"/>
        <v>0</v>
      </c>
      <c r="LV43" s="501">
        <f t="shared" si="23"/>
        <v>927.2376277620192</v>
      </c>
      <c r="LW43" s="499">
        <f t="shared" si="24"/>
        <v>80.117694</v>
      </c>
      <c r="LX43" s="500">
        <f t="shared" si="25"/>
        <v>0</v>
      </c>
      <c r="LY43" s="500">
        <f t="shared" si="26"/>
        <v>0</v>
      </c>
      <c r="LZ43" s="502">
        <f t="shared" si="27"/>
        <v>80.117694</v>
      </c>
      <c r="MA43" s="503">
        <f t="shared" si="28"/>
        <v>0</v>
      </c>
      <c r="MB43" s="504">
        <f t="shared" si="29"/>
        <v>0</v>
      </c>
    </row>
    <row r="44" spans="1:340" ht="16.5" customHeight="1">
      <c r="A44" s="505">
        <v>1</v>
      </c>
      <c r="B44" s="506">
        <v>34</v>
      </c>
      <c r="C44" s="507" t="s">
        <v>305</v>
      </c>
      <c r="D44" s="508">
        <v>4607000231</v>
      </c>
      <c r="E44" s="469">
        <f t="shared" si="3"/>
        <v>26525.663066759997</v>
      </c>
      <c r="F44" s="470" t="s">
        <v>281</v>
      </c>
      <c r="G44" s="595">
        <v>6775.5637331999988</v>
      </c>
      <c r="H44" s="597">
        <f t="shared" si="30"/>
        <v>19750.09933356</v>
      </c>
      <c r="I44" s="597" t="s">
        <v>858</v>
      </c>
      <c r="J44" s="509">
        <f t="shared" si="4"/>
        <v>22104.719222299998</v>
      </c>
      <c r="K44" s="510">
        <f t="shared" si="5"/>
        <v>10878.5116423</v>
      </c>
      <c r="L44" s="511">
        <f t="shared" si="6"/>
        <v>9122.7202715000003</v>
      </c>
      <c r="M44" s="512">
        <v>9122.7202715000003</v>
      </c>
      <c r="N44" s="513">
        <v>0</v>
      </c>
      <c r="O44" s="513">
        <v>0</v>
      </c>
      <c r="P44" s="514">
        <v>0</v>
      </c>
      <c r="Q44" s="515">
        <v>1476.4083028</v>
      </c>
      <c r="R44" s="516">
        <f t="shared" si="7"/>
        <v>279.38306800000004</v>
      </c>
      <c r="S44" s="517">
        <f t="shared" si="8"/>
        <v>8233.2520000000004</v>
      </c>
      <c r="T44" s="518">
        <v>2985.9400000000005</v>
      </c>
      <c r="U44" s="519">
        <v>5247.3119999999999</v>
      </c>
      <c r="V44" s="520">
        <f t="shared" si="9"/>
        <v>1946.5855799999999</v>
      </c>
      <c r="W44" s="521">
        <v>916.68358000000012</v>
      </c>
      <c r="X44" s="518">
        <v>412.11200000000008</v>
      </c>
      <c r="Y44" s="522">
        <v>617.78999999999974</v>
      </c>
      <c r="Z44" s="523">
        <v>487.599999999999</v>
      </c>
      <c r="AA44" s="524">
        <v>558.77</v>
      </c>
      <c r="AB44" s="486"/>
      <c r="AC44" s="525">
        <v>9122.7202715000003</v>
      </c>
      <c r="AD44" s="525">
        <v>9122.7202715000003</v>
      </c>
      <c r="AE44" s="525">
        <v>0</v>
      </c>
      <c r="AF44" s="525">
        <v>0</v>
      </c>
      <c r="AG44" s="525">
        <v>0</v>
      </c>
      <c r="AH44" s="525">
        <v>1476.4083028</v>
      </c>
      <c r="AI44" s="525">
        <v>1476.4083028</v>
      </c>
      <c r="AJ44" s="525">
        <v>0</v>
      </c>
      <c r="AK44" s="525">
        <v>0</v>
      </c>
      <c r="AL44" s="525">
        <v>0</v>
      </c>
      <c r="AM44" s="525">
        <v>0</v>
      </c>
      <c r="AN44" s="525">
        <v>0</v>
      </c>
      <c r="AO44" s="525">
        <v>0</v>
      </c>
      <c r="AP44" s="525">
        <v>0</v>
      </c>
      <c r="AQ44" s="525">
        <v>0</v>
      </c>
      <c r="AR44" s="525">
        <v>0</v>
      </c>
      <c r="AS44" s="525">
        <v>0</v>
      </c>
      <c r="AT44" s="525">
        <v>0</v>
      </c>
      <c r="AU44" s="525">
        <v>0</v>
      </c>
      <c r="AV44" s="525">
        <v>0</v>
      </c>
      <c r="AW44" s="525">
        <v>0</v>
      </c>
      <c r="AX44" s="525">
        <v>0</v>
      </c>
      <c r="AY44" s="525">
        <v>0</v>
      </c>
      <c r="AZ44" s="525">
        <v>0</v>
      </c>
      <c r="BA44" s="525">
        <v>1476.4083028</v>
      </c>
      <c r="BB44" s="525">
        <v>329.56800000000004</v>
      </c>
      <c r="BC44" s="525">
        <v>0</v>
      </c>
      <c r="BD44" s="525">
        <v>0</v>
      </c>
      <c r="BE44" s="525">
        <v>0</v>
      </c>
      <c r="BF44" s="525">
        <v>0</v>
      </c>
      <c r="BG44" s="525">
        <v>0</v>
      </c>
      <c r="BH44" s="525">
        <v>0</v>
      </c>
      <c r="BI44" s="525">
        <v>0</v>
      </c>
      <c r="BJ44" s="525">
        <v>0</v>
      </c>
      <c r="BK44" s="525">
        <v>0</v>
      </c>
      <c r="BL44" s="525">
        <v>0</v>
      </c>
      <c r="BM44" s="525">
        <v>0</v>
      </c>
      <c r="BN44" s="525">
        <v>0</v>
      </c>
      <c r="BO44" s="525">
        <v>0</v>
      </c>
      <c r="BP44" s="525">
        <v>337.64073999999999</v>
      </c>
      <c r="BQ44" s="525">
        <v>4.8441999999999998</v>
      </c>
      <c r="BR44" s="525">
        <v>69.7</v>
      </c>
      <c r="BS44" s="525">
        <v>0</v>
      </c>
      <c r="BT44" s="525">
        <v>0</v>
      </c>
      <c r="BU44" s="525">
        <v>0</v>
      </c>
      <c r="BV44" s="525">
        <v>1138.7675628000002</v>
      </c>
      <c r="BW44" s="525">
        <v>4.3821000000000003</v>
      </c>
      <c r="BX44" s="525">
        <v>259.86799999999999</v>
      </c>
      <c r="BY44" s="525">
        <v>0</v>
      </c>
      <c r="BZ44" s="525">
        <v>0</v>
      </c>
      <c r="CA44" s="525">
        <v>0</v>
      </c>
      <c r="CB44" s="525">
        <v>0</v>
      </c>
      <c r="CC44" s="525">
        <v>0</v>
      </c>
      <c r="CD44" s="525">
        <v>0</v>
      </c>
      <c r="CE44" s="525">
        <v>0</v>
      </c>
      <c r="CF44" s="525">
        <v>0</v>
      </c>
      <c r="CG44" s="525">
        <v>0</v>
      </c>
      <c r="CH44" s="525">
        <v>0</v>
      </c>
      <c r="CI44" s="525">
        <v>0</v>
      </c>
      <c r="CJ44" s="525">
        <v>0</v>
      </c>
      <c r="CK44" s="525">
        <v>0</v>
      </c>
      <c r="CL44" s="525">
        <v>0</v>
      </c>
      <c r="CM44" s="525">
        <v>2985.9400000000005</v>
      </c>
      <c r="CN44" s="525">
        <v>1564.9799999999998</v>
      </c>
      <c r="CO44" s="525">
        <v>0</v>
      </c>
      <c r="CP44" s="525">
        <v>1420.9600000000003</v>
      </c>
      <c r="CQ44" s="525">
        <v>0</v>
      </c>
      <c r="CR44" s="525">
        <v>0</v>
      </c>
      <c r="CS44" s="525">
        <v>916.68358000000012</v>
      </c>
      <c r="CT44" s="525">
        <v>480.44886000000002</v>
      </c>
      <c r="CU44" s="525">
        <v>0</v>
      </c>
      <c r="CV44" s="525">
        <v>436.2347200000001</v>
      </c>
      <c r="CW44" s="525">
        <v>0</v>
      </c>
      <c r="CX44" s="525">
        <v>0</v>
      </c>
      <c r="CY44" s="525">
        <v>279.38306800000004</v>
      </c>
      <c r="CZ44" s="526"/>
      <c r="DA44" s="525">
        <v>10.9856</v>
      </c>
      <c r="DB44" s="525">
        <v>0</v>
      </c>
      <c r="DC44" s="526"/>
      <c r="DD44" s="525">
        <v>0</v>
      </c>
      <c r="DE44" s="525">
        <v>0</v>
      </c>
      <c r="DF44" s="525">
        <v>0</v>
      </c>
      <c r="DG44" s="525">
        <v>770.88199999999995</v>
      </c>
      <c r="DH44" s="525">
        <v>583.69200000000001</v>
      </c>
      <c r="DI44" s="525">
        <v>0</v>
      </c>
      <c r="DJ44" s="525">
        <v>187.19</v>
      </c>
      <c r="DK44" s="525">
        <v>0</v>
      </c>
      <c r="DL44" s="525">
        <v>0</v>
      </c>
      <c r="DM44" s="525">
        <v>0</v>
      </c>
      <c r="DN44" s="525">
        <v>0</v>
      </c>
      <c r="DO44" s="525">
        <v>0</v>
      </c>
      <c r="DP44" s="525">
        <v>1182.8499999999999</v>
      </c>
      <c r="DQ44" s="525">
        <v>0</v>
      </c>
      <c r="DR44" s="525">
        <v>0</v>
      </c>
      <c r="DS44" s="525">
        <v>0</v>
      </c>
      <c r="DT44" s="525">
        <v>1182.8499999999999</v>
      </c>
      <c r="DU44" s="525">
        <v>0</v>
      </c>
      <c r="DV44" s="525">
        <v>0</v>
      </c>
      <c r="DW44" s="525">
        <v>0</v>
      </c>
      <c r="DX44" s="525">
        <v>0</v>
      </c>
      <c r="DY44" s="525">
        <v>0</v>
      </c>
      <c r="DZ44" s="525">
        <v>0</v>
      </c>
      <c r="EA44" s="525">
        <v>0</v>
      </c>
      <c r="EB44" s="525">
        <v>0</v>
      </c>
      <c r="EC44" s="525">
        <v>0</v>
      </c>
      <c r="ED44" s="525">
        <v>0</v>
      </c>
      <c r="EE44" s="525">
        <v>0</v>
      </c>
      <c r="EF44" s="525">
        <v>0</v>
      </c>
      <c r="EG44" s="525">
        <v>0</v>
      </c>
      <c r="EH44" s="525">
        <v>0</v>
      </c>
      <c r="EI44" s="525">
        <v>0</v>
      </c>
      <c r="EJ44" s="525">
        <v>0</v>
      </c>
      <c r="EK44" s="525">
        <v>0</v>
      </c>
      <c r="EL44" s="525">
        <v>0</v>
      </c>
      <c r="EM44" s="525">
        <v>0</v>
      </c>
      <c r="EN44" s="525">
        <v>0</v>
      </c>
      <c r="EO44" s="525">
        <v>0</v>
      </c>
      <c r="EP44" s="525">
        <v>3293.5799999999995</v>
      </c>
      <c r="EQ44" s="525">
        <v>0</v>
      </c>
      <c r="ER44" s="525">
        <v>3293.5799999999995</v>
      </c>
      <c r="ES44" s="525">
        <v>505.4799999999999</v>
      </c>
      <c r="ET44" s="525">
        <v>0</v>
      </c>
      <c r="EU44" s="525">
        <v>0</v>
      </c>
      <c r="EV44" s="525">
        <v>0</v>
      </c>
      <c r="EW44" s="525">
        <v>0</v>
      </c>
      <c r="EX44" s="525">
        <v>0</v>
      </c>
      <c r="EY44" s="525">
        <v>0</v>
      </c>
      <c r="EZ44" s="525">
        <v>0</v>
      </c>
      <c r="FA44" s="525">
        <v>0</v>
      </c>
      <c r="FB44" s="525">
        <v>112.31</v>
      </c>
      <c r="FC44" s="525">
        <v>0</v>
      </c>
      <c r="FD44" s="525">
        <v>0</v>
      </c>
      <c r="FE44" s="525">
        <v>0</v>
      </c>
      <c r="FF44" s="525">
        <v>112.31</v>
      </c>
      <c r="FG44" s="525">
        <v>112.31</v>
      </c>
      <c r="FH44" s="525">
        <v>0</v>
      </c>
      <c r="FI44" s="525">
        <v>0</v>
      </c>
      <c r="FJ44" s="525">
        <v>0</v>
      </c>
      <c r="FK44" s="525">
        <v>0</v>
      </c>
      <c r="FL44" s="525">
        <v>0</v>
      </c>
      <c r="FM44" s="525">
        <v>412.11200000000008</v>
      </c>
      <c r="FN44" s="525">
        <v>412.11200000000008</v>
      </c>
      <c r="FO44" s="525">
        <v>0</v>
      </c>
      <c r="FP44" s="525">
        <v>0</v>
      </c>
      <c r="FQ44" s="525">
        <v>0</v>
      </c>
      <c r="FR44" s="525">
        <v>0</v>
      </c>
      <c r="FS44" s="527">
        <v>21058.349222299999</v>
      </c>
      <c r="FT44" s="525">
        <v>0</v>
      </c>
      <c r="FU44" s="525">
        <v>0</v>
      </c>
      <c r="FV44" s="525">
        <v>0</v>
      </c>
      <c r="FW44" s="525">
        <v>0</v>
      </c>
      <c r="FX44" s="525">
        <v>0</v>
      </c>
      <c r="FY44" s="525">
        <v>0</v>
      </c>
      <c r="FZ44" s="525">
        <v>0</v>
      </c>
      <c r="GA44" s="525">
        <v>0</v>
      </c>
      <c r="GB44" s="525">
        <v>0</v>
      </c>
      <c r="GC44" s="525">
        <v>0</v>
      </c>
      <c r="GD44" s="525">
        <v>0</v>
      </c>
      <c r="GE44" s="525">
        <v>0</v>
      </c>
      <c r="GF44" s="525">
        <v>0</v>
      </c>
      <c r="GG44" s="525">
        <v>0</v>
      </c>
      <c r="GH44" s="525">
        <v>558.77</v>
      </c>
      <c r="GI44" s="525">
        <v>0</v>
      </c>
      <c r="GJ44" s="526"/>
      <c r="GK44" s="525">
        <v>558.77</v>
      </c>
      <c r="GL44" s="526"/>
      <c r="GM44" s="525">
        <v>0</v>
      </c>
      <c r="GN44" s="525">
        <v>0</v>
      </c>
      <c r="GO44" s="526"/>
      <c r="GP44" s="526"/>
      <c r="GQ44" s="525">
        <v>0</v>
      </c>
      <c r="GR44" s="526"/>
      <c r="GS44" s="526"/>
      <c r="GT44" s="525">
        <v>0</v>
      </c>
      <c r="GU44" s="525">
        <v>0</v>
      </c>
      <c r="GV44" s="525">
        <v>0</v>
      </c>
      <c r="GW44" s="525">
        <v>0</v>
      </c>
      <c r="GX44" s="525">
        <v>0</v>
      </c>
      <c r="GY44" s="525">
        <v>0</v>
      </c>
      <c r="GZ44" s="525">
        <v>0</v>
      </c>
      <c r="HA44" s="525">
        <v>0</v>
      </c>
      <c r="HB44" s="525">
        <v>0</v>
      </c>
      <c r="HC44" s="525">
        <v>0</v>
      </c>
      <c r="HD44" s="525">
        <v>0</v>
      </c>
      <c r="HE44" s="525">
        <v>0</v>
      </c>
      <c r="HF44" s="525">
        <v>0</v>
      </c>
      <c r="HG44" s="525">
        <v>0</v>
      </c>
      <c r="HH44" s="525">
        <v>0</v>
      </c>
      <c r="HI44" s="525">
        <v>0</v>
      </c>
      <c r="HJ44" s="525">
        <v>0</v>
      </c>
      <c r="HK44" s="525">
        <v>0</v>
      </c>
      <c r="HL44" s="526"/>
      <c r="HM44" s="526"/>
      <c r="HN44" s="526"/>
      <c r="HO44" s="526"/>
      <c r="HP44" s="526"/>
      <c r="HQ44" s="526"/>
      <c r="HR44" s="526"/>
      <c r="HS44" s="526"/>
      <c r="HT44" s="526"/>
      <c r="HU44" s="526"/>
      <c r="HV44" s="526"/>
      <c r="HW44" s="526"/>
      <c r="HX44" s="526"/>
      <c r="HY44" s="526"/>
      <c r="HZ44" s="526"/>
      <c r="IA44" s="526"/>
      <c r="IB44" s="526"/>
      <c r="IC44" s="526"/>
      <c r="ID44" s="526"/>
      <c r="IE44" s="526"/>
      <c r="IF44" s="526"/>
      <c r="IG44" s="526"/>
      <c r="IH44" s="526"/>
      <c r="II44" s="526"/>
      <c r="IJ44" s="526"/>
      <c r="IK44" s="526"/>
      <c r="IL44" s="526"/>
      <c r="IM44" s="526"/>
      <c r="IN44" s="526"/>
      <c r="IO44" s="526"/>
      <c r="IP44" s="526"/>
      <c r="IQ44" s="526"/>
      <c r="IR44" s="526"/>
      <c r="IS44" s="526"/>
      <c r="IT44" s="526"/>
      <c r="IU44" s="526"/>
      <c r="IV44" s="526"/>
      <c r="IW44" s="526"/>
      <c r="IX44" s="526"/>
      <c r="IY44" s="526"/>
      <c r="IZ44" s="526"/>
      <c r="JA44" s="526"/>
      <c r="JB44" s="526"/>
      <c r="JC44" s="526"/>
      <c r="JD44" s="526"/>
      <c r="JE44" s="526"/>
      <c r="JF44" s="526"/>
      <c r="JG44" s="526"/>
      <c r="JH44" s="526"/>
      <c r="JI44" s="526"/>
      <c r="JJ44" s="526"/>
      <c r="JK44" s="526"/>
      <c r="JL44" s="526"/>
      <c r="JM44" s="526"/>
      <c r="JN44" s="525">
        <v>8233.2520000000004</v>
      </c>
      <c r="JO44" s="525">
        <v>1946.5855799999999</v>
      </c>
      <c r="JP44" s="525">
        <v>10878.5116423</v>
      </c>
      <c r="JQ44" s="525">
        <v>0</v>
      </c>
      <c r="JR44" s="525">
        <v>558.77</v>
      </c>
      <c r="JS44" s="527">
        <v>22104.719222299998</v>
      </c>
      <c r="JT44" s="528">
        <f t="shared" si="10"/>
        <v>487.599999999999</v>
      </c>
      <c r="JU44" s="525">
        <v>26525.663066759997</v>
      </c>
      <c r="JV44" s="525">
        <v>5644.5854748522488</v>
      </c>
      <c r="JW44" s="525">
        <v>6773.5025698226982</v>
      </c>
      <c r="JX44" s="525">
        <v>10572.98</v>
      </c>
      <c r="JY44" s="525">
        <v>2699.88</v>
      </c>
      <c r="JZ44" s="526"/>
      <c r="KA44" s="525">
        <v>2699.88</v>
      </c>
      <c r="KB44" s="529">
        <v>2.6534368582333299</v>
      </c>
      <c r="KC44" s="525">
        <v>-1.7186303477519687</v>
      </c>
      <c r="KD44" s="525">
        <v>5646.3041052000008</v>
      </c>
      <c r="KE44" s="525">
        <v>2699.88</v>
      </c>
      <c r="KF44" s="525">
        <v>0</v>
      </c>
      <c r="KG44" s="530">
        <v>0</v>
      </c>
      <c r="KH44" s="525">
        <v>0</v>
      </c>
      <c r="KI44" s="525">
        <v>3950.97318</v>
      </c>
      <c r="KJ44" s="530">
        <v>2090.462</v>
      </c>
      <c r="KK44" s="525">
        <v>1890</v>
      </c>
      <c r="KL44" s="525">
        <v>1352.4461852000002</v>
      </c>
      <c r="KM44" s="530">
        <v>2093.9589168266552</v>
      </c>
      <c r="KN44" s="525">
        <v>645.88</v>
      </c>
      <c r="KO44" s="525">
        <v>342.88473999999997</v>
      </c>
      <c r="KP44" s="530">
        <v>2090.7606097560974</v>
      </c>
      <c r="KQ44" s="525">
        <v>164</v>
      </c>
      <c r="KR44" s="526"/>
      <c r="KS44" s="526"/>
      <c r="KT44" s="531">
        <v>15021.4</v>
      </c>
      <c r="KU44" s="531">
        <v>63.3</v>
      </c>
      <c r="KV44" s="526"/>
      <c r="KW44" s="531">
        <v>2900</v>
      </c>
      <c r="KX44" s="531">
        <v>1.9</v>
      </c>
      <c r="KY44" s="531">
        <v>1.9</v>
      </c>
      <c r="KZ44" s="526"/>
      <c r="LA44" s="531">
        <v>1500</v>
      </c>
      <c r="LB44" s="532">
        <v>145</v>
      </c>
      <c r="LC44" s="533">
        <v>0.01</v>
      </c>
      <c r="LD44" s="494">
        <f t="shared" si="11"/>
        <v>27310.360344848155</v>
      </c>
      <c r="LE44" s="509">
        <f t="shared" si="12"/>
        <v>22758.633620706798</v>
      </c>
      <c r="LF44" s="534">
        <f t="shared" si="13"/>
        <v>11215.042863762999</v>
      </c>
      <c r="LG44" s="535">
        <f t="shared" si="14"/>
        <v>9396.401879645</v>
      </c>
      <c r="LH44" s="536">
        <f t="shared" si="31"/>
        <v>1.03</v>
      </c>
      <c r="LI44" s="537">
        <f t="shared" si="15"/>
        <v>9396.401879645</v>
      </c>
      <c r="LJ44" s="536">
        <f t="shared" si="32"/>
        <v>1.0389999999999999</v>
      </c>
      <c r="LK44" s="537">
        <f t="shared" si="16"/>
        <v>0</v>
      </c>
      <c r="LL44" s="536">
        <f t="shared" si="33"/>
        <v>1.0349999999999999</v>
      </c>
      <c r="LM44" s="537">
        <f t="shared" si="17"/>
        <v>0</v>
      </c>
      <c r="LN44" s="536">
        <f t="shared" si="34"/>
        <v>1.0349999999999999</v>
      </c>
      <c r="LO44" s="537">
        <f t="shared" si="18"/>
        <v>0</v>
      </c>
      <c r="LP44" s="536">
        <f t="shared" si="35"/>
        <v>1.0349999999999999</v>
      </c>
      <c r="LQ44" s="537">
        <f t="shared" si="19"/>
        <v>1528.082593398</v>
      </c>
      <c r="LR44" s="536">
        <f t="shared" si="36"/>
        <v>1.04</v>
      </c>
      <c r="LS44" s="537">
        <f t="shared" si="20"/>
        <v>290.55839072000003</v>
      </c>
      <c r="LT44" s="539">
        <f t="shared" si="21"/>
        <v>8468.8053397200001</v>
      </c>
      <c r="LU44" s="540">
        <f t="shared" si="22"/>
        <v>3071.3677434000006</v>
      </c>
      <c r="LV44" s="541">
        <f t="shared" si="23"/>
        <v>5397.43759632</v>
      </c>
      <c r="LW44" s="542">
        <f t="shared" si="24"/>
        <v>2008.8584672237998</v>
      </c>
      <c r="LX44" s="540">
        <f t="shared" si="25"/>
        <v>942.90989722380004</v>
      </c>
      <c r="LY44" s="540">
        <f t="shared" si="26"/>
        <v>426.53592000000003</v>
      </c>
      <c r="LZ44" s="543">
        <f t="shared" si="27"/>
        <v>639.41264999999964</v>
      </c>
      <c r="MA44" s="544">
        <f t="shared" si="28"/>
        <v>487.599999999999</v>
      </c>
      <c r="MB44" s="545">
        <f t="shared" si="29"/>
        <v>578.3269499999999</v>
      </c>
    </row>
    <row r="45" spans="1:340" ht="16.5" customHeight="1">
      <c r="A45" s="465">
        <v>1</v>
      </c>
      <c r="B45" s="466">
        <v>35</v>
      </c>
      <c r="C45" s="467" t="s">
        <v>54</v>
      </c>
      <c r="D45" s="468">
        <v>4632068226</v>
      </c>
      <c r="E45" s="469">
        <f t="shared" si="3"/>
        <v>352394.66726075532</v>
      </c>
      <c r="F45" s="470" t="s">
        <v>281</v>
      </c>
      <c r="G45" s="595">
        <v>7638.7440299999998</v>
      </c>
      <c r="H45" s="597">
        <f t="shared" si="30"/>
        <v>344755.92323075532</v>
      </c>
      <c r="I45" s="597" t="s">
        <v>857</v>
      </c>
      <c r="J45" s="471">
        <f t="shared" si="4"/>
        <v>293662.2227172961</v>
      </c>
      <c r="K45" s="472">
        <f t="shared" si="5"/>
        <v>249179.71806378406</v>
      </c>
      <c r="L45" s="473">
        <f t="shared" si="6"/>
        <v>191633.01885014804</v>
      </c>
      <c r="M45" s="474">
        <v>191633.01885014804</v>
      </c>
      <c r="N45" s="475">
        <v>0</v>
      </c>
      <c r="O45" s="475">
        <v>0</v>
      </c>
      <c r="P45" s="476">
        <v>0</v>
      </c>
      <c r="Q45" s="477">
        <v>54098.062413636006</v>
      </c>
      <c r="R45" s="478">
        <f t="shared" si="7"/>
        <v>3448.6368000000002</v>
      </c>
      <c r="S45" s="479">
        <f t="shared" si="8"/>
        <v>33703.590356304005</v>
      </c>
      <c r="T45" s="479">
        <v>21234.948004000002</v>
      </c>
      <c r="U45" s="480">
        <v>12468.642352304003</v>
      </c>
      <c r="V45" s="481">
        <f t="shared" si="9"/>
        <v>7335.2342972080014</v>
      </c>
      <c r="W45" s="482">
        <v>6412.9542972080008</v>
      </c>
      <c r="X45" s="479">
        <v>0</v>
      </c>
      <c r="Y45" s="483">
        <v>922.28000000000065</v>
      </c>
      <c r="Z45" s="484">
        <v>3293.6799999999639</v>
      </c>
      <c r="AA45" s="485">
        <v>150</v>
      </c>
      <c r="AB45" s="486"/>
      <c r="AC45" s="487">
        <v>191633.01885014804</v>
      </c>
      <c r="AD45" s="487">
        <v>191633.01885014804</v>
      </c>
      <c r="AE45" s="487">
        <v>0</v>
      </c>
      <c r="AF45" s="487">
        <v>0</v>
      </c>
      <c r="AG45" s="487">
        <v>0</v>
      </c>
      <c r="AH45" s="487">
        <v>54098.062413636006</v>
      </c>
      <c r="AI45" s="487">
        <v>54098.062413636006</v>
      </c>
      <c r="AJ45" s="487">
        <v>0</v>
      </c>
      <c r="AK45" s="487">
        <v>0</v>
      </c>
      <c r="AL45" s="487">
        <v>0</v>
      </c>
      <c r="AM45" s="487">
        <v>0</v>
      </c>
      <c r="AN45" s="487">
        <v>0</v>
      </c>
      <c r="AO45" s="487">
        <v>0</v>
      </c>
      <c r="AP45" s="487">
        <v>0</v>
      </c>
      <c r="AQ45" s="487">
        <v>0</v>
      </c>
      <c r="AR45" s="487">
        <v>0</v>
      </c>
      <c r="AS45" s="487">
        <v>0</v>
      </c>
      <c r="AT45" s="487">
        <v>0</v>
      </c>
      <c r="AU45" s="487">
        <v>0</v>
      </c>
      <c r="AV45" s="487">
        <v>0</v>
      </c>
      <c r="AW45" s="487">
        <v>0</v>
      </c>
      <c r="AX45" s="487">
        <v>0</v>
      </c>
      <c r="AY45" s="487">
        <v>0</v>
      </c>
      <c r="AZ45" s="487">
        <v>0</v>
      </c>
      <c r="BA45" s="487">
        <v>54098.062413636006</v>
      </c>
      <c r="BB45" s="487">
        <v>11459.599</v>
      </c>
      <c r="BC45" s="487">
        <v>0</v>
      </c>
      <c r="BD45" s="487">
        <v>0</v>
      </c>
      <c r="BE45" s="487">
        <v>0</v>
      </c>
      <c r="BF45" s="487">
        <v>0</v>
      </c>
      <c r="BG45" s="487">
        <v>0</v>
      </c>
      <c r="BH45" s="487">
        <v>0</v>
      </c>
      <c r="BI45" s="487">
        <v>0</v>
      </c>
      <c r="BJ45" s="487">
        <v>54098.062413636006</v>
      </c>
      <c r="BK45" s="487">
        <v>4.7207640000000008</v>
      </c>
      <c r="BL45" s="487">
        <v>11459.599</v>
      </c>
      <c r="BM45" s="487">
        <v>0</v>
      </c>
      <c r="BN45" s="487">
        <v>0</v>
      </c>
      <c r="BO45" s="487">
        <v>0</v>
      </c>
      <c r="BP45" s="487">
        <v>0</v>
      </c>
      <c r="BQ45" s="487">
        <v>0</v>
      </c>
      <c r="BR45" s="487">
        <v>0</v>
      </c>
      <c r="BS45" s="487">
        <v>0</v>
      </c>
      <c r="BT45" s="487">
        <v>0</v>
      </c>
      <c r="BU45" s="487">
        <v>0</v>
      </c>
      <c r="BV45" s="487">
        <v>0</v>
      </c>
      <c r="BW45" s="487">
        <v>0</v>
      </c>
      <c r="BX45" s="487">
        <v>0</v>
      </c>
      <c r="BY45" s="487">
        <v>0</v>
      </c>
      <c r="BZ45" s="487">
        <v>0</v>
      </c>
      <c r="CA45" s="487">
        <v>0</v>
      </c>
      <c r="CB45" s="487">
        <v>0</v>
      </c>
      <c r="CC45" s="487">
        <v>0</v>
      </c>
      <c r="CD45" s="487">
        <v>0</v>
      </c>
      <c r="CE45" s="487">
        <v>0</v>
      </c>
      <c r="CF45" s="487">
        <v>0</v>
      </c>
      <c r="CG45" s="487">
        <v>0</v>
      </c>
      <c r="CH45" s="487">
        <v>0</v>
      </c>
      <c r="CI45" s="487">
        <v>0</v>
      </c>
      <c r="CJ45" s="487">
        <v>0</v>
      </c>
      <c r="CK45" s="487">
        <v>0</v>
      </c>
      <c r="CL45" s="487">
        <v>0</v>
      </c>
      <c r="CM45" s="487">
        <v>21234.948004000002</v>
      </c>
      <c r="CN45" s="487">
        <v>7554.3706336000005</v>
      </c>
      <c r="CO45" s="487">
        <v>0</v>
      </c>
      <c r="CP45" s="487">
        <v>10825.324918400001</v>
      </c>
      <c r="CQ45" s="487">
        <v>2855.2524520000006</v>
      </c>
      <c r="CR45" s="487">
        <v>0</v>
      </c>
      <c r="CS45" s="487">
        <v>6412.9542972080008</v>
      </c>
      <c r="CT45" s="487">
        <v>2281.4199313472</v>
      </c>
      <c r="CU45" s="487">
        <v>0</v>
      </c>
      <c r="CV45" s="487">
        <v>3269.2481253567998</v>
      </c>
      <c r="CW45" s="487">
        <v>862.28624050400026</v>
      </c>
      <c r="CX45" s="487">
        <v>0</v>
      </c>
      <c r="CY45" s="487">
        <v>3448.6368000000002</v>
      </c>
      <c r="CZ45" s="467"/>
      <c r="DA45" s="487">
        <v>159.20000000000002</v>
      </c>
      <c r="DB45" s="487">
        <v>0</v>
      </c>
      <c r="DC45" s="467"/>
      <c r="DD45" s="487">
        <v>0</v>
      </c>
      <c r="DE45" s="487">
        <v>0</v>
      </c>
      <c r="DF45" s="487">
        <v>0</v>
      </c>
      <c r="DG45" s="487">
        <v>8198.2941987039994</v>
      </c>
      <c r="DH45" s="487">
        <v>437.83006558400001</v>
      </c>
      <c r="DI45" s="487">
        <v>0</v>
      </c>
      <c r="DJ45" s="487">
        <v>7760.46413312</v>
      </c>
      <c r="DK45" s="487">
        <v>0</v>
      </c>
      <c r="DL45" s="487">
        <v>0</v>
      </c>
      <c r="DM45" s="487">
        <v>0</v>
      </c>
      <c r="DN45" s="487">
        <v>0</v>
      </c>
      <c r="DO45" s="487">
        <v>0</v>
      </c>
      <c r="DP45" s="487">
        <v>1547.7903935999998</v>
      </c>
      <c r="DQ45" s="487">
        <v>0</v>
      </c>
      <c r="DR45" s="487">
        <v>0</v>
      </c>
      <c r="DS45" s="487">
        <v>0</v>
      </c>
      <c r="DT45" s="487">
        <v>1547.7903935999998</v>
      </c>
      <c r="DU45" s="487">
        <v>2175.2884721600003</v>
      </c>
      <c r="DV45" s="487">
        <v>102.48882336000001</v>
      </c>
      <c r="DW45" s="487">
        <v>179.87834304</v>
      </c>
      <c r="DX45" s="487">
        <v>586.69612096000003</v>
      </c>
      <c r="DY45" s="487">
        <v>0</v>
      </c>
      <c r="DZ45" s="487">
        <v>0</v>
      </c>
      <c r="EA45" s="487">
        <v>1238.2479040000001</v>
      </c>
      <c r="EB45" s="487">
        <v>0</v>
      </c>
      <c r="EC45" s="487">
        <v>0</v>
      </c>
      <c r="ED45" s="487">
        <v>0</v>
      </c>
      <c r="EE45" s="487">
        <v>0</v>
      </c>
      <c r="EF45" s="487">
        <v>0</v>
      </c>
      <c r="EG45" s="487">
        <v>67.977280800000003</v>
      </c>
      <c r="EH45" s="487">
        <v>781.06</v>
      </c>
      <c r="EI45" s="487">
        <v>0</v>
      </c>
      <c r="EJ45" s="487">
        <v>0</v>
      </c>
      <c r="EK45" s="487">
        <v>781.06</v>
      </c>
      <c r="EL45" s="487">
        <v>0</v>
      </c>
      <c r="EM45" s="487">
        <v>94.122388799999996</v>
      </c>
      <c r="EN45" s="487">
        <v>0</v>
      </c>
      <c r="EO45" s="487">
        <v>0</v>
      </c>
      <c r="EP45" s="487">
        <v>453.14689904000011</v>
      </c>
      <c r="EQ45" s="487">
        <v>176.00875424</v>
      </c>
      <c r="ER45" s="487">
        <v>277.13814480000002</v>
      </c>
      <c r="ES45" s="487">
        <v>0</v>
      </c>
      <c r="ET45" s="487">
        <v>781.06</v>
      </c>
      <c r="EU45" s="487">
        <v>781.06</v>
      </c>
      <c r="EV45" s="487">
        <v>0</v>
      </c>
      <c r="EW45" s="487">
        <v>0</v>
      </c>
      <c r="EX45" s="487">
        <v>0</v>
      </c>
      <c r="EY45" s="487">
        <v>0</v>
      </c>
      <c r="EZ45" s="487">
        <v>0</v>
      </c>
      <c r="FA45" s="487">
        <v>0</v>
      </c>
      <c r="FB45" s="487">
        <v>103.72</v>
      </c>
      <c r="FC45" s="487">
        <v>4</v>
      </c>
      <c r="FD45" s="487">
        <v>99.72</v>
      </c>
      <c r="FE45" s="487">
        <v>0</v>
      </c>
      <c r="FF45" s="487">
        <v>0</v>
      </c>
      <c r="FG45" s="487">
        <v>0</v>
      </c>
      <c r="FH45" s="487">
        <v>0</v>
      </c>
      <c r="FI45" s="487">
        <v>0</v>
      </c>
      <c r="FJ45" s="487">
        <v>0</v>
      </c>
      <c r="FK45" s="487">
        <v>0</v>
      </c>
      <c r="FL45" s="487">
        <v>0</v>
      </c>
      <c r="FM45" s="487">
        <v>0</v>
      </c>
      <c r="FN45" s="487">
        <v>0</v>
      </c>
      <c r="FO45" s="487">
        <v>0</v>
      </c>
      <c r="FP45" s="487">
        <v>0</v>
      </c>
      <c r="FQ45" s="487">
        <v>0</v>
      </c>
      <c r="FR45" s="487">
        <v>37.5</v>
      </c>
      <c r="FS45" s="488">
        <v>290218.54271729605</v>
      </c>
      <c r="FT45" s="487">
        <v>0</v>
      </c>
      <c r="FU45" s="487">
        <v>0</v>
      </c>
      <c r="FV45" s="487">
        <v>0</v>
      </c>
      <c r="FW45" s="487">
        <v>0</v>
      </c>
      <c r="FX45" s="487">
        <v>0</v>
      </c>
      <c r="FY45" s="487">
        <v>0</v>
      </c>
      <c r="FZ45" s="487">
        <v>0</v>
      </c>
      <c r="GA45" s="487">
        <v>0</v>
      </c>
      <c r="GB45" s="487">
        <v>0</v>
      </c>
      <c r="GC45" s="487">
        <v>0</v>
      </c>
      <c r="GD45" s="487">
        <v>0</v>
      </c>
      <c r="GE45" s="487">
        <v>0</v>
      </c>
      <c r="GF45" s="487">
        <v>0</v>
      </c>
      <c r="GG45" s="487">
        <v>0</v>
      </c>
      <c r="GH45" s="487">
        <v>150</v>
      </c>
      <c r="GI45" s="487">
        <v>0</v>
      </c>
      <c r="GJ45" s="467"/>
      <c r="GK45" s="487">
        <v>150</v>
      </c>
      <c r="GL45" s="467"/>
      <c r="GM45" s="487">
        <v>0</v>
      </c>
      <c r="GN45" s="487">
        <v>0</v>
      </c>
      <c r="GO45" s="467"/>
      <c r="GP45" s="467"/>
      <c r="GQ45" s="487">
        <v>0</v>
      </c>
      <c r="GR45" s="467"/>
      <c r="GS45" s="467"/>
      <c r="GT45" s="487">
        <v>0</v>
      </c>
      <c r="GU45" s="487">
        <v>0</v>
      </c>
      <c r="GV45" s="487">
        <v>0</v>
      </c>
      <c r="GW45" s="487">
        <v>0</v>
      </c>
      <c r="GX45" s="487">
        <v>0</v>
      </c>
      <c r="GY45" s="487">
        <v>0</v>
      </c>
      <c r="GZ45" s="487">
        <v>0</v>
      </c>
      <c r="HA45" s="487">
        <v>0</v>
      </c>
      <c r="HB45" s="487">
        <v>0</v>
      </c>
      <c r="HC45" s="487">
        <v>0</v>
      </c>
      <c r="HD45" s="487">
        <v>0</v>
      </c>
      <c r="HE45" s="487">
        <v>0</v>
      </c>
      <c r="HF45" s="487">
        <v>0</v>
      </c>
      <c r="HG45" s="487">
        <v>0</v>
      </c>
      <c r="HH45" s="487">
        <v>0</v>
      </c>
      <c r="HI45" s="487">
        <v>0</v>
      </c>
      <c r="HJ45" s="487">
        <v>0</v>
      </c>
      <c r="HK45" s="487">
        <v>0</v>
      </c>
      <c r="HL45" s="467"/>
      <c r="HM45" s="467"/>
      <c r="HN45" s="467"/>
      <c r="HO45" s="467"/>
      <c r="HP45" s="467"/>
      <c r="HQ45" s="467"/>
      <c r="HR45" s="467"/>
      <c r="HS45" s="467"/>
      <c r="HT45" s="467"/>
      <c r="HU45" s="467"/>
      <c r="HV45" s="467"/>
      <c r="HW45" s="467"/>
      <c r="HX45" s="467"/>
      <c r="HY45" s="467"/>
      <c r="HZ45" s="467"/>
      <c r="IA45" s="467"/>
      <c r="IB45" s="467"/>
      <c r="IC45" s="467"/>
      <c r="ID45" s="467"/>
      <c r="IE45" s="467"/>
      <c r="IF45" s="467"/>
      <c r="IG45" s="467"/>
      <c r="IH45" s="467"/>
      <c r="II45" s="467"/>
      <c r="IJ45" s="467"/>
      <c r="IK45" s="467"/>
      <c r="IL45" s="467"/>
      <c r="IM45" s="467"/>
      <c r="IN45" s="467"/>
      <c r="IO45" s="467"/>
      <c r="IP45" s="467"/>
      <c r="IQ45" s="467"/>
      <c r="IR45" s="467"/>
      <c r="IS45" s="467"/>
      <c r="IT45" s="467"/>
      <c r="IU45" s="467"/>
      <c r="IV45" s="467"/>
      <c r="IW45" s="467"/>
      <c r="IX45" s="467"/>
      <c r="IY45" s="467"/>
      <c r="IZ45" s="467"/>
      <c r="JA45" s="467"/>
      <c r="JB45" s="467"/>
      <c r="JC45" s="467"/>
      <c r="JD45" s="467"/>
      <c r="JE45" s="467"/>
      <c r="JF45" s="467"/>
      <c r="JG45" s="467"/>
      <c r="JH45" s="467"/>
      <c r="JI45" s="467"/>
      <c r="JJ45" s="467"/>
      <c r="JK45" s="467"/>
      <c r="JL45" s="467"/>
      <c r="JM45" s="467"/>
      <c r="JN45" s="487">
        <v>33703.590356304005</v>
      </c>
      <c r="JO45" s="487">
        <v>7335.2342972080014</v>
      </c>
      <c r="JP45" s="487">
        <v>249179.71806378406</v>
      </c>
      <c r="JQ45" s="487">
        <v>0</v>
      </c>
      <c r="JR45" s="487">
        <v>150</v>
      </c>
      <c r="JS45" s="488">
        <v>293662.22271729604</v>
      </c>
      <c r="JT45" s="489">
        <f t="shared" si="10"/>
        <v>3293.6799999999639</v>
      </c>
      <c r="JU45" s="487">
        <v>352394.66726075526</v>
      </c>
      <c r="JV45" s="487">
        <v>293662.22271729604</v>
      </c>
      <c r="JW45" s="487">
        <v>352394.66726075526</v>
      </c>
      <c r="JX45" s="487">
        <v>236907</v>
      </c>
      <c r="JY45" s="487">
        <v>236907</v>
      </c>
      <c r="JZ45" s="467"/>
      <c r="KA45" s="487">
        <v>5190</v>
      </c>
      <c r="KB45" s="490">
        <v>5.1685188201815231E-2</v>
      </c>
      <c r="KC45" s="487">
        <v>0.23015729599865153</v>
      </c>
      <c r="KD45" s="487">
        <v>293661.99256000004</v>
      </c>
      <c r="KE45" s="487">
        <v>236907</v>
      </c>
      <c r="KF45" s="487">
        <v>287296.37530000001</v>
      </c>
      <c r="KG45" s="491">
        <v>1239.8588592981957</v>
      </c>
      <c r="KH45" s="487">
        <v>231717</v>
      </c>
      <c r="KI45" s="487">
        <v>314.15301999999997</v>
      </c>
      <c r="KJ45" s="491">
        <v>1227.1602343749998</v>
      </c>
      <c r="KK45" s="487">
        <v>256</v>
      </c>
      <c r="KL45" s="487">
        <v>189.69830000000002</v>
      </c>
      <c r="KM45" s="491">
        <v>1231.8071428571429</v>
      </c>
      <c r="KN45" s="487">
        <v>154</v>
      </c>
      <c r="KO45" s="487">
        <v>5861.7659400000002</v>
      </c>
      <c r="KP45" s="491">
        <v>1226.3108661087867</v>
      </c>
      <c r="KQ45" s="487">
        <v>4780</v>
      </c>
      <c r="KR45" s="467"/>
      <c r="KS45" s="467"/>
      <c r="KT45" s="487">
        <v>18591.511999999999</v>
      </c>
      <c r="KU45" s="487">
        <v>37</v>
      </c>
      <c r="KV45" s="467"/>
      <c r="KW45" s="487">
        <v>108.621</v>
      </c>
      <c r="KX45" s="487">
        <v>3.4849999999999999</v>
      </c>
      <c r="KY45" s="487">
        <v>0.1</v>
      </c>
      <c r="KZ45" s="467"/>
      <c r="LA45" s="487">
        <v>218710</v>
      </c>
      <c r="LB45" s="492">
        <v>33</v>
      </c>
      <c r="LC45" s="493">
        <v>4.2000000000000003E-2</v>
      </c>
      <c r="LD45" s="494">
        <f t="shared" si="11"/>
        <v>363153.42609817762</v>
      </c>
      <c r="LE45" s="471">
        <f t="shared" si="12"/>
        <v>302627.85508181469</v>
      </c>
      <c r="LF45" s="495">
        <f t="shared" si="13"/>
        <v>256960.08628576575</v>
      </c>
      <c r="LG45" s="476">
        <f t="shared" si="14"/>
        <v>197382.00941565249</v>
      </c>
      <c r="LH45" s="496">
        <f t="shared" si="31"/>
        <v>1.03</v>
      </c>
      <c r="LI45" s="497">
        <f t="shared" si="15"/>
        <v>197382.00941565249</v>
      </c>
      <c r="LJ45" s="496">
        <f t="shared" si="32"/>
        <v>1.0389999999999999</v>
      </c>
      <c r="LK45" s="497">
        <f t="shared" si="16"/>
        <v>0</v>
      </c>
      <c r="LL45" s="496">
        <f t="shared" si="33"/>
        <v>1.0349999999999999</v>
      </c>
      <c r="LM45" s="497">
        <f t="shared" si="17"/>
        <v>0</v>
      </c>
      <c r="LN45" s="496">
        <f t="shared" si="34"/>
        <v>1.0349999999999999</v>
      </c>
      <c r="LO45" s="497">
        <f t="shared" si="18"/>
        <v>0</v>
      </c>
      <c r="LP45" s="496">
        <f t="shared" si="35"/>
        <v>1.0349999999999999</v>
      </c>
      <c r="LQ45" s="497">
        <f t="shared" si="19"/>
        <v>55991.494598113262</v>
      </c>
      <c r="LR45" s="496">
        <f t="shared" si="36"/>
        <v>1.04</v>
      </c>
      <c r="LS45" s="497">
        <f t="shared" si="20"/>
        <v>3586.5822720000006</v>
      </c>
      <c r="LT45" s="499">
        <f t="shared" si="21"/>
        <v>34667.850076397859</v>
      </c>
      <c r="LU45" s="500">
        <f t="shared" si="22"/>
        <v>21842.479866394438</v>
      </c>
      <c r="LV45" s="501">
        <f t="shared" si="23"/>
        <v>12825.370210003419</v>
      </c>
      <c r="LW45" s="499">
        <f t="shared" si="24"/>
        <v>7550.9887196511218</v>
      </c>
      <c r="LX45" s="500">
        <f t="shared" si="25"/>
        <v>6596.4289196511209</v>
      </c>
      <c r="LY45" s="500">
        <f t="shared" si="26"/>
        <v>0</v>
      </c>
      <c r="LZ45" s="502">
        <f t="shared" si="27"/>
        <v>954.55980000000056</v>
      </c>
      <c r="MA45" s="503">
        <f t="shared" si="28"/>
        <v>3293.6799999999639</v>
      </c>
      <c r="MB45" s="504">
        <f t="shared" si="29"/>
        <v>155.25</v>
      </c>
    </row>
    <row r="46" spans="1:340" ht="16.5" customHeight="1">
      <c r="A46" s="505">
        <v>1</v>
      </c>
      <c r="B46" s="506">
        <v>36</v>
      </c>
      <c r="C46" s="507" t="s">
        <v>10</v>
      </c>
      <c r="D46" s="508">
        <v>4603005599</v>
      </c>
      <c r="E46" s="469">
        <f t="shared" si="3"/>
        <v>11656.110637839998</v>
      </c>
      <c r="F46" s="470" t="s">
        <v>287</v>
      </c>
      <c r="G46" s="595">
        <v>11656.1113761</v>
      </c>
      <c r="H46" s="595">
        <f t="shared" si="30"/>
        <v>-7.3826000152621418E-4</v>
      </c>
      <c r="I46" s="595"/>
      <c r="J46" s="509">
        <f t="shared" si="4"/>
        <v>11656.110637839998</v>
      </c>
      <c r="K46" s="510">
        <f t="shared" si="5"/>
        <v>7558.6014378400005</v>
      </c>
      <c r="L46" s="511">
        <f t="shared" si="6"/>
        <v>6125.278475600001</v>
      </c>
      <c r="M46" s="512">
        <v>6125.278475600001</v>
      </c>
      <c r="N46" s="513">
        <v>0</v>
      </c>
      <c r="O46" s="513">
        <v>0</v>
      </c>
      <c r="P46" s="514">
        <v>0</v>
      </c>
      <c r="Q46" s="515">
        <v>1259.36569024</v>
      </c>
      <c r="R46" s="516">
        <f t="shared" si="7"/>
        <v>173.95727200000002</v>
      </c>
      <c r="S46" s="517">
        <f t="shared" si="8"/>
        <v>3060.91</v>
      </c>
      <c r="T46" s="518">
        <v>1966.6</v>
      </c>
      <c r="U46" s="519">
        <v>1094.31</v>
      </c>
      <c r="V46" s="520">
        <f t="shared" si="9"/>
        <v>732.97919999999999</v>
      </c>
      <c r="W46" s="521">
        <v>593.91319999999996</v>
      </c>
      <c r="X46" s="518">
        <v>5.88</v>
      </c>
      <c r="Y46" s="522">
        <v>133.18600000000004</v>
      </c>
      <c r="Z46" s="523">
        <v>179.45999999999987</v>
      </c>
      <c r="AA46" s="524">
        <v>124.16000000000001</v>
      </c>
      <c r="AB46" s="486"/>
      <c r="AC46" s="525">
        <v>6125.278475600001</v>
      </c>
      <c r="AD46" s="525">
        <v>6125.278475600001</v>
      </c>
      <c r="AE46" s="525">
        <v>0</v>
      </c>
      <c r="AF46" s="525">
        <v>0</v>
      </c>
      <c r="AG46" s="525">
        <v>0</v>
      </c>
      <c r="AH46" s="525">
        <v>1259.36569024</v>
      </c>
      <c r="AI46" s="525">
        <v>1259.36569024</v>
      </c>
      <c r="AJ46" s="525">
        <v>0</v>
      </c>
      <c r="AK46" s="525">
        <v>0</v>
      </c>
      <c r="AL46" s="525">
        <v>0</v>
      </c>
      <c r="AM46" s="525">
        <v>0</v>
      </c>
      <c r="AN46" s="525">
        <v>0</v>
      </c>
      <c r="AO46" s="525">
        <v>0</v>
      </c>
      <c r="AP46" s="525">
        <v>0</v>
      </c>
      <c r="AQ46" s="525">
        <v>0</v>
      </c>
      <c r="AR46" s="525">
        <v>0</v>
      </c>
      <c r="AS46" s="525">
        <v>0</v>
      </c>
      <c r="AT46" s="525">
        <v>0</v>
      </c>
      <c r="AU46" s="525">
        <v>0</v>
      </c>
      <c r="AV46" s="525">
        <v>0</v>
      </c>
      <c r="AW46" s="525">
        <v>0</v>
      </c>
      <c r="AX46" s="525">
        <v>0</v>
      </c>
      <c r="AY46" s="525">
        <v>0</v>
      </c>
      <c r="AZ46" s="525">
        <v>0</v>
      </c>
      <c r="BA46" s="525">
        <v>1259.36569024</v>
      </c>
      <c r="BB46" s="525">
        <v>145.9136</v>
      </c>
      <c r="BC46" s="525">
        <v>0</v>
      </c>
      <c r="BD46" s="525">
        <v>1259.36569024</v>
      </c>
      <c r="BE46" s="525">
        <v>8.6309000000000005</v>
      </c>
      <c r="BF46" s="525">
        <v>145.9136</v>
      </c>
      <c r="BG46" s="525">
        <v>0</v>
      </c>
      <c r="BH46" s="525">
        <v>0</v>
      </c>
      <c r="BI46" s="525">
        <v>0</v>
      </c>
      <c r="BJ46" s="525">
        <v>0</v>
      </c>
      <c r="BK46" s="525">
        <v>0</v>
      </c>
      <c r="BL46" s="525">
        <v>0</v>
      </c>
      <c r="BM46" s="525">
        <v>0</v>
      </c>
      <c r="BN46" s="525">
        <v>0</v>
      </c>
      <c r="BO46" s="525">
        <v>0</v>
      </c>
      <c r="BP46" s="525">
        <v>0</v>
      </c>
      <c r="BQ46" s="525">
        <v>0</v>
      </c>
      <c r="BR46" s="525">
        <v>0</v>
      </c>
      <c r="BS46" s="525">
        <v>0</v>
      </c>
      <c r="BT46" s="525">
        <v>0</v>
      </c>
      <c r="BU46" s="525">
        <v>0</v>
      </c>
      <c r="BV46" s="525">
        <v>0</v>
      </c>
      <c r="BW46" s="525">
        <v>0</v>
      </c>
      <c r="BX46" s="525">
        <v>0</v>
      </c>
      <c r="BY46" s="525">
        <v>0</v>
      </c>
      <c r="BZ46" s="525">
        <v>0</v>
      </c>
      <c r="CA46" s="525">
        <v>0</v>
      </c>
      <c r="CB46" s="525">
        <v>0</v>
      </c>
      <c r="CC46" s="525">
        <v>0</v>
      </c>
      <c r="CD46" s="525">
        <v>0</v>
      </c>
      <c r="CE46" s="525">
        <v>0</v>
      </c>
      <c r="CF46" s="525">
        <v>0</v>
      </c>
      <c r="CG46" s="525">
        <v>0</v>
      </c>
      <c r="CH46" s="525">
        <v>0</v>
      </c>
      <c r="CI46" s="525">
        <v>0</v>
      </c>
      <c r="CJ46" s="525">
        <v>0</v>
      </c>
      <c r="CK46" s="525">
        <v>0</v>
      </c>
      <c r="CL46" s="525">
        <v>0</v>
      </c>
      <c r="CM46" s="525">
        <v>1966.6</v>
      </c>
      <c r="CN46" s="525">
        <v>1580.5</v>
      </c>
      <c r="CO46" s="525">
        <v>0</v>
      </c>
      <c r="CP46" s="525">
        <v>0</v>
      </c>
      <c r="CQ46" s="525">
        <v>386.1</v>
      </c>
      <c r="CR46" s="525">
        <v>0</v>
      </c>
      <c r="CS46" s="525">
        <v>593.91319999999996</v>
      </c>
      <c r="CT46" s="525">
        <v>477.31100000000004</v>
      </c>
      <c r="CU46" s="525">
        <v>0</v>
      </c>
      <c r="CV46" s="525">
        <v>0</v>
      </c>
      <c r="CW46" s="525">
        <v>116.60220000000001</v>
      </c>
      <c r="CX46" s="525">
        <v>0</v>
      </c>
      <c r="CY46" s="525">
        <v>173.95727200000002</v>
      </c>
      <c r="CZ46" s="526"/>
      <c r="DA46" s="525">
        <v>2.9182999999999999</v>
      </c>
      <c r="DB46" s="525">
        <v>0</v>
      </c>
      <c r="DC46" s="526"/>
      <c r="DD46" s="525">
        <v>0</v>
      </c>
      <c r="DE46" s="525">
        <v>0</v>
      </c>
      <c r="DF46" s="525">
        <v>0</v>
      </c>
      <c r="DG46" s="525">
        <v>429.32</v>
      </c>
      <c r="DH46" s="525">
        <v>43.5</v>
      </c>
      <c r="DI46" s="525">
        <v>0</v>
      </c>
      <c r="DJ46" s="525">
        <v>385.82</v>
      </c>
      <c r="DK46" s="525">
        <v>0</v>
      </c>
      <c r="DL46" s="525">
        <v>0</v>
      </c>
      <c r="DM46" s="525">
        <v>0</v>
      </c>
      <c r="DN46" s="525">
        <v>0</v>
      </c>
      <c r="DO46" s="525">
        <v>0</v>
      </c>
      <c r="DP46" s="525">
        <v>0</v>
      </c>
      <c r="DQ46" s="525">
        <v>0</v>
      </c>
      <c r="DR46" s="525">
        <v>0</v>
      </c>
      <c r="DS46" s="525">
        <v>0</v>
      </c>
      <c r="DT46" s="525">
        <v>0</v>
      </c>
      <c r="DU46" s="525">
        <v>126.65999999999998</v>
      </c>
      <c r="DV46" s="525">
        <v>0</v>
      </c>
      <c r="DW46" s="525">
        <v>0</v>
      </c>
      <c r="DX46" s="525">
        <v>0</v>
      </c>
      <c r="DY46" s="525">
        <v>0</v>
      </c>
      <c r="DZ46" s="525">
        <v>0</v>
      </c>
      <c r="EA46" s="525">
        <v>0</v>
      </c>
      <c r="EB46" s="525">
        <v>0</v>
      </c>
      <c r="EC46" s="525">
        <v>0</v>
      </c>
      <c r="ED46" s="525">
        <v>0</v>
      </c>
      <c r="EE46" s="525">
        <v>0</v>
      </c>
      <c r="EF46" s="525">
        <v>0</v>
      </c>
      <c r="EG46" s="525">
        <v>126.65999999999998</v>
      </c>
      <c r="EH46" s="525">
        <v>0</v>
      </c>
      <c r="EI46" s="525">
        <v>0</v>
      </c>
      <c r="EJ46" s="525">
        <v>0</v>
      </c>
      <c r="EK46" s="525">
        <v>0</v>
      </c>
      <c r="EL46" s="525">
        <v>0</v>
      </c>
      <c r="EM46" s="525">
        <v>15.48</v>
      </c>
      <c r="EN46" s="525">
        <v>0</v>
      </c>
      <c r="EO46" s="525">
        <v>0</v>
      </c>
      <c r="EP46" s="525">
        <v>522.85</v>
      </c>
      <c r="EQ46" s="525">
        <v>522.85</v>
      </c>
      <c r="ER46" s="525">
        <v>0</v>
      </c>
      <c r="ES46" s="525">
        <v>0</v>
      </c>
      <c r="ET46" s="525">
        <v>0</v>
      </c>
      <c r="EU46" s="525">
        <v>0</v>
      </c>
      <c r="EV46" s="525">
        <v>0</v>
      </c>
      <c r="EW46" s="525">
        <v>0</v>
      </c>
      <c r="EX46" s="525">
        <v>0</v>
      </c>
      <c r="EY46" s="525">
        <v>0</v>
      </c>
      <c r="EZ46" s="525">
        <v>0</v>
      </c>
      <c r="FA46" s="525">
        <v>0</v>
      </c>
      <c r="FB46" s="525">
        <v>16.62</v>
      </c>
      <c r="FC46" s="525">
        <v>9.8000000000000007</v>
      </c>
      <c r="FD46" s="525">
        <v>4.18</v>
      </c>
      <c r="FE46" s="525">
        <v>0</v>
      </c>
      <c r="FF46" s="525">
        <v>2.64</v>
      </c>
      <c r="FG46" s="525">
        <v>0</v>
      </c>
      <c r="FH46" s="525">
        <v>0</v>
      </c>
      <c r="FI46" s="525">
        <v>2.64</v>
      </c>
      <c r="FJ46" s="525">
        <v>0</v>
      </c>
      <c r="FK46" s="525">
        <v>0</v>
      </c>
      <c r="FL46" s="525">
        <v>0</v>
      </c>
      <c r="FM46" s="525">
        <v>5.88</v>
      </c>
      <c r="FN46" s="525">
        <v>5.88</v>
      </c>
      <c r="FO46" s="525">
        <v>0</v>
      </c>
      <c r="FP46" s="525">
        <v>0</v>
      </c>
      <c r="FQ46" s="525">
        <v>116.566</v>
      </c>
      <c r="FR46" s="525">
        <v>0</v>
      </c>
      <c r="FS46" s="527">
        <v>11352.490637840001</v>
      </c>
      <c r="FT46" s="525">
        <v>0</v>
      </c>
      <c r="FU46" s="525">
        <v>0</v>
      </c>
      <c r="FV46" s="525">
        <v>0</v>
      </c>
      <c r="FW46" s="525">
        <v>0</v>
      </c>
      <c r="FX46" s="525">
        <v>0</v>
      </c>
      <c r="FY46" s="525">
        <v>0</v>
      </c>
      <c r="FZ46" s="525">
        <v>0</v>
      </c>
      <c r="GA46" s="525">
        <v>0</v>
      </c>
      <c r="GB46" s="525">
        <v>0</v>
      </c>
      <c r="GC46" s="525">
        <v>0</v>
      </c>
      <c r="GD46" s="525">
        <v>0</v>
      </c>
      <c r="GE46" s="525">
        <v>0</v>
      </c>
      <c r="GF46" s="525">
        <v>0</v>
      </c>
      <c r="GG46" s="525">
        <v>0</v>
      </c>
      <c r="GH46" s="525">
        <v>124.16000000000001</v>
      </c>
      <c r="GI46" s="525">
        <v>0</v>
      </c>
      <c r="GJ46" s="526"/>
      <c r="GK46" s="525">
        <v>124.16000000000001</v>
      </c>
      <c r="GL46" s="526"/>
      <c r="GM46" s="525">
        <v>0</v>
      </c>
      <c r="GN46" s="525">
        <v>0</v>
      </c>
      <c r="GO46" s="526"/>
      <c r="GP46" s="526"/>
      <c r="GQ46" s="525">
        <v>0</v>
      </c>
      <c r="GR46" s="526"/>
      <c r="GS46" s="526"/>
      <c r="GT46" s="525">
        <v>0</v>
      </c>
      <c r="GU46" s="525">
        <v>0</v>
      </c>
      <c r="GV46" s="525">
        <v>0</v>
      </c>
      <c r="GW46" s="525">
        <v>0</v>
      </c>
      <c r="GX46" s="525">
        <v>0</v>
      </c>
      <c r="GY46" s="525">
        <v>0</v>
      </c>
      <c r="GZ46" s="525">
        <v>0</v>
      </c>
      <c r="HA46" s="525">
        <v>0</v>
      </c>
      <c r="HB46" s="525">
        <v>0</v>
      </c>
      <c r="HC46" s="525">
        <v>0</v>
      </c>
      <c r="HD46" s="525">
        <v>0</v>
      </c>
      <c r="HE46" s="525">
        <v>0</v>
      </c>
      <c r="HF46" s="525">
        <v>0</v>
      </c>
      <c r="HG46" s="525">
        <v>0</v>
      </c>
      <c r="HH46" s="525">
        <v>0</v>
      </c>
      <c r="HI46" s="525">
        <v>0</v>
      </c>
      <c r="HJ46" s="525">
        <v>0</v>
      </c>
      <c r="HK46" s="525">
        <v>0</v>
      </c>
      <c r="HL46" s="526"/>
      <c r="HM46" s="526"/>
      <c r="HN46" s="526"/>
      <c r="HO46" s="526"/>
      <c r="HP46" s="526"/>
      <c r="HQ46" s="526"/>
      <c r="HR46" s="526"/>
      <c r="HS46" s="526"/>
      <c r="HT46" s="526"/>
      <c r="HU46" s="526"/>
      <c r="HV46" s="526"/>
      <c r="HW46" s="526"/>
      <c r="HX46" s="526"/>
      <c r="HY46" s="526"/>
      <c r="HZ46" s="526"/>
      <c r="IA46" s="526"/>
      <c r="IB46" s="526"/>
      <c r="IC46" s="526"/>
      <c r="ID46" s="526"/>
      <c r="IE46" s="526"/>
      <c r="IF46" s="526"/>
      <c r="IG46" s="526"/>
      <c r="IH46" s="526"/>
      <c r="II46" s="526"/>
      <c r="IJ46" s="526"/>
      <c r="IK46" s="526"/>
      <c r="IL46" s="526"/>
      <c r="IM46" s="526"/>
      <c r="IN46" s="526"/>
      <c r="IO46" s="526"/>
      <c r="IP46" s="526"/>
      <c r="IQ46" s="526"/>
      <c r="IR46" s="526"/>
      <c r="IS46" s="526"/>
      <c r="IT46" s="526"/>
      <c r="IU46" s="526"/>
      <c r="IV46" s="526"/>
      <c r="IW46" s="526"/>
      <c r="IX46" s="526"/>
      <c r="IY46" s="526"/>
      <c r="IZ46" s="526"/>
      <c r="JA46" s="526"/>
      <c r="JB46" s="526"/>
      <c r="JC46" s="526"/>
      <c r="JD46" s="526"/>
      <c r="JE46" s="526"/>
      <c r="JF46" s="526"/>
      <c r="JG46" s="526"/>
      <c r="JH46" s="526"/>
      <c r="JI46" s="526"/>
      <c r="JJ46" s="526"/>
      <c r="JK46" s="526"/>
      <c r="JL46" s="526"/>
      <c r="JM46" s="526"/>
      <c r="JN46" s="525">
        <v>3060.91</v>
      </c>
      <c r="JO46" s="525">
        <v>732.97919999999999</v>
      </c>
      <c r="JP46" s="525">
        <v>7558.6014378400005</v>
      </c>
      <c r="JQ46" s="525">
        <v>0</v>
      </c>
      <c r="JR46" s="525">
        <v>124.16000000000001</v>
      </c>
      <c r="JS46" s="527">
        <v>11656.11063784</v>
      </c>
      <c r="JT46" s="528">
        <f t="shared" si="10"/>
        <v>179.45999999999987</v>
      </c>
      <c r="JU46" s="525">
        <v>11656.11063784</v>
      </c>
      <c r="JV46" s="525">
        <v>11656.11063784</v>
      </c>
      <c r="JW46" s="525">
        <v>11656.11063784</v>
      </c>
      <c r="JX46" s="525">
        <v>4365.57</v>
      </c>
      <c r="JY46" s="525">
        <v>4365.57</v>
      </c>
      <c r="JZ46" s="526"/>
      <c r="KA46" s="525">
        <v>4365.57</v>
      </c>
      <c r="KB46" s="529">
        <v>1.0936807081447943</v>
      </c>
      <c r="KC46" s="525">
        <v>-7.3825999970722478E-4</v>
      </c>
      <c r="KD46" s="525">
        <v>11656.1113761</v>
      </c>
      <c r="KE46" s="525">
        <v>4365.57</v>
      </c>
      <c r="KF46" s="525">
        <v>0</v>
      </c>
      <c r="KG46" s="530">
        <v>0</v>
      </c>
      <c r="KH46" s="525">
        <v>0</v>
      </c>
      <c r="KI46" s="525">
        <v>4756.2845219999999</v>
      </c>
      <c r="KJ46" s="530">
        <v>2669.9699797911753</v>
      </c>
      <c r="KK46" s="525">
        <v>1781.4</v>
      </c>
      <c r="KL46" s="525">
        <v>6340.8245540999997</v>
      </c>
      <c r="KM46" s="530">
        <v>2670.7542232022133</v>
      </c>
      <c r="KN46" s="525">
        <v>2374.17</v>
      </c>
      <c r="KO46" s="525">
        <v>559.00229999999999</v>
      </c>
      <c r="KP46" s="530">
        <v>2661.9157142857143</v>
      </c>
      <c r="KQ46" s="525">
        <v>210</v>
      </c>
      <c r="KR46" s="526"/>
      <c r="KS46" s="526"/>
      <c r="KT46" s="531">
        <v>12710</v>
      </c>
      <c r="KU46" s="531">
        <v>59</v>
      </c>
      <c r="KV46" s="526"/>
      <c r="KW46" s="531">
        <v>841</v>
      </c>
      <c r="KX46" s="531">
        <v>7.12</v>
      </c>
      <c r="KY46" s="531">
        <v>5.07</v>
      </c>
      <c r="KZ46" s="526"/>
      <c r="LA46" s="531">
        <v>2374</v>
      </c>
      <c r="LB46" s="532">
        <v>396</v>
      </c>
      <c r="LC46" s="533">
        <v>0.28499999999999998</v>
      </c>
      <c r="LD46" s="494">
        <f t="shared" si="11"/>
        <v>12004.682483898401</v>
      </c>
      <c r="LE46" s="509">
        <f t="shared" si="12"/>
        <v>12004.682483898401</v>
      </c>
      <c r="LF46" s="534">
        <f t="shared" si="13"/>
        <v>7793.3958821464012</v>
      </c>
      <c r="LG46" s="535">
        <f t="shared" si="14"/>
        <v>6309.0368298680014</v>
      </c>
      <c r="LH46" s="536">
        <f t="shared" si="31"/>
        <v>1.03</v>
      </c>
      <c r="LI46" s="537">
        <f t="shared" si="15"/>
        <v>6309.0368298680014</v>
      </c>
      <c r="LJ46" s="536">
        <f t="shared" si="32"/>
        <v>1.0389999999999999</v>
      </c>
      <c r="LK46" s="537">
        <f t="shared" si="16"/>
        <v>0</v>
      </c>
      <c r="LL46" s="536">
        <f t="shared" si="33"/>
        <v>1.0349999999999999</v>
      </c>
      <c r="LM46" s="537">
        <f t="shared" si="17"/>
        <v>0</v>
      </c>
      <c r="LN46" s="536">
        <f t="shared" si="34"/>
        <v>1.0349999999999999</v>
      </c>
      <c r="LO46" s="537">
        <f t="shared" si="18"/>
        <v>0</v>
      </c>
      <c r="LP46" s="536">
        <f t="shared" si="35"/>
        <v>1.0349999999999999</v>
      </c>
      <c r="LQ46" s="537">
        <f t="shared" si="19"/>
        <v>1303.4434893984001</v>
      </c>
      <c r="LR46" s="536">
        <f t="shared" si="36"/>
        <v>1.04</v>
      </c>
      <c r="LS46" s="537">
        <f t="shared" si="20"/>
        <v>180.91556288000001</v>
      </c>
      <c r="LT46" s="539">
        <f t="shared" si="21"/>
        <v>3148.4826350999997</v>
      </c>
      <c r="LU46" s="540">
        <f t="shared" si="22"/>
        <v>2022.8644259999999</v>
      </c>
      <c r="LV46" s="541">
        <f t="shared" si="23"/>
        <v>1125.6182090999998</v>
      </c>
      <c r="LW46" s="542">
        <f t="shared" si="24"/>
        <v>754.83836665199999</v>
      </c>
      <c r="LX46" s="540">
        <f t="shared" si="25"/>
        <v>610.90505665199998</v>
      </c>
      <c r="LY46" s="540">
        <f t="shared" si="26"/>
        <v>6.085799999999999</v>
      </c>
      <c r="LZ46" s="543">
        <f t="shared" si="27"/>
        <v>137.84751000000003</v>
      </c>
      <c r="MA46" s="544">
        <f t="shared" si="28"/>
        <v>179.45999999999987</v>
      </c>
      <c r="MB46" s="545">
        <f t="shared" si="29"/>
        <v>128.50560000000002</v>
      </c>
    </row>
    <row r="47" spans="1:340" ht="16.5" customHeight="1">
      <c r="A47" s="465">
        <v>1</v>
      </c>
      <c r="B47" s="466">
        <v>37</v>
      </c>
      <c r="C47" s="467" t="s">
        <v>38</v>
      </c>
      <c r="D47" s="468">
        <v>4625004944</v>
      </c>
      <c r="E47" s="469">
        <f t="shared" si="3"/>
        <v>27811.385423583473</v>
      </c>
      <c r="F47" s="470" t="s">
        <v>287</v>
      </c>
      <c r="G47" s="595">
        <v>27811.373394500006</v>
      </c>
      <c r="H47" s="595">
        <f t="shared" si="30"/>
        <v>1.2029083467496093E-2</v>
      </c>
      <c r="I47" s="595"/>
      <c r="J47" s="471">
        <f t="shared" si="4"/>
        <v>27811.385423583473</v>
      </c>
      <c r="K47" s="472">
        <f t="shared" si="5"/>
        <v>14969.515469183478</v>
      </c>
      <c r="L47" s="473">
        <f t="shared" si="6"/>
        <v>11893.471235384479</v>
      </c>
      <c r="M47" s="474">
        <v>11893.471235384479</v>
      </c>
      <c r="N47" s="475">
        <v>0</v>
      </c>
      <c r="O47" s="475">
        <v>0</v>
      </c>
      <c r="P47" s="476">
        <v>0</v>
      </c>
      <c r="Q47" s="477">
        <v>2964.6054507989998</v>
      </c>
      <c r="R47" s="478">
        <f t="shared" si="7"/>
        <v>111.438783</v>
      </c>
      <c r="S47" s="479">
        <f t="shared" si="8"/>
        <v>9703.3559823999985</v>
      </c>
      <c r="T47" s="479">
        <v>7119.6859999999997</v>
      </c>
      <c r="U47" s="480">
        <v>2583.6699823999988</v>
      </c>
      <c r="V47" s="481">
        <f t="shared" si="9"/>
        <v>2723.0059720000004</v>
      </c>
      <c r="W47" s="482">
        <v>2150.145172</v>
      </c>
      <c r="X47" s="479">
        <v>0</v>
      </c>
      <c r="Y47" s="483">
        <v>572.86080000000038</v>
      </c>
      <c r="Z47" s="484">
        <v>313.97999999999797</v>
      </c>
      <c r="AA47" s="485">
        <v>101.52800000000001</v>
      </c>
      <c r="AB47" s="486"/>
      <c r="AC47" s="487">
        <v>11893.471235384479</v>
      </c>
      <c r="AD47" s="487">
        <v>11893.471235384479</v>
      </c>
      <c r="AE47" s="487">
        <v>0</v>
      </c>
      <c r="AF47" s="487">
        <v>0</v>
      </c>
      <c r="AG47" s="487">
        <v>0</v>
      </c>
      <c r="AH47" s="487">
        <v>2964.6054507989998</v>
      </c>
      <c r="AI47" s="487">
        <v>2964.6054507989998</v>
      </c>
      <c r="AJ47" s="487">
        <v>0</v>
      </c>
      <c r="AK47" s="487">
        <v>0</v>
      </c>
      <c r="AL47" s="487">
        <v>0</v>
      </c>
      <c r="AM47" s="487">
        <v>0</v>
      </c>
      <c r="AN47" s="487">
        <v>0</v>
      </c>
      <c r="AO47" s="487">
        <v>0</v>
      </c>
      <c r="AP47" s="487">
        <v>0</v>
      </c>
      <c r="AQ47" s="487">
        <v>0</v>
      </c>
      <c r="AR47" s="487">
        <v>0</v>
      </c>
      <c r="AS47" s="487">
        <v>0</v>
      </c>
      <c r="AT47" s="487">
        <v>0</v>
      </c>
      <c r="AU47" s="487">
        <v>0</v>
      </c>
      <c r="AV47" s="487">
        <v>0</v>
      </c>
      <c r="AW47" s="487">
        <v>0</v>
      </c>
      <c r="AX47" s="487">
        <v>0</v>
      </c>
      <c r="AY47" s="487">
        <v>0</v>
      </c>
      <c r="AZ47" s="487">
        <v>0</v>
      </c>
      <c r="BA47" s="487">
        <v>2964.6054507989998</v>
      </c>
      <c r="BB47" s="487">
        <v>328.15700000000004</v>
      </c>
      <c r="BC47" s="487">
        <v>0</v>
      </c>
      <c r="BD47" s="487">
        <v>2964.6054507989998</v>
      </c>
      <c r="BE47" s="487">
        <v>9.0341069999999988</v>
      </c>
      <c r="BF47" s="487">
        <v>328.15700000000004</v>
      </c>
      <c r="BG47" s="487">
        <v>0</v>
      </c>
      <c r="BH47" s="487">
        <v>0</v>
      </c>
      <c r="BI47" s="487">
        <v>0</v>
      </c>
      <c r="BJ47" s="487">
        <v>0</v>
      </c>
      <c r="BK47" s="487">
        <v>0</v>
      </c>
      <c r="BL47" s="487">
        <v>0</v>
      </c>
      <c r="BM47" s="487">
        <v>0</v>
      </c>
      <c r="BN47" s="487">
        <v>0</v>
      </c>
      <c r="BO47" s="487">
        <v>0</v>
      </c>
      <c r="BP47" s="487">
        <v>0</v>
      </c>
      <c r="BQ47" s="487">
        <v>0</v>
      </c>
      <c r="BR47" s="487">
        <v>0</v>
      </c>
      <c r="BS47" s="487">
        <v>0</v>
      </c>
      <c r="BT47" s="487">
        <v>0</v>
      </c>
      <c r="BU47" s="487">
        <v>0</v>
      </c>
      <c r="BV47" s="487">
        <v>0</v>
      </c>
      <c r="BW47" s="487">
        <v>0</v>
      </c>
      <c r="BX47" s="487">
        <v>0</v>
      </c>
      <c r="BY47" s="487">
        <v>0</v>
      </c>
      <c r="BZ47" s="487">
        <v>0</v>
      </c>
      <c r="CA47" s="487">
        <v>0</v>
      </c>
      <c r="CB47" s="487">
        <v>0</v>
      </c>
      <c r="CC47" s="487">
        <v>0</v>
      </c>
      <c r="CD47" s="487">
        <v>0</v>
      </c>
      <c r="CE47" s="487">
        <v>0</v>
      </c>
      <c r="CF47" s="487">
        <v>0</v>
      </c>
      <c r="CG47" s="487">
        <v>0</v>
      </c>
      <c r="CH47" s="487">
        <v>0</v>
      </c>
      <c r="CI47" s="487">
        <v>0</v>
      </c>
      <c r="CJ47" s="487">
        <v>0</v>
      </c>
      <c r="CK47" s="487">
        <v>0</v>
      </c>
      <c r="CL47" s="487">
        <v>0</v>
      </c>
      <c r="CM47" s="487">
        <v>7119.6859999999997</v>
      </c>
      <c r="CN47" s="487">
        <v>3918.2</v>
      </c>
      <c r="CO47" s="487">
        <v>0</v>
      </c>
      <c r="CP47" s="487">
        <v>1542.066</v>
      </c>
      <c r="CQ47" s="487">
        <v>1659.42</v>
      </c>
      <c r="CR47" s="487">
        <v>0</v>
      </c>
      <c r="CS47" s="487">
        <v>2150.145172</v>
      </c>
      <c r="CT47" s="487">
        <v>1183.2963999999999</v>
      </c>
      <c r="CU47" s="487">
        <v>0</v>
      </c>
      <c r="CV47" s="487">
        <v>465.70393200000001</v>
      </c>
      <c r="CW47" s="487">
        <v>501.14484000000004</v>
      </c>
      <c r="CX47" s="487">
        <v>0</v>
      </c>
      <c r="CY47" s="487">
        <v>111.438783</v>
      </c>
      <c r="CZ47" s="467"/>
      <c r="DA47" s="487">
        <v>3.2005000000000003</v>
      </c>
      <c r="DB47" s="487">
        <v>0</v>
      </c>
      <c r="DC47" s="467"/>
      <c r="DD47" s="487">
        <v>0</v>
      </c>
      <c r="DE47" s="487">
        <v>0</v>
      </c>
      <c r="DF47" s="487">
        <v>0</v>
      </c>
      <c r="DG47" s="487">
        <v>1173.9017600000002</v>
      </c>
      <c r="DH47" s="487">
        <v>44.203360000000004</v>
      </c>
      <c r="DI47" s="487">
        <v>0</v>
      </c>
      <c r="DJ47" s="487">
        <v>510.2360000000001</v>
      </c>
      <c r="DK47" s="487">
        <v>0</v>
      </c>
      <c r="DL47" s="487">
        <v>0</v>
      </c>
      <c r="DM47" s="487">
        <v>0</v>
      </c>
      <c r="DN47" s="487">
        <v>619.4624</v>
      </c>
      <c r="DO47" s="487">
        <v>0</v>
      </c>
      <c r="DP47" s="487">
        <v>574.33600000000001</v>
      </c>
      <c r="DQ47" s="487">
        <v>0</v>
      </c>
      <c r="DR47" s="487">
        <v>0</v>
      </c>
      <c r="DS47" s="487">
        <v>0</v>
      </c>
      <c r="DT47" s="487">
        <v>574.33600000000001</v>
      </c>
      <c r="DU47" s="487">
        <v>641.08204799999999</v>
      </c>
      <c r="DV47" s="487">
        <v>136.19968000000003</v>
      </c>
      <c r="DW47" s="487">
        <v>0</v>
      </c>
      <c r="DX47" s="487">
        <v>271.16863999999998</v>
      </c>
      <c r="DY47" s="487">
        <v>0</v>
      </c>
      <c r="DZ47" s="487">
        <v>0</v>
      </c>
      <c r="EA47" s="487">
        <v>0</v>
      </c>
      <c r="EB47" s="487">
        <v>0</v>
      </c>
      <c r="EC47" s="487">
        <v>0</v>
      </c>
      <c r="ED47" s="487">
        <v>0</v>
      </c>
      <c r="EE47" s="487">
        <v>0</v>
      </c>
      <c r="EF47" s="487">
        <v>0</v>
      </c>
      <c r="EG47" s="487">
        <v>233.71372799999997</v>
      </c>
      <c r="EH47" s="487">
        <v>26.299999999989726</v>
      </c>
      <c r="EI47" s="487">
        <v>0</v>
      </c>
      <c r="EJ47" s="487">
        <v>26.299999999989726</v>
      </c>
      <c r="EK47" s="487">
        <v>0</v>
      </c>
      <c r="EL47" s="487">
        <v>5.3331200000000019</v>
      </c>
      <c r="EM47" s="487">
        <v>6.665374400000001</v>
      </c>
      <c r="EN47" s="487">
        <v>0</v>
      </c>
      <c r="EO47" s="487">
        <v>0</v>
      </c>
      <c r="EP47" s="487">
        <v>182.35168000000002</v>
      </c>
      <c r="EQ47" s="487">
        <v>0</v>
      </c>
      <c r="ER47" s="487">
        <v>182.35168000000002</v>
      </c>
      <c r="ES47" s="487">
        <v>43.589999999999996</v>
      </c>
      <c r="ET47" s="487">
        <v>26.3</v>
      </c>
      <c r="EU47" s="487">
        <v>26.3</v>
      </c>
      <c r="EV47" s="487">
        <v>0</v>
      </c>
      <c r="EW47" s="487">
        <v>0</v>
      </c>
      <c r="EX47" s="487">
        <v>0</v>
      </c>
      <c r="EY47" s="487">
        <v>0</v>
      </c>
      <c r="EZ47" s="487">
        <v>0</v>
      </c>
      <c r="FA47" s="487">
        <v>0</v>
      </c>
      <c r="FB47" s="487">
        <v>29.878999999999998</v>
      </c>
      <c r="FC47" s="487">
        <v>0</v>
      </c>
      <c r="FD47" s="487">
        <v>11.879</v>
      </c>
      <c r="FE47" s="487">
        <v>0</v>
      </c>
      <c r="FF47" s="487">
        <v>18</v>
      </c>
      <c r="FG47" s="487">
        <v>0</v>
      </c>
      <c r="FH47" s="487">
        <v>0</v>
      </c>
      <c r="FI47" s="487">
        <v>18</v>
      </c>
      <c r="FJ47" s="487">
        <v>0</v>
      </c>
      <c r="FK47" s="487">
        <v>0</v>
      </c>
      <c r="FL47" s="487">
        <v>0</v>
      </c>
      <c r="FM47" s="487">
        <v>0</v>
      </c>
      <c r="FN47" s="487">
        <v>0</v>
      </c>
      <c r="FO47" s="487">
        <v>0</v>
      </c>
      <c r="FP47" s="487">
        <v>121.03379999999999</v>
      </c>
      <c r="FQ47" s="487">
        <v>352.05799999999999</v>
      </c>
      <c r="FR47" s="487">
        <v>0</v>
      </c>
      <c r="FS47" s="488">
        <v>27395.877423583479</v>
      </c>
      <c r="FT47" s="487">
        <v>0</v>
      </c>
      <c r="FU47" s="487">
        <v>0</v>
      </c>
      <c r="FV47" s="487">
        <v>0</v>
      </c>
      <c r="FW47" s="487">
        <v>0</v>
      </c>
      <c r="FX47" s="487">
        <v>0</v>
      </c>
      <c r="FY47" s="487">
        <v>0</v>
      </c>
      <c r="FZ47" s="487">
        <v>0</v>
      </c>
      <c r="GA47" s="487">
        <v>0</v>
      </c>
      <c r="GB47" s="487">
        <v>0</v>
      </c>
      <c r="GC47" s="487">
        <v>0</v>
      </c>
      <c r="GD47" s="487">
        <v>0</v>
      </c>
      <c r="GE47" s="487">
        <v>0</v>
      </c>
      <c r="GF47" s="487">
        <v>0</v>
      </c>
      <c r="GG47" s="487">
        <v>0</v>
      </c>
      <c r="GH47" s="487">
        <v>101.52800000000001</v>
      </c>
      <c r="GI47" s="487">
        <v>0</v>
      </c>
      <c r="GJ47" s="467"/>
      <c r="GK47" s="487">
        <v>101.52800000000001</v>
      </c>
      <c r="GL47" s="467"/>
      <c r="GM47" s="487">
        <v>0</v>
      </c>
      <c r="GN47" s="487">
        <v>0</v>
      </c>
      <c r="GO47" s="467"/>
      <c r="GP47" s="467"/>
      <c r="GQ47" s="487">
        <v>0</v>
      </c>
      <c r="GR47" s="467"/>
      <c r="GS47" s="467"/>
      <c r="GT47" s="487">
        <v>0</v>
      </c>
      <c r="GU47" s="487">
        <v>0</v>
      </c>
      <c r="GV47" s="487">
        <v>0</v>
      </c>
      <c r="GW47" s="487">
        <v>0</v>
      </c>
      <c r="GX47" s="487">
        <v>0</v>
      </c>
      <c r="GY47" s="487">
        <v>0</v>
      </c>
      <c r="GZ47" s="487">
        <v>0</v>
      </c>
      <c r="HA47" s="487">
        <v>0</v>
      </c>
      <c r="HB47" s="487">
        <v>0</v>
      </c>
      <c r="HC47" s="487">
        <v>0</v>
      </c>
      <c r="HD47" s="487">
        <v>0</v>
      </c>
      <c r="HE47" s="487">
        <v>0</v>
      </c>
      <c r="HF47" s="487">
        <v>0</v>
      </c>
      <c r="HG47" s="487">
        <v>0</v>
      </c>
      <c r="HH47" s="487">
        <v>0</v>
      </c>
      <c r="HI47" s="487">
        <v>0</v>
      </c>
      <c r="HJ47" s="487">
        <v>0</v>
      </c>
      <c r="HK47" s="487">
        <v>0</v>
      </c>
      <c r="HL47" s="467"/>
      <c r="HM47" s="467"/>
      <c r="HN47" s="467"/>
      <c r="HO47" s="467"/>
      <c r="HP47" s="467"/>
      <c r="HQ47" s="467"/>
      <c r="HR47" s="467"/>
      <c r="HS47" s="467"/>
      <c r="HT47" s="467"/>
      <c r="HU47" s="467"/>
      <c r="HV47" s="467"/>
      <c r="HW47" s="467"/>
      <c r="HX47" s="467"/>
      <c r="HY47" s="467"/>
      <c r="HZ47" s="467"/>
      <c r="IA47" s="467"/>
      <c r="IB47" s="467"/>
      <c r="IC47" s="467"/>
      <c r="ID47" s="467"/>
      <c r="IE47" s="467"/>
      <c r="IF47" s="467"/>
      <c r="IG47" s="467"/>
      <c r="IH47" s="467"/>
      <c r="II47" s="467"/>
      <c r="IJ47" s="467"/>
      <c r="IK47" s="467"/>
      <c r="IL47" s="467"/>
      <c r="IM47" s="467"/>
      <c r="IN47" s="467"/>
      <c r="IO47" s="467"/>
      <c r="IP47" s="467"/>
      <c r="IQ47" s="467"/>
      <c r="IR47" s="467"/>
      <c r="IS47" s="467"/>
      <c r="IT47" s="467"/>
      <c r="IU47" s="467"/>
      <c r="IV47" s="467"/>
      <c r="IW47" s="467"/>
      <c r="IX47" s="467"/>
      <c r="IY47" s="467"/>
      <c r="IZ47" s="467"/>
      <c r="JA47" s="467"/>
      <c r="JB47" s="467"/>
      <c r="JC47" s="467"/>
      <c r="JD47" s="467"/>
      <c r="JE47" s="467"/>
      <c r="JF47" s="467"/>
      <c r="JG47" s="467"/>
      <c r="JH47" s="467"/>
      <c r="JI47" s="467"/>
      <c r="JJ47" s="467"/>
      <c r="JK47" s="467"/>
      <c r="JL47" s="467"/>
      <c r="JM47" s="467"/>
      <c r="JN47" s="487">
        <v>9703.3559823999985</v>
      </c>
      <c r="JO47" s="487">
        <v>2723.0059720000004</v>
      </c>
      <c r="JP47" s="487">
        <v>14969.515469183478</v>
      </c>
      <c r="JQ47" s="487">
        <v>0</v>
      </c>
      <c r="JR47" s="487">
        <v>101.52800000000001</v>
      </c>
      <c r="JS47" s="488">
        <v>27811.385423583477</v>
      </c>
      <c r="JT47" s="489">
        <f t="shared" si="10"/>
        <v>313.97999999999797</v>
      </c>
      <c r="JU47" s="487">
        <v>27811.385423583477</v>
      </c>
      <c r="JV47" s="487">
        <v>27811.385423583477</v>
      </c>
      <c r="JW47" s="487">
        <v>27811.385423583477</v>
      </c>
      <c r="JX47" s="487">
        <v>10850.63</v>
      </c>
      <c r="JY47" s="487">
        <v>10850.63</v>
      </c>
      <c r="JZ47" s="467"/>
      <c r="KA47" s="487">
        <v>10850.63</v>
      </c>
      <c r="KB47" s="490">
        <v>0.37059590547226129</v>
      </c>
      <c r="KC47" s="487">
        <v>1.2029083475681546E-2</v>
      </c>
      <c r="KD47" s="487">
        <v>27811.373394500002</v>
      </c>
      <c r="KE47" s="487">
        <v>10850.63</v>
      </c>
      <c r="KF47" s="487">
        <v>0</v>
      </c>
      <c r="KG47" s="491">
        <v>0</v>
      </c>
      <c r="KH47" s="487">
        <v>0</v>
      </c>
      <c r="KI47" s="487">
        <v>11383.155277000002</v>
      </c>
      <c r="KJ47" s="491">
        <v>2564.8250582445962</v>
      </c>
      <c r="KK47" s="487">
        <v>4438.18</v>
      </c>
      <c r="KL47" s="487">
        <v>10169.072037500002</v>
      </c>
      <c r="KM47" s="491">
        <v>2563.2546568781904</v>
      </c>
      <c r="KN47" s="487">
        <v>3967.25</v>
      </c>
      <c r="KO47" s="487">
        <v>6259.1460800000004</v>
      </c>
      <c r="KP47" s="491">
        <v>2559.7685588090958</v>
      </c>
      <c r="KQ47" s="487">
        <v>2445.1999999999998</v>
      </c>
      <c r="KR47" s="467"/>
      <c r="KS47" s="467"/>
      <c r="KT47" s="487">
        <v>3905.8</v>
      </c>
      <c r="KU47" s="487">
        <v>96</v>
      </c>
      <c r="KV47" s="467"/>
      <c r="KW47" s="487">
        <v>8341</v>
      </c>
      <c r="KX47" s="487">
        <v>8.6340000000000003</v>
      </c>
      <c r="KY47" s="487">
        <v>7.5</v>
      </c>
      <c r="KZ47" s="467"/>
      <c r="LA47" s="487">
        <v>624.9</v>
      </c>
      <c r="LB47" s="492">
        <v>1467</v>
      </c>
      <c r="LC47" s="493">
        <v>0.53500000000000003</v>
      </c>
      <c r="LD47" s="494">
        <f t="shared" si="11"/>
        <v>28639.140578770362</v>
      </c>
      <c r="LE47" s="471">
        <f t="shared" si="12"/>
        <v>28639.140578770362</v>
      </c>
      <c r="LF47" s="495">
        <f t="shared" si="13"/>
        <v>15434.538348342978</v>
      </c>
      <c r="LG47" s="476">
        <f t="shared" si="14"/>
        <v>12250.275372446014</v>
      </c>
      <c r="LH47" s="496">
        <f t="shared" si="31"/>
        <v>1.03</v>
      </c>
      <c r="LI47" s="497">
        <f t="shared" si="15"/>
        <v>12250.275372446014</v>
      </c>
      <c r="LJ47" s="496">
        <f t="shared" si="32"/>
        <v>1.0389999999999999</v>
      </c>
      <c r="LK47" s="497">
        <f t="shared" si="16"/>
        <v>0</v>
      </c>
      <c r="LL47" s="496">
        <f t="shared" si="33"/>
        <v>1.0349999999999999</v>
      </c>
      <c r="LM47" s="497">
        <f t="shared" si="17"/>
        <v>0</v>
      </c>
      <c r="LN47" s="496">
        <f t="shared" si="34"/>
        <v>1.0349999999999999</v>
      </c>
      <c r="LO47" s="497">
        <f t="shared" si="18"/>
        <v>0</v>
      </c>
      <c r="LP47" s="496">
        <f t="shared" si="35"/>
        <v>1.0349999999999999</v>
      </c>
      <c r="LQ47" s="497">
        <f t="shared" si="19"/>
        <v>3068.3666415769644</v>
      </c>
      <c r="LR47" s="496">
        <f t="shared" si="36"/>
        <v>1.04</v>
      </c>
      <c r="LS47" s="497">
        <f t="shared" si="20"/>
        <v>115.89633432000001</v>
      </c>
      <c r="LT47" s="499">
        <f t="shared" si="21"/>
        <v>9980.9689970564614</v>
      </c>
      <c r="LU47" s="500">
        <f t="shared" si="22"/>
        <v>7323.3802164599992</v>
      </c>
      <c r="LV47" s="501">
        <f t="shared" si="23"/>
        <v>2657.5887805964626</v>
      </c>
      <c r="LW47" s="499">
        <f t="shared" si="24"/>
        <v>2804.5717533709199</v>
      </c>
      <c r="LX47" s="500">
        <f t="shared" si="25"/>
        <v>2211.6608253709196</v>
      </c>
      <c r="LY47" s="500">
        <f t="shared" si="26"/>
        <v>0</v>
      </c>
      <c r="LZ47" s="502">
        <f t="shared" si="27"/>
        <v>592.91092800000035</v>
      </c>
      <c r="MA47" s="503">
        <f t="shared" si="28"/>
        <v>313.97999999999797</v>
      </c>
      <c r="MB47" s="504">
        <f t="shared" si="29"/>
        <v>105.08148</v>
      </c>
    </row>
    <row r="48" spans="1:340" ht="16.5" customHeight="1">
      <c r="A48" s="505">
        <v>1</v>
      </c>
      <c r="B48" s="506">
        <v>38</v>
      </c>
      <c r="C48" s="507" t="s">
        <v>306</v>
      </c>
      <c r="D48" s="508">
        <v>4626006207</v>
      </c>
      <c r="E48" s="469">
        <f t="shared" si="3"/>
        <v>22582.019027111248</v>
      </c>
      <c r="F48" s="470" t="s">
        <v>287</v>
      </c>
      <c r="G48" s="595">
        <v>22582.046269999999</v>
      </c>
      <c r="H48" s="595">
        <f t="shared" si="30"/>
        <v>-2.72428887510614E-2</v>
      </c>
      <c r="I48" s="595"/>
      <c r="J48" s="509">
        <f t="shared" si="4"/>
        <v>22582.019027111248</v>
      </c>
      <c r="K48" s="510">
        <f t="shared" si="5"/>
        <v>13971.5835439</v>
      </c>
      <c r="L48" s="511">
        <f t="shared" si="6"/>
        <v>10684.054351300001</v>
      </c>
      <c r="M48" s="512">
        <v>10684.054351300001</v>
      </c>
      <c r="N48" s="513">
        <v>0</v>
      </c>
      <c r="O48" s="513">
        <v>0</v>
      </c>
      <c r="P48" s="514">
        <v>0</v>
      </c>
      <c r="Q48" s="515">
        <v>2945.3483136000004</v>
      </c>
      <c r="R48" s="516">
        <f t="shared" si="7"/>
        <v>342.180879</v>
      </c>
      <c r="S48" s="517">
        <f t="shared" si="8"/>
        <v>4696.1419999999998</v>
      </c>
      <c r="T48" s="518">
        <v>3826.3159999999998</v>
      </c>
      <c r="U48" s="519">
        <v>869.82600000000002</v>
      </c>
      <c r="V48" s="520">
        <f t="shared" si="9"/>
        <v>1692.2674320000001</v>
      </c>
      <c r="W48" s="521">
        <v>1155.5474320000001</v>
      </c>
      <c r="X48" s="518">
        <v>0</v>
      </c>
      <c r="Y48" s="522">
        <v>536.72</v>
      </c>
      <c r="Z48" s="523">
        <v>2168.4600000000009</v>
      </c>
      <c r="AA48" s="524">
        <v>53.566051211246396</v>
      </c>
      <c r="AB48" s="486"/>
      <c r="AC48" s="525">
        <v>10684.054351300001</v>
      </c>
      <c r="AD48" s="525">
        <v>10684.054351300001</v>
      </c>
      <c r="AE48" s="525">
        <v>0</v>
      </c>
      <c r="AF48" s="525">
        <v>0</v>
      </c>
      <c r="AG48" s="525">
        <v>0</v>
      </c>
      <c r="AH48" s="525">
        <v>2945.3483136000004</v>
      </c>
      <c r="AI48" s="525">
        <v>2945.3483136000004</v>
      </c>
      <c r="AJ48" s="525">
        <v>0</v>
      </c>
      <c r="AK48" s="525">
        <v>0</v>
      </c>
      <c r="AL48" s="525">
        <v>0</v>
      </c>
      <c r="AM48" s="525">
        <v>0</v>
      </c>
      <c r="AN48" s="525">
        <v>0</v>
      </c>
      <c r="AO48" s="525">
        <v>0</v>
      </c>
      <c r="AP48" s="525">
        <v>0</v>
      </c>
      <c r="AQ48" s="525">
        <v>0</v>
      </c>
      <c r="AR48" s="525">
        <v>0</v>
      </c>
      <c r="AS48" s="525">
        <v>0</v>
      </c>
      <c r="AT48" s="525">
        <v>0</v>
      </c>
      <c r="AU48" s="525">
        <v>0</v>
      </c>
      <c r="AV48" s="525">
        <v>0</v>
      </c>
      <c r="AW48" s="525">
        <v>0</v>
      </c>
      <c r="AX48" s="525">
        <v>0</v>
      </c>
      <c r="AY48" s="525">
        <v>0</v>
      </c>
      <c r="AZ48" s="525">
        <v>0</v>
      </c>
      <c r="BA48" s="525">
        <v>2945.3483136000004</v>
      </c>
      <c r="BB48" s="525">
        <v>296.12799999999999</v>
      </c>
      <c r="BC48" s="525">
        <v>0</v>
      </c>
      <c r="BD48" s="525">
        <v>2945.3483136000004</v>
      </c>
      <c r="BE48" s="525">
        <v>9.9462000000000028</v>
      </c>
      <c r="BF48" s="525">
        <v>296.12799999999999</v>
      </c>
      <c r="BG48" s="525">
        <v>0</v>
      </c>
      <c r="BH48" s="525">
        <v>0</v>
      </c>
      <c r="BI48" s="525">
        <v>0</v>
      </c>
      <c r="BJ48" s="525">
        <v>0</v>
      </c>
      <c r="BK48" s="525">
        <v>0</v>
      </c>
      <c r="BL48" s="525">
        <v>0</v>
      </c>
      <c r="BM48" s="525">
        <v>0</v>
      </c>
      <c r="BN48" s="525">
        <v>0</v>
      </c>
      <c r="BO48" s="525">
        <v>0</v>
      </c>
      <c r="BP48" s="525">
        <v>0</v>
      </c>
      <c r="BQ48" s="525">
        <v>0</v>
      </c>
      <c r="BR48" s="525">
        <v>0</v>
      </c>
      <c r="BS48" s="525">
        <v>0</v>
      </c>
      <c r="BT48" s="525">
        <v>0</v>
      </c>
      <c r="BU48" s="525">
        <v>0</v>
      </c>
      <c r="BV48" s="525">
        <v>0</v>
      </c>
      <c r="BW48" s="525">
        <v>0</v>
      </c>
      <c r="BX48" s="525">
        <v>0</v>
      </c>
      <c r="BY48" s="525">
        <v>0</v>
      </c>
      <c r="BZ48" s="525">
        <v>0</v>
      </c>
      <c r="CA48" s="525">
        <v>0</v>
      </c>
      <c r="CB48" s="525">
        <v>0</v>
      </c>
      <c r="CC48" s="525">
        <v>0</v>
      </c>
      <c r="CD48" s="525">
        <v>0</v>
      </c>
      <c r="CE48" s="525">
        <v>0</v>
      </c>
      <c r="CF48" s="525">
        <v>0</v>
      </c>
      <c r="CG48" s="525">
        <v>0</v>
      </c>
      <c r="CH48" s="525">
        <v>0</v>
      </c>
      <c r="CI48" s="525">
        <v>0</v>
      </c>
      <c r="CJ48" s="525">
        <v>0</v>
      </c>
      <c r="CK48" s="525">
        <v>0</v>
      </c>
      <c r="CL48" s="525">
        <v>0</v>
      </c>
      <c r="CM48" s="525">
        <v>3826.3159999999998</v>
      </c>
      <c r="CN48" s="525">
        <v>2194.288</v>
      </c>
      <c r="CO48" s="525">
        <v>0</v>
      </c>
      <c r="CP48" s="525">
        <v>141.608</v>
      </c>
      <c r="CQ48" s="525">
        <v>1490.42</v>
      </c>
      <c r="CR48" s="525">
        <v>0</v>
      </c>
      <c r="CS48" s="525">
        <v>1155.5474320000001</v>
      </c>
      <c r="CT48" s="525">
        <v>662.6749759999999</v>
      </c>
      <c r="CU48" s="525">
        <v>0</v>
      </c>
      <c r="CV48" s="525">
        <v>42.765616000000001</v>
      </c>
      <c r="CW48" s="525">
        <v>450.10683999999998</v>
      </c>
      <c r="CX48" s="525">
        <v>0</v>
      </c>
      <c r="CY48" s="525">
        <v>342.180879</v>
      </c>
      <c r="CZ48" s="526"/>
      <c r="DA48" s="525">
        <v>10.681700000000001</v>
      </c>
      <c r="DB48" s="525">
        <v>0</v>
      </c>
      <c r="DC48" s="526"/>
      <c r="DD48" s="525">
        <v>0</v>
      </c>
      <c r="DE48" s="525">
        <v>0</v>
      </c>
      <c r="DF48" s="525">
        <v>0</v>
      </c>
      <c r="DG48" s="525">
        <v>533.06599999999992</v>
      </c>
      <c r="DH48" s="525">
        <v>114.72799999999999</v>
      </c>
      <c r="DI48" s="525">
        <v>0</v>
      </c>
      <c r="DJ48" s="525">
        <v>418.33800000000002</v>
      </c>
      <c r="DK48" s="525">
        <v>0</v>
      </c>
      <c r="DL48" s="525">
        <v>0</v>
      </c>
      <c r="DM48" s="525">
        <v>0</v>
      </c>
      <c r="DN48" s="525">
        <v>0</v>
      </c>
      <c r="DO48" s="525">
        <v>0</v>
      </c>
      <c r="DP48" s="525">
        <v>0</v>
      </c>
      <c r="DQ48" s="525">
        <v>0</v>
      </c>
      <c r="DR48" s="525">
        <v>0</v>
      </c>
      <c r="DS48" s="525">
        <v>0</v>
      </c>
      <c r="DT48" s="525">
        <v>0</v>
      </c>
      <c r="DU48" s="525">
        <v>174.65800000000002</v>
      </c>
      <c r="DV48" s="525">
        <v>49.158000000000001</v>
      </c>
      <c r="DW48" s="525">
        <v>0</v>
      </c>
      <c r="DX48" s="525">
        <v>0</v>
      </c>
      <c r="DY48" s="525">
        <v>0</v>
      </c>
      <c r="DZ48" s="525">
        <v>0</v>
      </c>
      <c r="EA48" s="525">
        <v>0</v>
      </c>
      <c r="EB48" s="525">
        <v>0</v>
      </c>
      <c r="EC48" s="525">
        <v>0</v>
      </c>
      <c r="ED48" s="525">
        <v>0</v>
      </c>
      <c r="EE48" s="525">
        <v>0</v>
      </c>
      <c r="EF48" s="525">
        <v>0</v>
      </c>
      <c r="EG48" s="525">
        <v>125.5</v>
      </c>
      <c r="EH48" s="525">
        <v>136</v>
      </c>
      <c r="EI48" s="525">
        <v>0</v>
      </c>
      <c r="EJ48" s="525">
        <v>136</v>
      </c>
      <c r="EK48" s="525">
        <v>0</v>
      </c>
      <c r="EL48" s="525">
        <v>20.911999999999999</v>
      </c>
      <c r="EM48" s="525">
        <v>0</v>
      </c>
      <c r="EN48" s="525">
        <v>0</v>
      </c>
      <c r="EO48" s="525">
        <v>0</v>
      </c>
      <c r="EP48" s="525">
        <v>141.19</v>
      </c>
      <c r="EQ48" s="525">
        <v>0</v>
      </c>
      <c r="ER48" s="525">
        <v>141.19</v>
      </c>
      <c r="ES48" s="525">
        <v>0</v>
      </c>
      <c r="ET48" s="525">
        <v>136</v>
      </c>
      <c r="EU48" s="525">
        <v>136</v>
      </c>
      <c r="EV48" s="525">
        <v>0</v>
      </c>
      <c r="EW48" s="525">
        <v>0</v>
      </c>
      <c r="EX48" s="525">
        <v>0</v>
      </c>
      <c r="EY48" s="525">
        <v>0</v>
      </c>
      <c r="EZ48" s="525">
        <v>0</v>
      </c>
      <c r="FA48" s="525">
        <v>0</v>
      </c>
      <c r="FB48" s="525">
        <v>0</v>
      </c>
      <c r="FC48" s="525">
        <v>0</v>
      </c>
      <c r="FD48" s="525">
        <v>0</v>
      </c>
      <c r="FE48" s="525">
        <v>0</v>
      </c>
      <c r="FF48" s="525">
        <v>0</v>
      </c>
      <c r="FG48" s="525">
        <v>0</v>
      </c>
      <c r="FH48" s="525">
        <v>0</v>
      </c>
      <c r="FI48" s="525">
        <v>0</v>
      </c>
      <c r="FJ48" s="525">
        <v>0</v>
      </c>
      <c r="FK48" s="525">
        <v>0</v>
      </c>
      <c r="FL48" s="525">
        <v>0</v>
      </c>
      <c r="FM48" s="525">
        <v>0</v>
      </c>
      <c r="FN48" s="525">
        <v>0</v>
      </c>
      <c r="FO48" s="525">
        <v>0</v>
      </c>
      <c r="FP48" s="525">
        <v>0</v>
      </c>
      <c r="FQ48" s="525">
        <v>400.71999999999997</v>
      </c>
      <c r="FR48" s="525">
        <v>0</v>
      </c>
      <c r="FS48" s="527">
        <v>20359.992975900001</v>
      </c>
      <c r="FT48" s="525">
        <v>0</v>
      </c>
      <c r="FU48" s="525">
        <v>0</v>
      </c>
      <c r="FV48" s="525">
        <v>0</v>
      </c>
      <c r="FW48" s="525">
        <v>0</v>
      </c>
      <c r="FX48" s="525">
        <v>0</v>
      </c>
      <c r="FY48" s="525">
        <v>0</v>
      </c>
      <c r="FZ48" s="525">
        <v>0</v>
      </c>
      <c r="GA48" s="525">
        <v>0</v>
      </c>
      <c r="GB48" s="525">
        <v>0</v>
      </c>
      <c r="GC48" s="525">
        <v>0</v>
      </c>
      <c r="GD48" s="525">
        <v>0</v>
      </c>
      <c r="GE48" s="525">
        <v>0</v>
      </c>
      <c r="GF48" s="525">
        <v>0</v>
      </c>
      <c r="GG48" s="525">
        <v>0</v>
      </c>
      <c r="GH48" s="525">
        <v>53.566051211246396</v>
      </c>
      <c r="GI48" s="525">
        <v>0</v>
      </c>
      <c r="GJ48" s="526"/>
      <c r="GK48" s="525">
        <v>53.566051211246396</v>
      </c>
      <c r="GL48" s="526"/>
      <c r="GM48" s="525">
        <v>0</v>
      </c>
      <c r="GN48" s="525">
        <v>53.56</v>
      </c>
      <c r="GO48" s="526"/>
      <c r="GP48" s="526"/>
      <c r="GQ48" s="525">
        <v>0</v>
      </c>
      <c r="GR48" s="526"/>
      <c r="GS48" s="526"/>
      <c r="GT48" s="525">
        <v>0</v>
      </c>
      <c r="GU48" s="525">
        <v>0</v>
      </c>
      <c r="GV48" s="525">
        <v>0</v>
      </c>
      <c r="GW48" s="525">
        <v>0</v>
      </c>
      <c r="GX48" s="525">
        <v>0</v>
      </c>
      <c r="GY48" s="525">
        <v>0</v>
      </c>
      <c r="GZ48" s="525">
        <v>0</v>
      </c>
      <c r="HA48" s="525">
        <v>0</v>
      </c>
      <c r="HB48" s="525">
        <v>0</v>
      </c>
      <c r="HC48" s="525">
        <v>0</v>
      </c>
      <c r="HD48" s="525">
        <v>0</v>
      </c>
      <c r="HE48" s="525">
        <v>0</v>
      </c>
      <c r="HF48" s="525">
        <v>0</v>
      </c>
      <c r="HG48" s="525">
        <v>0</v>
      </c>
      <c r="HH48" s="525">
        <v>0</v>
      </c>
      <c r="HI48" s="525">
        <v>0</v>
      </c>
      <c r="HJ48" s="525">
        <v>0</v>
      </c>
      <c r="HK48" s="525">
        <v>0</v>
      </c>
      <c r="HL48" s="526"/>
      <c r="HM48" s="526"/>
      <c r="HN48" s="526"/>
      <c r="HO48" s="526"/>
      <c r="HP48" s="526"/>
      <c r="HQ48" s="526"/>
      <c r="HR48" s="526"/>
      <c r="HS48" s="526"/>
      <c r="HT48" s="526"/>
      <c r="HU48" s="526"/>
      <c r="HV48" s="526"/>
      <c r="HW48" s="526"/>
      <c r="HX48" s="526"/>
      <c r="HY48" s="526"/>
      <c r="HZ48" s="526"/>
      <c r="IA48" s="526"/>
      <c r="IB48" s="526"/>
      <c r="IC48" s="526"/>
      <c r="ID48" s="526"/>
      <c r="IE48" s="526"/>
      <c r="IF48" s="526"/>
      <c r="IG48" s="526"/>
      <c r="IH48" s="526"/>
      <c r="II48" s="526"/>
      <c r="IJ48" s="526"/>
      <c r="IK48" s="526"/>
      <c r="IL48" s="526"/>
      <c r="IM48" s="526"/>
      <c r="IN48" s="526"/>
      <c r="IO48" s="526"/>
      <c r="IP48" s="526"/>
      <c r="IQ48" s="526"/>
      <c r="IR48" s="526"/>
      <c r="IS48" s="526"/>
      <c r="IT48" s="526"/>
      <c r="IU48" s="526"/>
      <c r="IV48" s="526"/>
      <c r="IW48" s="526"/>
      <c r="IX48" s="526"/>
      <c r="IY48" s="526"/>
      <c r="IZ48" s="526"/>
      <c r="JA48" s="526"/>
      <c r="JB48" s="526"/>
      <c r="JC48" s="526"/>
      <c r="JD48" s="526"/>
      <c r="JE48" s="526"/>
      <c r="JF48" s="526"/>
      <c r="JG48" s="526"/>
      <c r="JH48" s="526"/>
      <c r="JI48" s="526"/>
      <c r="JJ48" s="526"/>
      <c r="JK48" s="526"/>
      <c r="JL48" s="526"/>
      <c r="JM48" s="526"/>
      <c r="JN48" s="525">
        <v>4696.1419999999998</v>
      </c>
      <c r="JO48" s="525">
        <v>1692.2674320000001</v>
      </c>
      <c r="JP48" s="525">
        <v>13971.5835439</v>
      </c>
      <c r="JQ48" s="525">
        <v>0</v>
      </c>
      <c r="JR48" s="525">
        <v>53.566051211246396</v>
      </c>
      <c r="JS48" s="527">
        <v>22582.019027111248</v>
      </c>
      <c r="JT48" s="528">
        <f t="shared" si="10"/>
        <v>2168.4600000000009</v>
      </c>
      <c r="JU48" s="525">
        <v>22582.019027111248</v>
      </c>
      <c r="JV48" s="525">
        <v>22582.019027111248</v>
      </c>
      <c r="JW48" s="525">
        <v>22582.019027111248</v>
      </c>
      <c r="JX48" s="525">
        <v>7967</v>
      </c>
      <c r="JY48" s="525">
        <v>7967</v>
      </c>
      <c r="JZ48" s="526"/>
      <c r="KA48" s="525">
        <v>7967</v>
      </c>
      <c r="KB48" s="529">
        <v>0.26309464484910283</v>
      </c>
      <c r="KC48" s="525">
        <v>-2.72428887510614E-2</v>
      </c>
      <c r="KD48" s="525">
        <v>22582.046269999999</v>
      </c>
      <c r="KE48" s="525">
        <v>7967</v>
      </c>
      <c r="KF48" s="525">
        <v>0</v>
      </c>
      <c r="KG48" s="530">
        <v>0</v>
      </c>
      <c r="KH48" s="525">
        <v>0</v>
      </c>
      <c r="KI48" s="525">
        <v>7746.2010399999999</v>
      </c>
      <c r="KJ48" s="530">
        <v>2825.0186141502554</v>
      </c>
      <c r="KK48" s="525">
        <v>2742</v>
      </c>
      <c r="KL48" s="525">
        <v>12505.353080000001</v>
      </c>
      <c r="KM48" s="530">
        <v>2842.1257000000001</v>
      </c>
      <c r="KN48" s="525">
        <v>4400</v>
      </c>
      <c r="KO48" s="525">
        <v>2330.49215</v>
      </c>
      <c r="KP48" s="530">
        <v>2824.8389696969698</v>
      </c>
      <c r="KQ48" s="525">
        <v>825</v>
      </c>
      <c r="KR48" s="526"/>
      <c r="KS48" s="526"/>
      <c r="KT48" s="531">
        <v>5340</v>
      </c>
      <c r="KU48" s="531">
        <v>80</v>
      </c>
      <c r="KV48" s="526"/>
      <c r="KW48" s="531">
        <v>3408</v>
      </c>
      <c r="KX48" s="531">
        <v>12.2</v>
      </c>
      <c r="KY48" s="531">
        <v>3.8</v>
      </c>
      <c r="KZ48" s="526"/>
      <c r="LA48" s="531">
        <v>836.26599999999996</v>
      </c>
      <c r="LB48" s="532">
        <v>1872</v>
      </c>
      <c r="LC48" s="533">
        <v>0.624</v>
      </c>
      <c r="LD48" s="494">
        <f t="shared" si="11"/>
        <v>23207.391930228165</v>
      </c>
      <c r="LE48" s="509">
        <f t="shared" si="12"/>
        <v>23207.391930228165</v>
      </c>
      <c r="LF48" s="534">
        <f t="shared" si="13"/>
        <v>14408.879600575001</v>
      </c>
      <c r="LG48" s="535">
        <f t="shared" si="14"/>
        <v>11004.575981839002</v>
      </c>
      <c r="LH48" s="536">
        <f t="shared" si="31"/>
        <v>1.03</v>
      </c>
      <c r="LI48" s="537">
        <f t="shared" si="15"/>
        <v>11004.575981839002</v>
      </c>
      <c r="LJ48" s="536">
        <f t="shared" si="32"/>
        <v>1.0389999999999999</v>
      </c>
      <c r="LK48" s="537">
        <f t="shared" si="16"/>
        <v>0</v>
      </c>
      <c r="LL48" s="536">
        <f t="shared" si="33"/>
        <v>1.0349999999999999</v>
      </c>
      <c r="LM48" s="537">
        <f t="shared" si="17"/>
        <v>0</v>
      </c>
      <c r="LN48" s="536">
        <f t="shared" si="34"/>
        <v>1.0349999999999999</v>
      </c>
      <c r="LO48" s="537">
        <f t="shared" si="18"/>
        <v>0</v>
      </c>
      <c r="LP48" s="536">
        <f t="shared" si="35"/>
        <v>1.0349999999999999</v>
      </c>
      <c r="LQ48" s="537">
        <f t="shared" si="19"/>
        <v>3048.4355045760003</v>
      </c>
      <c r="LR48" s="536">
        <f t="shared" si="36"/>
        <v>1.04</v>
      </c>
      <c r="LS48" s="537">
        <f t="shared" si="20"/>
        <v>355.86811416</v>
      </c>
      <c r="LT48" s="539">
        <f t="shared" si="21"/>
        <v>4830.4986226199999</v>
      </c>
      <c r="LU48" s="540">
        <f t="shared" si="22"/>
        <v>3935.7869007599998</v>
      </c>
      <c r="LV48" s="541">
        <f t="shared" si="23"/>
        <v>894.7117218599999</v>
      </c>
      <c r="LW48" s="542">
        <f t="shared" si="24"/>
        <v>1744.1128440295197</v>
      </c>
      <c r="LX48" s="540">
        <f t="shared" si="25"/>
        <v>1188.6076440295199</v>
      </c>
      <c r="LY48" s="540">
        <f t="shared" si="26"/>
        <v>0</v>
      </c>
      <c r="LZ48" s="543">
        <f t="shared" si="27"/>
        <v>555.50519999999995</v>
      </c>
      <c r="MA48" s="544">
        <f t="shared" si="28"/>
        <v>2168.4600000000009</v>
      </c>
      <c r="MB48" s="545">
        <f t="shared" si="29"/>
        <v>55.440863003640018</v>
      </c>
    </row>
    <row r="49" spans="1:340" ht="16.5" customHeight="1">
      <c r="A49" s="465">
        <v>1</v>
      </c>
      <c r="B49" s="466">
        <v>39</v>
      </c>
      <c r="C49" s="467" t="s">
        <v>50</v>
      </c>
      <c r="D49" s="468">
        <v>4632032678</v>
      </c>
      <c r="E49" s="469">
        <f t="shared" si="3"/>
        <v>16778.441815627197</v>
      </c>
      <c r="F49" s="470" t="s">
        <v>281</v>
      </c>
      <c r="G49" s="595">
        <v>16778.41128</v>
      </c>
      <c r="H49" s="597">
        <f t="shared" si="30"/>
        <v>3.0535627196513815E-2</v>
      </c>
      <c r="I49" s="597"/>
      <c r="J49" s="471">
        <f t="shared" si="4"/>
        <v>13982.034846355999</v>
      </c>
      <c r="K49" s="472">
        <f t="shared" si="5"/>
        <v>7957.3950277959993</v>
      </c>
      <c r="L49" s="473">
        <f t="shared" si="6"/>
        <v>6934.3557621959999</v>
      </c>
      <c r="M49" s="474">
        <v>6934.3557621959999</v>
      </c>
      <c r="N49" s="475">
        <v>0</v>
      </c>
      <c r="O49" s="475">
        <v>0</v>
      </c>
      <c r="P49" s="476">
        <v>0</v>
      </c>
      <c r="Q49" s="477">
        <v>864.49219999999991</v>
      </c>
      <c r="R49" s="478">
        <f t="shared" si="7"/>
        <v>158.5470656</v>
      </c>
      <c r="S49" s="479">
        <f t="shared" si="8"/>
        <v>3816.6465377599998</v>
      </c>
      <c r="T49" s="479">
        <v>2512.7067999999999</v>
      </c>
      <c r="U49" s="480">
        <v>1303.9397377599998</v>
      </c>
      <c r="V49" s="481">
        <f t="shared" si="9"/>
        <v>896.15188080000007</v>
      </c>
      <c r="W49" s="482">
        <v>768.88828079999996</v>
      </c>
      <c r="X49" s="479">
        <v>64.937700000000007</v>
      </c>
      <c r="Y49" s="483">
        <v>62.32589999999999</v>
      </c>
      <c r="Z49" s="484">
        <v>1016.6499999999994</v>
      </c>
      <c r="AA49" s="485">
        <v>295.19139999999999</v>
      </c>
      <c r="AB49" s="486"/>
      <c r="AC49" s="487">
        <v>6934.3557621959999</v>
      </c>
      <c r="AD49" s="487">
        <v>6934.3557621959999</v>
      </c>
      <c r="AE49" s="487">
        <v>0</v>
      </c>
      <c r="AF49" s="487">
        <v>0</v>
      </c>
      <c r="AG49" s="487">
        <v>0</v>
      </c>
      <c r="AH49" s="487">
        <v>864.49219999999991</v>
      </c>
      <c r="AI49" s="487">
        <v>864.49219999999991</v>
      </c>
      <c r="AJ49" s="487">
        <v>0</v>
      </c>
      <c r="AK49" s="487">
        <v>0</v>
      </c>
      <c r="AL49" s="487">
        <v>0</v>
      </c>
      <c r="AM49" s="487">
        <v>0</v>
      </c>
      <c r="AN49" s="487">
        <v>0</v>
      </c>
      <c r="AO49" s="487">
        <v>0</v>
      </c>
      <c r="AP49" s="487">
        <v>0</v>
      </c>
      <c r="AQ49" s="487">
        <v>0</v>
      </c>
      <c r="AR49" s="487">
        <v>0</v>
      </c>
      <c r="AS49" s="487">
        <v>0</v>
      </c>
      <c r="AT49" s="487">
        <v>0</v>
      </c>
      <c r="AU49" s="487">
        <v>0</v>
      </c>
      <c r="AV49" s="487">
        <v>0</v>
      </c>
      <c r="AW49" s="487">
        <v>0</v>
      </c>
      <c r="AX49" s="487">
        <v>0</v>
      </c>
      <c r="AY49" s="487">
        <v>0</v>
      </c>
      <c r="AZ49" s="487">
        <v>0</v>
      </c>
      <c r="BA49" s="487">
        <v>864.49219999999991</v>
      </c>
      <c r="BB49" s="487">
        <v>173.68</v>
      </c>
      <c r="BC49" s="487">
        <v>0</v>
      </c>
      <c r="BD49" s="487">
        <v>0</v>
      </c>
      <c r="BE49" s="487">
        <v>0</v>
      </c>
      <c r="BF49" s="487">
        <v>0</v>
      </c>
      <c r="BG49" s="487">
        <v>0</v>
      </c>
      <c r="BH49" s="487">
        <v>0</v>
      </c>
      <c r="BI49" s="487">
        <v>0</v>
      </c>
      <c r="BJ49" s="487">
        <v>864.49219999999991</v>
      </c>
      <c r="BK49" s="487">
        <v>4.9774999999999991</v>
      </c>
      <c r="BL49" s="487">
        <v>173.68</v>
      </c>
      <c r="BM49" s="487">
        <v>0</v>
      </c>
      <c r="BN49" s="487">
        <v>0</v>
      </c>
      <c r="BO49" s="487">
        <v>0</v>
      </c>
      <c r="BP49" s="487">
        <v>0</v>
      </c>
      <c r="BQ49" s="487">
        <v>0</v>
      </c>
      <c r="BR49" s="487">
        <v>0</v>
      </c>
      <c r="BS49" s="487">
        <v>0</v>
      </c>
      <c r="BT49" s="487">
        <v>0</v>
      </c>
      <c r="BU49" s="487">
        <v>0</v>
      </c>
      <c r="BV49" s="487">
        <v>0</v>
      </c>
      <c r="BW49" s="487">
        <v>0</v>
      </c>
      <c r="BX49" s="487">
        <v>0</v>
      </c>
      <c r="BY49" s="487">
        <v>0</v>
      </c>
      <c r="BZ49" s="487">
        <v>0</v>
      </c>
      <c r="CA49" s="487">
        <v>0</v>
      </c>
      <c r="CB49" s="487">
        <v>0</v>
      </c>
      <c r="CC49" s="487">
        <v>0</v>
      </c>
      <c r="CD49" s="487">
        <v>0</v>
      </c>
      <c r="CE49" s="487">
        <v>0</v>
      </c>
      <c r="CF49" s="487">
        <v>0</v>
      </c>
      <c r="CG49" s="487">
        <v>0</v>
      </c>
      <c r="CH49" s="487">
        <v>0</v>
      </c>
      <c r="CI49" s="487">
        <v>0</v>
      </c>
      <c r="CJ49" s="487">
        <v>0</v>
      </c>
      <c r="CK49" s="487">
        <v>0</v>
      </c>
      <c r="CL49" s="487">
        <v>0</v>
      </c>
      <c r="CM49" s="487">
        <v>2512.7067999999999</v>
      </c>
      <c r="CN49" s="487">
        <v>1643.2388000000001</v>
      </c>
      <c r="CO49" s="487">
        <v>0</v>
      </c>
      <c r="CP49" s="487">
        <v>869.46800000000007</v>
      </c>
      <c r="CQ49" s="487">
        <v>0</v>
      </c>
      <c r="CR49" s="487">
        <v>0</v>
      </c>
      <c r="CS49" s="487">
        <v>768.88828079999996</v>
      </c>
      <c r="CT49" s="487">
        <v>502.83107280000007</v>
      </c>
      <c r="CU49" s="487">
        <v>0</v>
      </c>
      <c r="CV49" s="487">
        <v>266.057208</v>
      </c>
      <c r="CW49" s="487">
        <v>0</v>
      </c>
      <c r="CX49" s="487">
        <v>0</v>
      </c>
      <c r="CY49" s="487">
        <v>158.5470656</v>
      </c>
      <c r="CZ49" s="467"/>
      <c r="DA49" s="487">
        <v>7.3479999999999999</v>
      </c>
      <c r="DB49" s="487">
        <v>0</v>
      </c>
      <c r="DC49" s="467"/>
      <c r="DD49" s="487">
        <v>0</v>
      </c>
      <c r="DE49" s="487">
        <v>0</v>
      </c>
      <c r="DF49" s="487">
        <v>0</v>
      </c>
      <c r="DG49" s="487">
        <v>429.32518528000003</v>
      </c>
      <c r="DH49" s="487">
        <v>36.435465600000008</v>
      </c>
      <c r="DI49" s="487">
        <v>0</v>
      </c>
      <c r="DJ49" s="487">
        <v>392.88971968000004</v>
      </c>
      <c r="DK49" s="487">
        <v>0</v>
      </c>
      <c r="DL49" s="487">
        <v>0</v>
      </c>
      <c r="DM49" s="487">
        <v>0</v>
      </c>
      <c r="DN49" s="487">
        <v>0</v>
      </c>
      <c r="DO49" s="487">
        <v>0</v>
      </c>
      <c r="DP49" s="487">
        <v>354.52735680000001</v>
      </c>
      <c r="DQ49" s="487">
        <v>0</v>
      </c>
      <c r="DR49" s="487">
        <v>0</v>
      </c>
      <c r="DS49" s="487">
        <v>0</v>
      </c>
      <c r="DT49" s="487">
        <v>354.52735680000001</v>
      </c>
      <c r="DU49" s="487">
        <v>449.99092272000007</v>
      </c>
      <c r="DV49" s="487">
        <v>2.0916086400000005</v>
      </c>
      <c r="DW49" s="487">
        <v>129.05227360000001</v>
      </c>
      <c r="DX49" s="487">
        <v>0</v>
      </c>
      <c r="DY49" s="487">
        <v>0</v>
      </c>
      <c r="DZ49" s="487">
        <v>0</v>
      </c>
      <c r="EA49" s="487">
        <v>240.26690176000002</v>
      </c>
      <c r="EB49" s="487">
        <v>0</v>
      </c>
      <c r="EC49" s="487">
        <v>0</v>
      </c>
      <c r="ED49" s="487">
        <v>0</v>
      </c>
      <c r="EE49" s="487">
        <v>0</v>
      </c>
      <c r="EF49" s="487">
        <v>0</v>
      </c>
      <c r="EG49" s="487">
        <v>78.580138720000008</v>
      </c>
      <c r="EH49" s="487">
        <v>0</v>
      </c>
      <c r="EI49" s="487">
        <v>0</v>
      </c>
      <c r="EJ49" s="487">
        <v>0</v>
      </c>
      <c r="EK49" s="487">
        <v>0</v>
      </c>
      <c r="EL49" s="487">
        <v>0</v>
      </c>
      <c r="EM49" s="487">
        <v>16.110124800000001</v>
      </c>
      <c r="EN49" s="487">
        <v>0</v>
      </c>
      <c r="EO49" s="487">
        <v>0</v>
      </c>
      <c r="EP49" s="487">
        <v>53.986148159999999</v>
      </c>
      <c r="EQ49" s="487">
        <v>0</v>
      </c>
      <c r="ER49" s="487">
        <v>53.986148159999999</v>
      </c>
      <c r="ES49" s="487">
        <v>38.404900000000005</v>
      </c>
      <c r="ET49" s="487">
        <v>0</v>
      </c>
      <c r="EU49" s="487">
        <v>0</v>
      </c>
      <c r="EV49" s="487">
        <v>0</v>
      </c>
      <c r="EW49" s="487">
        <v>0</v>
      </c>
      <c r="EX49" s="487">
        <v>0</v>
      </c>
      <c r="EY49" s="487">
        <v>0</v>
      </c>
      <c r="EZ49" s="487">
        <v>0</v>
      </c>
      <c r="FA49" s="487">
        <v>0</v>
      </c>
      <c r="FB49" s="487">
        <v>16.321999999999999</v>
      </c>
      <c r="FC49" s="487">
        <v>0</v>
      </c>
      <c r="FD49" s="487">
        <v>15.940000000000001</v>
      </c>
      <c r="FE49" s="487">
        <v>0</v>
      </c>
      <c r="FF49" s="487">
        <v>0.38200000000000006</v>
      </c>
      <c r="FG49" s="487">
        <v>0.38200000000000006</v>
      </c>
      <c r="FH49" s="487">
        <v>0</v>
      </c>
      <c r="FI49" s="487">
        <v>0</v>
      </c>
      <c r="FJ49" s="487">
        <v>0</v>
      </c>
      <c r="FK49" s="487">
        <v>0</v>
      </c>
      <c r="FL49" s="487">
        <v>0</v>
      </c>
      <c r="FM49" s="487">
        <v>64.937700000000007</v>
      </c>
      <c r="FN49" s="487">
        <v>64.937700000000007</v>
      </c>
      <c r="FO49" s="487">
        <v>0</v>
      </c>
      <c r="FP49" s="487">
        <v>0</v>
      </c>
      <c r="FQ49" s="487">
        <v>7.5989999999999984</v>
      </c>
      <c r="FR49" s="487">
        <v>0</v>
      </c>
      <c r="FS49" s="488">
        <v>12670.193446355999</v>
      </c>
      <c r="FT49" s="487">
        <v>0</v>
      </c>
      <c r="FU49" s="487">
        <v>0</v>
      </c>
      <c r="FV49" s="487">
        <v>0</v>
      </c>
      <c r="FW49" s="487">
        <v>0</v>
      </c>
      <c r="FX49" s="487">
        <v>0</v>
      </c>
      <c r="FY49" s="487">
        <v>0</v>
      </c>
      <c r="FZ49" s="487">
        <v>0</v>
      </c>
      <c r="GA49" s="487">
        <v>0</v>
      </c>
      <c r="GB49" s="487">
        <v>0</v>
      </c>
      <c r="GC49" s="487">
        <v>0</v>
      </c>
      <c r="GD49" s="487">
        <v>0</v>
      </c>
      <c r="GE49" s="487">
        <v>0</v>
      </c>
      <c r="GF49" s="487">
        <v>0</v>
      </c>
      <c r="GG49" s="487">
        <v>0</v>
      </c>
      <c r="GH49" s="487">
        <v>295.19139999999999</v>
      </c>
      <c r="GI49" s="487">
        <v>295.19139999999999</v>
      </c>
      <c r="GJ49" s="467"/>
      <c r="GK49" s="487">
        <v>0</v>
      </c>
      <c r="GL49" s="467"/>
      <c r="GM49" s="487">
        <v>0</v>
      </c>
      <c r="GN49" s="487">
        <v>0</v>
      </c>
      <c r="GO49" s="467"/>
      <c r="GP49" s="467"/>
      <c r="GQ49" s="487">
        <v>0</v>
      </c>
      <c r="GR49" s="467"/>
      <c r="GS49" s="467"/>
      <c r="GT49" s="487">
        <v>0</v>
      </c>
      <c r="GU49" s="487">
        <v>0</v>
      </c>
      <c r="GV49" s="487">
        <v>0</v>
      </c>
      <c r="GW49" s="487">
        <v>0</v>
      </c>
      <c r="GX49" s="487">
        <v>0</v>
      </c>
      <c r="GY49" s="487">
        <v>0</v>
      </c>
      <c r="GZ49" s="487">
        <v>0</v>
      </c>
      <c r="HA49" s="487">
        <v>0</v>
      </c>
      <c r="HB49" s="487">
        <v>0</v>
      </c>
      <c r="HC49" s="487">
        <v>0</v>
      </c>
      <c r="HD49" s="487">
        <v>0</v>
      </c>
      <c r="HE49" s="487">
        <v>0</v>
      </c>
      <c r="HF49" s="487">
        <v>0</v>
      </c>
      <c r="HG49" s="487">
        <v>0</v>
      </c>
      <c r="HH49" s="487">
        <v>0</v>
      </c>
      <c r="HI49" s="487">
        <v>0</v>
      </c>
      <c r="HJ49" s="487">
        <v>0</v>
      </c>
      <c r="HK49" s="487">
        <v>0</v>
      </c>
      <c r="HL49" s="467"/>
      <c r="HM49" s="467"/>
      <c r="HN49" s="467"/>
      <c r="HO49" s="467"/>
      <c r="HP49" s="467"/>
      <c r="HQ49" s="467"/>
      <c r="HR49" s="467"/>
      <c r="HS49" s="467"/>
      <c r="HT49" s="467"/>
      <c r="HU49" s="467"/>
      <c r="HV49" s="467"/>
      <c r="HW49" s="467"/>
      <c r="HX49" s="467"/>
      <c r="HY49" s="467"/>
      <c r="HZ49" s="467"/>
      <c r="IA49" s="467"/>
      <c r="IB49" s="467"/>
      <c r="IC49" s="467"/>
      <c r="ID49" s="467"/>
      <c r="IE49" s="467"/>
      <c r="IF49" s="467"/>
      <c r="IG49" s="467"/>
      <c r="IH49" s="467"/>
      <c r="II49" s="467"/>
      <c r="IJ49" s="467"/>
      <c r="IK49" s="467"/>
      <c r="IL49" s="467"/>
      <c r="IM49" s="467"/>
      <c r="IN49" s="467"/>
      <c r="IO49" s="467"/>
      <c r="IP49" s="467"/>
      <c r="IQ49" s="467"/>
      <c r="IR49" s="467"/>
      <c r="IS49" s="467"/>
      <c r="IT49" s="467"/>
      <c r="IU49" s="467"/>
      <c r="IV49" s="467"/>
      <c r="IW49" s="467"/>
      <c r="IX49" s="467"/>
      <c r="IY49" s="467"/>
      <c r="IZ49" s="467"/>
      <c r="JA49" s="467"/>
      <c r="JB49" s="467"/>
      <c r="JC49" s="467"/>
      <c r="JD49" s="467"/>
      <c r="JE49" s="467"/>
      <c r="JF49" s="467"/>
      <c r="JG49" s="467"/>
      <c r="JH49" s="467"/>
      <c r="JI49" s="467"/>
      <c r="JJ49" s="467"/>
      <c r="JK49" s="467"/>
      <c r="JL49" s="467"/>
      <c r="JM49" s="467"/>
      <c r="JN49" s="487">
        <v>3816.6465377599998</v>
      </c>
      <c r="JO49" s="487">
        <v>896.15188079999996</v>
      </c>
      <c r="JP49" s="487">
        <v>7957.3950277959993</v>
      </c>
      <c r="JQ49" s="487">
        <v>0</v>
      </c>
      <c r="JR49" s="487">
        <v>295.19139999999999</v>
      </c>
      <c r="JS49" s="488">
        <v>13982.034846355999</v>
      </c>
      <c r="JT49" s="489">
        <f t="shared" si="10"/>
        <v>1016.6499999999994</v>
      </c>
      <c r="JU49" s="487">
        <v>16778.441815627197</v>
      </c>
      <c r="JV49" s="487">
        <v>13982.034846355999</v>
      </c>
      <c r="JW49" s="487">
        <v>16778.441815627197</v>
      </c>
      <c r="JX49" s="487">
        <v>7767</v>
      </c>
      <c r="JY49" s="487">
        <v>7767</v>
      </c>
      <c r="JZ49" s="467"/>
      <c r="KA49" s="487">
        <v>7767</v>
      </c>
      <c r="KB49" s="490">
        <v>2.3298097321860407</v>
      </c>
      <c r="KC49" s="487">
        <v>4.3863559985766187E-3</v>
      </c>
      <c r="KD49" s="487">
        <v>13982.03046</v>
      </c>
      <c r="KE49" s="487">
        <v>7767</v>
      </c>
      <c r="KF49" s="487">
        <v>0</v>
      </c>
      <c r="KG49" s="491">
        <v>0</v>
      </c>
      <c r="KH49" s="487">
        <v>0</v>
      </c>
      <c r="KI49" s="487">
        <v>1172.9649300000001</v>
      </c>
      <c r="KJ49" s="491">
        <v>1790.7861526717559</v>
      </c>
      <c r="KK49" s="487">
        <v>655</v>
      </c>
      <c r="KL49" s="487">
        <v>0</v>
      </c>
      <c r="KM49" s="491">
        <v>0</v>
      </c>
      <c r="KN49" s="487">
        <v>0</v>
      </c>
      <c r="KO49" s="487">
        <v>12809.06553</v>
      </c>
      <c r="KP49" s="491">
        <v>1801.0497089426322</v>
      </c>
      <c r="KQ49" s="487">
        <v>7112</v>
      </c>
      <c r="KR49" s="467"/>
      <c r="KS49" s="467"/>
      <c r="KT49" s="487">
        <v>11266</v>
      </c>
      <c r="KU49" s="487">
        <v>5</v>
      </c>
      <c r="KV49" s="467"/>
      <c r="KW49" s="487">
        <v>31.58</v>
      </c>
      <c r="KX49" s="487">
        <v>2.02</v>
      </c>
      <c r="KY49" s="487"/>
      <c r="KZ49" s="467"/>
      <c r="LA49" s="487">
        <v>4370.6000000000004</v>
      </c>
      <c r="LB49" s="492"/>
      <c r="LC49" s="493">
        <v>1.4E-2</v>
      </c>
      <c r="LD49" s="494">
        <f t="shared" si="11"/>
        <v>17247.171246005855</v>
      </c>
      <c r="LE49" s="471">
        <f t="shared" si="12"/>
        <v>14372.642705004879</v>
      </c>
      <c r="LF49" s="495">
        <f t="shared" si="13"/>
        <v>8202.0248102858786</v>
      </c>
      <c r="LG49" s="476">
        <f t="shared" si="14"/>
        <v>7142.3864350618796</v>
      </c>
      <c r="LH49" s="496">
        <f t="shared" si="31"/>
        <v>1.03</v>
      </c>
      <c r="LI49" s="497">
        <f t="shared" si="15"/>
        <v>7142.3864350618796</v>
      </c>
      <c r="LJ49" s="496">
        <f t="shared" si="32"/>
        <v>1.0389999999999999</v>
      </c>
      <c r="LK49" s="497">
        <f t="shared" si="16"/>
        <v>0</v>
      </c>
      <c r="LL49" s="496">
        <f t="shared" si="33"/>
        <v>1.0349999999999999</v>
      </c>
      <c r="LM49" s="497">
        <f t="shared" si="17"/>
        <v>0</v>
      </c>
      <c r="LN49" s="496">
        <f t="shared" si="34"/>
        <v>1.0349999999999999</v>
      </c>
      <c r="LO49" s="497">
        <f t="shared" si="18"/>
        <v>0</v>
      </c>
      <c r="LP49" s="496">
        <f t="shared" si="35"/>
        <v>1.0349999999999999</v>
      </c>
      <c r="LQ49" s="497">
        <f t="shared" si="19"/>
        <v>894.74942699999986</v>
      </c>
      <c r="LR49" s="496">
        <f t="shared" si="36"/>
        <v>1.04</v>
      </c>
      <c r="LS49" s="497">
        <f t="shared" si="20"/>
        <v>164.88894822399999</v>
      </c>
      <c r="LT49" s="499">
        <f t="shared" si="21"/>
        <v>3925.840795205313</v>
      </c>
      <c r="LU49" s="500">
        <f t="shared" si="22"/>
        <v>2584.5953415479994</v>
      </c>
      <c r="LV49" s="501">
        <f t="shared" si="23"/>
        <v>1341.2454536573134</v>
      </c>
      <c r="LW49" s="499">
        <f t="shared" si="24"/>
        <v>922.60400051368799</v>
      </c>
      <c r="LX49" s="500">
        <f t="shared" si="25"/>
        <v>790.88617451368793</v>
      </c>
      <c r="LY49" s="500">
        <f t="shared" si="26"/>
        <v>67.210519500000004</v>
      </c>
      <c r="LZ49" s="502">
        <f t="shared" si="27"/>
        <v>64.507306499999984</v>
      </c>
      <c r="MA49" s="503">
        <f t="shared" si="28"/>
        <v>1016.6499999999994</v>
      </c>
      <c r="MB49" s="504">
        <f t="shared" si="29"/>
        <v>305.52309899999995</v>
      </c>
    </row>
    <row r="50" spans="1:340" ht="16.5" customHeight="1">
      <c r="A50" s="505">
        <v>1</v>
      </c>
      <c r="B50" s="506">
        <v>40</v>
      </c>
      <c r="C50" s="507" t="s">
        <v>307</v>
      </c>
      <c r="D50" s="508">
        <v>4632077904</v>
      </c>
      <c r="E50" s="469">
        <f t="shared" si="3"/>
        <v>10241.943883943999</v>
      </c>
      <c r="F50" s="470" t="s">
        <v>281</v>
      </c>
      <c r="G50" s="595">
        <v>10241.942159999999</v>
      </c>
      <c r="H50" s="595">
        <f t="shared" si="30"/>
        <v>1.723944000332267E-3</v>
      </c>
      <c r="I50" s="595"/>
      <c r="J50" s="509">
        <f t="shared" si="4"/>
        <v>8534.9532366200001</v>
      </c>
      <c r="K50" s="510">
        <f t="shared" si="5"/>
        <v>3670.0678137400005</v>
      </c>
      <c r="L50" s="511">
        <f t="shared" si="6"/>
        <v>3670.0678137400005</v>
      </c>
      <c r="M50" s="512">
        <v>3670.0678137400005</v>
      </c>
      <c r="N50" s="513">
        <v>0</v>
      </c>
      <c r="O50" s="513">
        <v>0</v>
      </c>
      <c r="P50" s="514">
        <v>0</v>
      </c>
      <c r="Q50" s="515">
        <v>0</v>
      </c>
      <c r="R50" s="516">
        <f t="shared" si="7"/>
        <v>0</v>
      </c>
      <c r="S50" s="517">
        <f t="shared" si="8"/>
        <v>2473.5095940800002</v>
      </c>
      <c r="T50" s="518">
        <v>963.22969999999998</v>
      </c>
      <c r="U50" s="519">
        <v>1510.2798940800003</v>
      </c>
      <c r="V50" s="520">
        <f t="shared" si="9"/>
        <v>1635.1658288000001</v>
      </c>
      <c r="W50" s="521">
        <v>292.82182879999999</v>
      </c>
      <c r="X50" s="518">
        <v>28.095000000000002</v>
      </c>
      <c r="Y50" s="522">
        <v>1314.249</v>
      </c>
      <c r="Z50" s="523">
        <v>756.20999999999958</v>
      </c>
      <c r="AA50" s="524">
        <v>0</v>
      </c>
      <c r="AB50" s="486"/>
      <c r="AC50" s="525">
        <v>3670.0678137400005</v>
      </c>
      <c r="AD50" s="525">
        <v>3670.0678137400005</v>
      </c>
      <c r="AE50" s="525">
        <v>0</v>
      </c>
      <c r="AF50" s="525">
        <v>0</v>
      </c>
      <c r="AG50" s="525">
        <v>0</v>
      </c>
      <c r="AH50" s="525">
        <v>0</v>
      </c>
      <c r="AI50" s="525">
        <v>0</v>
      </c>
      <c r="AJ50" s="525">
        <v>0</v>
      </c>
      <c r="AK50" s="525">
        <v>0</v>
      </c>
      <c r="AL50" s="525">
        <v>0</v>
      </c>
      <c r="AM50" s="525">
        <v>0</v>
      </c>
      <c r="AN50" s="525">
        <v>0</v>
      </c>
      <c r="AO50" s="525">
        <v>0</v>
      </c>
      <c r="AP50" s="525">
        <v>0</v>
      </c>
      <c r="AQ50" s="525">
        <v>0</v>
      </c>
      <c r="AR50" s="525">
        <v>0</v>
      </c>
      <c r="AS50" s="525">
        <v>0</v>
      </c>
      <c r="AT50" s="525">
        <v>0</v>
      </c>
      <c r="AU50" s="525">
        <v>0</v>
      </c>
      <c r="AV50" s="525">
        <v>0</v>
      </c>
      <c r="AW50" s="525">
        <v>0</v>
      </c>
      <c r="AX50" s="525">
        <v>0</v>
      </c>
      <c r="AY50" s="525">
        <v>0</v>
      </c>
      <c r="AZ50" s="525">
        <v>0</v>
      </c>
      <c r="BA50" s="525">
        <v>0</v>
      </c>
      <c r="BB50" s="525">
        <v>0</v>
      </c>
      <c r="BC50" s="525">
        <v>0</v>
      </c>
      <c r="BD50" s="525">
        <v>0</v>
      </c>
      <c r="BE50" s="525">
        <v>0</v>
      </c>
      <c r="BF50" s="525">
        <v>0</v>
      </c>
      <c r="BG50" s="525">
        <v>0</v>
      </c>
      <c r="BH50" s="525">
        <v>0</v>
      </c>
      <c r="BI50" s="525">
        <v>0</v>
      </c>
      <c r="BJ50" s="525">
        <v>0</v>
      </c>
      <c r="BK50" s="525">
        <v>0</v>
      </c>
      <c r="BL50" s="525">
        <v>0</v>
      </c>
      <c r="BM50" s="525">
        <v>0</v>
      </c>
      <c r="BN50" s="525">
        <v>0</v>
      </c>
      <c r="BO50" s="525">
        <v>0</v>
      </c>
      <c r="BP50" s="525">
        <v>0</v>
      </c>
      <c r="BQ50" s="525">
        <v>0</v>
      </c>
      <c r="BR50" s="525">
        <v>0</v>
      </c>
      <c r="BS50" s="525">
        <v>0</v>
      </c>
      <c r="BT50" s="525">
        <v>0</v>
      </c>
      <c r="BU50" s="525">
        <v>0</v>
      </c>
      <c r="BV50" s="525">
        <v>0</v>
      </c>
      <c r="BW50" s="525">
        <v>0</v>
      </c>
      <c r="BX50" s="525">
        <v>0</v>
      </c>
      <c r="BY50" s="525">
        <v>0</v>
      </c>
      <c r="BZ50" s="525">
        <v>0</v>
      </c>
      <c r="CA50" s="525">
        <v>0</v>
      </c>
      <c r="CB50" s="525">
        <v>0</v>
      </c>
      <c r="CC50" s="525">
        <v>0</v>
      </c>
      <c r="CD50" s="525">
        <v>0</v>
      </c>
      <c r="CE50" s="525">
        <v>0</v>
      </c>
      <c r="CF50" s="525">
        <v>0</v>
      </c>
      <c r="CG50" s="525">
        <v>0</v>
      </c>
      <c r="CH50" s="525">
        <v>0</v>
      </c>
      <c r="CI50" s="525">
        <v>0</v>
      </c>
      <c r="CJ50" s="525">
        <v>0</v>
      </c>
      <c r="CK50" s="525">
        <v>0</v>
      </c>
      <c r="CL50" s="525">
        <v>0</v>
      </c>
      <c r="CM50" s="525">
        <v>963.22969999999998</v>
      </c>
      <c r="CN50" s="525">
        <v>496.66470000000004</v>
      </c>
      <c r="CO50" s="525">
        <v>0</v>
      </c>
      <c r="CP50" s="525">
        <v>172.85</v>
      </c>
      <c r="CQ50" s="525">
        <v>293.71499999999997</v>
      </c>
      <c r="CR50" s="525">
        <v>0</v>
      </c>
      <c r="CS50" s="525">
        <v>292.82182879999999</v>
      </c>
      <c r="CT50" s="525">
        <v>150.9860688</v>
      </c>
      <c r="CU50" s="525">
        <v>0</v>
      </c>
      <c r="CV50" s="525">
        <v>52.546399999999991</v>
      </c>
      <c r="CW50" s="525">
        <v>89.289359999999988</v>
      </c>
      <c r="CX50" s="525">
        <v>0</v>
      </c>
      <c r="CY50" s="525">
        <v>0</v>
      </c>
      <c r="CZ50" s="526"/>
      <c r="DA50" s="525">
        <v>0</v>
      </c>
      <c r="DB50" s="525">
        <v>0</v>
      </c>
      <c r="DC50" s="526"/>
      <c r="DD50" s="525">
        <v>0</v>
      </c>
      <c r="DE50" s="525">
        <v>0</v>
      </c>
      <c r="DF50" s="525">
        <v>0</v>
      </c>
      <c r="DG50" s="525">
        <v>1295.0402988800001</v>
      </c>
      <c r="DH50" s="525">
        <v>0</v>
      </c>
      <c r="DI50" s="525">
        <v>0</v>
      </c>
      <c r="DJ50" s="525">
        <v>789.23714720000009</v>
      </c>
      <c r="DK50" s="525">
        <v>0</v>
      </c>
      <c r="DL50" s="525">
        <v>0</v>
      </c>
      <c r="DM50" s="525">
        <v>0</v>
      </c>
      <c r="DN50" s="525">
        <v>505.80315168000004</v>
      </c>
      <c r="DO50" s="525">
        <v>0</v>
      </c>
      <c r="DP50" s="525">
        <v>0</v>
      </c>
      <c r="DQ50" s="525">
        <v>0</v>
      </c>
      <c r="DR50" s="525">
        <v>0</v>
      </c>
      <c r="DS50" s="525">
        <v>0</v>
      </c>
      <c r="DT50" s="525">
        <v>0</v>
      </c>
      <c r="DU50" s="525">
        <v>0</v>
      </c>
      <c r="DV50" s="525">
        <v>0</v>
      </c>
      <c r="DW50" s="525">
        <v>0</v>
      </c>
      <c r="DX50" s="525">
        <v>0</v>
      </c>
      <c r="DY50" s="525">
        <v>0</v>
      </c>
      <c r="DZ50" s="525">
        <v>0</v>
      </c>
      <c r="EA50" s="525">
        <v>0</v>
      </c>
      <c r="EB50" s="525">
        <v>0</v>
      </c>
      <c r="EC50" s="525">
        <v>0</v>
      </c>
      <c r="ED50" s="525">
        <v>0</v>
      </c>
      <c r="EE50" s="525">
        <v>0</v>
      </c>
      <c r="EF50" s="525">
        <v>0</v>
      </c>
      <c r="EG50" s="525">
        <v>0</v>
      </c>
      <c r="EH50" s="525">
        <v>1314.249</v>
      </c>
      <c r="EI50" s="525">
        <v>0</v>
      </c>
      <c r="EJ50" s="525">
        <v>0</v>
      </c>
      <c r="EK50" s="525">
        <v>1314.249</v>
      </c>
      <c r="EL50" s="525">
        <v>0</v>
      </c>
      <c r="EM50" s="525">
        <v>0</v>
      </c>
      <c r="EN50" s="525">
        <v>0</v>
      </c>
      <c r="EO50" s="525">
        <v>0</v>
      </c>
      <c r="EP50" s="525">
        <v>215.2395952</v>
      </c>
      <c r="EQ50" s="525">
        <v>0</v>
      </c>
      <c r="ER50" s="525">
        <v>215.2395952</v>
      </c>
      <c r="ES50" s="525">
        <v>0</v>
      </c>
      <c r="ET50" s="525">
        <v>1314.249</v>
      </c>
      <c r="EU50" s="525">
        <v>1314.249</v>
      </c>
      <c r="EV50" s="525">
        <v>0</v>
      </c>
      <c r="EW50" s="525">
        <v>0</v>
      </c>
      <c r="EX50" s="525">
        <v>0</v>
      </c>
      <c r="EY50" s="525">
        <v>0</v>
      </c>
      <c r="EZ50" s="525">
        <v>0</v>
      </c>
      <c r="FA50" s="525">
        <v>0</v>
      </c>
      <c r="FB50" s="525">
        <v>0</v>
      </c>
      <c r="FC50" s="525">
        <v>0</v>
      </c>
      <c r="FD50" s="525">
        <v>0</v>
      </c>
      <c r="FE50" s="525">
        <v>0</v>
      </c>
      <c r="FF50" s="525">
        <v>0</v>
      </c>
      <c r="FG50" s="525">
        <v>0</v>
      </c>
      <c r="FH50" s="525">
        <v>0</v>
      </c>
      <c r="FI50" s="525">
        <v>0</v>
      </c>
      <c r="FJ50" s="525">
        <v>0</v>
      </c>
      <c r="FK50" s="525">
        <v>0</v>
      </c>
      <c r="FL50" s="525">
        <v>0</v>
      </c>
      <c r="FM50" s="525">
        <v>28.095000000000002</v>
      </c>
      <c r="FN50" s="525">
        <v>28.095000000000002</v>
      </c>
      <c r="FO50" s="525">
        <v>0</v>
      </c>
      <c r="FP50" s="525">
        <v>0</v>
      </c>
      <c r="FQ50" s="525">
        <v>0</v>
      </c>
      <c r="FR50" s="525">
        <v>0</v>
      </c>
      <c r="FS50" s="527">
        <v>7778.743236620001</v>
      </c>
      <c r="FT50" s="525">
        <v>0</v>
      </c>
      <c r="FU50" s="525">
        <v>0</v>
      </c>
      <c r="FV50" s="525">
        <v>0</v>
      </c>
      <c r="FW50" s="525">
        <v>0</v>
      </c>
      <c r="FX50" s="525">
        <v>0</v>
      </c>
      <c r="FY50" s="525">
        <v>0</v>
      </c>
      <c r="FZ50" s="525">
        <v>0</v>
      </c>
      <c r="GA50" s="525">
        <v>0</v>
      </c>
      <c r="GB50" s="525">
        <v>0</v>
      </c>
      <c r="GC50" s="525">
        <v>0</v>
      </c>
      <c r="GD50" s="525">
        <v>0</v>
      </c>
      <c r="GE50" s="525">
        <v>0</v>
      </c>
      <c r="GF50" s="525">
        <v>0</v>
      </c>
      <c r="GG50" s="525">
        <v>0</v>
      </c>
      <c r="GH50" s="525">
        <v>0</v>
      </c>
      <c r="GI50" s="525">
        <v>0</v>
      </c>
      <c r="GJ50" s="526"/>
      <c r="GK50" s="525">
        <v>0</v>
      </c>
      <c r="GL50" s="526"/>
      <c r="GM50" s="525">
        <v>0</v>
      </c>
      <c r="GN50" s="525">
        <v>0</v>
      </c>
      <c r="GO50" s="526"/>
      <c r="GP50" s="526"/>
      <c r="GQ50" s="525">
        <v>0</v>
      </c>
      <c r="GR50" s="526"/>
      <c r="GS50" s="526"/>
      <c r="GT50" s="525">
        <v>0</v>
      </c>
      <c r="GU50" s="525">
        <v>0</v>
      </c>
      <c r="GV50" s="525">
        <v>0</v>
      </c>
      <c r="GW50" s="525">
        <v>0</v>
      </c>
      <c r="GX50" s="525">
        <v>0</v>
      </c>
      <c r="GY50" s="525">
        <v>0</v>
      </c>
      <c r="GZ50" s="525">
        <v>0</v>
      </c>
      <c r="HA50" s="525">
        <v>0</v>
      </c>
      <c r="HB50" s="525">
        <v>0</v>
      </c>
      <c r="HC50" s="525">
        <v>0</v>
      </c>
      <c r="HD50" s="525">
        <v>0</v>
      </c>
      <c r="HE50" s="525">
        <v>0</v>
      </c>
      <c r="HF50" s="525">
        <v>0</v>
      </c>
      <c r="HG50" s="525">
        <v>0</v>
      </c>
      <c r="HH50" s="525">
        <v>0</v>
      </c>
      <c r="HI50" s="525">
        <v>0</v>
      </c>
      <c r="HJ50" s="525">
        <v>0</v>
      </c>
      <c r="HK50" s="525">
        <v>0</v>
      </c>
      <c r="HL50" s="526"/>
      <c r="HM50" s="526"/>
      <c r="HN50" s="526"/>
      <c r="HO50" s="526"/>
      <c r="HP50" s="526"/>
      <c r="HQ50" s="526"/>
      <c r="HR50" s="526"/>
      <c r="HS50" s="526"/>
      <c r="HT50" s="526"/>
      <c r="HU50" s="526"/>
      <c r="HV50" s="526"/>
      <c r="HW50" s="526"/>
      <c r="HX50" s="526"/>
      <c r="HY50" s="526"/>
      <c r="HZ50" s="526"/>
      <c r="IA50" s="526"/>
      <c r="IB50" s="526"/>
      <c r="IC50" s="526"/>
      <c r="ID50" s="526"/>
      <c r="IE50" s="526"/>
      <c r="IF50" s="526"/>
      <c r="IG50" s="526"/>
      <c r="IH50" s="526"/>
      <c r="II50" s="526"/>
      <c r="IJ50" s="526"/>
      <c r="IK50" s="526"/>
      <c r="IL50" s="526"/>
      <c r="IM50" s="526"/>
      <c r="IN50" s="526"/>
      <c r="IO50" s="526"/>
      <c r="IP50" s="526"/>
      <c r="IQ50" s="526"/>
      <c r="IR50" s="526"/>
      <c r="IS50" s="526"/>
      <c r="IT50" s="526"/>
      <c r="IU50" s="526"/>
      <c r="IV50" s="526"/>
      <c r="IW50" s="526"/>
      <c r="IX50" s="526"/>
      <c r="IY50" s="526"/>
      <c r="IZ50" s="526"/>
      <c r="JA50" s="526"/>
      <c r="JB50" s="526"/>
      <c r="JC50" s="526"/>
      <c r="JD50" s="526"/>
      <c r="JE50" s="526"/>
      <c r="JF50" s="526"/>
      <c r="JG50" s="526"/>
      <c r="JH50" s="526"/>
      <c r="JI50" s="526"/>
      <c r="JJ50" s="526"/>
      <c r="JK50" s="526"/>
      <c r="JL50" s="526"/>
      <c r="JM50" s="526"/>
      <c r="JN50" s="525">
        <v>2473.5095940800002</v>
      </c>
      <c r="JO50" s="525">
        <v>1635.1658288000001</v>
      </c>
      <c r="JP50" s="525">
        <v>3670.0678137400005</v>
      </c>
      <c r="JQ50" s="525">
        <v>0</v>
      </c>
      <c r="JR50" s="525">
        <v>0</v>
      </c>
      <c r="JS50" s="527">
        <v>8534.9532366200001</v>
      </c>
      <c r="JT50" s="528">
        <f t="shared" si="10"/>
        <v>756.20999999999958</v>
      </c>
      <c r="JU50" s="525">
        <v>10241.943883943999</v>
      </c>
      <c r="JV50" s="525">
        <v>8534.9532366200001</v>
      </c>
      <c r="JW50" s="525">
        <v>10241.943883943999</v>
      </c>
      <c r="JX50" s="525">
        <v>9924</v>
      </c>
      <c r="JY50" s="525">
        <v>9924</v>
      </c>
      <c r="JZ50" s="526"/>
      <c r="KA50" s="525">
        <v>9924</v>
      </c>
      <c r="KB50" s="529">
        <v>0</v>
      </c>
      <c r="KC50" s="525">
        <v>1.4366200011863839E-3</v>
      </c>
      <c r="KD50" s="525">
        <v>8534.9517999999989</v>
      </c>
      <c r="KE50" s="525">
        <v>9924</v>
      </c>
      <c r="KF50" s="525">
        <v>0</v>
      </c>
      <c r="KG50" s="530">
        <v>0</v>
      </c>
      <c r="KH50" s="525">
        <v>0</v>
      </c>
      <c r="KI50" s="525">
        <v>93.420600000000007</v>
      </c>
      <c r="KJ50" s="530">
        <v>865.00555555555559</v>
      </c>
      <c r="KK50" s="525">
        <v>108</v>
      </c>
      <c r="KL50" s="525">
        <v>0</v>
      </c>
      <c r="KM50" s="530">
        <v>0</v>
      </c>
      <c r="KN50" s="525">
        <v>0</v>
      </c>
      <c r="KO50" s="525">
        <v>8441.5311999999994</v>
      </c>
      <c r="KP50" s="530">
        <v>859.97669111654432</v>
      </c>
      <c r="KQ50" s="525">
        <v>9816</v>
      </c>
      <c r="KR50" s="526"/>
      <c r="KS50" s="526"/>
      <c r="KT50" s="531"/>
      <c r="KU50" s="531"/>
      <c r="KV50" s="526"/>
      <c r="KW50" s="531"/>
      <c r="KX50" s="531"/>
      <c r="KY50" s="531"/>
      <c r="KZ50" s="526"/>
      <c r="LA50" s="531">
        <v>10350</v>
      </c>
      <c r="LB50" s="532"/>
      <c r="LC50" s="533">
        <v>4.0000000000000001E-3</v>
      </c>
      <c r="LD50" s="494">
        <f t="shared" si="11"/>
        <v>10525.418463648955</v>
      </c>
      <c r="LE50" s="509">
        <f t="shared" si="12"/>
        <v>8771.1820530407967</v>
      </c>
      <c r="LF50" s="534">
        <f t="shared" si="13"/>
        <v>3780.1698481522008</v>
      </c>
      <c r="LG50" s="535">
        <f t="shared" si="14"/>
        <v>3780.1698481522008</v>
      </c>
      <c r="LH50" s="536">
        <f t="shared" si="31"/>
        <v>1.03</v>
      </c>
      <c r="LI50" s="537">
        <f t="shared" si="15"/>
        <v>3780.1698481522008</v>
      </c>
      <c r="LJ50" s="536">
        <f t="shared" si="32"/>
        <v>1.0389999999999999</v>
      </c>
      <c r="LK50" s="537">
        <f t="shared" si="16"/>
        <v>0</v>
      </c>
      <c r="LL50" s="536">
        <f t="shared" si="33"/>
        <v>1.0349999999999999</v>
      </c>
      <c r="LM50" s="537">
        <f t="shared" si="17"/>
        <v>0</v>
      </c>
      <c r="LN50" s="536">
        <f t="shared" si="34"/>
        <v>1.0349999999999999</v>
      </c>
      <c r="LO50" s="537">
        <f t="shared" si="18"/>
        <v>0</v>
      </c>
      <c r="LP50" s="536">
        <f t="shared" si="35"/>
        <v>1.0349999999999999</v>
      </c>
      <c r="LQ50" s="537">
        <f t="shared" si="19"/>
        <v>0</v>
      </c>
      <c r="LR50" s="536">
        <f t="shared" si="36"/>
        <v>1.04</v>
      </c>
      <c r="LS50" s="537">
        <f t="shared" si="20"/>
        <v>0</v>
      </c>
      <c r="LT50" s="539">
        <f t="shared" si="21"/>
        <v>2544.2767035666288</v>
      </c>
      <c r="LU50" s="540">
        <f t="shared" si="22"/>
        <v>990.78770171699989</v>
      </c>
      <c r="LV50" s="541">
        <f t="shared" si="23"/>
        <v>1553.4890018496289</v>
      </c>
      <c r="LW50" s="542">
        <f t="shared" si="24"/>
        <v>1690.525501321968</v>
      </c>
      <c r="LX50" s="540">
        <f t="shared" si="25"/>
        <v>301.19946132196799</v>
      </c>
      <c r="LY50" s="540">
        <f t="shared" si="26"/>
        <v>29.078325</v>
      </c>
      <c r="LZ50" s="543">
        <f t="shared" si="27"/>
        <v>1360.247715</v>
      </c>
      <c r="MA50" s="544">
        <f t="shared" si="28"/>
        <v>756.20999999999958</v>
      </c>
      <c r="MB50" s="545">
        <f t="shared" si="29"/>
        <v>0</v>
      </c>
    </row>
    <row r="51" spans="1:340" ht="16.5" customHeight="1">
      <c r="A51" s="465">
        <v>1</v>
      </c>
      <c r="B51" s="466">
        <v>41</v>
      </c>
      <c r="C51" s="467" t="s">
        <v>290</v>
      </c>
      <c r="D51" s="468">
        <v>4617004147</v>
      </c>
      <c r="E51" s="469">
        <f t="shared" si="3"/>
        <v>34340.226514400805</v>
      </c>
      <c r="F51" s="470" t="s">
        <v>287</v>
      </c>
      <c r="G51" s="595">
        <v>34340.22651439999</v>
      </c>
      <c r="H51" s="595">
        <f t="shared" si="30"/>
        <v>8.149072527885437E-10</v>
      </c>
      <c r="I51" s="595"/>
      <c r="J51" s="471">
        <f t="shared" si="4"/>
        <v>34340.226514400805</v>
      </c>
      <c r="K51" s="472">
        <f t="shared" si="5"/>
        <v>17963.390005330766</v>
      </c>
      <c r="L51" s="473">
        <f t="shared" si="6"/>
        <v>13991.964722947752</v>
      </c>
      <c r="M51" s="474">
        <v>13991.964722947752</v>
      </c>
      <c r="N51" s="475">
        <v>0</v>
      </c>
      <c r="O51" s="475">
        <v>0</v>
      </c>
      <c r="P51" s="476">
        <v>0</v>
      </c>
      <c r="Q51" s="477">
        <v>3916.2581139162553</v>
      </c>
      <c r="R51" s="478">
        <f t="shared" si="7"/>
        <v>55.167168466758881</v>
      </c>
      <c r="S51" s="479">
        <f t="shared" si="8"/>
        <v>11744.5221613454</v>
      </c>
      <c r="T51" s="479">
        <v>9924.3379833444033</v>
      </c>
      <c r="U51" s="480">
        <v>1820.1841780009963</v>
      </c>
      <c r="V51" s="481">
        <f t="shared" si="9"/>
        <v>3779.8566084019899</v>
      </c>
      <c r="W51" s="482">
        <v>2997.1500709700094</v>
      </c>
      <c r="X51" s="479">
        <v>0</v>
      </c>
      <c r="Y51" s="483">
        <v>782.70653743198045</v>
      </c>
      <c r="Z51" s="484">
        <v>628.52704777431802</v>
      </c>
      <c r="AA51" s="485">
        <v>223.93069154833199</v>
      </c>
      <c r="AB51" s="486"/>
      <c r="AC51" s="487">
        <v>13991.964722947752</v>
      </c>
      <c r="AD51" s="487">
        <v>13991.964722947752</v>
      </c>
      <c r="AE51" s="487">
        <v>0</v>
      </c>
      <c r="AF51" s="487">
        <v>0</v>
      </c>
      <c r="AG51" s="487">
        <v>0</v>
      </c>
      <c r="AH51" s="487">
        <v>3916.2581139162553</v>
      </c>
      <c r="AI51" s="487">
        <v>3916.2581139162553</v>
      </c>
      <c r="AJ51" s="487">
        <v>0</v>
      </c>
      <c r="AK51" s="487">
        <v>0</v>
      </c>
      <c r="AL51" s="487">
        <v>0</v>
      </c>
      <c r="AM51" s="487">
        <v>0</v>
      </c>
      <c r="AN51" s="487">
        <v>0</v>
      </c>
      <c r="AO51" s="487">
        <v>0</v>
      </c>
      <c r="AP51" s="487">
        <v>0</v>
      </c>
      <c r="AQ51" s="487">
        <v>0</v>
      </c>
      <c r="AR51" s="487">
        <v>0</v>
      </c>
      <c r="AS51" s="487">
        <v>0</v>
      </c>
      <c r="AT51" s="487">
        <v>0</v>
      </c>
      <c r="AU51" s="487">
        <v>0</v>
      </c>
      <c r="AV51" s="487">
        <v>0</v>
      </c>
      <c r="AW51" s="487">
        <v>0</v>
      </c>
      <c r="AX51" s="487">
        <v>0</v>
      </c>
      <c r="AY51" s="487">
        <v>0</v>
      </c>
      <c r="AZ51" s="487">
        <v>0</v>
      </c>
      <c r="BA51" s="487">
        <v>3916.2581139162553</v>
      </c>
      <c r="BB51" s="487">
        <v>428.74868000002442</v>
      </c>
      <c r="BC51" s="487">
        <v>0</v>
      </c>
      <c r="BD51" s="487">
        <v>3916.2581139162553</v>
      </c>
      <c r="BE51" s="487">
        <v>9.1341578332463484</v>
      </c>
      <c r="BF51" s="487">
        <v>428.74868000002442</v>
      </c>
      <c r="BG51" s="487">
        <v>0</v>
      </c>
      <c r="BH51" s="487">
        <v>0</v>
      </c>
      <c r="BI51" s="487">
        <v>0</v>
      </c>
      <c r="BJ51" s="487">
        <v>0</v>
      </c>
      <c r="BK51" s="487">
        <v>0</v>
      </c>
      <c r="BL51" s="487">
        <v>0</v>
      </c>
      <c r="BM51" s="487">
        <v>0</v>
      </c>
      <c r="BN51" s="487">
        <v>0</v>
      </c>
      <c r="BO51" s="487">
        <v>0</v>
      </c>
      <c r="BP51" s="487">
        <v>0</v>
      </c>
      <c r="BQ51" s="487">
        <v>0</v>
      </c>
      <c r="BR51" s="487">
        <v>0</v>
      </c>
      <c r="BS51" s="487">
        <v>0</v>
      </c>
      <c r="BT51" s="487">
        <v>0</v>
      </c>
      <c r="BU51" s="487">
        <v>0</v>
      </c>
      <c r="BV51" s="487">
        <v>0</v>
      </c>
      <c r="BW51" s="487">
        <v>0</v>
      </c>
      <c r="BX51" s="487">
        <v>0</v>
      </c>
      <c r="BY51" s="487">
        <v>0</v>
      </c>
      <c r="BZ51" s="487">
        <v>0</v>
      </c>
      <c r="CA51" s="487">
        <v>0</v>
      </c>
      <c r="CB51" s="487">
        <v>0</v>
      </c>
      <c r="CC51" s="487">
        <v>0</v>
      </c>
      <c r="CD51" s="487">
        <v>0</v>
      </c>
      <c r="CE51" s="487">
        <v>0</v>
      </c>
      <c r="CF51" s="487">
        <v>0</v>
      </c>
      <c r="CG51" s="487">
        <v>0</v>
      </c>
      <c r="CH51" s="487">
        <v>0</v>
      </c>
      <c r="CI51" s="487">
        <v>0</v>
      </c>
      <c r="CJ51" s="487">
        <v>0</v>
      </c>
      <c r="CK51" s="487">
        <v>0</v>
      </c>
      <c r="CL51" s="487">
        <v>0</v>
      </c>
      <c r="CM51" s="487">
        <v>9924.3379833444033</v>
      </c>
      <c r="CN51" s="487">
        <v>7344.0101076748588</v>
      </c>
      <c r="CO51" s="487">
        <v>0</v>
      </c>
      <c r="CP51" s="487">
        <v>0</v>
      </c>
      <c r="CQ51" s="487">
        <v>2580.327875669544</v>
      </c>
      <c r="CR51" s="487">
        <v>0</v>
      </c>
      <c r="CS51" s="487">
        <v>2997.1500709700094</v>
      </c>
      <c r="CT51" s="487">
        <v>2217.8910525178071</v>
      </c>
      <c r="CU51" s="487">
        <v>0</v>
      </c>
      <c r="CV51" s="487">
        <v>0</v>
      </c>
      <c r="CW51" s="487">
        <v>779.25901845220233</v>
      </c>
      <c r="CX51" s="487">
        <v>0</v>
      </c>
      <c r="CY51" s="487">
        <v>55.167168466758881</v>
      </c>
      <c r="CZ51" s="467"/>
      <c r="DA51" s="487">
        <v>1.3131125839989444</v>
      </c>
      <c r="DB51" s="487">
        <v>0</v>
      </c>
      <c r="DC51" s="467"/>
      <c r="DD51" s="487">
        <v>0</v>
      </c>
      <c r="DE51" s="487">
        <v>0</v>
      </c>
      <c r="DF51" s="487">
        <v>0</v>
      </c>
      <c r="DG51" s="487">
        <v>1494.9619939318438</v>
      </c>
      <c r="DH51" s="487">
        <v>424.34290701354399</v>
      </c>
      <c r="DI51" s="487">
        <v>0</v>
      </c>
      <c r="DJ51" s="487">
        <v>1070.6190869182999</v>
      </c>
      <c r="DK51" s="487">
        <v>0</v>
      </c>
      <c r="DL51" s="487">
        <v>0</v>
      </c>
      <c r="DM51" s="487">
        <v>0</v>
      </c>
      <c r="DN51" s="487">
        <v>0</v>
      </c>
      <c r="DO51" s="487">
        <v>0</v>
      </c>
      <c r="DP51" s="487">
        <v>0</v>
      </c>
      <c r="DQ51" s="487">
        <v>0</v>
      </c>
      <c r="DR51" s="487">
        <v>0</v>
      </c>
      <c r="DS51" s="487">
        <v>0</v>
      </c>
      <c r="DT51" s="487">
        <v>0</v>
      </c>
      <c r="DU51" s="487">
        <v>42.092504565914865</v>
      </c>
      <c r="DV51" s="487">
        <v>36.014554803870702</v>
      </c>
      <c r="DW51" s="487">
        <v>0</v>
      </c>
      <c r="DX51" s="487">
        <v>6.0779497620441587</v>
      </c>
      <c r="DY51" s="487">
        <v>0</v>
      </c>
      <c r="DZ51" s="487">
        <v>0</v>
      </c>
      <c r="EA51" s="487">
        <v>0</v>
      </c>
      <c r="EB51" s="487">
        <v>0</v>
      </c>
      <c r="EC51" s="487">
        <v>0</v>
      </c>
      <c r="ED51" s="487">
        <v>0</v>
      </c>
      <c r="EE51" s="487">
        <v>0</v>
      </c>
      <c r="EF51" s="487">
        <v>0</v>
      </c>
      <c r="EG51" s="487">
        <v>0</v>
      </c>
      <c r="EH51" s="487">
        <v>142.23434566803502</v>
      </c>
      <c r="EI51" s="487">
        <v>142.23434566803502</v>
      </c>
      <c r="EJ51" s="487">
        <v>0</v>
      </c>
      <c r="EK51" s="487">
        <v>0</v>
      </c>
      <c r="EL51" s="487">
        <v>11.852911224</v>
      </c>
      <c r="EM51" s="487">
        <v>26.494742735999999</v>
      </c>
      <c r="EN51" s="487">
        <v>0</v>
      </c>
      <c r="EO51" s="487">
        <v>0</v>
      </c>
      <c r="EP51" s="487">
        <v>102.547679875203</v>
      </c>
      <c r="EQ51" s="487">
        <v>102.547679875203</v>
      </c>
      <c r="ER51" s="487">
        <v>0</v>
      </c>
      <c r="ES51" s="487">
        <v>169.20350719999996</v>
      </c>
      <c r="ET51" s="487">
        <v>355.13511075603498</v>
      </c>
      <c r="EU51" s="487">
        <v>212.90076508799999</v>
      </c>
      <c r="EV51" s="487">
        <v>142.23434566803502</v>
      </c>
      <c r="EW51" s="487">
        <v>0</v>
      </c>
      <c r="EX51" s="487">
        <v>0</v>
      </c>
      <c r="EY51" s="487">
        <v>0</v>
      </c>
      <c r="EZ51" s="487">
        <v>0</v>
      </c>
      <c r="FA51" s="487">
        <v>0</v>
      </c>
      <c r="FB51" s="487">
        <v>400.60226514398056</v>
      </c>
      <c r="FC51" s="487">
        <v>10.8</v>
      </c>
      <c r="FD51" s="487">
        <v>39.599999999980511</v>
      </c>
      <c r="FE51" s="487">
        <v>0</v>
      </c>
      <c r="FF51" s="487">
        <v>350.20226514400002</v>
      </c>
      <c r="FG51" s="487">
        <v>0</v>
      </c>
      <c r="FH51" s="487">
        <v>0</v>
      </c>
      <c r="FI51" s="487">
        <v>6.7999999999999989</v>
      </c>
      <c r="FJ51" s="487">
        <v>0</v>
      </c>
      <c r="FK51" s="487">
        <v>343.40226514400001</v>
      </c>
      <c r="FL51" s="487">
        <v>0</v>
      </c>
      <c r="FM51" s="487">
        <v>0</v>
      </c>
      <c r="FN51" s="487">
        <v>0</v>
      </c>
      <c r="FO51" s="487">
        <v>0</v>
      </c>
      <c r="FP51" s="487">
        <v>0</v>
      </c>
      <c r="FQ51" s="487">
        <v>0</v>
      </c>
      <c r="FR51" s="487">
        <v>0</v>
      </c>
      <c r="FS51" s="488">
        <v>33487.768775078155</v>
      </c>
      <c r="FT51" s="487">
        <v>0</v>
      </c>
      <c r="FU51" s="487">
        <v>0</v>
      </c>
      <c r="FV51" s="487">
        <v>0</v>
      </c>
      <c r="FW51" s="487">
        <v>0</v>
      </c>
      <c r="FX51" s="487">
        <v>0</v>
      </c>
      <c r="FY51" s="487">
        <v>0</v>
      </c>
      <c r="FZ51" s="487">
        <v>0</v>
      </c>
      <c r="GA51" s="487">
        <v>0</v>
      </c>
      <c r="GB51" s="487">
        <v>0</v>
      </c>
      <c r="GC51" s="487">
        <v>0</v>
      </c>
      <c r="GD51" s="487">
        <v>0</v>
      </c>
      <c r="GE51" s="487">
        <v>0</v>
      </c>
      <c r="GF51" s="487">
        <v>0</v>
      </c>
      <c r="GG51" s="487">
        <v>0</v>
      </c>
      <c r="GH51" s="487">
        <v>223.93069154833199</v>
      </c>
      <c r="GI51" s="487">
        <v>0</v>
      </c>
      <c r="GJ51" s="467"/>
      <c r="GK51" s="487">
        <v>223.93069154833199</v>
      </c>
      <c r="GL51" s="467"/>
      <c r="GM51" s="487">
        <v>0</v>
      </c>
      <c r="GN51" s="487">
        <v>0</v>
      </c>
      <c r="GO51" s="467"/>
      <c r="GP51" s="467"/>
      <c r="GQ51" s="487">
        <v>0</v>
      </c>
      <c r="GR51" s="467"/>
      <c r="GS51" s="467"/>
      <c r="GT51" s="487">
        <v>0</v>
      </c>
      <c r="GU51" s="487">
        <v>0</v>
      </c>
      <c r="GV51" s="487">
        <v>0</v>
      </c>
      <c r="GW51" s="487">
        <v>0</v>
      </c>
      <c r="GX51" s="487">
        <v>0</v>
      </c>
      <c r="GY51" s="487">
        <v>0</v>
      </c>
      <c r="GZ51" s="487">
        <v>0</v>
      </c>
      <c r="HA51" s="487">
        <v>0</v>
      </c>
      <c r="HB51" s="487">
        <v>0</v>
      </c>
      <c r="HC51" s="487">
        <v>0</v>
      </c>
      <c r="HD51" s="487">
        <v>0</v>
      </c>
      <c r="HE51" s="487">
        <v>0</v>
      </c>
      <c r="HF51" s="487">
        <v>0</v>
      </c>
      <c r="HG51" s="487">
        <v>0</v>
      </c>
      <c r="HH51" s="487">
        <v>0</v>
      </c>
      <c r="HI51" s="487">
        <v>0</v>
      </c>
      <c r="HJ51" s="487">
        <v>0</v>
      </c>
      <c r="HK51" s="487">
        <v>0</v>
      </c>
      <c r="HL51" s="467"/>
      <c r="HM51" s="467"/>
      <c r="HN51" s="467"/>
      <c r="HO51" s="467"/>
      <c r="HP51" s="467"/>
      <c r="HQ51" s="467"/>
      <c r="HR51" s="467"/>
      <c r="HS51" s="467"/>
      <c r="HT51" s="467"/>
      <c r="HU51" s="467"/>
      <c r="HV51" s="467"/>
      <c r="HW51" s="467"/>
      <c r="HX51" s="467"/>
      <c r="HY51" s="467"/>
      <c r="HZ51" s="467"/>
      <c r="IA51" s="467"/>
      <c r="IB51" s="467"/>
      <c r="IC51" s="467"/>
      <c r="ID51" s="467"/>
      <c r="IE51" s="467"/>
      <c r="IF51" s="467"/>
      <c r="IG51" s="467"/>
      <c r="IH51" s="467"/>
      <c r="II51" s="467"/>
      <c r="IJ51" s="467"/>
      <c r="IK51" s="467"/>
      <c r="IL51" s="467"/>
      <c r="IM51" s="467"/>
      <c r="IN51" s="467"/>
      <c r="IO51" s="467"/>
      <c r="IP51" s="467"/>
      <c r="IQ51" s="467"/>
      <c r="IR51" s="467"/>
      <c r="IS51" s="467"/>
      <c r="IT51" s="467"/>
      <c r="IU51" s="467"/>
      <c r="IV51" s="467"/>
      <c r="IW51" s="467"/>
      <c r="IX51" s="467"/>
      <c r="IY51" s="467"/>
      <c r="IZ51" s="467"/>
      <c r="JA51" s="467"/>
      <c r="JB51" s="467"/>
      <c r="JC51" s="467"/>
      <c r="JD51" s="467"/>
      <c r="JE51" s="467"/>
      <c r="JF51" s="467"/>
      <c r="JG51" s="467"/>
      <c r="JH51" s="467"/>
      <c r="JI51" s="467"/>
      <c r="JJ51" s="467"/>
      <c r="JK51" s="467"/>
      <c r="JL51" s="467"/>
      <c r="JM51" s="467"/>
      <c r="JN51" s="487">
        <v>11744.5221613454</v>
      </c>
      <c r="JO51" s="487">
        <v>3779.8566084019899</v>
      </c>
      <c r="JP51" s="487">
        <v>17963.390005330766</v>
      </c>
      <c r="JQ51" s="487">
        <v>0</v>
      </c>
      <c r="JR51" s="487">
        <v>223.93069154833199</v>
      </c>
      <c r="JS51" s="488">
        <v>34340.226514400805</v>
      </c>
      <c r="JT51" s="489">
        <f t="shared" si="10"/>
        <v>628.52704777431802</v>
      </c>
      <c r="JU51" s="487">
        <v>34340.226514400805</v>
      </c>
      <c r="JV51" s="487">
        <v>34340.226514400805</v>
      </c>
      <c r="JW51" s="487">
        <v>34340.226514400805</v>
      </c>
      <c r="JX51" s="487">
        <v>11654.737666666801</v>
      </c>
      <c r="JY51" s="487">
        <v>11654.737666666801</v>
      </c>
      <c r="JZ51" s="467"/>
      <c r="KA51" s="487">
        <v>11654.737666666801</v>
      </c>
      <c r="KB51" s="490">
        <v>0.66869397317083379</v>
      </c>
      <c r="KC51" s="487">
        <v>4.929461283609271E-10</v>
      </c>
      <c r="KD51" s="487">
        <v>34340.22651440031</v>
      </c>
      <c r="KE51" s="487">
        <v>11654.737666666801</v>
      </c>
      <c r="KF51" s="487">
        <v>0</v>
      </c>
      <c r="KG51" s="491">
        <v>0</v>
      </c>
      <c r="KH51" s="487">
        <v>0</v>
      </c>
      <c r="KI51" s="487">
        <v>31603.112161310062</v>
      </c>
      <c r="KJ51" s="491">
        <v>2998.3079407435166</v>
      </c>
      <c r="KK51" s="487">
        <v>10540.3156666667</v>
      </c>
      <c r="KL51" s="487">
        <v>2737.1143530902468</v>
      </c>
      <c r="KM51" s="491">
        <v>2456.0842778498636</v>
      </c>
      <c r="KN51" s="487">
        <v>1114.4220000001001</v>
      </c>
      <c r="KO51" s="487">
        <v>0</v>
      </c>
      <c r="KP51" s="491">
        <v>0</v>
      </c>
      <c r="KQ51" s="487">
        <v>0</v>
      </c>
      <c r="KR51" s="467"/>
      <c r="KS51" s="467"/>
      <c r="KT51" s="487">
        <v>25099.200000000001</v>
      </c>
      <c r="KU51" s="487">
        <v>90</v>
      </c>
      <c r="KV51" s="467"/>
      <c r="KW51" s="487">
        <v>2312.4</v>
      </c>
      <c r="KX51" s="487">
        <v>6.54</v>
      </c>
      <c r="KY51" s="487">
        <v>3.24</v>
      </c>
      <c r="KZ51" s="467"/>
      <c r="LA51" s="487">
        <v>1500</v>
      </c>
      <c r="LB51" s="492">
        <v>167</v>
      </c>
      <c r="LC51" s="493">
        <v>0.33300000000000002</v>
      </c>
      <c r="LD51" s="494">
        <f t="shared" si="11"/>
        <v>35356.252722395831</v>
      </c>
      <c r="LE51" s="471">
        <f t="shared" si="12"/>
        <v>35356.252722395831</v>
      </c>
      <c r="LF51" s="495">
        <f t="shared" si="13"/>
        <v>18522.424667744941</v>
      </c>
      <c r="LG51" s="476">
        <f t="shared" si="14"/>
        <v>14411.723664636185</v>
      </c>
      <c r="LH51" s="496">
        <f t="shared" si="31"/>
        <v>1.03</v>
      </c>
      <c r="LI51" s="497">
        <f t="shared" si="15"/>
        <v>14411.723664636185</v>
      </c>
      <c r="LJ51" s="496">
        <f t="shared" si="32"/>
        <v>1.0389999999999999</v>
      </c>
      <c r="LK51" s="497">
        <f t="shared" si="16"/>
        <v>0</v>
      </c>
      <c r="LL51" s="496">
        <f t="shared" si="33"/>
        <v>1.0349999999999999</v>
      </c>
      <c r="LM51" s="497">
        <f t="shared" si="17"/>
        <v>0</v>
      </c>
      <c r="LN51" s="496">
        <f t="shared" si="34"/>
        <v>1.0349999999999999</v>
      </c>
      <c r="LO51" s="497">
        <f t="shared" si="18"/>
        <v>0</v>
      </c>
      <c r="LP51" s="496">
        <f t="shared" si="35"/>
        <v>1.0349999999999999</v>
      </c>
      <c r="LQ51" s="497">
        <f t="shared" si="19"/>
        <v>4053.3271479033237</v>
      </c>
      <c r="LR51" s="496">
        <f t="shared" si="36"/>
        <v>1.04</v>
      </c>
      <c r="LS51" s="497">
        <f t="shared" si="20"/>
        <v>57.373855205429237</v>
      </c>
      <c r="LT51" s="499">
        <f t="shared" si="21"/>
        <v>12080.53294038149</v>
      </c>
      <c r="LU51" s="500">
        <f t="shared" si="22"/>
        <v>10208.273293047885</v>
      </c>
      <c r="LV51" s="501">
        <f t="shared" si="23"/>
        <v>1872.2596473336046</v>
      </c>
      <c r="LW51" s="499">
        <f t="shared" si="24"/>
        <v>3892.9998007425611</v>
      </c>
      <c r="LX51" s="500">
        <f t="shared" si="25"/>
        <v>3082.8985345004612</v>
      </c>
      <c r="LY51" s="500">
        <f t="shared" si="26"/>
        <v>0</v>
      </c>
      <c r="LZ51" s="502">
        <f t="shared" si="27"/>
        <v>810.10126624209965</v>
      </c>
      <c r="MA51" s="503">
        <f t="shared" si="28"/>
        <v>628.52704777431802</v>
      </c>
      <c r="MB51" s="504">
        <f t="shared" si="29"/>
        <v>231.7682657525236</v>
      </c>
    </row>
    <row r="52" spans="1:340" ht="16.5" customHeight="1">
      <c r="A52" s="505">
        <v>1</v>
      </c>
      <c r="B52" s="506">
        <v>42</v>
      </c>
      <c r="C52" s="507" t="s">
        <v>308</v>
      </c>
      <c r="D52" s="508">
        <v>6829012680</v>
      </c>
      <c r="E52" s="469">
        <f t="shared" si="3"/>
        <v>4080568.2866293429</v>
      </c>
      <c r="F52" s="470" t="s">
        <v>281</v>
      </c>
      <c r="G52" s="595">
        <v>4059234.8338030004</v>
      </c>
      <c r="H52" s="597">
        <f t="shared" si="30"/>
        <v>21333.452826342545</v>
      </c>
      <c r="I52" s="597"/>
      <c r="J52" s="509">
        <f t="shared" si="4"/>
        <v>3400473.5721911192</v>
      </c>
      <c r="K52" s="510">
        <f t="shared" si="5"/>
        <v>2308916.9007096803</v>
      </c>
      <c r="L52" s="511">
        <f t="shared" si="6"/>
        <v>1736409.849288516</v>
      </c>
      <c r="M52" s="512">
        <v>1736409.849288516</v>
      </c>
      <c r="N52" s="513">
        <v>0</v>
      </c>
      <c r="O52" s="513">
        <v>0</v>
      </c>
      <c r="P52" s="514">
        <v>0</v>
      </c>
      <c r="Q52" s="515">
        <v>537271.77142365952</v>
      </c>
      <c r="R52" s="516">
        <f t="shared" si="7"/>
        <v>35235.279997505</v>
      </c>
      <c r="S52" s="517">
        <f t="shared" si="8"/>
        <v>582964.26000224927</v>
      </c>
      <c r="T52" s="518">
        <v>387739.82</v>
      </c>
      <c r="U52" s="519">
        <v>195224.44000224926</v>
      </c>
      <c r="V52" s="520">
        <f t="shared" si="9"/>
        <v>424698.36147918977</v>
      </c>
      <c r="W52" s="521">
        <v>117097.42564</v>
      </c>
      <c r="X52" s="518">
        <v>205290.19</v>
      </c>
      <c r="Y52" s="522">
        <v>102310.7458391898</v>
      </c>
      <c r="Z52" s="523">
        <v>38979.569999999811</v>
      </c>
      <c r="AA52" s="524">
        <v>44914.48</v>
      </c>
      <c r="AB52" s="486"/>
      <c r="AC52" s="525">
        <v>1736409.849288516</v>
      </c>
      <c r="AD52" s="525">
        <v>1736409.849288516</v>
      </c>
      <c r="AE52" s="525">
        <v>0</v>
      </c>
      <c r="AF52" s="525">
        <v>0</v>
      </c>
      <c r="AG52" s="525">
        <v>0</v>
      </c>
      <c r="AH52" s="525">
        <v>537271.77142365952</v>
      </c>
      <c r="AI52" s="525">
        <v>537271.77142365952</v>
      </c>
      <c r="AJ52" s="525">
        <v>472025.42090977245</v>
      </c>
      <c r="AK52" s="525">
        <v>0</v>
      </c>
      <c r="AL52" s="525">
        <v>0</v>
      </c>
      <c r="AM52" s="525">
        <v>0</v>
      </c>
      <c r="AN52" s="525">
        <v>0</v>
      </c>
      <c r="AO52" s="525">
        <v>472025.42090977245</v>
      </c>
      <c r="AP52" s="525">
        <v>0</v>
      </c>
      <c r="AQ52" s="525">
        <v>0</v>
      </c>
      <c r="AR52" s="525">
        <v>0</v>
      </c>
      <c r="AS52" s="525">
        <v>472025.42090977245</v>
      </c>
      <c r="AT52" s="525">
        <v>329.16200000000003</v>
      </c>
      <c r="AU52" s="525">
        <v>1434.0216091461725</v>
      </c>
      <c r="AV52" s="525">
        <v>0</v>
      </c>
      <c r="AW52" s="525">
        <v>0</v>
      </c>
      <c r="AX52" s="525">
        <v>0</v>
      </c>
      <c r="AY52" s="525">
        <v>0</v>
      </c>
      <c r="AZ52" s="525">
        <v>0</v>
      </c>
      <c r="BA52" s="525">
        <v>65246.35051388709</v>
      </c>
      <c r="BB52" s="525">
        <v>8598.48</v>
      </c>
      <c r="BC52" s="525">
        <v>0</v>
      </c>
      <c r="BD52" s="525">
        <v>0</v>
      </c>
      <c r="BE52" s="525">
        <v>0</v>
      </c>
      <c r="BF52" s="525">
        <v>0</v>
      </c>
      <c r="BG52" s="525">
        <v>0</v>
      </c>
      <c r="BH52" s="525">
        <v>0</v>
      </c>
      <c r="BI52" s="525">
        <v>0</v>
      </c>
      <c r="BJ52" s="525">
        <v>65246.35051388709</v>
      </c>
      <c r="BK52" s="525">
        <v>7.5881261006465204</v>
      </c>
      <c r="BL52" s="525">
        <v>8598.48</v>
      </c>
      <c r="BM52" s="525">
        <v>0</v>
      </c>
      <c r="BN52" s="525">
        <v>0</v>
      </c>
      <c r="BO52" s="525">
        <v>0</v>
      </c>
      <c r="BP52" s="525">
        <v>0</v>
      </c>
      <c r="BQ52" s="525">
        <v>0</v>
      </c>
      <c r="BR52" s="525">
        <v>0</v>
      </c>
      <c r="BS52" s="525">
        <v>0</v>
      </c>
      <c r="BT52" s="525">
        <v>0</v>
      </c>
      <c r="BU52" s="525">
        <v>0</v>
      </c>
      <c r="BV52" s="525">
        <v>0</v>
      </c>
      <c r="BW52" s="525">
        <v>0</v>
      </c>
      <c r="BX52" s="525">
        <v>0</v>
      </c>
      <c r="BY52" s="525">
        <v>0</v>
      </c>
      <c r="BZ52" s="525">
        <v>0</v>
      </c>
      <c r="CA52" s="525">
        <v>0</v>
      </c>
      <c r="CB52" s="525">
        <v>0</v>
      </c>
      <c r="CC52" s="525">
        <v>0</v>
      </c>
      <c r="CD52" s="525">
        <v>0</v>
      </c>
      <c r="CE52" s="525">
        <v>0</v>
      </c>
      <c r="CF52" s="525">
        <v>0</v>
      </c>
      <c r="CG52" s="525">
        <v>0</v>
      </c>
      <c r="CH52" s="525">
        <v>0</v>
      </c>
      <c r="CI52" s="525">
        <v>0</v>
      </c>
      <c r="CJ52" s="525">
        <v>0</v>
      </c>
      <c r="CK52" s="525">
        <v>0</v>
      </c>
      <c r="CL52" s="525">
        <v>0</v>
      </c>
      <c r="CM52" s="525">
        <v>387739.82</v>
      </c>
      <c r="CN52" s="525">
        <v>387739.82</v>
      </c>
      <c r="CO52" s="525">
        <v>0</v>
      </c>
      <c r="CP52" s="525">
        <v>0</v>
      </c>
      <c r="CQ52" s="525">
        <v>0</v>
      </c>
      <c r="CR52" s="525">
        <v>0</v>
      </c>
      <c r="CS52" s="525">
        <v>117097.42564</v>
      </c>
      <c r="CT52" s="525">
        <v>117097.42564</v>
      </c>
      <c r="CU52" s="525">
        <v>0</v>
      </c>
      <c r="CV52" s="525">
        <v>0</v>
      </c>
      <c r="CW52" s="525">
        <v>0</v>
      </c>
      <c r="CX52" s="525">
        <v>0</v>
      </c>
      <c r="CY52" s="525">
        <v>31226.359997504998</v>
      </c>
      <c r="CZ52" s="526"/>
      <c r="DA52" s="525">
        <v>2040.63</v>
      </c>
      <c r="DB52" s="525">
        <v>0</v>
      </c>
      <c r="DC52" s="526"/>
      <c r="DD52" s="525">
        <v>0</v>
      </c>
      <c r="DE52" s="525">
        <v>4008.9200000000005</v>
      </c>
      <c r="DF52" s="525">
        <v>0</v>
      </c>
      <c r="DG52" s="525">
        <v>143151.93000000002</v>
      </c>
      <c r="DH52" s="525">
        <v>40491.9</v>
      </c>
      <c r="DI52" s="525">
        <v>0</v>
      </c>
      <c r="DJ52" s="525">
        <v>102660.03</v>
      </c>
      <c r="DK52" s="525">
        <v>0</v>
      </c>
      <c r="DL52" s="525">
        <v>0</v>
      </c>
      <c r="DM52" s="525">
        <v>0</v>
      </c>
      <c r="DN52" s="525">
        <v>0</v>
      </c>
      <c r="DO52" s="525">
        <v>0</v>
      </c>
      <c r="DP52" s="525">
        <v>13206.85</v>
      </c>
      <c r="DQ52" s="525">
        <v>0</v>
      </c>
      <c r="DR52" s="525">
        <v>0</v>
      </c>
      <c r="DS52" s="525">
        <v>0</v>
      </c>
      <c r="DT52" s="525">
        <v>13206.85</v>
      </c>
      <c r="DU52" s="525">
        <v>23102.12</v>
      </c>
      <c r="DV52" s="525">
        <v>6295.23</v>
      </c>
      <c r="DW52" s="525">
        <v>13202.27</v>
      </c>
      <c r="DX52" s="525">
        <v>1634.19</v>
      </c>
      <c r="DY52" s="525">
        <v>0</v>
      </c>
      <c r="DZ52" s="525">
        <v>0</v>
      </c>
      <c r="EA52" s="525">
        <v>38.869999999999997</v>
      </c>
      <c r="EB52" s="525">
        <v>0</v>
      </c>
      <c r="EC52" s="525">
        <v>0</v>
      </c>
      <c r="ED52" s="525">
        <v>0</v>
      </c>
      <c r="EE52" s="525">
        <v>0</v>
      </c>
      <c r="EF52" s="525">
        <v>0</v>
      </c>
      <c r="EG52" s="525">
        <v>1931.5599999999997</v>
      </c>
      <c r="EH52" s="525">
        <v>15010.64</v>
      </c>
      <c r="EI52" s="525">
        <v>0</v>
      </c>
      <c r="EJ52" s="525">
        <v>15010.64</v>
      </c>
      <c r="EK52" s="525">
        <v>0</v>
      </c>
      <c r="EL52" s="525">
        <v>138.21</v>
      </c>
      <c r="EM52" s="525">
        <v>614.69000000000005</v>
      </c>
      <c r="EN52" s="525">
        <v>0</v>
      </c>
      <c r="EO52" s="525">
        <v>0</v>
      </c>
      <c r="EP52" s="525">
        <v>0</v>
      </c>
      <c r="EQ52" s="525">
        <v>0</v>
      </c>
      <c r="ER52" s="525">
        <v>0</v>
      </c>
      <c r="ES52" s="525">
        <v>30381.749999999996</v>
      </c>
      <c r="ET52" s="525">
        <v>17025.160002249388</v>
      </c>
      <c r="EU52" s="525">
        <v>2014.52</v>
      </c>
      <c r="EV52" s="525">
        <v>15010.640002249389</v>
      </c>
      <c r="EW52" s="525">
        <v>0</v>
      </c>
      <c r="EX52" s="525">
        <v>0</v>
      </c>
      <c r="EY52" s="525">
        <v>0</v>
      </c>
      <c r="EZ52" s="525">
        <v>0</v>
      </c>
      <c r="FA52" s="525">
        <v>0</v>
      </c>
      <c r="FB52" s="525">
        <v>62775.69</v>
      </c>
      <c r="FC52" s="525">
        <v>260.77</v>
      </c>
      <c r="FD52" s="525">
        <v>3610.93</v>
      </c>
      <c r="FE52" s="525">
        <v>0</v>
      </c>
      <c r="FF52" s="525">
        <v>58903.99</v>
      </c>
      <c r="FG52" s="525">
        <v>47338.71</v>
      </c>
      <c r="FH52" s="525">
        <v>0</v>
      </c>
      <c r="FI52" s="525">
        <v>400.03</v>
      </c>
      <c r="FJ52" s="525">
        <v>11165.25</v>
      </c>
      <c r="FK52" s="525">
        <v>0</v>
      </c>
      <c r="FL52" s="525">
        <v>0</v>
      </c>
      <c r="FM52" s="525">
        <v>205290.19</v>
      </c>
      <c r="FN52" s="525">
        <v>205290.19</v>
      </c>
      <c r="FO52" s="525">
        <v>0</v>
      </c>
      <c r="FP52" s="525">
        <v>7138.7858391898453</v>
      </c>
      <c r="FQ52" s="525">
        <v>0</v>
      </c>
      <c r="FR52" s="525">
        <v>0</v>
      </c>
      <c r="FS52" s="527">
        <v>3316579.5221911194</v>
      </c>
      <c r="FT52" s="525">
        <v>0</v>
      </c>
      <c r="FU52" s="525">
        <v>0</v>
      </c>
      <c r="FV52" s="525">
        <v>0</v>
      </c>
      <c r="FW52" s="525">
        <v>0</v>
      </c>
      <c r="FX52" s="525">
        <v>0</v>
      </c>
      <c r="FY52" s="525">
        <v>0</v>
      </c>
      <c r="FZ52" s="525">
        <v>0</v>
      </c>
      <c r="GA52" s="525">
        <v>0</v>
      </c>
      <c r="GB52" s="525">
        <v>0</v>
      </c>
      <c r="GC52" s="525">
        <v>0</v>
      </c>
      <c r="GD52" s="525">
        <v>0</v>
      </c>
      <c r="GE52" s="525">
        <v>0</v>
      </c>
      <c r="GF52" s="525">
        <v>0</v>
      </c>
      <c r="GG52" s="525">
        <v>0</v>
      </c>
      <c r="GH52" s="525">
        <v>44914.48</v>
      </c>
      <c r="GI52" s="525">
        <v>44791.9</v>
      </c>
      <c r="GJ52" s="526"/>
      <c r="GK52" s="525">
        <v>122.58</v>
      </c>
      <c r="GL52" s="526"/>
      <c r="GM52" s="525">
        <v>483196.90000000008</v>
      </c>
      <c r="GN52" s="525">
        <v>0</v>
      </c>
      <c r="GO52" s="526"/>
      <c r="GP52" s="526"/>
      <c r="GQ52" s="525">
        <v>0</v>
      </c>
      <c r="GR52" s="526"/>
      <c r="GS52" s="526"/>
      <c r="GT52" s="525">
        <v>483196.90000000008</v>
      </c>
      <c r="GU52" s="525">
        <v>13425.4</v>
      </c>
      <c r="GV52" s="525">
        <v>51333.9</v>
      </c>
      <c r="GW52" s="525">
        <v>0</v>
      </c>
      <c r="GX52" s="525">
        <v>418437.60000000009</v>
      </c>
      <c r="GY52" s="525">
        <v>0</v>
      </c>
      <c r="GZ52" s="525">
        <v>483196.9</v>
      </c>
      <c r="HA52" s="525">
        <v>218715.60000000003</v>
      </c>
      <c r="HB52" s="525">
        <v>0</v>
      </c>
      <c r="HC52" s="525">
        <v>0</v>
      </c>
      <c r="HD52" s="525">
        <v>0</v>
      </c>
      <c r="HE52" s="525">
        <v>83030.250000000015</v>
      </c>
      <c r="HF52" s="525">
        <v>2250</v>
      </c>
      <c r="HG52" s="525">
        <v>25426.750000000004</v>
      </c>
      <c r="HH52" s="525">
        <v>0</v>
      </c>
      <c r="HI52" s="525">
        <v>141547.10000000003</v>
      </c>
      <c r="HJ52" s="525">
        <v>0</v>
      </c>
      <c r="HK52" s="525">
        <v>12227.200000000003</v>
      </c>
      <c r="HL52" s="526"/>
      <c r="HM52" s="526"/>
      <c r="HN52" s="526"/>
      <c r="HO52" s="526"/>
      <c r="HP52" s="526"/>
      <c r="HQ52" s="526"/>
      <c r="HR52" s="526"/>
      <c r="HS52" s="526"/>
      <c r="HT52" s="526"/>
      <c r="HU52" s="526"/>
      <c r="HV52" s="526"/>
      <c r="HW52" s="526"/>
      <c r="HX52" s="526"/>
      <c r="HY52" s="526"/>
      <c r="HZ52" s="526"/>
      <c r="IA52" s="526"/>
      <c r="IB52" s="526"/>
      <c r="IC52" s="526"/>
      <c r="ID52" s="526"/>
      <c r="IE52" s="526"/>
      <c r="IF52" s="526"/>
      <c r="IG52" s="526"/>
      <c r="IH52" s="526"/>
      <c r="II52" s="526"/>
      <c r="IJ52" s="526"/>
      <c r="IK52" s="526"/>
      <c r="IL52" s="526"/>
      <c r="IM52" s="526"/>
      <c r="IN52" s="526"/>
      <c r="IO52" s="526"/>
      <c r="IP52" s="526"/>
      <c r="IQ52" s="526"/>
      <c r="IR52" s="526"/>
      <c r="IS52" s="526"/>
      <c r="IT52" s="526"/>
      <c r="IU52" s="526"/>
      <c r="IV52" s="526"/>
      <c r="IW52" s="526"/>
      <c r="IX52" s="526"/>
      <c r="IY52" s="526"/>
      <c r="IZ52" s="526"/>
      <c r="JA52" s="526"/>
      <c r="JB52" s="526"/>
      <c r="JC52" s="526"/>
      <c r="JD52" s="526"/>
      <c r="JE52" s="526"/>
      <c r="JF52" s="526"/>
      <c r="JG52" s="526"/>
      <c r="JH52" s="526"/>
      <c r="JI52" s="526"/>
      <c r="JJ52" s="526"/>
      <c r="JK52" s="526"/>
      <c r="JL52" s="526"/>
      <c r="JM52" s="526"/>
      <c r="JN52" s="525">
        <v>582964.26000224927</v>
      </c>
      <c r="JO52" s="525">
        <v>424698.36147918983</v>
      </c>
      <c r="JP52" s="525">
        <v>2308916.9007096803</v>
      </c>
      <c r="JQ52" s="525">
        <v>0</v>
      </c>
      <c r="JR52" s="525">
        <v>44914.48</v>
      </c>
      <c r="JS52" s="527">
        <v>3400473.5721911192</v>
      </c>
      <c r="JT52" s="528">
        <f t="shared" si="10"/>
        <v>38979.569999999811</v>
      </c>
      <c r="JU52" s="525">
        <v>4080568.2866293429</v>
      </c>
      <c r="JV52" s="525">
        <v>3400473.5721911192</v>
      </c>
      <c r="JW52" s="525">
        <v>4080568.2866293429</v>
      </c>
      <c r="JX52" s="525">
        <v>2130996</v>
      </c>
      <c r="JY52" s="525">
        <v>2130996</v>
      </c>
      <c r="JZ52" s="526"/>
      <c r="KA52" s="525">
        <v>2119856</v>
      </c>
      <c r="KB52" s="529">
        <v>1.3542410094339292</v>
      </c>
      <c r="KC52" s="525">
        <v>-4.1288810189143987E-3</v>
      </c>
      <c r="KD52" s="525">
        <v>3400473.5763200005</v>
      </c>
      <c r="KE52" s="525">
        <v>2130996</v>
      </c>
      <c r="KF52" s="525">
        <v>17780.821209000002</v>
      </c>
      <c r="KG52" s="530">
        <v>1596.1239864452425</v>
      </c>
      <c r="KH52" s="525">
        <v>11140</v>
      </c>
      <c r="KI52" s="525">
        <v>503400.08538599999</v>
      </c>
      <c r="KJ52" s="530">
        <v>1592.920792188424</v>
      </c>
      <c r="KK52" s="525">
        <v>316023.3</v>
      </c>
      <c r="KL52" s="525">
        <v>2563292.4017219995</v>
      </c>
      <c r="KM52" s="530">
        <v>1596.9724916090629</v>
      </c>
      <c r="KN52" s="525">
        <v>1605094.9</v>
      </c>
      <c r="KO52" s="525">
        <v>316000.26800300006</v>
      </c>
      <c r="KP52" s="530">
        <v>1590.0360575743521</v>
      </c>
      <c r="KQ52" s="525">
        <v>198737.80000000002</v>
      </c>
      <c r="KR52" s="526"/>
      <c r="KS52" s="526"/>
      <c r="KT52" s="531">
        <v>3830949.11668</v>
      </c>
      <c r="KU52" s="531">
        <v>60</v>
      </c>
      <c r="KV52" s="526"/>
      <c r="KW52" s="531">
        <v>1888549.70878</v>
      </c>
      <c r="KX52" s="531">
        <v>516.40499999999997</v>
      </c>
      <c r="KY52" s="531">
        <v>12.99</v>
      </c>
      <c r="KZ52" s="526"/>
      <c r="LA52" s="531">
        <v>21168.352999999999</v>
      </c>
      <c r="LB52" s="532">
        <v>259414</v>
      </c>
      <c r="LC52" s="533">
        <v>2.6179999999999999</v>
      </c>
      <c r="LD52" s="494">
        <f t="shared" si="11"/>
        <v>4206175.9143001195</v>
      </c>
      <c r="LE52" s="509">
        <f t="shared" si="12"/>
        <v>3505146.5952500994</v>
      </c>
      <c r="LF52" s="534">
        <f t="shared" si="13"/>
        <v>2381223.1193880639</v>
      </c>
      <c r="LG52" s="535">
        <f t="shared" si="14"/>
        <v>1788502.1447671715</v>
      </c>
      <c r="LH52" s="536">
        <f t="shared" si="31"/>
        <v>1.03</v>
      </c>
      <c r="LI52" s="537">
        <f t="shared" si="15"/>
        <v>1788502.1447671715</v>
      </c>
      <c r="LJ52" s="536">
        <f t="shared" si="32"/>
        <v>1.0389999999999999</v>
      </c>
      <c r="LK52" s="537">
        <f t="shared" si="16"/>
        <v>0</v>
      </c>
      <c r="LL52" s="536">
        <f t="shared" si="33"/>
        <v>1.0349999999999999</v>
      </c>
      <c r="LM52" s="537">
        <f t="shared" si="17"/>
        <v>0</v>
      </c>
      <c r="LN52" s="536">
        <f t="shared" si="34"/>
        <v>1.0349999999999999</v>
      </c>
      <c r="LO52" s="537">
        <f t="shared" si="18"/>
        <v>0</v>
      </c>
      <c r="LP52" s="536">
        <f t="shared" si="35"/>
        <v>1.0349999999999999</v>
      </c>
      <c r="LQ52" s="537">
        <f t="shared" si="19"/>
        <v>556076.28342348756</v>
      </c>
      <c r="LR52" s="536">
        <f t="shared" si="36"/>
        <v>1.04</v>
      </c>
      <c r="LS52" s="537">
        <f t="shared" si="20"/>
        <v>36644.691197405198</v>
      </c>
      <c r="LT52" s="539">
        <f t="shared" si="21"/>
        <v>599642.86748091353</v>
      </c>
      <c r="LU52" s="540">
        <f t="shared" si="22"/>
        <v>398833.05625019997</v>
      </c>
      <c r="LV52" s="541">
        <f t="shared" si="23"/>
        <v>200809.81123071359</v>
      </c>
      <c r="LW52" s="542">
        <f t="shared" si="24"/>
        <v>438814.55158112181</v>
      </c>
      <c r="LX52" s="540">
        <f t="shared" si="25"/>
        <v>120447.58298756038</v>
      </c>
      <c r="LY52" s="540">
        <f t="shared" si="26"/>
        <v>212475.34664999999</v>
      </c>
      <c r="LZ52" s="543">
        <f t="shared" si="27"/>
        <v>105891.62194356143</v>
      </c>
      <c r="MA52" s="544">
        <f t="shared" si="28"/>
        <v>38979.569999999811</v>
      </c>
      <c r="MB52" s="545">
        <f t="shared" si="29"/>
        <v>46486.486799999999</v>
      </c>
    </row>
    <row r="53" spans="1:340" ht="16.5" customHeight="1">
      <c r="A53" s="465">
        <v>1</v>
      </c>
      <c r="B53" s="466">
        <v>43</v>
      </c>
      <c r="C53" s="467" t="s">
        <v>309</v>
      </c>
      <c r="D53" s="468">
        <v>7729314745</v>
      </c>
      <c r="E53" s="469">
        <f t="shared" si="3"/>
        <v>41113.759479249697</v>
      </c>
      <c r="F53" s="470" t="s">
        <v>281</v>
      </c>
      <c r="G53" s="595">
        <v>41113.769295631158</v>
      </c>
      <c r="H53" s="595">
        <f t="shared" si="30"/>
        <v>-9.8163814618601464E-3</v>
      </c>
      <c r="I53" s="595"/>
      <c r="J53" s="471">
        <f t="shared" si="4"/>
        <v>34261.46623270808</v>
      </c>
      <c r="K53" s="472">
        <f t="shared" si="5"/>
        <v>24734.336869444734</v>
      </c>
      <c r="L53" s="473">
        <f t="shared" si="6"/>
        <v>20415.948651185296</v>
      </c>
      <c r="M53" s="474">
        <v>14097.215404527276</v>
      </c>
      <c r="N53" s="475">
        <v>6318.7332466580174</v>
      </c>
      <c r="O53" s="475">
        <v>0</v>
      </c>
      <c r="P53" s="476">
        <v>0</v>
      </c>
      <c r="Q53" s="477">
        <v>3988.9917161278281</v>
      </c>
      <c r="R53" s="478">
        <f t="shared" si="7"/>
        <v>329.39650213160979</v>
      </c>
      <c r="S53" s="479">
        <f t="shared" si="8"/>
        <v>4892.1063687630894</v>
      </c>
      <c r="T53" s="479">
        <v>4152.7505339119798</v>
      </c>
      <c r="U53" s="480">
        <v>739.35583485110965</v>
      </c>
      <c r="V53" s="481">
        <f t="shared" si="9"/>
        <v>1261.901980222063</v>
      </c>
      <c r="W53" s="482">
        <v>1254.1306612414178</v>
      </c>
      <c r="X53" s="479">
        <v>0</v>
      </c>
      <c r="Y53" s="483">
        <v>7.7713189806452192</v>
      </c>
      <c r="Z53" s="484">
        <v>3373.1210142781929</v>
      </c>
      <c r="AA53" s="485">
        <v>0</v>
      </c>
      <c r="AB53" s="486"/>
      <c r="AC53" s="487">
        <v>20415.948651185296</v>
      </c>
      <c r="AD53" s="487">
        <v>14097.215404527276</v>
      </c>
      <c r="AE53" s="487">
        <v>6318.7332466580174</v>
      </c>
      <c r="AF53" s="487">
        <v>0</v>
      </c>
      <c r="AG53" s="487">
        <v>0</v>
      </c>
      <c r="AH53" s="487">
        <v>3988.9917161278281</v>
      </c>
      <c r="AI53" s="487">
        <v>3988.9917161278281</v>
      </c>
      <c r="AJ53" s="487">
        <v>0</v>
      </c>
      <c r="AK53" s="487">
        <v>0</v>
      </c>
      <c r="AL53" s="487">
        <v>0</v>
      </c>
      <c r="AM53" s="487">
        <v>0</v>
      </c>
      <c r="AN53" s="487">
        <v>0</v>
      </c>
      <c r="AO53" s="487">
        <v>0</v>
      </c>
      <c r="AP53" s="487">
        <v>0</v>
      </c>
      <c r="AQ53" s="487">
        <v>0</v>
      </c>
      <c r="AR53" s="487">
        <v>0</v>
      </c>
      <c r="AS53" s="487">
        <v>0</v>
      </c>
      <c r="AT53" s="487">
        <v>0</v>
      </c>
      <c r="AU53" s="487">
        <v>0</v>
      </c>
      <c r="AV53" s="487">
        <v>0</v>
      </c>
      <c r="AW53" s="487">
        <v>0</v>
      </c>
      <c r="AX53" s="487">
        <v>0</v>
      </c>
      <c r="AY53" s="487">
        <v>0</v>
      </c>
      <c r="AZ53" s="487">
        <v>0</v>
      </c>
      <c r="BA53" s="487">
        <v>3988.9917161278281</v>
      </c>
      <c r="BB53" s="487">
        <v>480.33974920000009</v>
      </c>
      <c r="BC53" s="487">
        <v>0</v>
      </c>
      <c r="BD53" s="487">
        <v>3988.9917161278281</v>
      </c>
      <c r="BE53" s="487">
        <v>8.3045213784023595</v>
      </c>
      <c r="BF53" s="487">
        <v>480.33974920000009</v>
      </c>
      <c r="BG53" s="487">
        <v>0</v>
      </c>
      <c r="BH53" s="487">
        <v>0</v>
      </c>
      <c r="BI53" s="487">
        <v>0</v>
      </c>
      <c r="BJ53" s="487">
        <v>0</v>
      </c>
      <c r="BK53" s="487">
        <v>0</v>
      </c>
      <c r="BL53" s="487">
        <v>0</v>
      </c>
      <c r="BM53" s="487">
        <v>0</v>
      </c>
      <c r="BN53" s="487">
        <v>0</v>
      </c>
      <c r="BO53" s="487">
        <v>0</v>
      </c>
      <c r="BP53" s="487">
        <v>0</v>
      </c>
      <c r="BQ53" s="487">
        <v>0</v>
      </c>
      <c r="BR53" s="487">
        <v>0</v>
      </c>
      <c r="BS53" s="487">
        <v>0</v>
      </c>
      <c r="BT53" s="487">
        <v>0</v>
      </c>
      <c r="BU53" s="487">
        <v>0</v>
      </c>
      <c r="BV53" s="487">
        <v>0</v>
      </c>
      <c r="BW53" s="487">
        <v>0</v>
      </c>
      <c r="BX53" s="487">
        <v>0</v>
      </c>
      <c r="BY53" s="487">
        <v>0</v>
      </c>
      <c r="BZ53" s="487">
        <v>0</v>
      </c>
      <c r="CA53" s="487">
        <v>0</v>
      </c>
      <c r="CB53" s="487">
        <v>0</v>
      </c>
      <c r="CC53" s="487">
        <v>0</v>
      </c>
      <c r="CD53" s="487">
        <v>0</v>
      </c>
      <c r="CE53" s="487">
        <v>0</v>
      </c>
      <c r="CF53" s="487">
        <v>0</v>
      </c>
      <c r="CG53" s="487">
        <v>0</v>
      </c>
      <c r="CH53" s="487">
        <v>0</v>
      </c>
      <c r="CI53" s="487">
        <v>0</v>
      </c>
      <c r="CJ53" s="487">
        <v>0</v>
      </c>
      <c r="CK53" s="487">
        <v>0</v>
      </c>
      <c r="CL53" s="487">
        <v>0</v>
      </c>
      <c r="CM53" s="487">
        <v>4152.7505339119798</v>
      </c>
      <c r="CN53" s="487">
        <v>4152.7505339119798</v>
      </c>
      <c r="CO53" s="487">
        <v>0</v>
      </c>
      <c r="CP53" s="487">
        <v>0</v>
      </c>
      <c r="CQ53" s="487">
        <v>0</v>
      </c>
      <c r="CR53" s="487">
        <v>0</v>
      </c>
      <c r="CS53" s="487">
        <v>1254.1306612414178</v>
      </c>
      <c r="CT53" s="487">
        <v>1254.1306612414178</v>
      </c>
      <c r="CU53" s="487">
        <v>0</v>
      </c>
      <c r="CV53" s="487">
        <v>0</v>
      </c>
      <c r="CW53" s="487">
        <v>0</v>
      </c>
      <c r="CX53" s="487">
        <v>0</v>
      </c>
      <c r="CY53" s="487">
        <v>273.1118641186161</v>
      </c>
      <c r="CZ53" s="467"/>
      <c r="DA53" s="487">
        <v>13.10017497840049</v>
      </c>
      <c r="DB53" s="487">
        <v>56.284638012993696</v>
      </c>
      <c r="DC53" s="467"/>
      <c r="DD53" s="487">
        <v>2.6200349956715132</v>
      </c>
      <c r="DE53" s="487">
        <v>0</v>
      </c>
      <c r="DF53" s="487">
        <v>0</v>
      </c>
      <c r="DG53" s="487">
        <v>413.85794801238393</v>
      </c>
      <c r="DH53" s="487">
        <v>220.355394261985</v>
      </c>
      <c r="DI53" s="487">
        <v>0</v>
      </c>
      <c r="DJ53" s="487">
        <v>193.50255375039899</v>
      </c>
      <c r="DK53" s="487">
        <v>0</v>
      </c>
      <c r="DL53" s="487">
        <v>0</v>
      </c>
      <c r="DM53" s="487">
        <v>0</v>
      </c>
      <c r="DN53" s="487">
        <v>0</v>
      </c>
      <c r="DO53" s="487">
        <v>0</v>
      </c>
      <c r="DP53" s="487">
        <v>249.43405825799996</v>
      </c>
      <c r="DQ53" s="487">
        <v>0</v>
      </c>
      <c r="DR53" s="487">
        <v>0</v>
      </c>
      <c r="DS53" s="487">
        <v>0</v>
      </c>
      <c r="DT53" s="487">
        <v>249.43405825799996</v>
      </c>
      <c r="DU53" s="487">
        <v>75.802367303726101</v>
      </c>
      <c r="DV53" s="487">
        <v>0</v>
      </c>
      <c r="DW53" s="487">
        <v>0</v>
      </c>
      <c r="DX53" s="487">
        <v>0</v>
      </c>
      <c r="DY53" s="487">
        <v>0</v>
      </c>
      <c r="DZ53" s="487">
        <v>0</v>
      </c>
      <c r="EA53" s="487">
        <v>0</v>
      </c>
      <c r="EB53" s="487">
        <v>0</v>
      </c>
      <c r="EC53" s="487">
        <v>0</v>
      </c>
      <c r="ED53" s="487">
        <v>0</v>
      </c>
      <c r="EE53" s="487">
        <v>0</v>
      </c>
      <c r="EF53" s="487">
        <v>0</v>
      </c>
      <c r="EG53" s="487">
        <v>75.802367303726101</v>
      </c>
      <c r="EH53" s="487">
        <v>0</v>
      </c>
      <c r="EI53" s="487">
        <v>0</v>
      </c>
      <c r="EJ53" s="487">
        <v>0</v>
      </c>
      <c r="EK53" s="487">
        <v>0</v>
      </c>
      <c r="EL53" s="487">
        <v>0.26146127699999999</v>
      </c>
      <c r="EM53" s="487">
        <v>0</v>
      </c>
      <c r="EN53" s="487">
        <v>0</v>
      </c>
      <c r="EO53" s="487">
        <v>0</v>
      </c>
      <c r="EP53" s="487">
        <v>0</v>
      </c>
      <c r="EQ53" s="487">
        <v>0</v>
      </c>
      <c r="ER53" s="487">
        <v>0</v>
      </c>
      <c r="ES53" s="487">
        <v>0</v>
      </c>
      <c r="ET53" s="487">
        <v>0</v>
      </c>
      <c r="EU53" s="487">
        <v>0</v>
      </c>
      <c r="EV53" s="487">
        <v>0</v>
      </c>
      <c r="EW53" s="487">
        <v>0</v>
      </c>
      <c r="EX53" s="487">
        <v>0</v>
      </c>
      <c r="EY53" s="487">
        <v>0</v>
      </c>
      <c r="EZ53" s="487">
        <v>0</v>
      </c>
      <c r="FA53" s="487">
        <v>0</v>
      </c>
      <c r="FB53" s="487">
        <v>7.7713189806451588</v>
      </c>
      <c r="FC53" s="487">
        <v>7.7713189806451588</v>
      </c>
      <c r="FD53" s="487">
        <v>0</v>
      </c>
      <c r="FE53" s="487">
        <v>0</v>
      </c>
      <c r="FF53" s="487">
        <v>0</v>
      </c>
      <c r="FG53" s="487">
        <v>0</v>
      </c>
      <c r="FH53" s="487">
        <v>0</v>
      </c>
      <c r="FI53" s="487">
        <v>0</v>
      </c>
      <c r="FJ53" s="487">
        <v>0</v>
      </c>
      <c r="FK53" s="487">
        <v>0</v>
      </c>
      <c r="FL53" s="487">
        <v>0</v>
      </c>
      <c r="FM53" s="487">
        <v>0</v>
      </c>
      <c r="FN53" s="487">
        <v>0</v>
      </c>
      <c r="FO53" s="487">
        <v>0</v>
      </c>
      <c r="FP53" s="487">
        <v>0</v>
      </c>
      <c r="FQ53" s="487">
        <v>0</v>
      </c>
      <c r="FR53" s="487">
        <v>0</v>
      </c>
      <c r="FS53" s="488">
        <v>30888.345218429888</v>
      </c>
      <c r="FT53" s="487">
        <v>0</v>
      </c>
      <c r="FU53" s="487">
        <v>0</v>
      </c>
      <c r="FV53" s="487">
        <v>0</v>
      </c>
      <c r="FW53" s="487">
        <v>0</v>
      </c>
      <c r="FX53" s="487">
        <v>0</v>
      </c>
      <c r="FY53" s="487">
        <v>0</v>
      </c>
      <c r="FZ53" s="487">
        <v>0</v>
      </c>
      <c r="GA53" s="487">
        <v>0</v>
      </c>
      <c r="GB53" s="487">
        <v>0</v>
      </c>
      <c r="GC53" s="487">
        <v>0</v>
      </c>
      <c r="GD53" s="487">
        <v>0</v>
      </c>
      <c r="GE53" s="487">
        <v>0</v>
      </c>
      <c r="GF53" s="487">
        <v>0</v>
      </c>
      <c r="GG53" s="487">
        <v>0</v>
      </c>
      <c r="GH53" s="487">
        <v>0</v>
      </c>
      <c r="GI53" s="487">
        <v>0</v>
      </c>
      <c r="GJ53" s="467"/>
      <c r="GK53" s="487">
        <v>0</v>
      </c>
      <c r="GL53" s="467"/>
      <c r="GM53" s="487">
        <v>0</v>
      </c>
      <c r="GN53" s="487">
        <v>0</v>
      </c>
      <c r="GO53" s="467"/>
      <c r="GP53" s="467"/>
      <c r="GQ53" s="487">
        <v>0</v>
      </c>
      <c r="GR53" s="467"/>
      <c r="GS53" s="467"/>
      <c r="GT53" s="487">
        <v>0</v>
      </c>
      <c r="GU53" s="487">
        <v>0</v>
      </c>
      <c r="GV53" s="487">
        <v>0</v>
      </c>
      <c r="GW53" s="487">
        <v>0</v>
      </c>
      <c r="GX53" s="487">
        <v>0</v>
      </c>
      <c r="GY53" s="487">
        <v>0</v>
      </c>
      <c r="GZ53" s="487">
        <v>0</v>
      </c>
      <c r="HA53" s="487">
        <v>0</v>
      </c>
      <c r="HB53" s="487">
        <v>0</v>
      </c>
      <c r="HC53" s="487">
        <v>0</v>
      </c>
      <c r="HD53" s="487">
        <v>0</v>
      </c>
      <c r="HE53" s="487">
        <v>0</v>
      </c>
      <c r="HF53" s="487">
        <v>0</v>
      </c>
      <c r="HG53" s="487">
        <v>0</v>
      </c>
      <c r="HH53" s="487">
        <v>0</v>
      </c>
      <c r="HI53" s="487">
        <v>0</v>
      </c>
      <c r="HJ53" s="487">
        <v>0</v>
      </c>
      <c r="HK53" s="487">
        <v>0</v>
      </c>
      <c r="HL53" s="467"/>
      <c r="HM53" s="467"/>
      <c r="HN53" s="467"/>
      <c r="HO53" s="467"/>
      <c r="HP53" s="467"/>
      <c r="HQ53" s="467"/>
      <c r="HR53" s="467"/>
      <c r="HS53" s="467"/>
      <c r="HT53" s="467"/>
      <c r="HU53" s="467"/>
      <c r="HV53" s="467"/>
      <c r="HW53" s="467"/>
      <c r="HX53" s="467"/>
      <c r="HY53" s="467"/>
      <c r="HZ53" s="467"/>
      <c r="IA53" s="467"/>
      <c r="IB53" s="467"/>
      <c r="IC53" s="467"/>
      <c r="ID53" s="467"/>
      <c r="IE53" s="467"/>
      <c r="IF53" s="467"/>
      <c r="IG53" s="467"/>
      <c r="IH53" s="467"/>
      <c r="II53" s="467"/>
      <c r="IJ53" s="467"/>
      <c r="IK53" s="467"/>
      <c r="IL53" s="467"/>
      <c r="IM53" s="467"/>
      <c r="IN53" s="467"/>
      <c r="IO53" s="467"/>
      <c r="IP53" s="467"/>
      <c r="IQ53" s="467"/>
      <c r="IR53" s="467"/>
      <c r="IS53" s="467"/>
      <c r="IT53" s="467"/>
      <c r="IU53" s="467"/>
      <c r="IV53" s="467"/>
      <c r="IW53" s="467"/>
      <c r="IX53" s="467"/>
      <c r="IY53" s="467"/>
      <c r="IZ53" s="467"/>
      <c r="JA53" s="467"/>
      <c r="JB53" s="467"/>
      <c r="JC53" s="467"/>
      <c r="JD53" s="467"/>
      <c r="JE53" s="467"/>
      <c r="JF53" s="467"/>
      <c r="JG53" s="467"/>
      <c r="JH53" s="467"/>
      <c r="JI53" s="467"/>
      <c r="JJ53" s="467"/>
      <c r="JK53" s="467"/>
      <c r="JL53" s="467"/>
      <c r="JM53" s="467"/>
      <c r="JN53" s="487">
        <v>4892.1063687630894</v>
      </c>
      <c r="JO53" s="487">
        <v>1261.901980222063</v>
      </c>
      <c r="JP53" s="487">
        <v>24734.336869444734</v>
      </c>
      <c r="JQ53" s="487">
        <v>0</v>
      </c>
      <c r="JR53" s="487">
        <v>0</v>
      </c>
      <c r="JS53" s="488">
        <v>34261.46623270808</v>
      </c>
      <c r="JT53" s="489">
        <f t="shared" si="10"/>
        <v>3373.1210142781929</v>
      </c>
      <c r="JU53" s="487">
        <v>41113.759479249689</v>
      </c>
      <c r="JV53" s="487">
        <v>34261.46623270808</v>
      </c>
      <c r="JW53" s="487">
        <v>41113.759479249689</v>
      </c>
      <c r="JX53" s="487">
        <v>19577.541552103303</v>
      </c>
      <c r="JY53" s="487">
        <v>19577.541552103303</v>
      </c>
      <c r="JZ53" s="467"/>
      <c r="KA53" s="487">
        <v>19577.541552103303</v>
      </c>
      <c r="KB53" s="490">
        <v>0</v>
      </c>
      <c r="KC53" s="487">
        <v>5.1622531452721887E-3</v>
      </c>
      <c r="KD53" s="487">
        <v>34261.461070454927</v>
      </c>
      <c r="KE53" s="487">
        <v>19577.541552103303</v>
      </c>
      <c r="KF53" s="487">
        <v>0</v>
      </c>
      <c r="KG53" s="491">
        <v>0</v>
      </c>
      <c r="KH53" s="487">
        <v>0</v>
      </c>
      <c r="KI53" s="487">
        <v>13978.790165063067</v>
      </c>
      <c r="KJ53" s="491">
        <v>1814.1671926917493</v>
      </c>
      <c r="KK53" s="487">
        <v>7705.3483391032996</v>
      </c>
      <c r="KL53" s="487">
        <v>19879.104791425962</v>
      </c>
      <c r="KM53" s="491">
        <v>1696.425969681783</v>
      </c>
      <c r="KN53" s="487">
        <v>11718.227112</v>
      </c>
      <c r="KO53" s="487">
        <v>403.56611396590006</v>
      </c>
      <c r="KP53" s="491">
        <v>2621.136154937768</v>
      </c>
      <c r="KQ53" s="487">
        <v>153.96610100000001</v>
      </c>
      <c r="KR53" s="467"/>
      <c r="KS53" s="467"/>
      <c r="KT53" s="487">
        <v>8045.6251000000002</v>
      </c>
      <c r="KU53" s="487">
        <v>59</v>
      </c>
      <c r="KV53" s="467"/>
      <c r="KW53" s="487"/>
      <c r="KX53" s="487">
        <v>13.747999999999999</v>
      </c>
      <c r="KY53" s="487">
        <v>0.03</v>
      </c>
      <c r="KZ53" s="467"/>
      <c r="LA53" s="487"/>
      <c r="LB53" s="492"/>
      <c r="LC53" s="493"/>
      <c r="LD53" s="494">
        <f t="shared" si="11"/>
        <v>42311.663639047256</v>
      </c>
      <c r="LE53" s="471">
        <f t="shared" si="12"/>
        <v>35259.719699206049</v>
      </c>
      <c r="LF53" s="495">
        <f t="shared" si="13"/>
        <v>25556.474498349951</v>
      </c>
      <c r="LG53" s="476">
        <f t="shared" si="14"/>
        <v>21085.295709940776</v>
      </c>
      <c r="LH53" s="496">
        <f t="shared" si="31"/>
        <v>1.03</v>
      </c>
      <c r="LI53" s="497">
        <f t="shared" si="15"/>
        <v>14520.131866663096</v>
      </c>
      <c r="LJ53" s="496">
        <f t="shared" si="32"/>
        <v>1.0389999999999999</v>
      </c>
      <c r="LK53" s="497">
        <f t="shared" si="16"/>
        <v>6565.1638432776799</v>
      </c>
      <c r="LL53" s="496">
        <f t="shared" si="33"/>
        <v>1.0349999999999999</v>
      </c>
      <c r="LM53" s="497">
        <f t="shared" si="17"/>
        <v>0</v>
      </c>
      <c r="LN53" s="496">
        <f t="shared" si="34"/>
        <v>1.0349999999999999</v>
      </c>
      <c r="LO53" s="497">
        <f t="shared" si="18"/>
        <v>0</v>
      </c>
      <c r="LP53" s="496">
        <f t="shared" si="35"/>
        <v>1.0349999999999999</v>
      </c>
      <c r="LQ53" s="497">
        <f t="shared" si="19"/>
        <v>4128.606426192302</v>
      </c>
      <c r="LR53" s="496">
        <f t="shared" si="36"/>
        <v>1.04</v>
      </c>
      <c r="LS53" s="497">
        <f t="shared" si="20"/>
        <v>342.57236221687418</v>
      </c>
      <c r="LT53" s="499">
        <f t="shared" si="21"/>
        <v>5032.0695319734014</v>
      </c>
      <c r="LU53" s="500">
        <f t="shared" si="22"/>
        <v>4271.5607266872012</v>
      </c>
      <c r="LV53" s="501">
        <f t="shared" si="23"/>
        <v>760.50880528619984</v>
      </c>
      <c r="LW53" s="499">
        <f t="shared" si="24"/>
        <v>1298.0546546045025</v>
      </c>
      <c r="LX53" s="500">
        <f t="shared" si="25"/>
        <v>1290.0113394595346</v>
      </c>
      <c r="LY53" s="500">
        <f t="shared" si="26"/>
        <v>0</v>
      </c>
      <c r="LZ53" s="502">
        <f t="shared" si="27"/>
        <v>8.0433151449678011</v>
      </c>
      <c r="MA53" s="503">
        <f t="shared" si="28"/>
        <v>3373.1210142781929</v>
      </c>
      <c r="MB53" s="504">
        <f t="shared" si="29"/>
        <v>0</v>
      </c>
    </row>
    <row r="54" spans="1:340" ht="16.5" thickBot="1">
      <c r="A54" s="546">
        <v>1</v>
      </c>
      <c r="B54" s="547"/>
      <c r="C54" s="548"/>
      <c r="D54" s="549"/>
      <c r="E54" s="550"/>
      <c r="F54" s="551"/>
      <c r="G54" s="594"/>
      <c r="H54" s="594"/>
      <c r="I54" s="594"/>
      <c r="J54" s="552"/>
      <c r="K54" s="552"/>
      <c r="L54" s="553"/>
      <c r="M54" s="554"/>
      <c r="N54" s="555"/>
      <c r="O54" s="555"/>
      <c r="P54" s="556"/>
      <c r="Q54" s="557"/>
      <c r="R54" s="558"/>
      <c r="S54" s="559"/>
      <c r="T54" s="560"/>
      <c r="U54" s="558"/>
      <c r="V54" s="561"/>
      <c r="W54" s="560"/>
      <c r="X54" s="560"/>
      <c r="Y54" s="558"/>
      <c r="Z54" s="561"/>
      <c r="AA54" s="562"/>
      <c r="AB54" s="486"/>
      <c r="AC54" s="563"/>
      <c r="AD54" s="563"/>
      <c r="AE54" s="563"/>
      <c r="AF54" s="563"/>
      <c r="AG54" s="563"/>
      <c r="AH54" s="563"/>
      <c r="AI54" s="563"/>
      <c r="AJ54" s="563"/>
      <c r="AK54" s="563"/>
      <c r="AL54" s="563"/>
      <c r="AM54" s="563"/>
      <c r="AN54" s="563"/>
      <c r="AO54" s="563"/>
      <c r="AP54" s="563"/>
      <c r="AQ54" s="563"/>
      <c r="AR54" s="563"/>
      <c r="AS54" s="563"/>
      <c r="AT54" s="563"/>
      <c r="AU54" s="563"/>
      <c r="AV54" s="563"/>
      <c r="AW54" s="563"/>
      <c r="AX54" s="563"/>
      <c r="AY54" s="563"/>
      <c r="AZ54" s="563"/>
      <c r="BA54" s="563"/>
      <c r="BB54" s="563"/>
      <c r="BC54" s="563"/>
      <c r="BD54" s="563"/>
      <c r="BE54" s="563"/>
      <c r="BF54" s="563"/>
      <c r="BG54" s="563"/>
      <c r="BH54" s="563"/>
      <c r="BI54" s="563"/>
      <c r="BJ54" s="563"/>
      <c r="BK54" s="563"/>
      <c r="BL54" s="563"/>
      <c r="BM54" s="563"/>
      <c r="BN54" s="563"/>
      <c r="BO54" s="563"/>
      <c r="BP54" s="563"/>
      <c r="BQ54" s="563"/>
      <c r="BR54" s="563"/>
      <c r="BS54" s="563"/>
      <c r="BT54" s="563"/>
      <c r="BU54" s="563"/>
      <c r="BV54" s="563"/>
      <c r="BW54" s="563"/>
      <c r="BX54" s="563"/>
      <c r="BY54" s="563"/>
      <c r="BZ54" s="563"/>
      <c r="CA54" s="563"/>
      <c r="CB54" s="563"/>
      <c r="CC54" s="563"/>
      <c r="CD54" s="563"/>
      <c r="CE54" s="563"/>
      <c r="CF54" s="563"/>
      <c r="CG54" s="563"/>
      <c r="CH54" s="563"/>
      <c r="CI54" s="563"/>
      <c r="CJ54" s="563"/>
      <c r="CK54" s="563"/>
      <c r="CL54" s="563"/>
      <c r="CM54" s="563"/>
      <c r="CN54" s="563"/>
      <c r="CO54" s="563"/>
      <c r="CP54" s="563"/>
      <c r="CQ54" s="563"/>
      <c r="CR54" s="563"/>
      <c r="CS54" s="563"/>
      <c r="CT54" s="563"/>
      <c r="CU54" s="563"/>
      <c r="CV54" s="563"/>
      <c r="CW54" s="563"/>
      <c r="CX54" s="563"/>
      <c r="CY54" s="563"/>
      <c r="CZ54" s="563"/>
      <c r="DA54" s="563"/>
      <c r="DB54" s="563"/>
      <c r="DC54" s="563"/>
      <c r="DD54" s="563"/>
      <c r="DE54" s="563"/>
      <c r="DF54" s="563"/>
      <c r="DG54" s="563"/>
      <c r="DH54" s="563"/>
      <c r="DI54" s="563"/>
      <c r="DJ54" s="563"/>
      <c r="DK54" s="563"/>
      <c r="DL54" s="563"/>
      <c r="DM54" s="563"/>
      <c r="DN54" s="563"/>
      <c r="DO54" s="563"/>
      <c r="DP54" s="563"/>
      <c r="DQ54" s="563"/>
      <c r="DR54" s="563"/>
      <c r="DS54" s="563"/>
      <c r="DT54" s="563"/>
      <c r="DU54" s="563"/>
      <c r="DV54" s="563"/>
      <c r="DW54" s="563"/>
      <c r="DX54" s="563"/>
      <c r="DY54" s="563"/>
      <c r="DZ54" s="563"/>
      <c r="EA54" s="563"/>
      <c r="EB54" s="563"/>
      <c r="EC54" s="563"/>
      <c r="ED54" s="563"/>
      <c r="EE54" s="563"/>
      <c r="EF54" s="563"/>
      <c r="EG54" s="563"/>
      <c r="EH54" s="563"/>
      <c r="EI54" s="563"/>
      <c r="EJ54" s="563"/>
      <c r="EK54" s="563"/>
      <c r="EL54" s="563"/>
      <c r="EM54" s="563"/>
      <c r="EN54" s="563"/>
      <c r="EO54" s="563"/>
      <c r="EP54" s="563"/>
      <c r="EQ54" s="563"/>
      <c r="ER54" s="563"/>
      <c r="ES54" s="563"/>
      <c r="ET54" s="563"/>
      <c r="EU54" s="563"/>
      <c r="EV54" s="563"/>
      <c r="EW54" s="563"/>
      <c r="EX54" s="563"/>
      <c r="EY54" s="563"/>
      <c r="EZ54" s="563"/>
      <c r="FA54" s="563"/>
      <c r="FB54" s="563"/>
      <c r="FC54" s="563"/>
      <c r="FD54" s="563"/>
      <c r="FE54" s="563"/>
      <c r="FF54" s="563"/>
      <c r="FG54" s="563"/>
      <c r="FH54" s="563"/>
      <c r="FI54" s="563"/>
      <c r="FJ54" s="563"/>
      <c r="FK54" s="563"/>
      <c r="FL54" s="563"/>
      <c r="FM54" s="563"/>
      <c r="FN54" s="563"/>
      <c r="FO54" s="563"/>
      <c r="FP54" s="563"/>
      <c r="FQ54" s="563"/>
      <c r="FR54" s="563"/>
      <c r="FS54" s="563"/>
      <c r="FT54" s="563"/>
      <c r="FU54" s="563"/>
      <c r="FV54" s="563"/>
      <c r="FW54" s="563"/>
      <c r="FX54" s="563"/>
      <c r="FY54" s="563"/>
      <c r="FZ54" s="563"/>
      <c r="GA54" s="563"/>
      <c r="GB54" s="563"/>
      <c r="GC54" s="563"/>
      <c r="GD54" s="563"/>
      <c r="GE54" s="563"/>
      <c r="GF54" s="563"/>
      <c r="GG54" s="563"/>
      <c r="GH54" s="563"/>
      <c r="GI54" s="563"/>
      <c r="GJ54" s="563"/>
      <c r="GK54" s="563"/>
      <c r="GL54" s="563"/>
      <c r="GM54" s="563"/>
      <c r="GN54" s="563"/>
      <c r="GO54" s="563"/>
      <c r="GP54" s="563"/>
      <c r="GQ54" s="563"/>
      <c r="GR54" s="563"/>
      <c r="GS54" s="563"/>
      <c r="GT54" s="563"/>
      <c r="GU54" s="563"/>
      <c r="GV54" s="563"/>
      <c r="GW54" s="563"/>
      <c r="GX54" s="563"/>
      <c r="GY54" s="563"/>
      <c r="GZ54" s="563"/>
      <c r="HA54" s="563"/>
      <c r="HB54" s="563"/>
      <c r="HC54" s="563"/>
      <c r="HD54" s="563"/>
      <c r="HE54" s="563"/>
      <c r="HF54" s="563"/>
      <c r="HG54" s="563"/>
      <c r="HH54" s="563"/>
      <c r="HI54" s="563"/>
      <c r="HJ54" s="563"/>
      <c r="HK54" s="563"/>
      <c r="HL54" s="563"/>
      <c r="HM54" s="563"/>
      <c r="HN54" s="563"/>
      <c r="HO54" s="563"/>
      <c r="HP54" s="563"/>
      <c r="HQ54" s="563"/>
      <c r="HR54" s="563"/>
      <c r="HS54" s="563"/>
      <c r="HT54" s="563"/>
      <c r="HU54" s="563"/>
      <c r="HV54" s="563"/>
      <c r="HW54" s="563"/>
      <c r="HX54" s="563"/>
      <c r="HY54" s="563"/>
      <c r="HZ54" s="563"/>
      <c r="IA54" s="563"/>
      <c r="IB54" s="563"/>
      <c r="IC54" s="563"/>
      <c r="ID54" s="563"/>
      <c r="IE54" s="563"/>
      <c r="IF54" s="563"/>
      <c r="IG54" s="563"/>
      <c r="IH54" s="563"/>
      <c r="II54" s="563"/>
      <c r="IJ54" s="563"/>
      <c r="IK54" s="563"/>
      <c r="IL54" s="563"/>
      <c r="IM54" s="563"/>
      <c r="IN54" s="563"/>
      <c r="IO54" s="563"/>
      <c r="IP54" s="563"/>
      <c r="IQ54" s="563"/>
      <c r="IR54" s="563"/>
      <c r="IS54" s="563"/>
      <c r="IT54" s="563"/>
      <c r="IU54" s="563"/>
      <c r="IV54" s="563"/>
      <c r="IW54" s="563"/>
      <c r="IX54" s="563"/>
      <c r="IY54" s="563"/>
      <c r="IZ54" s="563"/>
      <c r="JA54" s="563"/>
      <c r="JB54" s="563"/>
      <c r="JC54" s="563"/>
      <c r="JD54" s="563"/>
      <c r="JE54" s="563"/>
      <c r="JF54" s="563"/>
      <c r="JG54" s="563"/>
      <c r="JH54" s="563"/>
      <c r="JI54" s="563"/>
      <c r="JJ54" s="563"/>
      <c r="JK54" s="563"/>
      <c r="JL54" s="563"/>
      <c r="JM54" s="563"/>
      <c r="JN54" s="563"/>
      <c r="JO54" s="563"/>
      <c r="JP54" s="563"/>
      <c r="JQ54" s="563"/>
      <c r="JR54" s="563"/>
      <c r="JS54" s="563"/>
      <c r="JT54" s="564"/>
      <c r="JU54" s="563"/>
      <c r="JV54" s="563"/>
      <c r="JW54" s="563"/>
      <c r="JX54" s="563"/>
      <c r="JY54" s="563"/>
      <c r="JZ54" s="563"/>
      <c r="KA54" s="563"/>
      <c r="KB54" s="563"/>
      <c r="KC54" s="563"/>
      <c r="KD54" s="563"/>
      <c r="KE54" s="563"/>
      <c r="KF54" s="563"/>
      <c r="KG54" s="563"/>
      <c r="KH54" s="563"/>
      <c r="KI54" s="563"/>
      <c r="KJ54" s="563"/>
      <c r="KK54" s="563"/>
      <c r="KL54" s="563"/>
      <c r="KM54" s="563"/>
      <c r="KN54" s="563"/>
      <c r="KO54" s="563"/>
      <c r="KP54" s="563"/>
      <c r="KQ54" s="563"/>
      <c r="KR54" s="563"/>
      <c r="KS54" s="563"/>
      <c r="KT54" s="563"/>
      <c r="KU54" s="563"/>
      <c r="KV54" s="563"/>
      <c r="KW54" s="563"/>
      <c r="KX54" s="563"/>
      <c r="KY54" s="563"/>
      <c r="KZ54" s="563"/>
      <c r="LA54" s="563"/>
      <c r="LB54" s="563"/>
      <c r="LC54" s="563"/>
      <c r="LD54" s="550"/>
      <c r="LE54" s="552"/>
      <c r="LF54" s="565"/>
      <c r="LG54" s="566"/>
      <c r="LH54" s="567"/>
      <c r="LI54" s="568"/>
      <c r="LJ54" s="569"/>
      <c r="LK54" s="568"/>
      <c r="LL54" s="569"/>
      <c r="LM54" s="568"/>
      <c r="LN54" s="569"/>
      <c r="LO54" s="568"/>
      <c r="LP54" s="569"/>
      <c r="LQ54" s="568"/>
      <c r="LR54" s="569"/>
      <c r="LS54" s="568"/>
      <c r="LT54" s="570"/>
      <c r="LU54" s="571"/>
      <c r="LV54" s="572"/>
      <c r="LW54" s="570"/>
      <c r="LX54" s="573"/>
      <c r="LY54" s="571"/>
      <c r="LZ54" s="574"/>
      <c r="MA54" s="562"/>
      <c r="MB54" s="575"/>
    </row>
    <row r="55" spans="1:340">
      <c r="A55" s="14">
        <v>1</v>
      </c>
      <c r="B55" s="576"/>
      <c r="C55" s="577"/>
      <c r="D55" s="240"/>
      <c r="E55" s="240"/>
      <c r="F55" s="578"/>
      <c r="G55" s="241"/>
      <c r="H55" s="241"/>
      <c r="I55" s="241"/>
      <c r="J55" s="578"/>
      <c r="K55" s="578"/>
      <c r="L55" s="578"/>
      <c r="M55" s="578"/>
      <c r="N55" s="578"/>
      <c r="O55" s="578"/>
      <c r="P55" s="578"/>
      <c r="Q55" s="578"/>
      <c r="R55" s="578"/>
      <c r="S55" s="578"/>
      <c r="T55" s="578"/>
      <c r="U55" s="578"/>
      <c r="V55" s="578"/>
      <c r="W55" s="578"/>
      <c r="X55" s="578"/>
      <c r="Y55" s="578"/>
      <c r="Z55" s="578"/>
      <c r="AA55" s="579"/>
      <c r="AC55" s="580"/>
      <c r="AD55" s="580"/>
      <c r="AE55" s="580"/>
      <c r="AF55" s="580"/>
      <c r="AG55" s="580"/>
      <c r="AH55" s="580"/>
      <c r="AI55" s="580"/>
      <c r="AJ55" s="580"/>
      <c r="AK55" s="580"/>
      <c r="AL55" s="580"/>
      <c r="AM55" s="580"/>
      <c r="AN55" s="580"/>
      <c r="AO55" s="580"/>
      <c r="AP55" s="580"/>
      <c r="AQ55" s="580"/>
      <c r="AR55" s="580"/>
      <c r="AS55" s="580"/>
      <c r="AT55" s="580"/>
      <c r="AU55" s="580"/>
      <c r="AV55" s="580"/>
      <c r="AW55" s="580"/>
      <c r="AX55" s="580"/>
      <c r="AY55" s="580"/>
      <c r="AZ55" s="580"/>
      <c r="BA55" s="580"/>
      <c r="BB55" s="580"/>
      <c r="BC55" s="580"/>
      <c r="BD55" s="580"/>
      <c r="BE55" s="580"/>
      <c r="BF55" s="580"/>
      <c r="BG55" s="580"/>
      <c r="BH55" s="580"/>
      <c r="BI55" s="580"/>
      <c r="BJ55" s="580"/>
      <c r="BK55" s="580"/>
      <c r="BL55" s="580"/>
      <c r="BM55" s="580"/>
      <c r="BN55" s="580"/>
      <c r="BO55" s="580"/>
      <c r="BP55" s="580"/>
      <c r="BQ55" s="580"/>
      <c r="BR55" s="580"/>
      <c r="BS55" s="580"/>
      <c r="BT55" s="580"/>
      <c r="BU55" s="580"/>
      <c r="BV55" s="580"/>
      <c r="BW55" s="580"/>
      <c r="BX55" s="580"/>
      <c r="BY55" s="580"/>
      <c r="BZ55" s="580"/>
      <c r="CA55" s="580"/>
      <c r="CB55" s="580"/>
      <c r="CC55" s="580"/>
      <c r="CD55" s="580"/>
      <c r="CE55" s="580"/>
      <c r="CF55" s="580"/>
      <c r="CG55" s="580"/>
      <c r="CH55" s="580"/>
      <c r="CI55" s="580"/>
      <c r="CJ55" s="580"/>
      <c r="CK55" s="580"/>
      <c r="CL55" s="580"/>
      <c r="CM55" s="580"/>
      <c r="CN55" s="580"/>
      <c r="CO55" s="580"/>
      <c r="CP55" s="580"/>
      <c r="CQ55" s="580"/>
      <c r="CR55" s="580"/>
      <c r="CS55" s="580"/>
      <c r="CT55" s="580"/>
      <c r="CU55" s="580"/>
      <c r="CV55" s="580"/>
      <c r="CW55" s="580"/>
      <c r="CX55" s="580"/>
      <c r="CY55" s="580"/>
      <c r="CZ55" s="580"/>
      <c r="DA55" s="580"/>
      <c r="DB55" s="580"/>
      <c r="DC55" s="580"/>
      <c r="DD55" s="580"/>
      <c r="DE55" s="580"/>
      <c r="DF55" s="580"/>
      <c r="DG55" s="580"/>
      <c r="DH55" s="580"/>
      <c r="DI55" s="580"/>
      <c r="DJ55" s="580"/>
      <c r="DK55" s="580"/>
      <c r="DL55" s="580"/>
      <c r="DM55" s="580"/>
      <c r="DN55" s="580"/>
      <c r="DO55" s="580"/>
      <c r="DP55" s="580"/>
      <c r="DQ55" s="580"/>
      <c r="DR55" s="580"/>
      <c r="DS55" s="580"/>
      <c r="DT55" s="580"/>
      <c r="DU55" s="580"/>
      <c r="DV55" s="580"/>
      <c r="DW55" s="580"/>
      <c r="DX55" s="580"/>
      <c r="DY55" s="580"/>
      <c r="DZ55" s="580"/>
      <c r="EA55" s="580"/>
      <c r="EB55" s="580"/>
      <c r="EC55" s="580"/>
      <c r="ED55" s="580"/>
      <c r="EE55" s="580"/>
      <c r="EF55" s="580"/>
      <c r="EG55" s="580"/>
      <c r="EH55" s="580"/>
      <c r="EI55" s="580"/>
      <c r="EJ55" s="580"/>
      <c r="EK55" s="580"/>
      <c r="EL55" s="580"/>
      <c r="EM55" s="580"/>
      <c r="EN55" s="580"/>
      <c r="EO55" s="580"/>
      <c r="EP55" s="580"/>
      <c r="EQ55" s="580"/>
      <c r="ER55" s="580"/>
      <c r="ES55" s="580"/>
      <c r="ET55" s="580"/>
      <c r="EU55" s="580"/>
      <c r="EV55" s="580"/>
      <c r="EW55" s="580"/>
      <c r="EX55" s="580"/>
      <c r="EY55" s="580"/>
      <c r="EZ55" s="580"/>
      <c r="FA55" s="580"/>
      <c r="FB55" s="580"/>
      <c r="FC55" s="580"/>
      <c r="FD55" s="580"/>
      <c r="FE55" s="580"/>
      <c r="FF55" s="580"/>
      <c r="FG55" s="580"/>
      <c r="FH55" s="580"/>
      <c r="FI55" s="580"/>
      <c r="FJ55" s="580"/>
      <c r="FK55" s="580"/>
      <c r="FL55" s="580"/>
      <c r="FM55" s="580"/>
      <c r="FN55" s="580"/>
      <c r="FO55" s="580"/>
      <c r="FP55" s="580"/>
      <c r="FQ55" s="580"/>
      <c r="FR55" s="580"/>
      <c r="FS55" s="580"/>
      <c r="FT55" s="580"/>
      <c r="FU55" s="580"/>
      <c r="FV55" s="580"/>
      <c r="FW55" s="580"/>
      <c r="FX55" s="580"/>
      <c r="FY55" s="580"/>
      <c r="FZ55" s="580"/>
      <c r="GA55" s="580"/>
      <c r="GB55" s="580"/>
      <c r="GC55" s="580"/>
      <c r="GD55" s="580"/>
      <c r="GE55" s="580"/>
      <c r="GF55" s="580"/>
      <c r="GG55" s="580"/>
      <c r="GH55" s="580"/>
      <c r="GI55" s="580"/>
      <c r="GJ55" s="580"/>
      <c r="GK55" s="580"/>
      <c r="GL55" s="580"/>
      <c r="GM55" s="580"/>
      <c r="GN55" s="580"/>
      <c r="GO55" s="580"/>
      <c r="GP55" s="580"/>
      <c r="GQ55" s="580"/>
      <c r="GR55" s="580"/>
      <c r="GS55" s="580"/>
      <c r="GT55" s="580"/>
      <c r="GU55" s="580"/>
      <c r="GV55" s="580"/>
      <c r="GW55" s="580"/>
      <c r="GX55" s="580"/>
      <c r="GY55" s="580"/>
      <c r="GZ55" s="580"/>
      <c r="HA55" s="580"/>
      <c r="HB55" s="580"/>
      <c r="HC55" s="580"/>
      <c r="HD55" s="580"/>
      <c r="HE55" s="580"/>
      <c r="HF55" s="580"/>
      <c r="HG55" s="580"/>
      <c r="HH55" s="580"/>
      <c r="HI55" s="580"/>
      <c r="HJ55" s="580"/>
      <c r="HK55" s="580"/>
      <c r="HL55" s="580"/>
      <c r="HM55" s="580"/>
      <c r="HN55" s="580"/>
      <c r="HO55" s="580"/>
      <c r="HP55" s="580"/>
      <c r="HQ55" s="580"/>
      <c r="HR55" s="580"/>
      <c r="HS55" s="580"/>
      <c r="HT55" s="580"/>
      <c r="HU55" s="580"/>
      <c r="HV55" s="580"/>
      <c r="HW55" s="580"/>
      <c r="HX55" s="580"/>
      <c r="HY55" s="580"/>
      <c r="HZ55" s="580"/>
      <c r="IA55" s="580"/>
      <c r="IB55" s="580"/>
      <c r="IC55" s="580"/>
      <c r="ID55" s="580"/>
      <c r="IE55" s="580"/>
      <c r="IF55" s="580"/>
      <c r="IG55" s="580"/>
      <c r="IH55" s="580"/>
      <c r="II55" s="580"/>
      <c r="IJ55" s="580"/>
      <c r="IK55" s="580"/>
      <c r="IL55" s="580"/>
      <c r="IM55" s="580"/>
      <c r="IN55" s="580"/>
      <c r="IO55" s="580"/>
      <c r="IP55" s="580"/>
      <c r="IQ55" s="580"/>
      <c r="IR55" s="580"/>
      <c r="IS55" s="580"/>
      <c r="IT55" s="580"/>
      <c r="IU55" s="580"/>
      <c r="IV55" s="580"/>
      <c r="IW55" s="580"/>
      <c r="IX55" s="580"/>
      <c r="IY55" s="580"/>
      <c r="IZ55" s="580"/>
      <c r="JA55" s="580"/>
      <c r="JB55" s="580"/>
      <c r="JC55" s="580"/>
      <c r="JD55" s="580"/>
      <c r="JE55" s="580"/>
      <c r="JF55" s="580"/>
      <c r="JG55" s="580"/>
      <c r="JH55" s="580"/>
      <c r="JI55" s="580"/>
      <c r="JJ55" s="580"/>
      <c r="JK55" s="580"/>
      <c r="JL55" s="580"/>
      <c r="JM55" s="580"/>
      <c r="JN55" s="580"/>
      <c r="JO55" s="580"/>
      <c r="JP55" s="580"/>
      <c r="JQ55" s="580"/>
      <c r="JR55" s="580"/>
      <c r="JS55" s="580"/>
      <c r="JT55" s="581"/>
      <c r="JU55" s="580"/>
      <c r="JV55" s="580"/>
      <c r="JW55" s="580"/>
      <c r="JX55" s="580"/>
      <c r="JY55" s="580"/>
      <c r="JZ55" s="580"/>
      <c r="KA55" s="580"/>
      <c r="KB55" s="580"/>
      <c r="KC55" s="580"/>
      <c r="KD55" s="580"/>
      <c r="KE55" s="580"/>
      <c r="KF55" s="580"/>
      <c r="KG55" s="580"/>
      <c r="KH55" s="580"/>
      <c r="KI55" s="580"/>
      <c r="KJ55" s="580"/>
      <c r="KK55" s="580"/>
      <c r="KL55" s="580"/>
      <c r="KM55" s="580"/>
      <c r="KN55" s="580"/>
      <c r="KO55" s="580"/>
      <c r="KP55" s="580"/>
      <c r="KQ55" s="580"/>
      <c r="KR55" s="580"/>
      <c r="KS55" s="580"/>
      <c r="KT55" s="580"/>
      <c r="KU55" s="580"/>
      <c r="KV55" s="580"/>
      <c r="KW55" s="580"/>
      <c r="KX55" s="580"/>
      <c r="KY55" s="580"/>
      <c r="KZ55" s="580"/>
      <c r="LA55" s="580"/>
      <c r="LB55" s="580"/>
      <c r="LC55" s="580"/>
      <c r="LD55" s="240"/>
      <c r="LE55" s="578"/>
      <c r="LF55" s="578"/>
      <c r="LG55" s="578"/>
      <c r="LH55" s="578"/>
      <c r="LI55" s="578"/>
      <c r="LJ55" s="578"/>
      <c r="LK55" s="578"/>
      <c r="LL55" s="578"/>
      <c r="LM55" s="578"/>
      <c r="LN55" s="578"/>
      <c r="LO55" s="578"/>
      <c r="LP55" s="578"/>
      <c r="LQ55" s="578"/>
      <c r="LR55" s="578"/>
      <c r="LS55" s="578"/>
      <c r="LT55" s="578"/>
      <c r="LU55" s="578"/>
      <c r="LV55" s="578"/>
      <c r="LW55" s="578"/>
      <c r="LX55" s="578"/>
      <c r="LY55" s="578"/>
      <c r="LZ55" s="578"/>
      <c r="MA55" s="578"/>
      <c r="MB55" s="578"/>
    </row>
    <row r="56" spans="1:340">
      <c r="A56" s="14">
        <v>1</v>
      </c>
      <c r="B56" s="582"/>
      <c r="C56" s="583"/>
      <c r="D56" s="584"/>
      <c r="E56" s="584"/>
      <c r="F56" s="585"/>
      <c r="G56" s="587"/>
      <c r="H56" s="587"/>
      <c r="I56" s="587"/>
      <c r="J56" s="585"/>
      <c r="K56" s="585"/>
      <c r="L56" s="585"/>
      <c r="M56" s="585"/>
      <c r="N56" s="585"/>
      <c r="O56" s="585"/>
      <c r="P56" s="585"/>
      <c r="Q56" s="585"/>
      <c r="R56" s="585"/>
      <c r="S56" s="585"/>
      <c r="T56" s="585"/>
      <c r="U56" s="585"/>
      <c r="V56" s="585"/>
      <c r="W56" s="585"/>
      <c r="X56" s="585"/>
      <c r="Y56" s="585"/>
      <c r="Z56" s="585"/>
      <c r="AA56" s="586"/>
      <c r="AC56" s="585"/>
      <c r="AD56" s="585"/>
      <c r="AE56" s="585"/>
      <c r="AF56" s="585"/>
      <c r="AG56" s="585"/>
      <c r="AH56" s="585"/>
      <c r="AI56" s="585"/>
      <c r="AJ56" s="585"/>
      <c r="AK56" s="585"/>
      <c r="AL56" s="585"/>
      <c r="AM56" s="585"/>
      <c r="AN56" s="585"/>
      <c r="AO56" s="585"/>
      <c r="AP56" s="585"/>
      <c r="AQ56" s="585"/>
      <c r="AR56" s="585"/>
      <c r="AS56" s="585"/>
      <c r="AT56" s="585"/>
      <c r="AU56" s="585"/>
      <c r="AV56" s="585"/>
      <c r="AW56" s="585"/>
      <c r="AX56" s="585"/>
      <c r="AY56" s="585"/>
      <c r="AZ56" s="585"/>
      <c r="BA56" s="585"/>
      <c r="BB56" s="585"/>
      <c r="BC56" s="585"/>
      <c r="BD56" s="585"/>
      <c r="BE56" s="585"/>
      <c r="BF56" s="585"/>
      <c r="BG56" s="585"/>
      <c r="BH56" s="585"/>
      <c r="BI56" s="585"/>
      <c r="BJ56" s="585"/>
      <c r="BK56" s="585"/>
      <c r="BL56" s="585"/>
      <c r="BM56" s="585"/>
      <c r="BN56" s="585"/>
      <c r="BO56" s="585"/>
      <c r="BP56" s="585"/>
      <c r="BQ56" s="585"/>
      <c r="BR56" s="585"/>
      <c r="BS56" s="585"/>
      <c r="BT56" s="585"/>
      <c r="BU56" s="585"/>
      <c r="BV56" s="585"/>
      <c r="BW56" s="585"/>
      <c r="BX56" s="585"/>
      <c r="BY56" s="585"/>
      <c r="BZ56" s="585"/>
      <c r="CA56" s="585"/>
      <c r="CB56" s="585"/>
      <c r="CC56" s="585"/>
      <c r="CD56" s="585"/>
      <c r="CE56" s="585"/>
      <c r="CF56" s="585"/>
      <c r="CG56" s="585"/>
      <c r="CH56" s="585"/>
      <c r="CI56" s="585"/>
      <c r="CJ56" s="585"/>
      <c r="CK56" s="585"/>
      <c r="CL56" s="585"/>
      <c r="CM56" s="585"/>
      <c r="CN56" s="585"/>
      <c r="CO56" s="585"/>
      <c r="CP56" s="585"/>
      <c r="CQ56" s="585"/>
      <c r="CR56" s="585"/>
      <c r="CS56" s="585"/>
      <c r="CT56" s="585"/>
      <c r="CU56" s="585"/>
      <c r="CV56" s="585"/>
      <c r="CW56" s="585"/>
      <c r="CX56" s="585"/>
      <c r="CY56" s="585"/>
      <c r="CZ56" s="585"/>
      <c r="DA56" s="585"/>
      <c r="DB56" s="585"/>
      <c r="DC56" s="585"/>
      <c r="DD56" s="585"/>
      <c r="DE56" s="585"/>
      <c r="DF56" s="585"/>
      <c r="DG56" s="585"/>
      <c r="DH56" s="585"/>
      <c r="DI56" s="585"/>
      <c r="DJ56" s="585"/>
      <c r="DK56" s="585"/>
      <c r="DL56" s="585"/>
      <c r="DM56" s="585"/>
      <c r="DN56" s="585"/>
      <c r="DO56" s="585"/>
      <c r="DP56" s="585"/>
      <c r="DQ56" s="585"/>
      <c r="DR56" s="585"/>
      <c r="DS56" s="585"/>
      <c r="DT56" s="585"/>
      <c r="DU56" s="585"/>
      <c r="DV56" s="585"/>
      <c r="DW56" s="585"/>
      <c r="DX56" s="585"/>
      <c r="DY56" s="585"/>
      <c r="DZ56" s="585"/>
      <c r="EA56" s="585"/>
      <c r="EB56" s="585"/>
      <c r="EC56" s="585"/>
      <c r="ED56" s="585"/>
      <c r="EE56" s="585"/>
      <c r="EF56" s="585"/>
      <c r="EG56" s="585"/>
      <c r="EH56" s="585"/>
      <c r="EI56" s="585"/>
      <c r="EJ56" s="585"/>
      <c r="EK56" s="585"/>
      <c r="EL56" s="585"/>
      <c r="EM56" s="585"/>
      <c r="EN56" s="585"/>
      <c r="EO56" s="585"/>
      <c r="EP56" s="585"/>
      <c r="EQ56" s="585"/>
      <c r="ER56" s="585"/>
      <c r="ES56" s="585"/>
      <c r="ET56" s="585"/>
      <c r="EU56" s="585"/>
      <c r="EV56" s="585"/>
      <c r="EW56" s="585"/>
      <c r="EX56" s="585"/>
      <c r="EY56" s="585"/>
      <c r="EZ56" s="585"/>
      <c r="FA56" s="585"/>
      <c r="FB56" s="585"/>
      <c r="FC56" s="585"/>
      <c r="FD56" s="585"/>
      <c r="FE56" s="585"/>
      <c r="FF56" s="585"/>
      <c r="FG56" s="585"/>
      <c r="FH56" s="585"/>
      <c r="FI56" s="585"/>
      <c r="FJ56" s="585"/>
      <c r="FK56" s="585"/>
      <c r="FL56" s="585"/>
      <c r="FM56" s="585"/>
      <c r="FN56" s="585"/>
      <c r="FO56" s="585"/>
      <c r="FP56" s="585"/>
      <c r="FQ56" s="585"/>
      <c r="FR56" s="585"/>
      <c r="FS56" s="585"/>
      <c r="FT56" s="585"/>
      <c r="FU56" s="585"/>
      <c r="FV56" s="585"/>
      <c r="FW56" s="585"/>
      <c r="FX56" s="585"/>
      <c r="FY56" s="585"/>
      <c r="FZ56" s="585"/>
      <c r="GA56" s="585"/>
      <c r="GB56" s="585"/>
      <c r="GC56" s="585"/>
      <c r="GD56" s="585"/>
      <c r="GE56" s="585"/>
      <c r="GF56" s="585"/>
      <c r="GG56" s="585"/>
      <c r="GH56" s="585"/>
      <c r="GI56" s="585"/>
      <c r="GJ56" s="585"/>
      <c r="GK56" s="585"/>
      <c r="GL56" s="585"/>
      <c r="GM56" s="585"/>
      <c r="GN56" s="585"/>
      <c r="GO56" s="585"/>
      <c r="GP56" s="585"/>
      <c r="GQ56" s="585"/>
      <c r="GR56" s="585"/>
      <c r="GS56" s="585"/>
      <c r="GT56" s="585"/>
      <c r="GU56" s="585"/>
      <c r="GV56" s="585"/>
      <c r="GW56" s="585"/>
      <c r="GX56" s="585"/>
      <c r="GY56" s="585"/>
      <c r="GZ56" s="585"/>
      <c r="HA56" s="585"/>
      <c r="HB56" s="585"/>
      <c r="HC56" s="585"/>
      <c r="HD56" s="585"/>
      <c r="HE56" s="585"/>
      <c r="HF56" s="585"/>
      <c r="HG56" s="585"/>
      <c r="HH56" s="585"/>
      <c r="HI56" s="585"/>
      <c r="HJ56" s="585"/>
      <c r="HK56" s="585"/>
      <c r="HL56" s="585"/>
      <c r="HM56" s="585"/>
      <c r="HN56" s="585"/>
      <c r="HO56" s="585"/>
      <c r="HP56" s="585"/>
      <c r="HQ56" s="585"/>
      <c r="HR56" s="585"/>
      <c r="HS56" s="585"/>
      <c r="HT56" s="585"/>
      <c r="HU56" s="585"/>
      <c r="HV56" s="585"/>
      <c r="HW56" s="585"/>
      <c r="HX56" s="585"/>
      <c r="HY56" s="585"/>
      <c r="HZ56" s="585"/>
      <c r="IA56" s="585"/>
      <c r="IB56" s="585"/>
      <c r="IC56" s="585"/>
      <c r="ID56" s="585"/>
      <c r="IE56" s="585"/>
      <c r="IF56" s="585"/>
      <c r="IG56" s="585"/>
      <c r="IH56" s="585"/>
      <c r="II56" s="585"/>
      <c r="IJ56" s="585"/>
      <c r="IK56" s="585"/>
      <c r="IL56" s="585"/>
      <c r="IM56" s="585"/>
      <c r="IN56" s="585"/>
      <c r="IO56" s="585"/>
      <c r="IP56" s="585"/>
      <c r="IQ56" s="585"/>
      <c r="IR56" s="585"/>
      <c r="IS56" s="585"/>
      <c r="IT56" s="585"/>
      <c r="IU56" s="585"/>
      <c r="IV56" s="585"/>
      <c r="IW56" s="585"/>
      <c r="IX56" s="585"/>
      <c r="IY56" s="585"/>
      <c r="IZ56" s="585"/>
      <c r="JA56" s="585"/>
      <c r="JB56" s="585"/>
      <c r="JC56" s="585"/>
      <c r="JD56" s="585"/>
      <c r="JE56" s="585"/>
      <c r="JF56" s="585"/>
      <c r="JG56" s="585"/>
      <c r="JH56" s="585"/>
      <c r="JI56" s="585"/>
      <c r="JJ56" s="585"/>
      <c r="JK56" s="585"/>
      <c r="JL56" s="585"/>
      <c r="JM56" s="585"/>
      <c r="JN56" s="585"/>
      <c r="JO56" s="585"/>
      <c r="JP56" s="585"/>
      <c r="JQ56" s="585"/>
      <c r="JR56" s="585"/>
      <c r="JS56" s="585"/>
      <c r="JT56" s="587"/>
      <c r="JU56" s="585"/>
      <c r="JV56" s="585"/>
      <c r="JW56" s="585"/>
      <c r="JX56" s="585"/>
      <c r="JY56" s="585"/>
      <c r="JZ56" s="585"/>
      <c r="KA56" s="585"/>
      <c r="KB56" s="585"/>
      <c r="KC56" s="585"/>
      <c r="KD56" s="585"/>
      <c r="KE56" s="585"/>
      <c r="KF56" s="585"/>
      <c r="KG56" s="585"/>
      <c r="KH56" s="585"/>
      <c r="KI56" s="585"/>
      <c r="KJ56" s="585"/>
      <c r="KK56" s="585"/>
      <c r="KL56" s="585"/>
      <c r="KM56" s="585"/>
      <c r="KN56" s="585"/>
      <c r="KO56" s="585"/>
      <c r="KP56" s="585"/>
      <c r="KQ56" s="585"/>
      <c r="KR56" s="585"/>
      <c r="KS56" s="585"/>
      <c r="KT56" s="585"/>
      <c r="KU56" s="585"/>
      <c r="KV56" s="585"/>
      <c r="KW56" s="585"/>
      <c r="KX56" s="585"/>
      <c r="KY56" s="585"/>
      <c r="KZ56" s="585"/>
      <c r="LA56" s="585"/>
      <c r="LB56" s="585"/>
      <c r="LC56" s="585"/>
      <c r="LD56" s="584"/>
      <c r="LE56" s="585"/>
      <c r="LF56" s="585"/>
      <c r="LG56" s="585"/>
      <c r="LH56" s="585"/>
      <c r="LI56" s="585"/>
      <c r="LJ56" s="585"/>
      <c r="LK56" s="585"/>
      <c r="LL56" s="585"/>
      <c r="LM56" s="585"/>
      <c r="LN56" s="585"/>
      <c r="LO56" s="585"/>
      <c r="LP56" s="585"/>
      <c r="LQ56" s="585"/>
      <c r="LR56" s="585"/>
      <c r="LS56" s="585"/>
      <c r="LT56" s="585"/>
      <c r="LU56" s="585"/>
      <c r="LV56" s="585"/>
      <c r="LW56" s="585"/>
      <c r="LX56" s="585"/>
      <c r="LY56" s="585"/>
      <c r="LZ56" s="585"/>
      <c r="MA56" s="585"/>
      <c r="MB56" s="585"/>
    </row>
    <row r="57" spans="1:340">
      <c r="A57" s="14">
        <v>1</v>
      </c>
      <c r="B57" s="582"/>
      <c r="C57" s="583"/>
      <c r="D57" s="584"/>
      <c r="E57" s="584"/>
      <c r="F57" s="585"/>
      <c r="G57" s="587"/>
      <c r="H57" s="587"/>
      <c r="I57" s="587"/>
      <c r="J57" s="585"/>
      <c r="K57" s="585"/>
      <c r="L57" s="585"/>
      <c r="M57" s="585"/>
      <c r="N57" s="585"/>
      <c r="O57" s="585"/>
      <c r="P57" s="585"/>
      <c r="Q57" s="585"/>
      <c r="R57" s="585"/>
      <c r="S57" s="585"/>
      <c r="T57" s="585"/>
      <c r="U57" s="585"/>
      <c r="V57" s="585"/>
      <c r="W57" s="585"/>
      <c r="X57" s="585"/>
      <c r="Y57" s="585"/>
      <c r="Z57" s="585"/>
      <c r="AA57" s="586"/>
      <c r="AB57" s="584"/>
      <c r="AC57" s="585"/>
      <c r="AD57" s="585"/>
      <c r="AE57" s="585"/>
      <c r="AF57" s="585"/>
      <c r="AG57" s="585"/>
      <c r="AH57" s="585"/>
      <c r="AI57" s="585"/>
      <c r="AJ57" s="585"/>
      <c r="AK57" s="585"/>
      <c r="AL57" s="585"/>
      <c r="AM57" s="585"/>
      <c r="AN57" s="585"/>
      <c r="AO57" s="585"/>
      <c r="AP57" s="585"/>
      <c r="AQ57" s="585"/>
      <c r="AR57" s="585"/>
      <c r="AS57" s="585"/>
      <c r="AT57" s="585"/>
      <c r="AU57" s="585"/>
      <c r="AV57" s="585"/>
      <c r="AW57" s="585"/>
      <c r="AX57" s="585"/>
      <c r="AY57" s="585"/>
      <c r="AZ57" s="585"/>
      <c r="BA57" s="585"/>
      <c r="BB57" s="585"/>
      <c r="BC57" s="585"/>
      <c r="BD57" s="585"/>
      <c r="BE57" s="585"/>
      <c r="BF57" s="585"/>
      <c r="BG57" s="585"/>
      <c r="BH57" s="585"/>
      <c r="BI57" s="585"/>
      <c r="BJ57" s="585"/>
      <c r="BK57" s="585"/>
      <c r="BL57" s="585"/>
      <c r="BM57" s="585"/>
      <c r="BN57" s="585"/>
      <c r="BO57" s="585"/>
      <c r="BP57" s="585"/>
      <c r="BQ57" s="585"/>
      <c r="BR57" s="585"/>
      <c r="BS57" s="585"/>
      <c r="BT57" s="585"/>
      <c r="BU57" s="585"/>
      <c r="BV57" s="585"/>
      <c r="BW57" s="585"/>
      <c r="BX57" s="585"/>
      <c r="BY57" s="585"/>
      <c r="BZ57" s="585"/>
      <c r="CA57" s="585"/>
      <c r="CB57" s="585"/>
      <c r="CC57" s="585"/>
      <c r="CD57" s="585"/>
      <c r="CE57" s="585"/>
      <c r="CF57" s="585"/>
      <c r="CG57" s="585"/>
      <c r="CH57" s="585"/>
      <c r="CI57" s="585"/>
      <c r="CJ57" s="585"/>
      <c r="CK57" s="585"/>
      <c r="CL57" s="585"/>
      <c r="CM57" s="585"/>
      <c r="CN57" s="585"/>
      <c r="CO57" s="585"/>
      <c r="CP57" s="585"/>
      <c r="CQ57" s="585"/>
      <c r="CR57" s="585"/>
      <c r="CS57" s="585"/>
      <c r="CT57" s="585"/>
      <c r="CU57" s="585"/>
      <c r="CV57" s="585"/>
      <c r="CW57" s="585"/>
      <c r="CX57" s="585"/>
      <c r="CY57" s="585"/>
      <c r="CZ57" s="585"/>
      <c r="DA57" s="585"/>
      <c r="DB57" s="585"/>
      <c r="DC57" s="585"/>
      <c r="DD57" s="585"/>
      <c r="DE57" s="585"/>
      <c r="DF57" s="585"/>
      <c r="DG57" s="585"/>
      <c r="DH57" s="585"/>
      <c r="DI57" s="585"/>
      <c r="DJ57" s="585"/>
      <c r="DK57" s="585"/>
      <c r="DL57" s="585"/>
      <c r="DM57" s="585"/>
      <c r="DN57" s="585"/>
      <c r="DO57" s="585"/>
      <c r="DP57" s="585"/>
      <c r="DQ57" s="585"/>
      <c r="DR57" s="585"/>
      <c r="DS57" s="585"/>
      <c r="DT57" s="585"/>
      <c r="DU57" s="585"/>
      <c r="DV57" s="585"/>
      <c r="DW57" s="585"/>
      <c r="DX57" s="585"/>
      <c r="DY57" s="585"/>
      <c r="DZ57" s="585"/>
      <c r="EA57" s="585"/>
      <c r="EB57" s="585"/>
      <c r="EC57" s="585"/>
      <c r="ED57" s="585"/>
      <c r="EE57" s="585"/>
      <c r="EF57" s="585"/>
      <c r="EG57" s="585"/>
      <c r="EH57" s="585"/>
      <c r="EI57" s="585"/>
      <c r="EJ57" s="585"/>
      <c r="EK57" s="585"/>
      <c r="EL57" s="585"/>
      <c r="EM57" s="585"/>
      <c r="EN57" s="585"/>
      <c r="EO57" s="585"/>
      <c r="EP57" s="585"/>
      <c r="EQ57" s="585"/>
      <c r="ER57" s="585"/>
      <c r="ES57" s="585"/>
      <c r="ET57" s="585"/>
      <c r="EU57" s="585"/>
      <c r="EV57" s="585"/>
      <c r="EW57" s="585"/>
      <c r="EX57" s="585"/>
      <c r="EY57" s="585"/>
      <c r="EZ57" s="585"/>
      <c r="FA57" s="585"/>
      <c r="FB57" s="585"/>
      <c r="FC57" s="585"/>
      <c r="FD57" s="585"/>
      <c r="FE57" s="585"/>
      <c r="FF57" s="585"/>
      <c r="FG57" s="585"/>
      <c r="FH57" s="585"/>
      <c r="FI57" s="585"/>
      <c r="FJ57" s="585"/>
      <c r="FK57" s="585"/>
      <c r="FL57" s="585"/>
      <c r="FM57" s="585"/>
      <c r="FN57" s="585"/>
      <c r="FO57" s="585"/>
      <c r="FP57" s="585"/>
      <c r="FQ57" s="585"/>
      <c r="FR57" s="585"/>
      <c r="FS57" s="585"/>
      <c r="FT57" s="585"/>
      <c r="FU57" s="585"/>
      <c r="FV57" s="585"/>
      <c r="FW57" s="585"/>
      <c r="FX57" s="585"/>
      <c r="FY57" s="585"/>
      <c r="FZ57" s="585"/>
      <c r="GA57" s="585"/>
      <c r="GB57" s="585"/>
      <c r="GC57" s="585"/>
      <c r="GD57" s="585"/>
      <c r="GE57" s="585"/>
      <c r="GF57" s="585"/>
      <c r="GG57" s="585"/>
      <c r="GH57" s="585"/>
      <c r="GI57" s="585"/>
      <c r="GJ57" s="585"/>
      <c r="GK57" s="585"/>
      <c r="GL57" s="585"/>
      <c r="GM57" s="585"/>
      <c r="GN57" s="585"/>
      <c r="GO57" s="585"/>
      <c r="GP57" s="585"/>
      <c r="GQ57" s="585"/>
      <c r="GR57" s="585"/>
      <c r="GS57" s="585"/>
      <c r="GT57" s="585"/>
      <c r="GU57" s="585"/>
      <c r="GV57" s="585"/>
      <c r="GW57" s="585"/>
      <c r="GX57" s="585"/>
      <c r="GY57" s="585"/>
      <c r="GZ57" s="585"/>
      <c r="HA57" s="585"/>
      <c r="HB57" s="585"/>
      <c r="HC57" s="585"/>
      <c r="HD57" s="585"/>
      <c r="HE57" s="585"/>
      <c r="HF57" s="585"/>
      <c r="HG57" s="585"/>
      <c r="HH57" s="585"/>
      <c r="HI57" s="585"/>
      <c r="HJ57" s="585"/>
      <c r="HK57" s="585"/>
      <c r="HL57" s="585"/>
      <c r="HM57" s="585"/>
      <c r="HN57" s="585"/>
      <c r="HO57" s="585"/>
      <c r="HP57" s="585"/>
      <c r="HQ57" s="585"/>
      <c r="HR57" s="585"/>
      <c r="HS57" s="585"/>
      <c r="HT57" s="585"/>
      <c r="HU57" s="585"/>
      <c r="HV57" s="585"/>
      <c r="HW57" s="585"/>
      <c r="HX57" s="585"/>
      <c r="HY57" s="585"/>
      <c r="HZ57" s="585"/>
      <c r="IA57" s="585"/>
      <c r="IB57" s="585"/>
      <c r="IC57" s="585"/>
      <c r="ID57" s="585"/>
      <c r="IE57" s="585"/>
      <c r="IF57" s="585"/>
      <c r="IG57" s="585"/>
      <c r="IH57" s="585"/>
      <c r="II57" s="585"/>
      <c r="IJ57" s="585"/>
      <c r="IK57" s="585"/>
      <c r="IL57" s="585"/>
      <c r="IM57" s="585"/>
      <c r="IN57" s="585"/>
      <c r="IO57" s="585"/>
      <c r="IP57" s="585"/>
      <c r="IQ57" s="585"/>
      <c r="IR57" s="585"/>
      <c r="IS57" s="585"/>
      <c r="IT57" s="585"/>
      <c r="IU57" s="585"/>
      <c r="IV57" s="585"/>
      <c r="IW57" s="585"/>
      <c r="IX57" s="585"/>
      <c r="IY57" s="585"/>
      <c r="IZ57" s="585"/>
      <c r="JA57" s="585"/>
      <c r="JB57" s="585"/>
      <c r="JC57" s="585"/>
      <c r="JD57" s="585"/>
      <c r="JE57" s="585"/>
      <c r="JF57" s="585"/>
      <c r="JG57" s="585"/>
      <c r="JH57" s="585"/>
      <c r="JI57" s="585"/>
      <c r="JJ57" s="585"/>
      <c r="JK57" s="585"/>
      <c r="JL57" s="585"/>
      <c r="JM57" s="585"/>
      <c r="JN57" s="585"/>
      <c r="JO57" s="585"/>
      <c r="JP57" s="585"/>
      <c r="JQ57" s="585"/>
      <c r="JR57" s="585"/>
      <c r="JS57" s="585"/>
      <c r="JT57" s="587"/>
      <c r="JU57" s="585"/>
      <c r="JV57" s="585"/>
      <c r="JW57" s="585"/>
      <c r="JX57" s="585"/>
      <c r="JY57" s="585"/>
      <c r="JZ57" s="585"/>
      <c r="KA57" s="585"/>
      <c r="KB57" s="585"/>
      <c r="KC57" s="585"/>
      <c r="KD57" s="585"/>
      <c r="KE57" s="585"/>
      <c r="KF57" s="585"/>
      <c r="KG57" s="585"/>
      <c r="KH57" s="585"/>
      <c r="KI57" s="585"/>
      <c r="KJ57" s="585"/>
      <c r="KK57" s="585"/>
      <c r="KL57" s="585"/>
      <c r="KM57" s="585"/>
      <c r="KN57" s="585"/>
      <c r="KO57" s="585"/>
      <c r="KP57" s="585"/>
      <c r="KQ57" s="585"/>
      <c r="KR57" s="585"/>
      <c r="KS57" s="585"/>
      <c r="KT57" s="585"/>
      <c r="KU57" s="585"/>
      <c r="KV57" s="585"/>
      <c r="KW57" s="585"/>
      <c r="KX57" s="585"/>
      <c r="KY57" s="585"/>
      <c r="KZ57" s="585"/>
      <c r="LA57" s="585"/>
      <c r="LB57" s="585"/>
      <c r="LC57" s="585"/>
      <c r="LD57" s="584"/>
      <c r="LE57" s="585"/>
      <c r="LF57" s="585"/>
      <c r="LG57" s="585"/>
      <c r="LH57" s="585"/>
      <c r="LI57" s="585"/>
      <c r="LJ57" s="585"/>
      <c r="LK57" s="585"/>
      <c r="LL57" s="585"/>
      <c r="LM57" s="585"/>
      <c r="LN57" s="585"/>
      <c r="LO57" s="585"/>
      <c r="LP57" s="585"/>
      <c r="LQ57" s="585"/>
      <c r="LR57" s="585"/>
      <c r="LS57" s="585"/>
      <c r="LT57" s="585"/>
      <c r="LU57" s="585"/>
      <c r="LV57" s="585"/>
      <c r="LW57" s="585"/>
      <c r="LX57" s="585"/>
      <c r="LY57" s="585"/>
      <c r="LZ57" s="585"/>
      <c r="MA57" s="585"/>
      <c r="MB57" s="585"/>
    </row>
    <row r="58" spans="1:340">
      <c r="A58" s="14">
        <v>1</v>
      </c>
      <c r="B58" s="582"/>
      <c r="C58" s="583"/>
      <c r="D58" s="584"/>
      <c r="E58" s="584"/>
      <c r="F58" s="585"/>
      <c r="G58" s="587"/>
      <c r="H58" s="587"/>
      <c r="I58" s="587"/>
      <c r="J58" s="585"/>
      <c r="K58" s="585"/>
      <c r="L58" s="585"/>
      <c r="M58" s="585"/>
      <c r="N58" s="585"/>
      <c r="O58" s="585"/>
      <c r="P58" s="585"/>
      <c r="Q58" s="585"/>
      <c r="R58" s="585"/>
      <c r="S58" s="585"/>
      <c r="T58" s="585"/>
      <c r="U58" s="585"/>
      <c r="V58" s="585"/>
      <c r="W58" s="585"/>
      <c r="X58" s="585"/>
      <c r="Y58" s="585"/>
      <c r="Z58" s="585"/>
      <c r="AA58" s="586"/>
      <c r="AB58" s="584"/>
      <c r="AC58" s="585"/>
      <c r="AD58" s="585"/>
      <c r="AE58" s="585"/>
      <c r="AF58" s="585"/>
      <c r="AG58" s="585"/>
      <c r="AH58" s="585"/>
      <c r="AI58" s="585"/>
      <c r="AJ58" s="585"/>
      <c r="AK58" s="585"/>
      <c r="AL58" s="585"/>
      <c r="AM58" s="585"/>
      <c r="AN58" s="585"/>
      <c r="AO58" s="585"/>
      <c r="AP58" s="585"/>
      <c r="AQ58" s="585"/>
      <c r="AR58" s="585"/>
      <c r="AS58" s="585"/>
      <c r="AT58" s="585"/>
      <c r="AU58" s="585"/>
      <c r="AV58" s="585"/>
      <c r="AW58" s="585"/>
      <c r="AX58" s="585"/>
      <c r="AY58" s="585"/>
      <c r="AZ58" s="585"/>
      <c r="BA58" s="585"/>
      <c r="BB58" s="585"/>
      <c r="BC58" s="585"/>
      <c r="BD58" s="585"/>
      <c r="BE58" s="585"/>
      <c r="BF58" s="585"/>
      <c r="BG58" s="585"/>
      <c r="BH58" s="585"/>
      <c r="BI58" s="585"/>
      <c r="BJ58" s="585"/>
      <c r="BK58" s="585"/>
      <c r="BL58" s="585"/>
      <c r="BM58" s="585"/>
      <c r="BN58" s="585"/>
      <c r="BO58" s="585"/>
      <c r="BP58" s="585"/>
      <c r="BQ58" s="585"/>
      <c r="BR58" s="585"/>
      <c r="BS58" s="585"/>
      <c r="BT58" s="585"/>
      <c r="BU58" s="585"/>
      <c r="BV58" s="585"/>
      <c r="BW58" s="585"/>
      <c r="BX58" s="585"/>
      <c r="BY58" s="585"/>
      <c r="BZ58" s="585"/>
      <c r="CA58" s="585"/>
      <c r="CB58" s="585"/>
      <c r="CC58" s="585"/>
      <c r="CD58" s="585"/>
      <c r="CE58" s="585"/>
      <c r="CF58" s="585"/>
      <c r="CG58" s="585"/>
      <c r="CH58" s="585"/>
      <c r="CI58" s="585"/>
      <c r="CJ58" s="585"/>
      <c r="CK58" s="585"/>
      <c r="CL58" s="585"/>
      <c r="CM58" s="585"/>
      <c r="CN58" s="585"/>
      <c r="CO58" s="585"/>
      <c r="CP58" s="585"/>
      <c r="CQ58" s="585"/>
      <c r="CR58" s="585"/>
      <c r="CS58" s="585"/>
      <c r="CT58" s="585"/>
      <c r="CU58" s="585"/>
      <c r="CV58" s="585"/>
      <c r="CW58" s="585"/>
      <c r="CX58" s="585"/>
      <c r="CY58" s="585"/>
      <c r="CZ58" s="585"/>
      <c r="DA58" s="585"/>
      <c r="DB58" s="585"/>
      <c r="DC58" s="585"/>
      <c r="DD58" s="585"/>
      <c r="DE58" s="585"/>
      <c r="DF58" s="585"/>
      <c r="DG58" s="585"/>
      <c r="DH58" s="585"/>
      <c r="DI58" s="585"/>
      <c r="DJ58" s="585"/>
      <c r="DK58" s="585"/>
      <c r="DL58" s="585"/>
      <c r="DM58" s="585"/>
      <c r="DN58" s="585"/>
      <c r="DO58" s="585"/>
      <c r="DP58" s="585"/>
      <c r="DQ58" s="585"/>
      <c r="DR58" s="585"/>
      <c r="DS58" s="585"/>
      <c r="DT58" s="585"/>
      <c r="DU58" s="585"/>
      <c r="DV58" s="585"/>
      <c r="DW58" s="585"/>
      <c r="DX58" s="585"/>
      <c r="DY58" s="585"/>
      <c r="DZ58" s="585"/>
      <c r="EA58" s="585"/>
      <c r="EB58" s="585"/>
      <c r="EC58" s="585"/>
      <c r="ED58" s="585"/>
      <c r="EE58" s="585"/>
      <c r="EF58" s="585"/>
      <c r="EG58" s="585"/>
      <c r="EH58" s="585"/>
      <c r="EI58" s="585"/>
      <c r="EJ58" s="585"/>
      <c r="EK58" s="585"/>
      <c r="EL58" s="585"/>
      <c r="EM58" s="585"/>
      <c r="EN58" s="585"/>
      <c r="EO58" s="585"/>
      <c r="EP58" s="585"/>
      <c r="EQ58" s="585"/>
      <c r="ER58" s="585"/>
      <c r="ES58" s="585"/>
      <c r="ET58" s="585"/>
      <c r="EU58" s="585"/>
      <c r="EV58" s="585"/>
      <c r="EW58" s="585"/>
      <c r="EX58" s="585"/>
      <c r="EY58" s="585"/>
      <c r="EZ58" s="585"/>
      <c r="FA58" s="585"/>
      <c r="FB58" s="585"/>
      <c r="FC58" s="585"/>
      <c r="FD58" s="585"/>
      <c r="FE58" s="585"/>
      <c r="FF58" s="585"/>
      <c r="FG58" s="585"/>
      <c r="FH58" s="585"/>
      <c r="FI58" s="585"/>
      <c r="FJ58" s="585"/>
      <c r="FK58" s="585"/>
      <c r="FL58" s="585"/>
      <c r="FM58" s="585"/>
      <c r="FN58" s="585"/>
      <c r="FO58" s="585"/>
      <c r="FP58" s="585"/>
      <c r="FQ58" s="585"/>
      <c r="FR58" s="585"/>
      <c r="FS58" s="585"/>
      <c r="FT58" s="585"/>
      <c r="FU58" s="585"/>
      <c r="FV58" s="585"/>
      <c r="FW58" s="585"/>
      <c r="FX58" s="585"/>
      <c r="FY58" s="585"/>
      <c r="FZ58" s="585"/>
      <c r="GA58" s="585"/>
      <c r="GB58" s="585"/>
      <c r="GC58" s="585"/>
      <c r="GD58" s="585"/>
      <c r="GE58" s="585"/>
      <c r="GF58" s="585"/>
      <c r="GG58" s="585"/>
      <c r="GH58" s="585"/>
      <c r="GI58" s="585"/>
      <c r="GJ58" s="585"/>
      <c r="GK58" s="585"/>
      <c r="GL58" s="585"/>
      <c r="GM58" s="585"/>
      <c r="GN58" s="585"/>
      <c r="GO58" s="585"/>
      <c r="GP58" s="585"/>
      <c r="GQ58" s="585"/>
      <c r="GR58" s="585"/>
      <c r="GS58" s="585"/>
      <c r="GT58" s="585"/>
      <c r="GU58" s="585"/>
      <c r="GV58" s="585"/>
      <c r="GW58" s="585"/>
      <c r="GX58" s="585"/>
      <c r="GY58" s="585"/>
      <c r="GZ58" s="585"/>
      <c r="HA58" s="585"/>
      <c r="HB58" s="585"/>
      <c r="HC58" s="585"/>
      <c r="HD58" s="585"/>
      <c r="HE58" s="585"/>
      <c r="HF58" s="585"/>
      <c r="HG58" s="585"/>
      <c r="HH58" s="585"/>
      <c r="HI58" s="585"/>
      <c r="HJ58" s="585"/>
      <c r="HK58" s="585"/>
      <c r="HL58" s="585"/>
      <c r="HM58" s="585"/>
      <c r="HN58" s="585"/>
      <c r="HO58" s="585"/>
      <c r="HP58" s="585"/>
      <c r="HQ58" s="585"/>
      <c r="HR58" s="585"/>
      <c r="HS58" s="585"/>
      <c r="HT58" s="585"/>
      <c r="HU58" s="585"/>
      <c r="HV58" s="585"/>
      <c r="HW58" s="585"/>
      <c r="HX58" s="585"/>
      <c r="HY58" s="585"/>
      <c r="HZ58" s="585"/>
      <c r="IA58" s="585"/>
      <c r="IB58" s="585"/>
      <c r="IC58" s="585"/>
      <c r="ID58" s="585"/>
      <c r="IE58" s="585"/>
      <c r="IF58" s="585"/>
      <c r="IG58" s="585"/>
      <c r="IH58" s="585"/>
      <c r="II58" s="585"/>
      <c r="IJ58" s="585"/>
      <c r="IK58" s="585"/>
      <c r="IL58" s="585"/>
      <c r="IM58" s="585"/>
      <c r="IN58" s="585"/>
      <c r="IO58" s="585"/>
      <c r="IP58" s="585"/>
      <c r="IQ58" s="585"/>
      <c r="IR58" s="585"/>
      <c r="IS58" s="585"/>
      <c r="IT58" s="585"/>
      <c r="IU58" s="585"/>
      <c r="IV58" s="585"/>
      <c r="IW58" s="585"/>
      <c r="IX58" s="585"/>
      <c r="IY58" s="585"/>
      <c r="IZ58" s="585"/>
      <c r="JA58" s="585"/>
      <c r="JB58" s="585"/>
      <c r="JC58" s="585"/>
      <c r="JD58" s="585"/>
      <c r="JE58" s="585"/>
      <c r="JF58" s="585"/>
      <c r="JG58" s="585"/>
      <c r="JH58" s="585"/>
      <c r="JI58" s="585"/>
      <c r="JJ58" s="585"/>
      <c r="JK58" s="585"/>
      <c r="JL58" s="585"/>
      <c r="JM58" s="585"/>
      <c r="JN58" s="585"/>
      <c r="JO58" s="585"/>
      <c r="JP58" s="585"/>
      <c r="JQ58" s="585"/>
      <c r="JR58" s="585"/>
      <c r="JS58" s="585"/>
      <c r="JT58" s="587"/>
      <c r="JU58" s="585"/>
      <c r="JV58" s="585"/>
      <c r="JW58" s="585"/>
      <c r="JX58" s="585"/>
      <c r="JY58" s="585"/>
      <c r="JZ58" s="585"/>
      <c r="KA58" s="585"/>
      <c r="KB58" s="585"/>
      <c r="KC58" s="585"/>
      <c r="KD58" s="585"/>
      <c r="KE58" s="585"/>
      <c r="KF58" s="585"/>
      <c r="KG58" s="585"/>
      <c r="KH58" s="585"/>
      <c r="KI58" s="585"/>
      <c r="KJ58" s="585"/>
      <c r="KK58" s="585"/>
      <c r="KL58" s="585"/>
      <c r="KM58" s="585"/>
      <c r="KN58" s="585"/>
      <c r="KO58" s="585"/>
      <c r="KP58" s="585"/>
      <c r="KQ58" s="585"/>
      <c r="KR58" s="585"/>
      <c r="KS58" s="585"/>
      <c r="KT58" s="585"/>
      <c r="KU58" s="585"/>
      <c r="KV58" s="585"/>
      <c r="KW58" s="585"/>
      <c r="KX58" s="585"/>
      <c r="KY58" s="585"/>
      <c r="KZ58" s="585"/>
      <c r="LA58" s="585"/>
      <c r="LB58" s="585"/>
      <c r="LC58" s="585"/>
      <c r="LD58" s="584"/>
      <c r="LE58" s="585"/>
      <c r="LF58" s="585"/>
      <c r="LG58" s="585"/>
      <c r="LH58" s="585"/>
      <c r="LI58" s="585"/>
      <c r="LJ58" s="585"/>
      <c r="LK58" s="585"/>
      <c r="LL58" s="585"/>
      <c r="LM58" s="585"/>
      <c r="LN58" s="585"/>
      <c r="LO58" s="585"/>
      <c r="LP58" s="585"/>
      <c r="LQ58" s="585"/>
      <c r="LR58" s="585"/>
      <c r="LS58" s="585"/>
      <c r="LT58" s="585"/>
      <c r="LU58" s="585"/>
      <c r="LV58" s="585"/>
      <c r="LW58" s="585"/>
      <c r="LX58" s="585"/>
      <c r="LY58" s="585"/>
      <c r="LZ58" s="585"/>
      <c r="MA58" s="585"/>
      <c r="MB58" s="585"/>
    </row>
    <row r="59" spans="1:340">
      <c r="A59" s="14">
        <v>1</v>
      </c>
      <c r="B59" s="582"/>
      <c r="C59" s="583"/>
      <c r="D59" s="584"/>
      <c r="E59" s="584"/>
      <c r="F59" s="585"/>
      <c r="G59" s="587"/>
      <c r="H59" s="587"/>
      <c r="I59" s="587"/>
      <c r="J59" s="585"/>
      <c r="K59" s="585"/>
      <c r="L59" s="585"/>
      <c r="M59" s="585"/>
      <c r="N59" s="585"/>
      <c r="O59" s="585"/>
      <c r="P59" s="585"/>
      <c r="Q59" s="585"/>
      <c r="R59" s="585"/>
      <c r="S59" s="585"/>
      <c r="T59" s="585"/>
      <c r="U59" s="585"/>
      <c r="V59" s="585"/>
      <c r="W59" s="585"/>
      <c r="X59" s="585"/>
      <c r="Y59" s="585"/>
      <c r="Z59" s="585"/>
      <c r="AA59" s="586"/>
      <c r="AB59" s="584"/>
      <c r="AC59" s="585"/>
      <c r="AD59" s="585"/>
      <c r="AE59" s="585"/>
      <c r="AF59" s="585"/>
      <c r="AG59" s="585"/>
      <c r="AH59" s="585"/>
      <c r="AI59" s="585"/>
      <c r="AJ59" s="585"/>
      <c r="AK59" s="585"/>
      <c r="AL59" s="585"/>
      <c r="AM59" s="585"/>
      <c r="AN59" s="585"/>
      <c r="AO59" s="585"/>
      <c r="AP59" s="585"/>
      <c r="AQ59" s="585"/>
      <c r="AR59" s="585"/>
      <c r="AS59" s="585"/>
      <c r="AT59" s="585"/>
      <c r="AU59" s="585"/>
      <c r="AV59" s="585"/>
      <c r="AW59" s="585"/>
      <c r="AX59" s="585"/>
      <c r="AY59" s="585"/>
      <c r="AZ59" s="585"/>
      <c r="BA59" s="585"/>
      <c r="BB59" s="585"/>
      <c r="BC59" s="585"/>
      <c r="BD59" s="585"/>
      <c r="BE59" s="585"/>
      <c r="BF59" s="585"/>
      <c r="BG59" s="585"/>
      <c r="BH59" s="585"/>
      <c r="BI59" s="585"/>
      <c r="BJ59" s="585"/>
      <c r="BK59" s="585"/>
      <c r="BL59" s="585"/>
      <c r="BM59" s="585"/>
      <c r="BN59" s="585"/>
      <c r="BO59" s="585"/>
      <c r="BP59" s="585"/>
      <c r="BQ59" s="585"/>
      <c r="BR59" s="585"/>
      <c r="BS59" s="585"/>
      <c r="BT59" s="585"/>
      <c r="BU59" s="585"/>
      <c r="BV59" s="585"/>
      <c r="BW59" s="585"/>
      <c r="BX59" s="585"/>
      <c r="BY59" s="585"/>
      <c r="BZ59" s="585"/>
      <c r="CA59" s="585"/>
      <c r="CB59" s="585"/>
      <c r="CC59" s="585"/>
      <c r="CD59" s="585"/>
      <c r="CE59" s="585"/>
      <c r="CF59" s="585"/>
      <c r="CG59" s="585"/>
      <c r="CH59" s="585"/>
      <c r="CI59" s="585"/>
      <c r="CJ59" s="585"/>
      <c r="CK59" s="585"/>
      <c r="CL59" s="585"/>
      <c r="CM59" s="585"/>
      <c r="CN59" s="585"/>
      <c r="CO59" s="585"/>
      <c r="CP59" s="585"/>
      <c r="CQ59" s="585"/>
      <c r="CR59" s="585"/>
      <c r="CS59" s="585"/>
      <c r="CT59" s="585"/>
      <c r="CU59" s="585"/>
      <c r="CV59" s="585"/>
      <c r="CW59" s="585"/>
      <c r="CX59" s="585"/>
      <c r="CY59" s="585"/>
      <c r="CZ59" s="585"/>
      <c r="DA59" s="585"/>
      <c r="DB59" s="585"/>
      <c r="DC59" s="585"/>
      <c r="DD59" s="585"/>
      <c r="DE59" s="585"/>
      <c r="DF59" s="585"/>
      <c r="DG59" s="585"/>
      <c r="DH59" s="585"/>
      <c r="DI59" s="585"/>
      <c r="DJ59" s="585"/>
      <c r="DK59" s="585"/>
      <c r="DL59" s="585"/>
      <c r="DM59" s="585"/>
      <c r="DN59" s="585"/>
      <c r="DO59" s="585"/>
      <c r="DP59" s="585"/>
      <c r="DQ59" s="585"/>
      <c r="DR59" s="585"/>
      <c r="DS59" s="585"/>
      <c r="DT59" s="585"/>
      <c r="DU59" s="585"/>
      <c r="DV59" s="585"/>
      <c r="DW59" s="585"/>
      <c r="DX59" s="585"/>
      <c r="DY59" s="585"/>
      <c r="DZ59" s="585"/>
      <c r="EA59" s="585"/>
      <c r="EB59" s="585"/>
      <c r="EC59" s="585"/>
      <c r="ED59" s="585"/>
      <c r="EE59" s="585"/>
      <c r="EF59" s="585"/>
      <c r="EG59" s="585"/>
      <c r="EH59" s="585"/>
      <c r="EI59" s="585"/>
      <c r="EJ59" s="585"/>
      <c r="EK59" s="585"/>
      <c r="EL59" s="585"/>
      <c r="EM59" s="585"/>
      <c r="EN59" s="585"/>
      <c r="EO59" s="585"/>
      <c r="EP59" s="585"/>
      <c r="EQ59" s="585"/>
      <c r="ER59" s="585"/>
      <c r="ES59" s="585"/>
      <c r="ET59" s="585"/>
      <c r="EU59" s="585"/>
      <c r="EV59" s="585"/>
      <c r="EW59" s="585"/>
      <c r="EX59" s="585"/>
      <c r="EY59" s="585"/>
      <c r="EZ59" s="585"/>
      <c r="FA59" s="585"/>
      <c r="FB59" s="585"/>
      <c r="FC59" s="585"/>
      <c r="FD59" s="585"/>
      <c r="FE59" s="585"/>
      <c r="FF59" s="585"/>
      <c r="FG59" s="585"/>
      <c r="FH59" s="585"/>
      <c r="FI59" s="585"/>
      <c r="FJ59" s="585"/>
      <c r="FK59" s="585"/>
      <c r="FL59" s="585"/>
      <c r="FM59" s="585"/>
      <c r="FN59" s="585"/>
      <c r="FO59" s="585"/>
      <c r="FP59" s="585"/>
      <c r="FQ59" s="585"/>
      <c r="FR59" s="585"/>
      <c r="FS59" s="585"/>
      <c r="FT59" s="585"/>
      <c r="FU59" s="585"/>
      <c r="FV59" s="585"/>
      <c r="FW59" s="585"/>
      <c r="FX59" s="585"/>
      <c r="FY59" s="585"/>
      <c r="FZ59" s="585"/>
      <c r="GA59" s="585"/>
      <c r="GB59" s="585"/>
      <c r="GC59" s="585"/>
      <c r="GD59" s="585"/>
      <c r="GE59" s="585"/>
      <c r="GF59" s="585"/>
      <c r="GG59" s="585"/>
      <c r="GH59" s="585"/>
      <c r="GI59" s="585"/>
      <c r="GJ59" s="585"/>
      <c r="GK59" s="585"/>
      <c r="GL59" s="585"/>
      <c r="GM59" s="585"/>
      <c r="GN59" s="585"/>
      <c r="GO59" s="585"/>
      <c r="GP59" s="585"/>
      <c r="GQ59" s="585"/>
      <c r="GR59" s="585"/>
      <c r="GS59" s="585"/>
      <c r="GT59" s="585"/>
      <c r="GU59" s="585"/>
      <c r="GV59" s="585"/>
      <c r="GW59" s="585"/>
      <c r="GX59" s="585"/>
      <c r="GY59" s="585"/>
      <c r="GZ59" s="585"/>
      <c r="HA59" s="585"/>
      <c r="HB59" s="585"/>
      <c r="HC59" s="585"/>
      <c r="HD59" s="585"/>
      <c r="HE59" s="585"/>
      <c r="HF59" s="585"/>
      <c r="HG59" s="585"/>
      <c r="HH59" s="585"/>
      <c r="HI59" s="585"/>
      <c r="HJ59" s="585"/>
      <c r="HK59" s="585"/>
      <c r="HL59" s="585"/>
      <c r="HM59" s="585"/>
      <c r="HN59" s="585"/>
      <c r="HO59" s="585"/>
      <c r="HP59" s="585"/>
      <c r="HQ59" s="585"/>
      <c r="HR59" s="585"/>
      <c r="HS59" s="585"/>
      <c r="HT59" s="585"/>
      <c r="HU59" s="585"/>
      <c r="HV59" s="585"/>
      <c r="HW59" s="585"/>
      <c r="HX59" s="585"/>
      <c r="HY59" s="585"/>
      <c r="HZ59" s="585"/>
      <c r="IA59" s="585"/>
      <c r="IB59" s="585"/>
      <c r="IC59" s="585"/>
      <c r="ID59" s="585"/>
      <c r="IE59" s="585"/>
      <c r="IF59" s="585"/>
      <c r="IG59" s="585"/>
      <c r="IH59" s="585"/>
      <c r="II59" s="585"/>
      <c r="IJ59" s="585"/>
      <c r="IK59" s="585"/>
      <c r="IL59" s="585"/>
      <c r="IM59" s="585"/>
      <c r="IN59" s="585"/>
      <c r="IO59" s="585"/>
      <c r="IP59" s="585"/>
      <c r="IQ59" s="585"/>
      <c r="IR59" s="585"/>
      <c r="IS59" s="585"/>
      <c r="IT59" s="585"/>
      <c r="IU59" s="585"/>
      <c r="IV59" s="585"/>
      <c r="IW59" s="585"/>
      <c r="IX59" s="585"/>
      <c r="IY59" s="585"/>
      <c r="IZ59" s="585"/>
      <c r="JA59" s="585"/>
      <c r="JB59" s="585"/>
      <c r="JC59" s="585"/>
      <c r="JD59" s="585"/>
      <c r="JE59" s="585"/>
      <c r="JF59" s="585"/>
      <c r="JG59" s="585"/>
      <c r="JH59" s="585"/>
      <c r="JI59" s="585"/>
      <c r="JJ59" s="585"/>
      <c r="JK59" s="585"/>
      <c r="JL59" s="585"/>
      <c r="JM59" s="585"/>
      <c r="JN59" s="585"/>
      <c r="JO59" s="585"/>
      <c r="JP59" s="585"/>
      <c r="JQ59" s="585"/>
      <c r="JR59" s="585"/>
      <c r="JS59" s="585"/>
      <c r="JT59" s="587"/>
      <c r="JU59" s="585"/>
      <c r="JV59" s="585"/>
      <c r="JW59" s="585"/>
      <c r="JX59" s="585"/>
      <c r="JY59" s="585"/>
      <c r="JZ59" s="585"/>
      <c r="KA59" s="585"/>
      <c r="KB59" s="585"/>
      <c r="KC59" s="585"/>
      <c r="KD59" s="585"/>
      <c r="KE59" s="585"/>
      <c r="KF59" s="585"/>
      <c r="KG59" s="585"/>
      <c r="KH59" s="585"/>
      <c r="KI59" s="585"/>
      <c r="KJ59" s="585"/>
      <c r="KK59" s="585"/>
      <c r="KL59" s="585"/>
      <c r="KM59" s="585"/>
      <c r="KN59" s="585"/>
      <c r="KO59" s="585"/>
      <c r="KP59" s="585"/>
      <c r="KQ59" s="585"/>
      <c r="KR59" s="585"/>
      <c r="KS59" s="585"/>
      <c r="KT59" s="585"/>
      <c r="KU59" s="585"/>
      <c r="KV59" s="585"/>
      <c r="KW59" s="585"/>
      <c r="KX59" s="585"/>
      <c r="KY59" s="585"/>
      <c r="KZ59" s="585"/>
      <c r="LA59" s="585"/>
      <c r="LB59" s="585"/>
      <c r="LC59" s="585"/>
      <c r="LD59" s="584"/>
      <c r="LE59" s="585"/>
      <c r="LF59" s="585"/>
      <c r="LG59" s="585"/>
      <c r="LH59" s="585"/>
      <c r="LI59" s="585"/>
      <c r="LJ59" s="585"/>
      <c r="LK59" s="585"/>
      <c r="LL59" s="585"/>
      <c r="LM59" s="585"/>
      <c r="LN59" s="585"/>
      <c r="LO59" s="585"/>
      <c r="LP59" s="585"/>
      <c r="LQ59" s="585"/>
      <c r="LR59" s="585"/>
      <c r="LS59" s="585"/>
      <c r="LT59" s="585"/>
      <c r="LU59" s="585"/>
      <c r="LV59" s="585"/>
      <c r="LW59" s="585"/>
      <c r="LX59" s="585"/>
      <c r="LY59" s="585"/>
      <c r="LZ59" s="585"/>
      <c r="MA59" s="585"/>
      <c r="MB59" s="585"/>
    </row>
    <row r="60" spans="1:340">
      <c r="A60" s="14">
        <v>1</v>
      </c>
      <c r="B60" s="582"/>
      <c r="C60" s="583"/>
      <c r="D60" s="584"/>
      <c r="E60" s="584"/>
      <c r="F60" s="585"/>
      <c r="G60" s="587"/>
      <c r="H60" s="587"/>
      <c r="I60" s="587"/>
      <c r="J60" s="585"/>
      <c r="K60" s="585"/>
      <c r="L60" s="585"/>
      <c r="M60" s="585"/>
      <c r="N60" s="585"/>
      <c r="O60" s="585"/>
      <c r="P60" s="585"/>
      <c r="Q60" s="585"/>
      <c r="R60" s="585"/>
      <c r="S60" s="585"/>
      <c r="T60" s="585"/>
      <c r="U60" s="585"/>
      <c r="V60" s="585"/>
      <c r="W60" s="585"/>
      <c r="X60" s="585"/>
      <c r="Y60" s="585"/>
      <c r="Z60" s="585"/>
      <c r="AA60" s="586"/>
      <c r="AB60" s="584"/>
      <c r="AC60" s="585"/>
      <c r="AD60" s="585"/>
      <c r="AE60" s="585"/>
      <c r="AF60" s="585"/>
      <c r="AG60" s="585"/>
      <c r="AH60" s="585"/>
      <c r="AI60" s="585"/>
      <c r="AJ60" s="585"/>
      <c r="AK60" s="585"/>
      <c r="AL60" s="585"/>
      <c r="AM60" s="585"/>
      <c r="AN60" s="585"/>
      <c r="AO60" s="585"/>
      <c r="AP60" s="585"/>
      <c r="AQ60" s="585"/>
      <c r="AR60" s="585"/>
      <c r="AS60" s="585"/>
      <c r="AT60" s="585"/>
      <c r="AU60" s="585"/>
      <c r="AV60" s="585"/>
      <c r="AW60" s="585"/>
      <c r="AX60" s="585"/>
      <c r="AY60" s="585"/>
      <c r="AZ60" s="585"/>
      <c r="BA60" s="585"/>
      <c r="BB60" s="585"/>
      <c r="BC60" s="585"/>
      <c r="BD60" s="585"/>
      <c r="BE60" s="585"/>
      <c r="BF60" s="585"/>
      <c r="BG60" s="585"/>
      <c r="BH60" s="585"/>
      <c r="BI60" s="585"/>
      <c r="BJ60" s="585"/>
      <c r="BK60" s="585"/>
      <c r="BL60" s="585"/>
      <c r="BM60" s="585"/>
      <c r="BN60" s="585"/>
      <c r="BO60" s="585"/>
      <c r="BP60" s="585"/>
      <c r="BQ60" s="585"/>
      <c r="BR60" s="585"/>
      <c r="BS60" s="585"/>
      <c r="BT60" s="585"/>
      <c r="BU60" s="585"/>
      <c r="BV60" s="585"/>
      <c r="BW60" s="585"/>
      <c r="BX60" s="585"/>
      <c r="BY60" s="585"/>
      <c r="BZ60" s="585"/>
      <c r="CA60" s="585"/>
      <c r="CB60" s="585"/>
      <c r="CC60" s="585"/>
      <c r="CD60" s="585"/>
      <c r="CE60" s="585"/>
      <c r="CF60" s="585"/>
      <c r="CG60" s="585"/>
      <c r="CH60" s="585"/>
      <c r="CI60" s="585"/>
      <c r="CJ60" s="585"/>
      <c r="CK60" s="585"/>
      <c r="CL60" s="585"/>
      <c r="CM60" s="585"/>
      <c r="CN60" s="585"/>
      <c r="CO60" s="585"/>
      <c r="CP60" s="585"/>
      <c r="CQ60" s="585"/>
      <c r="CR60" s="585"/>
      <c r="CS60" s="585"/>
      <c r="CT60" s="585"/>
      <c r="CU60" s="585"/>
      <c r="CV60" s="585"/>
      <c r="CW60" s="585"/>
      <c r="CX60" s="585"/>
      <c r="CY60" s="585"/>
      <c r="CZ60" s="585"/>
      <c r="DA60" s="585"/>
      <c r="DB60" s="585"/>
      <c r="DC60" s="585"/>
      <c r="DD60" s="585"/>
      <c r="DE60" s="585"/>
      <c r="DF60" s="585"/>
      <c r="DG60" s="585"/>
      <c r="DH60" s="585"/>
      <c r="DI60" s="585"/>
      <c r="DJ60" s="585"/>
      <c r="DK60" s="585"/>
      <c r="DL60" s="585"/>
      <c r="DM60" s="585"/>
      <c r="DN60" s="585"/>
      <c r="DO60" s="585"/>
      <c r="DP60" s="585"/>
      <c r="DQ60" s="585"/>
      <c r="DR60" s="585"/>
      <c r="DS60" s="585"/>
      <c r="DT60" s="585"/>
      <c r="DU60" s="585"/>
      <c r="DV60" s="585"/>
      <c r="DW60" s="585"/>
      <c r="DX60" s="585"/>
      <c r="DY60" s="585"/>
      <c r="DZ60" s="585"/>
      <c r="EA60" s="585"/>
      <c r="EB60" s="585"/>
      <c r="EC60" s="585"/>
      <c r="ED60" s="585"/>
      <c r="EE60" s="585"/>
      <c r="EF60" s="585"/>
      <c r="EG60" s="585"/>
      <c r="EH60" s="585"/>
      <c r="EI60" s="585"/>
      <c r="EJ60" s="585"/>
      <c r="EK60" s="585"/>
      <c r="EL60" s="585"/>
      <c r="EM60" s="585"/>
      <c r="EN60" s="585"/>
      <c r="EO60" s="585"/>
      <c r="EP60" s="585"/>
      <c r="EQ60" s="585"/>
      <c r="ER60" s="585"/>
      <c r="ES60" s="585"/>
      <c r="ET60" s="585"/>
      <c r="EU60" s="585"/>
      <c r="EV60" s="585"/>
      <c r="EW60" s="585"/>
      <c r="EX60" s="585"/>
      <c r="EY60" s="585"/>
      <c r="EZ60" s="585"/>
      <c r="FA60" s="585"/>
      <c r="FB60" s="585"/>
      <c r="FC60" s="585"/>
      <c r="FD60" s="585"/>
      <c r="FE60" s="585"/>
      <c r="FF60" s="585"/>
      <c r="FG60" s="585"/>
      <c r="FH60" s="585"/>
      <c r="FI60" s="585"/>
      <c r="FJ60" s="585"/>
      <c r="FK60" s="585"/>
      <c r="FL60" s="585"/>
      <c r="FM60" s="585"/>
      <c r="FN60" s="585"/>
      <c r="FO60" s="585"/>
      <c r="FP60" s="585"/>
      <c r="FQ60" s="585"/>
      <c r="FR60" s="585"/>
      <c r="FS60" s="585"/>
      <c r="FT60" s="585"/>
      <c r="FU60" s="585"/>
      <c r="FV60" s="585"/>
      <c r="FW60" s="585"/>
      <c r="FX60" s="585"/>
      <c r="FY60" s="585"/>
      <c r="FZ60" s="585"/>
      <c r="GA60" s="585"/>
      <c r="GB60" s="585"/>
      <c r="GC60" s="585"/>
      <c r="GD60" s="585"/>
      <c r="GE60" s="585"/>
      <c r="GF60" s="585"/>
      <c r="GG60" s="585"/>
      <c r="GH60" s="585"/>
      <c r="GI60" s="585"/>
      <c r="GJ60" s="585"/>
      <c r="GK60" s="585"/>
      <c r="GL60" s="585"/>
      <c r="GM60" s="585"/>
      <c r="GN60" s="585"/>
      <c r="GO60" s="585"/>
      <c r="GP60" s="585"/>
      <c r="GQ60" s="585"/>
      <c r="GR60" s="585"/>
      <c r="GS60" s="585"/>
      <c r="GT60" s="585"/>
      <c r="GU60" s="585"/>
      <c r="GV60" s="585"/>
      <c r="GW60" s="585"/>
      <c r="GX60" s="585"/>
      <c r="GY60" s="585"/>
      <c r="GZ60" s="585"/>
      <c r="HA60" s="585"/>
      <c r="HB60" s="585"/>
      <c r="HC60" s="585"/>
      <c r="HD60" s="585"/>
      <c r="HE60" s="585"/>
      <c r="HF60" s="585"/>
      <c r="HG60" s="585"/>
      <c r="HH60" s="585"/>
      <c r="HI60" s="585"/>
      <c r="HJ60" s="585"/>
      <c r="HK60" s="585"/>
      <c r="HL60" s="585"/>
      <c r="HM60" s="585"/>
      <c r="HN60" s="585"/>
      <c r="HO60" s="585"/>
      <c r="HP60" s="585"/>
      <c r="HQ60" s="585"/>
      <c r="HR60" s="585"/>
      <c r="HS60" s="585"/>
      <c r="HT60" s="585"/>
      <c r="HU60" s="585"/>
      <c r="HV60" s="585"/>
      <c r="HW60" s="585"/>
      <c r="HX60" s="585"/>
      <c r="HY60" s="585"/>
      <c r="HZ60" s="585"/>
      <c r="IA60" s="585"/>
      <c r="IB60" s="585"/>
      <c r="IC60" s="585"/>
      <c r="ID60" s="585"/>
      <c r="IE60" s="585"/>
      <c r="IF60" s="585"/>
      <c r="IG60" s="585"/>
      <c r="IH60" s="585"/>
      <c r="II60" s="585"/>
      <c r="IJ60" s="585"/>
      <c r="IK60" s="585"/>
      <c r="IL60" s="585"/>
      <c r="IM60" s="585"/>
      <c r="IN60" s="585"/>
      <c r="IO60" s="585"/>
      <c r="IP60" s="585"/>
      <c r="IQ60" s="585"/>
      <c r="IR60" s="585"/>
      <c r="IS60" s="585"/>
      <c r="IT60" s="585"/>
      <c r="IU60" s="585"/>
      <c r="IV60" s="585"/>
      <c r="IW60" s="585"/>
      <c r="IX60" s="585"/>
      <c r="IY60" s="585"/>
      <c r="IZ60" s="585"/>
      <c r="JA60" s="585"/>
      <c r="JB60" s="585"/>
      <c r="JC60" s="585"/>
      <c r="JD60" s="585"/>
      <c r="JE60" s="585"/>
      <c r="JF60" s="585"/>
      <c r="JG60" s="585"/>
      <c r="JH60" s="585"/>
      <c r="JI60" s="585"/>
      <c r="JJ60" s="585"/>
      <c r="JK60" s="585"/>
      <c r="JL60" s="585"/>
      <c r="JM60" s="585"/>
      <c r="JN60" s="585"/>
      <c r="JO60" s="585"/>
      <c r="JP60" s="585"/>
      <c r="JQ60" s="585"/>
      <c r="JR60" s="585"/>
      <c r="JS60" s="585"/>
      <c r="JT60" s="587"/>
      <c r="JU60" s="585"/>
      <c r="JV60" s="585"/>
      <c r="JW60" s="585"/>
      <c r="JX60" s="585"/>
      <c r="JY60" s="585"/>
      <c r="JZ60" s="585"/>
      <c r="KA60" s="585"/>
      <c r="KB60" s="585"/>
      <c r="KC60" s="585"/>
      <c r="KD60" s="585"/>
      <c r="KE60" s="585"/>
      <c r="KF60" s="585"/>
      <c r="KG60" s="585"/>
      <c r="KH60" s="585"/>
      <c r="KI60" s="585"/>
      <c r="KJ60" s="585"/>
      <c r="KK60" s="585"/>
      <c r="KL60" s="585"/>
      <c r="KM60" s="585"/>
      <c r="KN60" s="585"/>
      <c r="KO60" s="585"/>
      <c r="KP60" s="585"/>
      <c r="KQ60" s="585"/>
      <c r="KR60" s="585"/>
      <c r="KS60" s="585"/>
      <c r="KT60" s="585"/>
      <c r="KU60" s="585"/>
      <c r="KV60" s="585"/>
      <c r="KW60" s="585"/>
      <c r="KX60" s="585"/>
      <c r="KY60" s="585"/>
      <c r="KZ60" s="585"/>
      <c r="LA60" s="585"/>
      <c r="LB60" s="585"/>
      <c r="LC60" s="585"/>
      <c r="LD60" s="584"/>
      <c r="LE60" s="585"/>
      <c r="LF60" s="585"/>
      <c r="LG60" s="585"/>
      <c r="LH60" s="585"/>
      <c r="LI60" s="585"/>
      <c r="LJ60" s="585"/>
      <c r="LK60" s="585"/>
      <c r="LL60" s="585"/>
      <c r="LM60" s="585"/>
      <c r="LN60" s="585"/>
      <c r="LO60" s="585"/>
      <c r="LP60" s="585"/>
      <c r="LQ60" s="585"/>
      <c r="LR60" s="585"/>
      <c r="LS60" s="585"/>
      <c r="LT60" s="585"/>
      <c r="LU60" s="585"/>
      <c r="LV60" s="585"/>
      <c r="LW60" s="585"/>
      <c r="LX60" s="585"/>
      <c r="LY60" s="585"/>
      <c r="LZ60" s="585"/>
      <c r="MA60" s="585"/>
      <c r="MB60" s="585"/>
    </row>
    <row r="61" spans="1:340">
      <c r="A61" s="14">
        <v>1</v>
      </c>
      <c r="B61" s="582"/>
      <c r="C61" s="583"/>
      <c r="D61" s="584"/>
      <c r="E61" s="584"/>
      <c r="F61" s="585"/>
      <c r="G61" s="587"/>
      <c r="H61" s="587"/>
      <c r="I61" s="587"/>
      <c r="J61" s="585"/>
      <c r="K61" s="585"/>
      <c r="L61" s="585"/>
      <c r="M61" s="585"/>
      <c r="N61" s="585"/>
      <c r="O61" s="585"/>
      <c r="P61" s="585"/>
      <c r="Q61" s="585"/>
      <c r="R61" s="585"/>
      <c r="S61" s="585"/>
      <c r="T61" s="585"/>
      <c r="U61" s="585"/>
      <c r="V61" s="585"/>
      <c r="W61" s="585"/>
      <c r="X61" s="585"/>
      <c r="Y61" s="585"/>
      <c r="Z61" s="585"/>
      <c r="AA61" s="585"/>
      <c r="AB61" s="584"/>
      <c r="AC61" s="585"/>
      <c r="AD61" s="585"/>
      <c r="AE61" s="585"/>
      <c r="AF61" s="585"/>
      <c r="AG61" s="585"/>
      <c r="AH61" s="585"/>
      <c r="AI61" s="585"/>
      <c r="AJ61" s="585"/>
      <c r="AK61" s="585"/>
      <c r="AL61" s="585"/>
      <c r="AM61" s="585"/>
      <c r="AN61" s="585"/>
      <c r="AO61" s="585"/>
      <c r="AP61" s="585"/>
      <c r="AQ61" s="585"/>
      <c r="AR61" s="585"/>
      <c r="AS61" s="585"/>
      <c r="AT61" s="585"/>
      <c r="AU61" s="585"/>
      <c r="AV61" s="585"/>
      <c r="AW61" s="585"/>
      <c r="AX61" s="585"/>
      <c r="AY61" s="585"/>
      <c r="AZ61" s="585"/>
      <c r="BA61" s="585"/>
      <c r="BB61" s="585"/>
      <c r="BC61" s="585"/>
      <c r="BD61" s="585"/>
      <c r="BE61" s="585"/>
      <c r="BF61" s="585"/>
      <c r="BG61" s="585"/>
      <c r="BH61" s="585"/>
      <c r="BI61" s="585"/>
      <c r="BJ61" s="585"/>
      <c r="BK61" s="585"/>
      <c r="BL61" s="585"/>
      <c r="BM61" s="585"/>
      <c r="BN61" s="585"/>
      <c r="BO61" s="585"/>
      <c r="BP61" s="585"/>
      <c r="BQ61" s="585"/>
      <c r="BR61" s="585"/>
      <c r="BS61" s="585"/>
      <c r="BT61" s="585"/>
      <c r="BU61" s="585"/>
      <c r="BV61" s="585"/>
      <c r="BW61" s="585"/>
      <c r="BX61" s="585"/>
      <c r="BY61" s="585"/>
      <c r="BZ61" s="585"/>
      <c r="CA61" s="585"/>
      <c r="CB61" s="585"/>
      <c r="CC61" s="585"/>
      <c r="CD61" s="585"/>
      <c r="CE61" s="585"/>
      <c r="CF61" s="585"/>
      <c r="CG61" s="585"/>
      <c r="CH61" s="585"/>
      <c r="CI61" s="585"/>
      <c r="CJ61" s="585"/>
      <c r="CK61" s="585"/>
      <c r="CL61" s="585"/>
      <c r="CM61" s="585"/>
      <c r="CN61" s="585"/>
      <c r="CO61" s="585"/>
      <c r="CP61" s="585"/>
      <c r="CQ61" s="585"/>
      <c r="CR61" s="585"/>
      <c r="CS61" s="585"/>
      <c r="CT61" s="585"/>
      <c r="CU61" s="585"/>
      <c r="CV61" s="585"/>
      <c r="CW61" s="585"/>
      <c r="CX61" s="585"/>
      <c r="CY61" s="585"/>
      <c r="CZ61" s="585"/>
      <c r="DA61" s="585"/>
      <c r="DB61" s="585"/>
      <c r="DC61" s="585"/>
      <c r="DD61" s="585"/>
      <c r="DE61" s="585"/>
      <c r="DF61" s="585"/>
      <c r="DG61" s="585"/>
      <c r="DH61" s="585"/>
      <c r="DI61" s="585"/>
      <c r="DJ61" s="585"/>
      <c r="DK61" s="585"/>
      <c r="DL61" s="585"/>
      <c r="DM61" s="585"/>
      <c r="DN61" s="585"/>
      <c r="DO61" s="585"/>
      <c r="DP61" s="585"/>
      <c r="DQ61" s="585"/>
      <c r="DR61" s="585"/>
      <c r="DS61" s="585"/>
      <c r="DT61" s="585"/>
      <c r="DU61" s="585"/>
      <c r="DV61" s="585"/>
      <c r="DW61" s="585"/>
      <c r="DX61" s="585"/>
      <c r="DY61" s="585"/>
      <c r="DZ61" s="585"/>
      <c r="EA61" s="585"/>
      <c r="EB61" s="585"/>
      <c r="EC61" s="585"/>
      <c r="ED61" s="585"/>
      <c r="EE61" s="585"/>
      <c r="EF61" s="585"/>
      <c r="EG61" s="585"/>
      <c r="EH61" s="585"/>
      <c r="EI61" s="585"/>
      <c r="EJ61" s="585"/>
      <c r="EK61" s="585"/>
      <c r="EL61" s="585"/>
      <c r="EM61" s="585"/>
      <c r="EN61" s="585"/>
      <c r="EO61" s="585"/>
      <c r="EP61" s="585"/>
      <c r="EQ61" s="585"/>
      <c r="ER61" s="585"/>
      <c r="ES61" s="585"/>
      <c r="ET61" s="585"/>
      <c r="EU61" s="585"/>
      <c r="EV61" s="585"/>
      <c r="EW61" s="585"/>
      <c r="EX61" s="585"/>
      <c r="EY61" s="585"/>
      <c r="EZ61" s="585"/>
      <c r="FA61" s="585"/>
      <c r="FB61" s="585"/>
      <c r="FC61" s="585"/>
      <c r="FD61" s="585"/>
      <c r="FE61" s="585"/>
      <c r="FF61" s="585"/>
      <c r="FG61" s="585"/>
      <c r="FH61" s="585"/>
      <c r="FI61" s="585"/>
      <c r="FJ61" s="585"/>
      <c r="FK61" s="585"/>
      <c r="FL61" s="585"/>
      <c r="FM61" s="585"/>
      <c r="FN61" s="585"/>
      <c r="FO61" s="585"/>
      <c r="FP61" s="585"/>
      <c r="FQ61" s="585"/>
      <c r="FR61" s="585"/>
      <c r="FS61" s="585"/>
      <c r="FT61" s="585"/>
      <c r="FU61" s="585"/>
      <c r="FV61" s="585"/>
      <c r="FW61" s="585"/>
      <c r="FX61" s="585"/>
      <c r="FY61" s="585"/>
      <c r="FZ61" s="585"/>
      <c r="GA61" s="585"/>
      <c r="GB61" s="585"/>
      <c r="GC61" s="585"/>
      <c r="GD61" s="585"/>
      <c r="GE61" s="585"/>
      <c r="GF61" s="585"/>
      <c r="GG61" s="585"/>
      <c r="GH61" s="585"/>
      <c r="GI61" s="585"/>
      <c r="GJ61" s="585"/>
      <c r="GK61" s="585"/>
      <c r="GL61" s="585"/>
      <c r="GM61" s="585"/>
      <c r="GN61" s="585"/>
      <c r="GO61" s="585"/>
      <c r="GP61" s="585"/>
      <c r="GQ61" s="585"/>
      <c r="GR61" s="585"/>
      <c r="GS61" s="585"/>
      <c r="GT61" s="585"/>
      <c r="GU61" s="585"/>
      <c r="GV61" s="585"/>
      <c r="GW61" s="585"/>
      <c r="GX61" s="585"/>
      <c r="GY61" s="585"/>
      <c r="GZ61" s="585"/>
      <c r="HA61" s="585"/>
      <c r="HB61" s="585"/>
      <c r="HC61" s="585"/>
      <c r="HD61" s="585"/>
      <c r="HE61" s="585"/>
      <c r="HF61" s="585"/>
      <c r="HG61" s="585"/>
      <c r="HH61" s="585"/>
      <c r="HI61" s="585"/>
      <c r="HJ61" s="585"/>
      <c r="HK61" s="585"/>
      <c r="HL61" s="585"/>
      <c r="HM61" s="585"/>
      <c r="HN61" s="585"/>
      <c r="HO61" s="585"/>
      <c r="HP61" s="585"/>
      <c r="HQ61" s="585"/>
      <c r="HR61" s="585"/>
      <c r="HS61" s="585"/>
      <c r="HT61" s="585"/>
      <c r="HU61" s="585"/>
      <c r="HV61" s="585"/>
      <c r="HW61" s="585"/>
      <c r="HX61" s="585"/>
      <c r="HY61" s="585"/>
      <c r="HZ61" s="585"/>
      <c r="IA61" s="585"/>
      <c r="IB61" s="585"/>
      <c r="IC61" s="585"/>
      <c r="ID61" s="585"/>
      <c r="IE61" s="585"/>
      <c r="IF61" s="585"/>
      <c r="IG61" s="585"/>
      <c r="IH61" s="585"/>
      <c r="II61" s="585"/>
      <c r="IJ61" s="585"/>
      <c r="IK61" s="585"/>
      <c r="IL61" s="585"/>
      <c r="IM61" s="585"/>
      <c r="IN61" s="585"/>
      <c r="IO61" s="585"/>
      <c r="IP61" s="585"/>
      <c r="IQ61" s="585"/>
      <c r="IR61" s="585"/>
      <c r="IS61" s="585"/>
      <c r="IT61" s="585"/>
      <c r="IU61" s="585"/>
      <c r="IV61" s="585"/>
      <c r="IW61" s="585"/>
      <c r="IX61" s="585"/>
      <c r="IY61" s="585"/>
      <c r="IZ61" s="585"/>
      <c r="JA61" s="585"/>
      <c r="JB61" s="585"/>
      <c r="JC61" s="585"/>
      <c r="JD61" s="585"/>
      <c r="JE61" s="585"/>
      <c r="JF61" s="585"/>
      <c r="JG61" s="585"/>
      <c r="JH61" s="585"/>
      <c r="JI61" s="585"/>
      <c r="JJ61" s="585"/>
      <c r="JK61" s="585"/>
      <c r="JL61" s="585"/>
      <c r="JM61" s="585"/>
      <c r="JN61" s="585"/>
      <c r="JO61" s="585"/>
      <c r="JP61" s="585"/>
      <c r="JQ61" s="585"/>
      <c r="JR61" s="585"/>
      <c r="JS61" s="585"/>
      <c r="JT61" s="587"/>
      <c r="JU61" s="585"/>
      <c r="JV61" s="585"/>
      <c r="JW61" s="585"/>
      <c r="JX61" s="585"/>
      <c r="JY61" s="585"/>
      <c r="JZ61" s="585"/>
      <c r="KA61" s="585"/>
      <c r="KB61" s="585"/>
      <c r="KC61" s="585"/>
      <c r="KD61" s="585"/>
      <c r="KE61" s="585"/>
      <c r="KF61" s="585"/>
      <c r="KG61" s="585"/>
      <c r="KH61" s="585"/>
      <c r="KI61" s="585"/>
      <c r="KJ61" s="585"/>
      <c r="KK61" s="585"/>
      <c r="KL61" s="585"/>
      <c r="KM61" s="585"/>
      <c r="KN61" s="585"/>
      <c r="KO61" s="585"/>
      <c r="KP61" s="585"/>
      <c r="KQ61" s="585"/>
      <c r="KR61" s="585"/>
      <c r="KS61" s="585"/>
      <c r="KT61" s="585"/>
      <c r="KU61" s="585"/>
      <c r="KV61" s="585"/>
      <c r="KW61" s="585"/>
      <c r="KX61" s="585"/>
      <c r="KY61" s="585"/>
      <c r="KZ61" s="585"/>
      <c r="LA61" s="585"/>
      <c r="LB61" s="585"/>
      <c r="LC61" s="585"/>
      <c r="LD61" s="584"/>
      <c r="LE61" s="585"/>
      <c r="LF61" s="585"/>
      <c r="LG61" s="585"/>
      <c r="LH61" s="585"/>
      <c r="LI61" s="585"/>
      <c r="LJ61" s="585"/>
      <c r="LK61" s="585"/>
      <c r="LL61" s="585"/>
      <c r="LM61" s="585"/>
      <c r="LN61" s="585"/>
      <c r="LO61" s="585"/>
      <c r="LP61" s="585"/>
      <c r="LQ61" s="585"/>
      <c r="LR61" s="585"/>
      <c r="LS61" s="585"/>
      <c r="LT61" s="585"/>
      <c r="LU61" s="585"/>
      <c r="LV61" s="585"/>
      <c r="LW61" s="585"/>
      <c r="LX61" s="585"/>
      <c r="LY61" s="585"/>
      <c r="LZ61" s="585"/>
      <c r="MA61" s="585"/>
      <c r="MB61" s="585"/>
    </row>
    <row r="62" spans="1:340">
      <c r="A62" s="14">
        <v>1</v>
      </c>
      <c r="B62" s="582"/>
      <c r="C62" s="583"/>
      <c r="D62" s="584"/>
      <c r="E62" s="584"/>
      <c r="F62" s="585"/>
      <c r="G62" s="587"/>
      <c r="H62" s="587"/>
      <c r="I62" s="587"/>
      <c r="J62" s="585"/>
      <c r="K62" s="585"/>
      <c r="L62" s="585"/>
      <c r="M62" s="585"/>
      <c r="N62" s="585"/>
      <c r="O62" s="585"/>
      <c r="P62" s="585"/>
      <c r="Q62" s="585"/>
      <c r="R62" s="585"/>
      <c r="S62" s="585"/>
      <c r="T62" s="585"/>
      <c r="U62" s="585"/>
      <c r="V62" s="585"/>
      <c r="W62" s="585"/>
      <c r="X62" s="585"/>
      <c r="Y62" s="585"/>
      <c r="Z62" s="585"/>
      <c r="AA62" s="585"/>
      <c r="AB62" s="584"/>
      <c r="AC62" s="585"/>
      <c r="AD62" s="585"/>
      <c r="AE62" s="585"/>
      <c r="AF62" s="585"/>
      <c r="AG62" s="585"/>
      <c r="AH62" s="585"/>
      <c r="AI62" s="585"/>
      <c r="AJ62" s="585"/>
      <c r="AK62" s="585"/>
      <c r="AL62" s="585"/>
      <c r="AM62" s="585"/>
      <c r="AN62" s="585"/>
      <c r="AO62" s="585"/>
      <c r="AP62" s="585"/>
      <c r="AQ62" s="585"/>
      <c r="AR62" s="585"/>
      <c r="AS62" s="585"/>
      <c r="AT62" s="585"/>
      <c r="AU62" s="585"/>
      <c r="AV62" s="585"/>
      <c r="AW62" s="585"/>
      <c r="AX62" s="585"/>
      <c r="AY62" s="585"/>
      <c r="AZ62" s="585"/>
      <c r="BA62" s="585"/>
      <c r="BB62" s="585"/>
      <c r="BC62" s="585"/>
      <c r="BD62" s="585"/>
      <c r="BE62" s="585"/>
      <c r="BF62" s="585"/>
      <c r="BG62" s="585"/>
      <c r="BH62" s="585"/>
      <c r="BI62" s="585"/>
      <c r="BJ62" s="585"/>
      <c r="BK62" s="585"/>
      <c r="BL62" s="585"/>
      <c r="BM62" s="585"/>
      <c r="BN62" s="585"/>
      <c r="BO62" s="585"/>
      <c r="BP62" s="585"/>
      <c r="BQ62" s="585"/>
      <c r="BR62" s="585"/>
      <c r="BS62" s="585"/>
      <c r="BT62" s="585"/>
      <c r="BU62" s="585"/>
      <c r="BV62" s="585"/>
      <c r="BW62" s="585"/>
      <c r="BX62" s="585"/>
      <c r="BY62" s="585"/>
      <c r="BZ62" s="585"/>
      <c r="CA62" s="585"/>
      <c r="CB62" s="585"/>
      <c r="CC62" s="585"/>
      <c r="CD62" s="585"/>
      <c r="CE62" s="585"/>
      <c r="CF62" s="585"/>
      <c r="CG62" s="585"/>
      <c r="CH62" s="585"/>
      <c r="CI62" s="585"/>
      <c r="CJ62" s="585"/>
      <c r="CK62" s="585"/>
      <c r="CL62" s="585"/>
      <c r="CM62" s="585"/>
      <c r="CN62" s="585"/>
      <c r="CO62" s="585"/>
      <c r="CP62" s="585"/>
      <c r="CQ62" s="585"/>
      <c r="CR62" s="585"/>
      <c r="CS62" s="585"/>
      <c r="CT62" s="585"/>
      <c r="CU62" s="585"/>
      <c r="CV62" s="585"/>
      <c r="CW62" s="585"/>
      <c r="CX62" s="585"/>
      <c r="CY62" s="585"/>
      <c r="CZ62" s="585"/>
      <c r="DA62" s="585"/>
      <c r="DB62" s="585"/>
      <c r="DC62" s="585"/>
      <c r="DD62" s="585"/>
      <c r="DE62" s="585"/>
      <c r="DF62" s="585"/>
      <c r="DG62" s="585"/>
      <c r="DH62" s="585"/>
      <c r="DI62" s="585"/>
      <c r="DJ62" s="585"/>
      <c r="DK62" s="585"/>
      <c r="DL62" s="585"/>
      <c r="DM62" s="585"/>
      <c r="DN62" s="585"/>
      <c r="DO62" s="585"/>
      <c r="DP62" s="585"/>
      <c r="DQ62" s="585"/>
      <c r="DR62" s="585"/>
      <c r="DS62" s="585"/>
      <c r="DT62" s="585"/>
      <c r="DU62" s="585"/>
      <c r="DV62" s="585"/>
      <c r="DW62" s="585"/>
      <c r="DX62" s="585"/>
      <c r="DY62" s="585"/>
      <c r="DZ62" s="585"/>
      <c r="EA62" s="585"/>
      <c r="EB62" s="585"/>
      <c r="EC62" s="585"/>
      <c r="ED62" s="585"/>
      <c r="EE62" s="585"/>
      <c r="EF62" s="585"/>
      <c r="EG62" s="585"/>
      <c r="EH62" s="585"/>
      <c r="EI62" s="585"/>
      <c r="EJ62" s="585"/>
      <c r="EK62" s="585"/>
      <c r="EL62" s="585"/>
      <c r="EM62" s="585"/>
      <c r="EN62" s="585"/>
      <c r="EO62" s="585"/>
      <c r="EP62" s="585"/>
      <c r="EQ62" s="585"/>
      <c r="ER62" s="585"/>
      <c r="ES62" s="585"/>
      <c r="ET62" s="585"/>
      <c r="EU62" s="585"/>
      <c r="EV62" s="585"/>
      <c r="EW62" s="585"/>
      <c r="EX62" s="585"/>
      <c r="EY62" s="585"/>
      <c r="EZ62" s="585"/>
      <c r="FA62" s="585"/>
      <c r="FB62" s="585"/>
      <c r="FC62" s="585"/>
      <c r="FD62" s="585"/>
      <c r="FE62" s="585"/>
      <c r="FF62" s="585"/>
      <c r="FG62" s="585"/>
      <c r="FH62" s="585"/>
      <c r="FI62" s="585"/>
      <c r="FJ62" s="585"/>
      <c r="FK62" s="585"/>
      <c r="FL62" s="585"/>
      <c r="FM62" s="585"/>
      <c r="FN62" s="585"/>
      <c r="FO62" s="585"/>
      <c r="FP62" s="585"/>
      <c r="FQ62" s="585"/>
      <c r="FR62" s="585"/>
      <c r="FS62" s="585"/>
      <c r="FT62" s="585"/>
      <c r="FU62" s="585"/>
      <c r="FV62" s="585"/>
      <c r="FW62" s="585"/>
      <c r="FX62" s="585"/>
      <c r="FY62" s="585"/>
      <c r="FZ62" s="585"/>
      <c r="GA62" s="585"/>
      <c r="GB62" s="585"/>
      <c r="GC62" s="585"/>
      <c r="GD62" s="585"/>
      <c r="GE62" s="585"/>
      <c r="GF62" s="585"/>
      <c r="GG62" s="585"/>
      <c r="GH62" s="585"/>
      <c r="GI62" s="585"/>
      <c r="GJ62" s="585"/>
      <c r="GK62" s="585"/>
      <c r="GL62" s="585"/>
      <c r="GM62" s="585"/>
      <c r="GN62" s="585"/>
      <c r="GO62" s="585"/>
      <c r="GP62" s="585"/>
      <c r="GQ62" s="585"/>
      <c r="GR62" s="585"/>
      <c r="GS62" s="585"/>
      <c r="GT62" s="585"/>
      <c r="GU62" s="585"/>
      <c r="GV62" s="585"/>
      <c r="GW62" s="585"/>
      <c r="GX62" s="585"/>
      <c r="GY62" s="585"/>
      <c r="GZ62" s="585"/>
      <c r="HA62" s="585"/>
      <c r="HB62" s="585"/>
      <c r="HC62" s="585"/>
      <c r="HD62" s="585"/>
      <c r="HE62" s="585"/>
      <c r="HF62" s="585"/>
      <c r="HG62" s="585"/>
      <c r="HH62" s="585"/>
      <c r="HI62" s="585"/>
      <c r="HJ62" s="585"/>
      <c r="HK62" s="585"/>
      <c r="HL62" s="585"/>
      <c r="HM62" s="585"/>
      <c r="HN62" s="585"/>
      <c r="HO62" s="585"/>
      <c r="HP62" s="585"/>
      <c r="HQ62" s="585"/>
      <c r="HR62" s="585"/>
      <c r="HS62" s="585"/>
      <c r="HT62" s="585"/>
      <c r="HU62" s="585"/>
      <c r="HV62" s="585"/>
      <c r="HW62" s="585"/>
      <c r="HX62" s="585"/>
      <c r="HY62" s="585"/>
      <c r="HZ62" s="585"/>
      <c r="IA62" s="585"/>
      <c r="IB62" s="585"/>
      <c r="IC62" s="585"/>
      <c r="ID62" s="585"/>
      <c r="IE62" s="585"/>
      <c r="IF62" s="585"/>
      <c r="IG62" s="585"/>
      <c r="IH62" s="585"/>
      <c r="II62" s="585"/>
      <c r="IJ62" s="585"/>
      <c r="IK62" s="585"/>
      <c r="IL62" s="585"/>
      <c r="IM62" s="585"/>
      <c r="IN62" s="585"/>
      <c r="IO62" s="585"/>
      <c r="IP62" s="585"/>
      <c r="IQ62" s="585"/>
      <c r="IR62" s="585"/>
      <c r="IS62" s="585"/>
      <c r="IT62" s="585"/>
      <c r="IU62" s="585"/>
      <c r="IV62" s="585"/>
      <c r="IW62" s="585"/>
      <c r="IX62" s="585"/>
      <c r="IY62" s="585"/>
      <c r="IZ62" s="585"/>
      <c r="JA62" s="585"/>
      <c r="JB62" s="585"/>
      <c r="JC62" s="585"/>
      <c r="JD62" s="585"/>
      <c r="JE62" s="585"/>
      <c r="JF62" s="585"/>
      <c r="JG62" s="585"/>
      <c r="JH62" s="585"/>
      <c r="JI62" s="585"/>
      <c r="JJ62" s="585"/>
      <c r="JK62" s="585"/>
      <c r="JL62" s="585"/>
      <c r="JM62" s="585"/>
      <c r="JN62" s="585"/>
      <c r="JO62" s="585"/>
      <c r="JP62" s="585"/>
      <c r="JQ62" s="585"/>
      <c r="JR62" s="585"/>
      <c r="JS62" s="585"/>
      <c r="JT62" s="587"/>
      <c r="JU62" s="585"/>
      <c r="JV62" s="585"/>
      <c r="JW62" s="585"/>
      <c r="JX62" s="585"/>
      <c r="JY62" s="585"/>
      <c r="JZ62" s="585"/>
      <c r="KA62" s="585"/>
      <c r="KB62" s="585"/>
      <c r="KC62" s="585"/>
      <c r="KD62" s="585"/>
      <c r="KE62" s="585"/>
      <c r="KF62" s="585"/>
      <c r="KG62" s="585"/>
      <c r="KH62" s="585"/>
      <c r="KI62" s="585"/>
      <c r="KJ62" s="585"/>
      <c r="KK62" s="585"/>
      <c r="KL62" s="585"/>
      <c r="KM62" s="585"/>
      <c r="KN62" s="585"/>
      <c r="KO62" s="585"/>
      <c r="KP62" s="585"/>
      <c r="KQ62" s="585"/>
      <c r="KR62" s="585"/>
      <c r="KS62" s="585"/>
      <c r="KT62" s="585"/>
      <c r="KU62" s="585"/>
      <c r="KV62" s="585"/>
      <c r="KW62" s="585"/>
      <c r="KX62" s="585"/>
      <c r="KY62" s="585"/>
      <c r="KZ62" s="585"/>
      <c r="LA62" s="585"/>
      <c r="LB62" s="585"/>
      <c r="LC62" s="585"/>
      <c r="LD62" s="584"/>
      <c r="LE62" s="585"/>
      <c r="LF62" s="585"/>
      <c r="LG62" s="585"/>
      <c r="LH62" s="585"/>
      <c r="LI62" s="585"/>
      <c r="LJ62" s="585"/>
      <c r="LK62" s="585"/>
      <c r="LL62" s="585"/>
      <c r="LM62" s="585"/>
      <c r="LN62" s="585"/>
      <c r="LO62" s="585"/>
      <c r="LP62" s="585"/>
      <c r="LQ62" s="585"/>
      <c r="LR62" s="585"/>
      <c r="LS62" s="585"/>
      <c r="LT62" s="585"/>
      <c r="LU62" s="585"/>
      <c r="LV62" s="585"/>
      <c r="LW62" s="585"/>
      <c r="LX62" s="585"/>
      <c r="LY62" s="585"/>
      <c r="LZ62" s="585"/>
      <c r="MA62" s="585"/>
      <c r="MB62" s="585"/>
    </row>
    <row r="63" spans="1:340">
      <c r="A63" s="14">
        <v>1</v>
      </c>
      <c r="B63" s="582"/>
      <c r="C63" s="583"/>
      <c r="D63" s="584"/>
      <c r="E63" s="584"/>
      <c r="F63" s="585"/>
      <c r="G63" s="587"/>
      <c r="H63" s="587"/>
      <c r="I63" s="587"/>
      <c r="J63" s="585"/>
      <c r="K63" s="585"/>
      <c r="L63" s="585"/>
      <c r="M63" s="585"/>
      <c r="N63" s="585"/>
      <c r="O63" s="585"/>
      <c r="P63" s="585"/>
      <c r="Q63" s="585"/>
      <c r="R63" s="585"/>
      <c r="S63" s="585"/>
      <c r="T63" s="585"/>
      <c r="U63" s="585"/>
      <c r="V63" s="585"/>
      <c r="W63" s="585"/>
      <c r="X63" s="585"/>
      <c r="Y63" s="585"/>
      <c r="Z63" s="585"/>
      <c r="AA63" s="585"/>
      <c r="AB63" s="584"/>
      <c r="AC63" s="585"/>
      <c r="AD63" s="585"/>
      <c r="AE63" s="585"/>
      <c r="AF63" s="585"/>
      <c r="AG63" s="585"/>
      <c r="AH63" s="585"/>
      <c r="AI63" s="585"/>
      <c r="AJ63" s="585"/>
      <c r="AK63" s="585"/>
      <c r="AL63" s="585"/>
      <c r="AM63" s="585"/>
      <c r="AN63" s="585"/>
      <c r="AO63" s="585"/>
      <c r="AP63" s="585"/>
      <c r="AQ63" s="585"/>
      <c r="AR63" s="585"/>
      <c r="AS63" s="585"/>
      <c r="AT63" s="585"/>
      <c r="AU63" s="585"/>
      <c r="AV63" s="585"/>
      <c r="AW63" s="585"/>
      <c r="AX63" s="585"/>
      <c r="AY63" s="585"/>
      <c r="AZ63" s="585"/>
      <c r="BA63" s="585"/>
      <c r="BB63" s="585"/>
      <c r="BC63" s="585"/>
      <c r="BD63" s="585"/>
      <c r="BE63" s="585"/>
      <c r="BF63" s="585"/>
      <c r="BG63" s="585"/>
      <c r="BH63" s="585"/>
      <c r="BI63" s="585"/>
      <c r="BJ63" s="585"/>
      <c r="BK63" s="585"/>
      <c r="BL63" s="585"/>
      <c r="BM63" s="585"/>
      <c r="BN63" s="585"/>
      <c r="BO63" s="585"/>
      <c r="BP63" s="585"/>
      <c r="BQ63" s="585"/>
      <c r="BR63" s="585"/>
      <c r="BS63" s="585"/>
      <c r="BT63" s="585"/>
      <c r="BU63" s="585"/>
      <c r="BV63" s="585"/>
      <c r="BW63" s="585"/>
      <c r="BX63" s="585"/>
      <c r="BY63" s="585"/>
      <c r="BZ63" s="585"/>
      <c r="CA63" s="585"/>
      <c r="CB63" s="585"/>
      <c r="CC63" s="585"/>
      <c r="CD63" s="585"/>
      <c r="CE63" s="585"/>
      <c r="CF63" s="585"/>
      <c r="CG63" s="585"/>
      <c r="CH63" s="585"/>
      <c r="CI63" s="585"/>
      <c r="CJ63" s="585"/>
      <c r="CK63" s="585"/>
      <c r="CL63" s="585"/>
      <c r="CM63" s="585"/>
      <c r="CN63" s="585"/>
      <c r="CO63" s="585"/>
      <c r="CP63" s="585"/>
      <c r="CQ63" s="585"/>
      <c r="CR63" s="585"/>
      <c r="CS63" s="585"/>
      <c r="CT63" s="585"/>
      <c r="CU63" s="585"/>
      <c r="CV63" s="585"/>
      <c r="CW63" s="585"/>
      <c r="CX63" s="585"/>
      <c r="CY63" s="585"/>
      <c r="CZ63" s="585"/>
      <c r="DA63" s="585"/>
      <c r="DB63" s="585"/>
      <c r="DC63" s="585"/>
      <c r="DD63" s="585"/>
      <c r="DE63" s="585"/>
      <c r="DF63" s="585"/>
      <c r="DG63" s="585"/>
      <c r="DH63" s="585"/>
      <c r="DI63" s="585"/>
      <c r="DJ63" s="585"/>
      <c r="DK63" s="585"/>
      <c r="DL63" s="585"/>
      <c r="DM63" s="585"/>
      <c r="DN63" s="585"/>
      <c r="DO63" s="585"/>
      <c r="DP63" s="585"/>
      <c r="DQ63" s="585"/>
      <c r="DR63" s="585"/>
      <c r="DS63" s="585"/>
      <c r="DT63" s="585"/>
      <c r="DU63" s="585"/>
      <c r="DV63" s="585"/>
      <c r="DW63" s="585"/>
      <c r="DX63" s="585"/>
      <c r="DY63" s="585"/>
      <c r="DZ63" s="585"/>
      <c r="EA63" s="585"/>
      <c r="EB63" s="585"/>
      <c r="EC63" s="585"/>
      <c r="ED63" s="585"/>
      <c r="EE63" s="585"/>
      <c r="EF63" s="585"/>
      <c r="EG63" s="585"/>
      <c r="EH63" s="585"/>
      <c r="EI63" s="585"/>
      <c r="EJ63" s="585"/>
      <c r="EK63" s="585"/>
      <c r="EL63" s="585"/>
      <c r="EM63" s="585"/>
      <c r="EN63" s="585"/>
      <c r="EO63" s="585"/>
      <c r="EP63" s="585"/>
      <c r="EQ63" s="585"/>
      <c r="ER63" s="585"/>
      <c r="ES63" s="585"/>
      <c r="ET63" s="585"/>
      <c r="EU63" s="585"/>
      <c r="EV63" s="585"/>
      <c r="EW63" s="585"/>
      <c r="EX63" s="585"/>
      <c r="EY63" s="585"/>
      <c r="EZ63" s="585"/>
      <c r="FA63" s="585"/>
      <c r="FB63" s="585"/>
      <c r="FC63" s="585"/>
      <c r="FD63" s="585"/>
      <c r="FE63" s="585"/>
      <c r="FF63" s="585"/>
      <c r="FG63" s="585"/>
      <c r="FH63" s="585"/>
      <c r="FI63" s="585"/>
      <c r="FJ63" s="585"/>
      <c r="FK63" s="585"/>
      <c r="FL63" s="585"/>
      <c r="FM63" s="585"/>
      <c r="FN63" s="585"/>
      <c r="FO63" s="585"/>
      <c r="FP63" s="585"/>
      <c r="FQ63" s="585"/>
      <c r="FR63" s="585"/>
      <c r="FS63" s="585"/>
      <c r="FT63" s="585"/>
      <c r="FU63" s="585"/>
      <c r="FV63" s="585"/>
      <c r="FW63" s="585"/>
      <c r="FX63" s="585"/>
      <c r="FY63" s="585"/>
      <c r="FZ63" s="585"/>
      <c r="GA63" s="585"/>
      <c r="GB63" s="585"/>
      <c r="GC63" s="585"/>
      <c r="GD63" s="585"/>
      <c r="GE63" s="585"/>
      <c r="GF63" s="585"/>
      <c r="GG63" s="585"/>
      <c r="GH63" s="585"/>
      <c r="GI63" s="585"/>
      <c r="GJ63" s="585"/>
      <c r="GK63" s="585"/>
      <c r="GL63" s="585"/>
      <c r="GM63" s="585"/>
      <c r="GN63" s="585"/>
      <c r="GO63" s="585"/>
      <c r="GP63" s="585"/>
      <c r="GQ63" s="585"/>
      <c r="GR63" s="585"/>
      <c r="GS63" s="585"/>
      <c r="GT63" s="585"/>
      <c r="GU63" s="585"/>
      <c r="GV63" s="585"/>
      <c r="GW63" s="585"/>
      <c r="GX63" s="585"/>
      <c r="GY63" s="585"/>
      <c r="GZ63" s="585"/>
      <c r="HA63" s="585"/>
      <c r="HB63" s="585"/>
      <c r="HC63" s="585"/>
      <c r="HD63" s="585"/>
      <c r="HE63" s="585"/>
      <c r="HF63" s="585"/>
      <c r="HG63" s="585"/>
      <c r="HH63" s="585"/>
      <c r="HI63" s="585"/>
      <c r="HJ63" s="585"/>
      <c r="HK63" s="585"/>
      <c r="HL63" s="585"/>
      <c r="HM63" s="585"/>
      <c r="HN63" s="585"/>
      <c r="HO63" s="585"/>
      <c r="HP63" s="585"/>
      <c r="HQ63" s="585"/>
      <c r="HR63" s="585"/>
      <c r="HS63" s="585"/>
      <c r="HT63" s="585"/>
      <c r="HU63" s="585"/>
      <c r="HV63" s="585"/>
      <c r="HW63" s="585"/>
      <c r="HX63" s="585"/>
      <c r="HY63" s="585"/>
      <c r="HZ63" s="585"/>
      <c r="IA63" s="585"/>
      <c r="IB63" s="585"/>
      <c r="IC63" s="585"/>
      <c r="ID63" s="585"/>
      <c r="IE63" s="585"/>
      <c r="IF63" s="585"/>
      <c r="IG63" s="585"/>
      <c r="IH63" s="585"/>
      <c r="II63" s="585"/>
      <c r="IJ63" s="585"/>
      <c r="IK63" s="585"/>
      <c r="IL63" s="585"/>
      <c r="IM63" s="585"/>
      <c r="IN63" s="585"/>
      <c r="IO63" s="585"/>
      <c r="IP63" s="585"/>
      <c r="IQ63" s="585"/>
      <c r="IR63" s="585"/>
      <c r="IS63" s="585"/>
      <c r="IT63" s="585"/>
      <c r="IU63" s="585"/>
      <c r="IV63" s="585"/>
      <c r="IW63" s="585"/>
      <c r="IX63" s="585"/>
      <c r="IY63" s="585"/>
      <c r="IZ63" s="585"/>
      <c r="JA63" s="585"/>
      <c r="JB63" s="585"/>
      <c r="JC63" s="585"/>
      <c r="JD63" s="585"/>
      <c r="JE63" s="585"/>
      <c r="JF63" s="585"/>
      <c r="JG63" s="585"/>
      <c r="JH63" s="585"/>
      <c r="JI63" s="585"/>
      <c r="JJ63" s="585"/>
      <c r="JK63" s="585"/>
      <c r="JL63" s="585"/>
      <c r="JM63" s="585"/>
      <c r="JN63" s="585"/>
      <c r="JO63" s="585"/>
      <c r="JP63" s="585"/>
      <c r="JQ63" s="585"/>
      <c r="JR63" s="585"/>
      <c r="JS63" s="585"/>
      <c r="JT63" s="587"/>
      <c r="JU63" s="585"/>
      <c r="JV63" s="585"/>
      <c r="JW63" s="585"/>
      <c r="JX63" s="585"/>
      <c r="JY63" s="585"/>
      <c r="JZ63" s="585"/>
      <c r="KA63" s="585"/>
      <c r="KB63" s="585"/>
      <c r="KC63" s="585"/>
      <c r="KD63" s="585"/>
      <c r="KE63" s="585"/>
      <c r="KF63" s="585"/>
      <c r="KG63" s="585"/>
      <c r="KH63" s="585"/>
      <c r="KI63" s="585"/>
      <c r="KJ63" s="585"/>
      <c r="KK63" s="585"/>
      <c r="KL63" s="585"/>
      <c r="KM63" s="585"/>
      <c r="KN63" s="585"/>
      <c r="KO63" s="585"/>
      <c r="KP63" s="585"/>
      <c r="KQ63" s="585"/>
      <c r="KR63" s="585"/>
      <c r="KS63" s="585"/>
      <c r="KT63" s="585"/>
      <c r="KU63" s="585"/>
      <c r="KV63" s="585"/>
      <c r="KW63" s="585"/>
      <c r="KX63" s="585"/>
      <c r="KY63" s="585"/>
      <c r="KZ63" s="585"/>
      <c r="LA63" s="585"/>
      <c r="LB63" s="585"/>
      <c r="LC63" s="585"/>
      <c r="LD63" s="584"/>
      <c r="LE63" s="585"/>
      <c r="LF63" s="585"/>
      <c r="LG63" s="585"/>
      <c r="LH63" s="585"/>
      <c r="LI63" s="585"/>
      <c r="LJ63" s="585"/>
      <c r="LK63" s="585"/>
      <c r="LL63" s="585"/>
      <c r="LM63" s="585"/>
      <c r="LN63" s="585"/>
      <c r="LO63" s="585"/>
      <c r="LP63" s="585"/>
      <c r="LQ63" s="585"/>
      <c r="LR63" s="585"/>
      <c r="LS63" s="585"/>
      <c r="LT63" s="585"/>
      <c r="LU63" s="585"/>
      <c r="LV63" s="585"/>
      <c r="LW63" s="585"/>
      <c r="LX63" s="585"/>
      <c r="LY63" s="585"/>
      <c r="LZ63" s="585"/>
      <c r="MA63" s="585"/>
      <c r="MB63" s="585"/>
    </row>
    <row r="64" spans="1:340">
      <c r="A64" s="14">
        <v>1</v>
      </c>
      <c r="B64" s="582"/>
      <c r="C64" s="583"/>
      <c r="D64" s="584"/>
      <c r="E64" s="584"/>
      <c r="F64" s="585"/>
      <c r="G64" s="587"/>
      <c r="H64" s="587"/>
      <c r="I64" s="587"/>
      <c r="J64" s="585"/>
      <c r="K64" s="585"/>
      <c r="L64" s="585"/>
      <c r="M64" s="585"/>
      <c r="N64" s="585"/>
      <c r="O64" s="585"/>
      <c r="P64" s="585"/>
      <c r="Q64" s="585"/>
      <c r="R64" s="585"/>
      <c r="S64" s="585"/>
      <c r="T64" s="585"/>
      <c r="U64" s="585"/>
      <c r="V64" s="585"/>
      <c r="W64" s="585"/>
      <c r="X64" s="585"/>
      <c r="Y64" s="585"/>
      <c r="Z64" s="585"/>
      <c r="AA64" s="585"/>
      <c r="AB64" s="584"/>
      <c r="AC64" s="585"/>
      <c r="AD64" s="585"/>
      <c r="AE64" s="585"/>
      <c r="AF64" s="585"/>
      <c r="AG64" s="585"/>
      <c r="AH64" s="585"/>
      <c r="AI64" s="585"/>
      <c r="AJ64" s="585"/>
      <c r="AK64" s="585"/>
      <c r="AL64" s="585"/>
      <c r="AM64" s="585"/>
      <c r="AN64" s="585"/>
      <c r="AO64" s="585"/>
      <c r="AP64" s="585"/>
      <c r="AQ64" s="585"/>
      <c r="AR64" s="585"/>
      <c r="AS64" s="585"/>
      <c r="AT64" s="585"/>
      <c r="AU64" s="585"/>
      <c r="AV64" s="585"/>
      <c r="AW64" s="585"/>
      <c r="AX64" s="585"/>
      <c r="AY64" s="585"/>
      <c r="AZ64" s="585"/>
      <c r="BA64" s="585"/>
      <c r="BB64" s="585"/>
      <c r="BC64" s="585"/>
      <c r="BD64" s="585"/>
      <c r="BE64" s="585"/>
      <c r="BF64" s="585"/>
      <c r="BG64" s="585"/>
      <c r="BH64" s="585"/>
      <c r="BI64" s="585"/>
      <c r="BJ64" s="585"/>
      <c r="BK64" s="585"/>
      <c r="BL64" s="585"/>
      <c r="BM64" s="585"/>
      <c r="BN64" s="585"/>
      <c r="BO64" s="585"/>
      <c r="BP64" s="585"/>
      <c r="BQ64" s="585"/>
      <c r="BR64" s="585"/>
      <c r="BS64" s="585"/>
      <c r="BT64" s="585"/>
      <c r="BU64" s="585"/>
      <c r="BV64" s="585"/>
      <c r="BW64" s="585"/>
      <c r="BX64" s="585"/>
      <c r="BY64" s="585"/>
      <c r="BZ64" s="585"/>
      <c r="CA64" s="585"/>
      <c r="CB64" s="585"/>
      <c r="CC64" s="585"/>
      <c r="CD64" s="585"/>
      <c r="CE64" s="585"/>
      <c r="CF64" s="585"/>
      <c r="CG64" s="585"/>
      <c r="CH64" s="585"/>
      <c r="CI64" s="585"/>
      <c r="CJ64" s="585"/>
      <c r="CK64" s="585"/>
      <c r="CL64" s="585"/>
      <c r="CM64" s="585"/>
      <c r="CN64" s="585"/>
      <c r="CO64" s="585"/>
      <c r="CP64" s="585"/>
      <c r="CQ64" s="585"/>
      <c r="CR64" s="585"/>
      <c r="CS64" s="585"/>
      <c r="CT64" s="585"/>
      <c r="CU64" s="585"/>
      <c r="CV64" s="585"/>
      <c r="CW64" s="585"/>
      <c r="CX64" s="585"/>
      <c r="CY64" s="585"/>
      <c r="CZ64" s="585"/>
      <c r="DA64" s="585"/>
      <c r="DB64" s="585"/>
      <c r="DC64" s="585"/>
      <c r="DD64" s="585"/>
      <c r="DE64" s="585"/>
      <c r="DF64" s="585"/>
      <c r="DG64" s="585"/>
      <c r="DH64" s="585"/>
      <c r="DI64" s="585"/>
      <c r="DJ64" s="585"/>
      <c r="DK64" s="585"/>
      <c r="DL64" s="585"/>
      <c r="DM64" s="585"/>
      <c r="DN64" s="585"/>
      <c r="DO64" s="585"/>
      <c r="DP64" s="585"/>
      <c r="DQ64" s="585"/>
      <c r="DR64" s="585"/>
      <c r="DS64" s="585"/>
      <c r="DT64" s="585"/>
      <c r="DU64" s="585"/>
      <c r="DV64" s="585"/>
      <c r="DW64" s="585"/>
      <c r="DX64" s="585"/>
      <c r="DY64" s="585"/>
      <c r="DZ64" s="585"/>
      <c r="EA64" s="585"/>
      <c r="EB64" s="585"/>
      <c r="EC64" s="585"/>
      <c r="ED64" s="585"/>
      <c r="EE64" s="585"/>
      <c r="EF64" s="585"/>
      <c r="EG64" s="585"/>
      <c r="EH64" s="585"/>
      <c r="EI64" s="585"/>
      <c r="EJ64" s="585"/>
      <c r="EK64" s="585"/>
      <c r="EL64" s="585"/>
      <c r="EM64" s="585"/>
      <c r="EN64" s="585"/>
      <c r="EO64" s="585"/>
      <c r="EP64" s="585"/>
      <c r="EQ64" s="585"/>
      <c r="ER64" s="585"/>
      <c r="ES64" s="585"/>
      <c r="ET64" s="585"/>
      <c r="EU64" s="585"/>
      <c r="EV64" s="585"/>
      <c r="EW64" s="585"/>
      <c r="EX64" s="585"/>
      <c r="EY64" s="585"/>
      <c r="EZ64" s="585"/>
      <c r="FA64" s="585"/>
      <c r="FB64" s="585"/>
      <c r="FC64" s="585"/>
      <c r="FD64" s="585"/>
      <c r="FE64" s="585"/>
      <c r="FF64" s="585"/>
      <c r="FG64" s="585"/>
      <c r="FH64" s="585"/>
      <c r="FI64" s="585"/>
      <c r="FJ64" s="585"/>
      <c r="FK64" s="585"/>
      <c r="FL64" s="585"/>
      <c r="FM64" s="585"/>
      <c r="FN64" s="585"/>
      <c r="FO64" s="585"/>
      <c r="FP64" s="585"/>
      <c r="FQ64" s="585"/>
      <c r="FR64" s="585"/>
      <c r="FS64" s="585"/>
      <c r="FT64" s="585"/>
      <c r="FU64" s="585"/>
      <c r="FV64" s="585"/>
      <c r="FW64" s="585"/>
      <c r="FX64" s="585"/>
      <c r="FY64" s="585"/>
      <c r="FZ64" s="585"/>
      <c r="GA64" s="585"/>
      <c r="GB64" s="585"/>
      <c r="GC64" s="585"/>
      <c r="GD64" s="585"/>
      <c r="GE64" s="585"/>
      <c r="GF64" s="585"/>
      <c r="GG64" s="585"/>
      <c r="GH64" s="585"/>
      <c r="GI64" s="585"/>
      <c r="GJ64" s="585"/>
      <c r="GK64" s="585"/>
      <c r="GL64" s="585"/>
      <c r="GM64" s="585"/>
      <c r="GN64" s="585"/>
      <c r="GO64" s="585"/>
      <c r="GP64" s="585"/>
      <c r="GQ64" s="585"/>
      <c r="GR64" s="585"/>
      <c r="GS64" s="585"/>
      <c r="GT64" s="585"/>
      <c r="GU64" s="585"/>
      <c r="GV64" s="585"/>
      <c r="GW64" s="585"/>
      <c r="GX64" s="585"/>
      <c r="GY64" s="585"/>
      <c r="GZ64" s="585"/>
      <c r="HA64" s="585"/>
      <c r="HB64" s="585"/>
      <c r="HC64" s="585"/>
      <c r="HD64" s="585"/>
      <c r="HE64" s="585"/>
      <c r="HF64" s="585"/>
      <c r="HG64" s="585"/>
      <c r="HH64" s="585"/>
      <c r="HI64" s="585"/>
      <c r="HJ64" s="585"/>
      <c r="HK64" s="585"/>
      <c r="HL64" s="585"/>
      <c r="HM64" s="585"/>
      <c r="HN64" s="585"/>
      <c r="HO64" s="585"/>
      <c r="HP64" s="585"/>
      <c r="HQ64" s="585"/>
      <c r="HR64" s="585"/>
      <c r="HS64" s="585"/>
      <c r="HT64" s="585"/>
      <c r="HU64" s="585"/>
      <c r="HV64" s="585"/>
      <c r="HW64" s="585"/>
      <c r="HX64" s="585"/>
      <c r="HY64" s="585"/>
      <c r="HZ64" s="585"/>
      <c r="IA64" s="585"/>
      <c r="IB64" s="585"/>
      <c r="IC64" s="585"/>
      <c r="ID64" s="585"/>
      <c r="IE64" s="585"/>
      <c r="IF64" s="585"/>
      <c r="IG64" s="585"/>
      <c r="IH64" s="585"/>
      <c r="II64" s="585"/>
      <c r="IJ64" s="585"/>
      <c r="IK64" s="585"/>
      <c r="IL64" s="585"/>
      <c r="IM64" s="585"/>
      <c r="IN64" s="585"/>
      <c r="IO64" s="585"/>
      <c r="IP64" s="585"/>
      <c r="IQ64" s="585"/>
      <c r="IR64" s="585"/>
      <c r="IS64" s="585"/>
      <c r="IT64" s="585"/>
      <c r="IU64" s="585"/>
      <c r="IV64" s="585"/>
      <c r="IW64" s="585"/>
      <c r="IX64" s="585"/>
      <c r="IY64" s="585"/>
      <c r="IZ64" s="585"/>
      <c r="JA64" s="585"/>
      <c r="JB64" s="585"/>
      <c r="JC64" s="585"/>
      <c r="JD64" s="585"/>
      <c r="JE64" s="585"/>
      <c r="JF64" s="585"/>
      <c r="JG64" s="585"/>
      <c r="JH64" s="585"/>
      <c r="JI64" s="585"/>
      <c r="JJ64" s="585"/>
      <c r="JK64" s="585"/>
      <c r="JL64" s="585"/>
      <c r="JM64" s="585"/>
      <c r="JN64" s="585"/>
      <c r="JO64" s="585"/>
      <c r="JP64" s="585"/>
      <c r="JQ64" s="585"/>
      <c r="JR64" s="585"/>
      <c r="JS64" s="585"/>
      <c r="JT64" s="587"/>
      <c r="JU64" s="585"/>
      <c r="JV64" s="585"/>
      <c r="JW64" s="585"/>
      <c r="JX64" s="585"/>
      <c r="JY64" s="585"/>
      <c r="JZ64" s="585"/>
      <c r="KA64" s="585"/>
      <c r="KB64" s="585"/>
      <c r="KC64" s="585"/>
      <c r="KD64" s="585"/>
      <c r="KE64" s="585"/>
      <c r="KF64" s="585"/>
      <c r="KG64" s="585"/>
      <c r="KH64" s="585"/>
      <c r="KI64" s="585"/>
      <c r="KJ64" s="585"/>
      <c r="KK64" s="585"/>
      <c r="KL64" s="585"/>
      <c r="KM64" s="585"/>
      <c r="KN64" s="585"/>
      <c r="KO64" s="585"/>
      <c r="KP64" s="585"/>
      <c r="KQ64" s="585"/>
      <c r="KR64" s="585"/>
      <c r="KS64" s="585"/>
      <c r="KT64" s="585"/>
      <c r="KU64" s="585"/>
      <c r="KV64" s="585"/>
      <c r="KW64" s="585"/>
      <c r="KX64" s="585"/>
      <c r="KY64" s="585"/>
      <c r="KZ64" s="585"/>
      <c r="LA64" s="585"/>
      <c r="LB64" s="585"/>
      <c r="LC64" s="585"/>
      <c r="LD64" s="584"/>
      <c r="LE64" s="585"/>
      <c r="LF64" s="585"/>
      <c r="LG64" s="585"/>
      <c r="LH64" s="585"/>
      <c r="LI64" s="585"/>
      <c r="LJ64" s="585"/>
      <c r="LK64" s="585"/>
      <c r="LL64" s="585"/>
      <c r="LM64" s="585"/>
      <c r="LN64" s="585"/>
      <c r="LO64" s="585"/>
      <c r="LP64" s="585"/>
      <c r="LQ64" s="585"/>
      <c r="LR64" s="585"/>
      <c r="LS64" s="585"/>
      <c r="LT64" s="585"/>
      <c r="LU64" s="585"/>
      <c r="LV64" s="585"/>
      <c r="LW64" s="585"/>
      <c r="LX64" s="585"/>
      <c r="LY64" s="585"/>
      <c r="LZ64" s="585"/>
      <c r="MA64" s="585"/>
      <c r="MB64" s="585"/>
    </row>
    <row r="65" spans="1:340">
      <c r="A65" s="14">
        <v>1</v>
      </c>
      <c r="B65" s="582"/>
      <c r="C65" s="583"/>
      <c r="D65" s="584"/>
      <c r="E65" s="584"/>
      <c r="F65" s="585"/>
      <c r="G65" s="587"/>
      <c r="H65" s="587"/>
      <c r="I65" s="587"/>
      <c r="J65" s="585"/>
      <c r="K65" s="585"/>
      <c r="L65" s="585"/>
      <c r="M65" s="585"/>
      <c r="N65" s="585"/>
      <c r="O65" s="585"/>
      <c r="P65" s="585"/>
      <c r="Q65" s="585"/>
      <c r="R65" s="585"/>
      <c r="S65" s="585"/>
      <c r="T65" s="585"/>
      <c r="U65" s="585"/>
      <c r="V65" s="585"/>
      <c r="W65" s="585"/>
      <c r="X65" s="585"/>
      <c r="Y65" s="585"/>
      <c r="Z65" s="585"/>
      <c r="AA65" s="585"/>
      <c r="AB65" s="584"/>
      <c r="AC65" s="585"/>
      <c r="AD65" s="585"/>
      <c r="AE65" s="585"/>
      <c r="AF65" s="585"/>
      <c r="AG65" s="585"/>
      <c r="AH65" s="585"/>
      <c r="AI65" s="585"/>
      <c r="AJ65" s="585"/>
      <c r="AK65" s="585"/>
      <c r="AL65" s="585"/>
      <c r="AM65" s="585"/>
      <c r="AN65" s="585"/>
      <c r="AO65" s="585"/>
      <c r="AP65" s="585"/>
      <c r="AQ65" s="585"/>
      <c r="AR65" s="585"/>
      <c r="AS65" s="585"/>
      <c r="AT65" s="585"/>
      <c r="AU65" s="585"/>
      <c r="AV65" s="585"/>
      <c r="AW65" s="585"/>
      <c r="AX65" s="585"/>
      <c r="AY65" s="585"/>
      <c r="AZ65" s="585"/>
      <c r="BA65" s="585"/>
      <c r="BB65" s="585"/>
      <c r="BC65" s="585"/>
      <c r="BD65" s="585"/>
      <c r="BE65" s="585"/>
      <c r="BF65" s="585"/>
      <c r="BG65" s="585"/>
      <c r="BH65" s="585"/>
      <c r="BI65" s="585"/>
      <c r="BJ65" s="585"/>
      <c r="BK65" s="585"/>
      <c r="BL65" s="585"/>
      <c r="BM65" s="585"/>
      <c r="BN65" s="585"/>
      <c r="BO65" s="585"/>
      <c r="BP65" s="585"/>
      <c r="BQ65" s="585"/>
      <c r="BR65" s="585"/>
      <c r="BS65" s="585"/>
      <c r="BT65" s="585"/>
      <c r="BU65" s="585"/>
      <c r="BV65" s="585"/>
      <c r="BW65" s="585"/>
      <c r="BX65" s="585"/>
      <c r="BY65" s="585"/>
      <c r="BZ65" s="585"/>
      <c r="CA65" s="585"/>
      <c r="CB65" s="585"/>
      <c r="CC65" s="585"/>
      <c r="CD65" s="585"/>
      <c r="CE65" s="585"/>
      <c r="CF65" s="585"/>
      <c r="CG65" s="585"/>
      <c r="CH65" s="585"/>
      <c r="CI65" s="585"/>
      <c r="CJ65" s="585"/>
      <c r="CK65" s="585"/>
      <c r="CL65" s="585"/>
      <c r="CM65" s="585"/>
      <c r="CN65" s="585"/>
      <c r="CO65" s="585"/>
      <c r="CP65" s="585"/>
      <c r="CQ65" s="585"/>
      <c r="CR65" s="585"/>
      <c r="CS65" s="585"/>
      <c r="CT65" s="585"/>
      <c r="CU65" s="585"/>
      <c r="CV65" s="585"/>
      <c r="CW65" s="585"/>
      <c r="CX65" s="585"/>
      <c r="CY65" s="585"/>
      <c r="CZ65" s="585"/>
      <c r="DA65" s="585"/>
      <c r="DB65" s="585"/>
      <c r="DC65" s="585"/>
      <c r="DD65" s="585"/>
      <c r="DE65" s="585"/>
      <c r="DF65" s="585"/>
      <c r="DG65" s="585"/>
      <c r="DH65" s="585"/>
      <c r="DI65" s="585"/>
      <c r="DJ65" s="585"/>
      <c r="DK65" s="585"/>
      <c r="DL65" s="585"/>
      <c r="DM65" s="585"/>
      <c r="DN65" s="585"/>
      <c r="DO65" s="585"/>
      <c r="DP65" s="585"/>
      <c r="DQ65" s="585"/>
      <c r="DR65" s="585"/>
      <c r="DS65" s="585"/>
      <c r="DT65" s="585"/>
      <c r="DU65" s="585"/>
      <c r="DV65" s="585"/>
      <c r="DW65" s="585"/>
      <c r="DX65" s="585"/>
      <c r="DY65" s="585"/>
      <c r="DZ65" s="585"/>
      <c r="EA65" s="585"/>
      <c r="EB65" s="585"/>
      <c r="EC65" s="585"/>
      <c r="ED65" s="585"/>
      <c r="EE65" s="585"/>
      <c r="EF65" s="585"/>
      <c r="EG65" s="585"/>
      <c r="EH65" s="585"/>
      <c r="EI65" s="585"/>
      <c r="EJ65" s="585"/>
      <c r="EK65" s="585"/>
      <c r="EL65" s="585"/>
      <c r="EM65" s="585"/>
      <c r="EN65" s="585"/>
      <c r="EO65" s="585"/>
      <c r="EP65" s="585"/>
      <c r="EQ65" s="585"/>
      <c r="ER65" s="585"/>
      <c r="ES65" s="585"/>
      <c r="ET65" s="585"/>
      <c r="EU65" s="585"/>
      <c r="EV65" s="585"/>
      <c r="EW65" s="585"/>
      <c r="EX65" s="585"/>
      <c r="EY65" s="585"/>
      <c r="EZ65" s="585"/>
      <c r="FA65" s="585"/>
      <c r="FB65" s="585"/>
      <c r="FC65" s="585"/>
      <c r="FD65" s="585"/>
      <c r="FE65" s="585"/>
      <c r="FF65" s="585"/>
      <c r="FG65" s="585"/>
      <c r="FH65" s="585"/>
      <c r="FI65" s="585"/>
      <c r="FJ65" s="585"/>
      <c r="FK65" s="585"/>
      <c r="FL65" s="585"/>
      <c r="FM65" s="585"/>
      <c r="FN65" s="585"/>
      <c r="FO65" s="585"/>
      <c r="FP65" s="585"/>
      <c r="FQ65" s="585"/>
      <c r="FR65" s="585"/>
      <c r="FS65" s="585"/>
      <c r="FT65" s="585"/>
      <c r="FU65" s="585"/>
      <c r="FV65" s="585"/>
      <c r="FW65" s="585"/>
      <c r="FX65" s="585"/>
      <c r="FY65" s="585"/>
      <c r="FZ65" s="585"/>
      <c r="GA65" s="585"/>
      <c r="GB65" s="585"/>
      <c r="GC65" s="585"/>
      <c r="GD65" s="585"/>
      <c r="GE65" s="585"/>
      <c r="GF65" s="585"/>
      <c r="GG65" s="585"/>
      <c r="GH65" s="585"/>
      <c r="GI65" s="585"/>
      <c r="GJ65" s="585"/>
      <c r="GK65" s="585"/>
      <c r="GL65" s="585"/>
      <c r="GM65" s="585"/>
      <c r="GN65" s="585"/>
      <c r="GO65" s="585"/>
      <c r="GP65" s="585"/>
      <c r="GQ65" s="585"/>
      <c r="GR65" s="585"/>
      <c r="GS65" s="585"/>
      <c r="GT65" s="585"/>
      <c r="GU65" s="585"/>
      <c r="GV65" s="585"/>
      <c r="GW65" s="585"/>
      <c r="GX65" s="585"/>
      <c r="GY65" s="585"/>
      <c r="GZ65" s="585"/>
      <c r="HA65" s="585"/>
      <c r="HB65" s="585"/>
      <c r="HC65" s="585"/>
      <c r="HD65" s="585"/>
      <c r="HE65" s="585"/>
      <c r="HF65" s="585"/>
      <c r="HG65" s="585"/>
      <c r="HH65" s="585"/>
      <c r="HI65" s="585"/>
      <c r="HJ65" s="585"/>
      <c r="HK65" s="585"/>
      <c r="HL65" s="585"/>
      <c r="HM65" s="585"/>
      <c r="HN65" s="585"/>
      <c r="HO65" s="585"/>
      <c r="HP65" s="585"/>
      <c r="HQ65" s="585"/>
      <c r="HR65" s="585"/>
      <c r="HS65" s="585"/>
      <c r="HT65" s="585"/>
      <c r="HU65" s="585"/>
      <c r="HV65" s="585"/>
      <c r="HW65" s="585"/>
      <c r="HX65" s="585"/>
      <c r="HY65" s="585"/>
      <c r="HZ65" s="585"/>
      <c r="IA65" s="585"/>
      <c r="IB65" s="585"/>
      <c r="IC65" s="585"/>
      <c r="ID65" s="585"/>
      <c r="IE65" s="585"/>
      <c r="IF65" s="585"/>
      <c r="IG65" s="585"/>
      <c r="IH65" s="585"/>
      <c r="II65" s="585"/>
      <c r="IJ65" s="585"/>
      <c r="IK65" s="585"/>
      <c r="IL65" s="585"/>
      <c r="IM65" s="585"/>
      <c r="IN65" s="585"/>
      <c r="IO65" s="585"/>
      <c r="IP65" s="585"/>
      <c r="IQ65" s="585"/>
      <c r="IR65" s="585"/>
      <c r="IS65" s="585"/>
      <c r="IT65" s="585"/>
      <c r="IU65" s="585"/>
      <c r="IV65" s="585"/>
      <c r="IW65" s="585"/>
      <c r="IX65" s="585"/>
      <c r="IY65" s="585"/>
      <c r="IZ65" s="585"/>
      <c r="JA65" s="585"/>
      <c r="JB65" s="585"/>
      <c r="JC65" s="585"/>
      <c r="JD65" s="585"/>
      <c r="JE65" s="585"/>
      <c r="JF65" s="585"/>
      <c r="JG65" s="585"/>
      <c r="JH65" s="585"/>
      <c r="JI65" s="585"/>
      <c r="JJ65" s="585"/>
      <c r="JK65" s="585"/>
      <c r="JL65" s="585"/>
      <c r="JM65" s="585"/>
      <c r="JN65" s="585"/>
      <c r="JO65" s="585"/>
      <c r="JP65" s="585"/>
      <c r="JQ65" s="585"/>
      <c r="JR65" s="585"/>
      <c r="JS65" s="585"/>
      <c r="JT65" s="587"/>
      <c r="JU65" s="585"/>
      <c r="JV65" s="585"/>
      <c r="JW65" s="585"/>
      <c r="JX65" s="585"/>
      <c r="JY65" s="585"/>
      <c r="JZ65" s="585"/>
      <c r="KA65" s="585"/>
      <c r="KB65" s="585"/>
      <c r="KC65" s="585"/>
      <c r="KD65" s="585"/>
      <c r="KE65" s="585"/>
      <c r="KF65" s="585"/>
      <c r="KG65" s="585"/>
      <c r="KH65" s="585"/>
      <c r="KI65" s="585"/>
      <c r="KJ65" s="585"/>
      <c r="KK65" s="585"/>
      <c r="KL65" s="585"/>
      <c r="KM65" s="585"/>
      <c r="KN65" s="585"/>
      <c r="KO65" s="585"/>
      <c r="KP65" s="585"/>
      <c r="KQ65" s="585"/>
      <c r="KR65" s="585"/>
      <c r="KS65" s="585"/>
      <c r="KT65" s="585"/>
      <c r="KU65" s="585"/>
      <c r="KV65" s="585"/>
      <c r="KW65" s="585"/>
      <c r="KX65" s="585"/>
      <c r="KY65" s="585"/>
      <c r="KZ65" s="585"/>
      <c r="LA65" s="585"/>
      <c r="LB65" s="585"/>
      <c r="LC65" s="585"/>
      <c r="LD65" s="584"/>
      <c r="LE65" s="585"/>
      <c r="LF65" s="585"/>
      <c r="LG65" s="585"/>
      <c r="LH65" s="585"/>
      <c r="LI65" s="585"/>
      <c r="LJ65" s="585"/>
      <c r="LK65" s="585"/>
      <c r="LL65" s="585"/>
      <c r="LM65" s="585"/>
      <c r="LN65" s="585"/>
      <c r="LO65" s="585"/>
      <c r="LP65" s="585"/>
      <c r="LQ65" s="585"/>
      <c r="LR65" s="585"/>
      <c r="LS65" s="585"/>
      <c r="LT65" s="585"/>
      <c r="LU65" s="585"/>
      <c r="LV65" s="585"/>
      <c r="LW65" s="585"/>
      <c r="LX65" s="585"/>
      <c r="LY65" s="585"/>
      <c r="LZ65" s="585"/>
      <c r="MA65" s="585"/>
      <c r="MB65" s="585"/>
    </row>
    <row r="66" spans="1:340">
      <c r="A66" s="14">
        <v>1</v>
      </c>
      <c r="B66" s="582"/>
      <c r="C66" s="583"/>
      <c r="D66" s="584"/>
      <c r="E66" s="584"/>
      <c r="F66" s="585"/>
      <c r="G66" s="587"/>
      <c r="H66" s="587"/>
      <c r="I66" s="587"/>
      <c r="J66" s="585"/>
      <c r="K66" s="585"/>
      <c r="L66" s="585"/>
      <c r="M66" s="585"/>
      <c r="N66" s="585"/>
      <c r="O66" s="585"/>
      <c r="P66" s="585"/>
      <c r="Q66" s="585"/>
      <c r="R66" s="585"/>
      <c r="S66" s="585"/>
      <c r="T66" s="585"/>
      <c r="U66" s="585"/>
      <c r="V66" s="585"/>
      <c r="W66" s="585"/>
      <c r="X66" s="585"/>
      <c r="Y66" s="585"/>
      <c r="Z66" s="585"/>
      <c r="AA66" s="585"/>
      <c r="AB66" s="584"/>
      <c r="AC66" s="585"/>
      <c r="AD66" s="585"/>
      <c r="AE66" s="585"/>
      <c r="AF66" s="585"/>
      <c r="AG66" s="585"/>
      <c r="AH66" s="585"/>
      <c r="AI66" s="585"/>
      <c r="AJ66" s="585"/>
      <c r="AK66" s="585"/>
      <c r="AL66" s="585"/>
      <c r="AM66" s="585"/>
      <c r="AN66" s="585"/>
      <c r="AO66" s="585"/>
      <c r="AP66" s="585"/>
      <c r="AQ66" s="585"/>
      <c r="AR66" s="585"/>
      <c r="AS66" s="585"/>
      <c r="AT66" s="585"/>
      <c r="AU66" s="585"/>
      <c r="AV66" s="585"/>
      <c r="AW66" s="585"/>
      <c r="AX66" s="585"/>
      <c r="AY66" s="585"/>
      <c r="AZ66" s="585"/>
      <c r="BA66" s="585"/>
      <c r="BB66" s="585"/>
      <c r="BC66" s="585"/>
      <c r="BD66" s="585"/>
      <c r="BE66" s="585"/>
      <c r="BF66" s="585"/>
      <c r="BG66" s="585"/>
      <c r="BH66" s="585"/>
      <c r="BI66" s="585"/>
      <c r="BJ66" s="585"/>
      <c r="BK66" s="585"/>
      <c r="BL66" s="585"/>
      <c r="BM66" s="585"/>
      <c r="BN66" s="585"/>
      <c r="BO66" s="585"/>
      <c r="BP66" s="585"/>
      <c r="BQ66" s="585"/>
      <c r="BR66" s="585"/>
      <c r="BS66" s="585"/>
      <c r="BT66" s="585"/>
      <c r="BU66" s="585"/>
      <c r="BV66" s="585"/>
      <c r="BW66" s="585"/>
      <c r="BX66" s="585"/>
      <c r="BY66" s="585"/>
      <c r="BZ66" s="585"/>
      <c r="CA66" s="585"/>
      <c r="CB66" s="585"/>
      <c r="CC66" s="585"/>
      <c r="CD66" s="585"/>
      <c r="CE66" s="585"/>
      <c r="CF66" s="585"/>
      <c r="CG66" s="585"/>
      <c r="CH66" s="585"/>
      <c r="CI66" s="585"/>
      <c r="CJ66" s="585"/>
      <c r="CK66" s="585"/>
      <c r="CL66" s="585"/>
      <c r="CM66" s="585"/>
      <c r="CN66" s="585"/>
      <c r="CO66" s="585"/>
      <c r="CP66" s="585"/>
      <c r="CQ66" s="585"/>
      <c r="CR66" s="585"/>
      <c r="CS66" s="585"/>
      <c r="CT66" s="585"/>
      <c r="CU66" s="585"/>
      <c r="CV66" s="585"/>
      <c r="CW66" s="585"/>
      <c r="CX66" s="585"/>
      <c r="CY66" s="585"/>
      <c r="CZ66" s="585"/>
      <c r="DA66" s="585"/>
      <c r="DB66" s="585"/>
      <c r="DC66" s="585"/>
      <c r="DD66" s="585"/>
      <c r="DE66" s="585"/>
      <c r="DF66" s="585"/>
      <c r="DG66" s="585"/>
      <c r="DH66" s="585"/>
      <c r="DI66" s="585"/>
      <c r="DJ66" s="585"/>
      <c r="DK66" s="585"/>
      <c r="DL66" s="585"/>
      <c r="DM66" s="585"/>
      <c r="DN66" s="585"/>
      <c r="DO66" s="585"/>
      <c r="DP66" s="585"/>
      <c r="DQ66" s="585"/>
      <c r="DR66" s="585"/>
      <c r="DS66" s="585"/>
      <c r="DT66" s="585"/>
      <c r="DU66" s="585"/>
      <c r="DV66" s="585"/>
      <c r="DW66" s="585"/>
      <c r="DX66" s="585"/>
      <c r="DY66" s="585"/>
      <c r="DZ66" s="585"/>
      <c r="EA66" s="585"/>
      <c r="EB66" s="585"/>
      <c r="EC66" s="585"/>
      <c r="ED66" s="585"/>
      <c r="EE66" s="585"/>
      <c r="EF66" s="585"/>
      <c r="EG66" s="585"/>
      <c r="EH66" s="585"/>
      <c r="EI66" s="585"/>
      <c r="EJ66" s="585"/>
      <c r="EK66" s="585"/>
      <c r="EL66" s="585"/>
      <c r="EM66" s="585"/>
      <c r="EN66" s="585"/>
      <c r="EO66" s="585"/>
      <c r="EP66" s="585"/>
      <c r="EQ66" s="585"/>
      <c r="ER66" s="585"/>
      <c r="ES66" s="585"/>
      <c r="ET66" s="585"/>
      <c r="EU66" s="585"/>
      <c r="EV66" s="585"/>
      <c r="EW66" s="585"/>
      <c r="EX66" s="585"/>
      <c r="EY66" s="585"/>
      <c r="EZ66" s="585"/>
      <c r="FA66" s="585"/>
      <c r="FB66" s="585"/>
      <c r="FC66" s="585"/>
      <c r="FD66" s="585"/>
      <c r="FE66" s="585"/>
      <c r="FF66" s="585"/>
      <c r="FG66" s="585"/>
      <c r="FH66" s="585"/>
      <c r="FI66" s="585"/>
      <c r="FJ66" s="585"/>
      <c r="FK66" s="585"/>
      <c r="FL66" s="585"/>
      <c r="FM66" s="585"/>
      <c r="FN66" s="585"/>
      <c r="FO66" s="585"/>
      <c r="FP66" s="585"/>
      <c r="FQ66" s="585"/>
      <c r="FR66" s="585"/>
      <c r="FS66" s="585"/>
      <c r="FT66" s="585"/>
      <c r="FU66" s="585"/>
      <c r="FV66" s="585"/>
      <c r="FW66" s="585"/>
      <c r="FX66" s="585"/>
      <c r="FY66" s="585"/>
      <c r="FZ66" s="585"/>
      <c r="GA66" s="585"/>
      <c r="GB66" s="585"/>
      <c r="GC66" s="585"/>
      <c r="GD66" s="585"/>
      <c r="GE66" s="585"/>
      <c r="GF66" s="585"/>
      <c r="GG66" s="585"/>
      <c r="GH66" s="585"/>
      <c r="GI66" s="585"/>
      <c r="GJ66" s="585"/>
      <c r="GK66" s="585"/>
      <c r="GL66" s="585"/>
      <c r="GM66" s="585"/>
      <c r="GN66" s="585"/>
      <c r="GO66" s="585"/>
      <c r="GP66" s="585"/>
      <c r="GQ66" s="585"/>
      <c r="GR66" s="585"/>
      <c r="GS66" s="585"/>
      <c r="GT66" s="585"/>
      <c r="GU66" s="585"/>
      <c r="GV66" s="585"/>
      <c r="GW66" s="585"/>
      <c r="GX66" s="585"/>
      <c r="GY66" s="585"/>
      <c r="GZ66" s="585"/>
      <c r="HA66" s="585"/>
      <c r="HB66" s="585"/>
      <c r="HC66" s="585"/>
      <c r="HD66" s="585"/>
      <c r="HE66" s="585"/>
      <c r="HF66" s="585"/>
      <c r="HG66" s="585"/>
      <c r="HH66" s="585"/>
      <c r="HI66" s="585"/>
      <c r="HJ66" s="585"/>
      <c r="HK66" s="585"/>
      <c r="HL66" s="585"/>
      <c r="HM66" s="585"/>
      <c r="HN66" s="585"/>
      <c r="HO66" s="585"/>
      <c r="HP66" s="585"/>
      <c r="HQ66" s="585"/>
      <c r="HR66" s="585"/>
      <c r="HS66" s="585"/>
      <c r="HT66" s="585"/>
      <c r="HU66" s="585"/>
      <c r="HV66" s="585"/>
      <c r="HW66" s="585"/>
      <c r="HX66" s="585"/>
      <c r="HY66" s="585"/>
      <c r="HZ66" s="585"/>
      <c r="IA66" s="585"/>
      <c r="IB66" s="585"/>
      <c r="IC66" s="585"/>
      <c r="ID66" s="585"/>
      <c r="IE66" s="585"/>
      <c r="IF66" s="585"/>
      <c r="IG66" s="585"/>
      <c r="IH66" s="585"/>
      <c r="II66" s="585"/>
      <c r="IJ66" s="585"/>
      <c r="IK66" s="585"/>
      <c r="IL66" s="585"/>
      <c r="IM66" s="585"/>
      <c r="IN66" s="585"/>
      <c r="IO66" s="585"/>
      <c r="IP66" s="585"/>
      <c r="IQ66" s="585"/>
      <c r="IR66" s="585"/>
      <c r="IS66" s="585"/>
      <c r="IT66" s="585"/>
      <c r="IU66" s="585"/>
      <c r="IV66" s="585"/>
      <c r="IW66" s="585"/>
      <c r="IX66" s="585"/>
      <c r="IY66" s="585"/>
      <c r="IZ66" s="585"/>
      <c r="JA66" s="585"/>
      <c r="JB66" s="585"/>
      <c r="JC66" s="585"/>
      <c r="JD66" s="585"/>
      <c r="JE66" s="585"/>
      <c r="JF66" s="585"/>
      <c r="JG66" s="585"/>
      <c r="JH66" s="585"/>
      <c r="JI66" s="585"/>
      <c r="JJ66" s="585"/>
      <c r="JK66" s="585"/>
      <c r="JL66" s="585"/>
      <c r="JM66" s="585"/>
      <c r="JN66" s="585"/>
      <c r="JO66" s="585"/>
      <c r="JP66" s="585"/>
      <c r="JQ66" s="585"/>
      <c r="JR66" s="585"/>
      <c r="JS66" s="585"/>
      <c r="JT66" s="587"/>
      <c r="JU66" s="585"/>
      <c r="JV66" s="585"/>
      <c r="JW66" s="585"/>
      <c r="JX66" s="585"/>
      <c r="JY66" s="585"/>
      <c r="JZ66" s="585"/>
      <c r="KA66" s="585"/>
      <c r="KB66" s="585"/>
      <c r="KC66" s="585"/>
      <c r="KD66" s="585"/>
      <c r="KE66" s="585"/>
      <c r="KF66" s="585"/>
      <c r="KG66" s="585"/>
      <c r="KH66" s="585"/>
      <c r="KI66" s="585"/>
      <c r="KJ66" s="585"/>
      <c r="KK66" s="585"/>
      <c r="KL66" s="585"/>
      <c r="KM66" s="585"/>
      <c r="KN66" s="585"/>
      <c r="KO66" s="585"/>
      <c r="KP66" s="585"/>
      <c r="KQ66" s="585"/>
      <c r="KR66" s="585"/>
      <c r="KS66" s="585"/>
      <c r="KT66" s="585"/>
      <c r="KU66" s="585"/>
      <c r="KV66" s="585"/>
      <c r="KW66" s="585"/>
      <c r="KX66" s="585"/>
      <c r="KY66" s="585"/>
      <c r="KZ66" s="585"/>
      <c r="LA66" s="585"/>
      <c r="LB66" s="585"/>
      <c r="LC66" s="585"/>
      <c r="LD66" s="584"/>
      <c r="LE66" s="585"/>
      <c r="LF66" s="585"/>
      <c r="LG66" s="585"/>
      <c r="LH66" s="585"/>
      <c r="LI66" s="585"/>
      <c r="LJ66" s="585"/>
      <c r="LK66" s="585"/>
      <c r="LL66" s="585"/>
      <c r="LM66" s="585"/>
      <c r="LN66" s="585"/>
      <c r="LO66" s="585"/>
      <c r="LP66" s="585"/>
      <c r="LQ66" s="585"/>
      <c r="LR66" s="585"/>
      <c r="LS66" s="585"/>
      <c r="LT66" s="585"/>
      <c r="LU66" s="585"/>
      <c r="LV66" s="585"/>
      <c r="LW66" s="585"/>
      <c r="LX66" s="585"/>
      <c r="LY66" s="585"/>
      <c r="LZ66" s="585"/>
      <c r="MA66" s="585"/>
      <c r="MB66" s="585"/>
    </row>
    <row r="67" spans="1:340">
      <c r="A67" s="14">
        <v>1</v>
      </c>
      <c r="B67" s="582"/>
      <c r="C67" s="583"/>
      <c r="D67" s="584"/>
      <c r="E67" s="584"/>
      <c r="F67" s="585"/>
      <c r="G67" s="587"/>
      <c r="H67" s="587"/>
      <c r="I67" s="587"/>
      <c r="J67" s="585"/>
      <c r="K67" s="585"/>
      <c r="L67" s="585"/>
      <c r="M67" s="585"/>
      <c r="N67" s="585"/>
      <c r="O67" s="585"/>
      <c r="P67" s="585"/>
      <c r="Q67" s="585"/>
      <c r="R67" s="585"/>
      <c r="S67" s="585"/>
      <c r="T67" s="585"/>
      <c r="U67" s="585"/>
      <c r="V67" s="585"/>
      <c r="W67" s="585"/>
      <c r="X67" s="585"/>
      <c r="Y67" s="585"/>
      <c r="Z67" s="585"/>
      <c r="AA67" s="585"/>
      <c r="AB67" s="584"/>
      <c r="AC67" s="585"/>
      <c r="AD67" s="585"/>
      <c r="AE67" s="585"/>
      <c r="AF67" s="585"/>
      <c r="AG67" s="585"/>
      <c r="AH67" s="585"/>
      <c r="AI67" s="585"/>
      <c r="AJ67" s="585"/>
      <c r="AK67" s="585"/>
      <c r="AL67" s="585"/>
      <c r="AM67" s="585"/>
      <c r="AN67" s="585"/>
      <c r="AO67" s="585"/>
      <c r="AP67" s="585"/>
      <c r="AQ67" s="585"/>
      <c r="AR67" s="585"/>
      <c r="AS67" s="585"/>
      <c r="AT67" s="585"/>
      <c r="AU67" s="585"/>
      <c r="AV67" s="585"/>
      <c r="AW67" s="585"/>
      <c r="AX67" s="585"/>
      <c r="AY67" s="585"/>
      <c r="AZ67" s="585"/>
      <c r="BA67" s="585"/>
      <c r="BB67" s="585"/>
      <c r="BC67" s="585"/>
      <c r="BD67" s="585"/>
      <c r="BE67" s="585"/>
      <c r="BF67" s="585"/>
      <c r="BG67" s="585"/>
      <c r="BH67" s="585"/>
      <c r="BI67" s="585"/>
      <c r="BJ67" s="585"/>
      <c r="BK67" s="585"/>
      <c r="BL67" s="585"/>
      <c r="BM67" s="585"/>
      <c r="BN67" s="585"/>
      <c r="BO67" s="585"/>
      <c r="BP67" s="585"/>
      <c r="BQ67" s="585"/>
      <c r="BR67" s="585"/>
      <c r="BS67" s="585"/>
      <c r="BT67" s="585"/>
      <c r="BU67" s="585"/>
      <c r="BV67" s="585"/>
      <c r="BW67" s="585"/>
      <c r="BX67" s="585"/>
      <c r="BY67" s="585"/>
      <c r="BZ67" s="585"/>
      <c r="CA67" s="585"/>
      <c r="CB67" s="585"/>
      <c r="CC67" s="585"/>
      <c r="CD67" s="585"/>
      <c r="CE67" s="585"/>
      <c r="CF67" s="585"/>
      <c r="CG67" s="585"/>
      <c r="CH67" s="585"/>
      <c r="CI67" s="585"/>
      <c r="CJ67" s="585"/>
      <c r="CK67" s="585"/>
      <c r="CL67" s="585"/>
      <c r="CM67" s="585"/>
      <c r="CN67" s="585"/>
      <c r="CO67" s="585"/>
      <c r="CP67" s="585"/>
      <c r="CQ67" s="585"/>
      <c r="CR67" s="585"/>
      <c r="CS67" s="585"/>
      <c r="CT67" s="585"/>
      <c r="CU67" s="585"/>
      <c r="CV67" s="585"/>
      <c r="CW67" s="585"/>
      <c r="CX67" s="585"/>
      <c r="CY67" s="585"/>
      <c r="CZ67" s="585"/>
      <c r="DA67" s="585"/>
      <c r="DB67" s="585"/>
      <c r="DC67" s="585"/>
      <c r="DD67" s="585"/>
      <c r="DE67" s="585"/>
      <c r="DF67" s="585"/>
      <c r="DG67" s="585"/>
      <c r="DH67" s="585"/>
      <c r="DI67" s="585"/>
      <c r="DJ67" s="585"/>
      <c r="DK67" s="585"/>
      <c r="DL67" s="585"/>
      <c r="DM67" s="585"/>
      <c r="DN67" s="585"/>
      <c r="DO67" s="585"/>
      <c r="DP67" s="585"/>
      <c r="DQ67" s="585"/>
      <c r="DR67" s="585"/>
      <c r="DS67" s="585"/>
      <c r="DT67" s="585"/>
      <c r="DU67" s="585"/>
      <c r="DV67" s="585"/>
      <c r="DW67" s="585"/>
      <c r="DX67" s="585"/>
      <c r="DY67" s="585"/>
      <c r="DZ67" s="585"/>
      <c r="EA67" s="585"/>
      <c r="EB67" s="585"/>
      <c r="EC67" s="585"/>
      <c r="ED67" s="585"/>
      <c r="EE67" s="585"/>
      <c r="EF67" s="585"/>
      <c r="EG67" s="585"/>
      <c r="EH67" s="585"/>
      <c r="EI67" s="585"/>
      <c r="EJ67" s="585"/>
      <c r="EK67" s="585"/>
      <c r="EL67" s="585"/>
      <c r="EM67" s="585"/>
      <c r="EN67" s="585"/>
      <c r="EO67" s="585"/>
      <c r="EP67" s="585"/>
      <c r="EQ67" s="585"/>
      <c r="ER67" s="585"/>
      <c r="ES67" s="585"/>
      <c r="ET67" s="585"/>
      <c r="EU67" s="585"/>
      <c r="EV67" s="585"/>
      <c r="EW67" s="585"/>
      <c r="EX67" s="585"/>
      <c r="EY67" s="585"/>
      <c r="EZ67" s="585"/>
      <c r="FA67" s="585"/>
      <c r="FB67" s="585"/>
      <c r="FC67" s="585"/>
      <c r="FD67" s="585"/>
      <c r="FE67" s="585"/>
      <c r="FF67" s="585"/>
      <c r="FG67" s="585"/>
      <c r="FH67" s="585"/>
      <c r="FI67" s="585"/>
      <c r="FJ67" s="585"/>
      <c r="FK67" s="585"/>
      <c r="FL67" s="585"/>
      <c r="FM67" s="585"/>
      <c r="FN67" s="585"/>
      <c r="FO67" s="585"/>
      <c r="FP67" s="585"/>
      <c r="FQ67" s="585"/>
      <c r="FR67" s="585"/>
      <c r="FS67" s="585"/>
      <c r="FT67" s="585"/>
      <c r="FU67" s="585"/>
      <c r="FV67" s="585"/>
      <c r="FW67" s="585"/>
      <c r="FX67" s="585"/>
      <c r="FY67" s="585"/>
      <c r="FZ67" s="585"/>
      <c r="GA67" s="585"/>
      <c r="GB67" s="585"/>
      <c r="GC67" s="585"/>
      <c r="GD67" s="585"/>
      <c r="GE67" s="585"/>
      <c r="GF67" s="585"/>
      <c r="GG67" s="585"/>
      <c r="GH67" s="585"/>
      <c r="GI67" s="585"/>
      <c r="GJ67" s="585"/>
      <c r="GK67" s="585"/>
      <c r="GL67" s="585"/>
      <c r="GM67" s="585"/>
      <c r="GN67" s="585"/>
      <c r="GO67" s="585"/>
      <c r="GP67" s="585"/>
      <c r="GQ67" s="585"/>
      <c r="GR67" s="585"/>
      <c r="GS67" s="585"/>
      <c r="GT67" s="585"/>
      <c r="GU67" s="585"/>
      <c r="GV67" s="585"/>
      <c r="GW67" s="585"/>
      <c r="GX67" s="585"/>
      <c r="GY67" s="585"/>
      <c r="GZ67" s="585"/>
      <c r="HA67" s="585"/>
      <c r="HB67" s="585"/>
      <c r="HC67" s="585"/>
      <c r="HD67" s="585"/>
      <c r="HE67" s="585"/>
      <c r="HF67" s="585"/>
      <c r="HG67" s="585"/>
      <c r="HH67" s="585"/>
      <c r="HI67" s="585"/>
      <c r="HJ67" s="585"/>
      <c r="HK67" s="585"/>
      <c r="HL67" s="585"/>
      <c r="HM67" s="585"/>
      <c r="HN67" s="585"/>
      <c r="HO67" s="585"/>
      <c r="HP67" s="585"/>
      <c r="HQ67" s="585"/>
      <c r="HR67" s="585"/>
      <c r="HS67" s="585"/>
      <c r="HT67" s="585"/>
      <c r="HU67" s="585"/>
      <c r="HV67" s="585"/>
      <c r="HW67" s="585"/>
      <c r="HX67" s="585"/>
      <c r="HY67" s="585"/>
      <c r="HZ67" s="585"/>
      <c r="IA67" s="585"/>
      <c r="IB67" s="585"/>
      <c r="IC67" s="585"/>
      <c r="ID67" s="585"/>
      <c r="IE67" s="585"/>
      <c r="IF67" s="585"/>
      <c r="IG67" s="585"/>
      <c r="IH67" s="585"/>
      <c r="II67" s="585"/>
      <c r="IJ67" s="585"/>
      <c r="IK67" s="585"/>
      <c r="IL67" s="585"/>
      <c r="IM67" s="585"/>
      <c r="IN67" s="585"/>
      <c r="IO67" s="585"/>
      <c r="IP67" s="585"/>
      <c r="IQ67" s="585"/>
      <c r="IR67" s="585"/>
      <c r="IS67" s="585"/>
      <c r="IT67" s="585"/>
      <c r="IU67" s="585"/>
      <c r="IV67" s="585"/>
      <c r="IW67" s="585"/>
      <c r="IX67" s="585"/>
      <c r="IY67" s="585"/>
      <c r="IZ67" s="585"/>
      <c r="JA67" s="585"/>
      <c r="JB67" s="585"/>
      <c r="JC67" s="585"/>
      <c r="JD67" s="585"/>
      <c r="JE67" s="585"/>
      <c r="JF67" s="585"/>
      <c r="JG67" s="585"/>
      <c r="JH67" s="585"/>
      <c r="JI67" s="585"/>
      <c r="JJ67" s="585"/>
      <c r="JK67" s="585"/>
      <c r="JL67" s="585"/>
      <c r="JM67" s="585"/>
      <c r="JN67" s="585"/>
      <c r="JO67" s="585"/>
      <c r="JP67" s="585"/>
      <c r="JQ67" s="585"/>
      <c r="JR67" s="585"/>
      <c r="JS67" s="585"/>
      <c r="JT67" s="587"/>
      <c r="JU67" s="585"/>
      <c r="JV67" s="585"/>
      <c r="JW67" s="585"/>
      <c r="JX67" s="585"/>
      <c r="JY67" s="585"/>
      <c r="JZ67" s="585"/>
      <c r="KA67" s="585"/>
      <c r="KB67" s="585"/>
      <c r="KC67" s="585"/>
      <c r="KD67" s="585"/>
      <c r="KE67" s="585"/>
      <c r="KF67" s="585"/>
      <c r="KG67" s="585"/>
      <c r="KH67" s="585"/>
      <c r="KI67" s="585"/>
      <c r="KJ67" s="585"/>
      <c r="KK67" s="585"/>
      <c r="KL67" s="585"/>
      <c r="KM67" s="585"/>
      <c r="KN67" s="585"/>
      <c r="KO67" s="585"/>
      <c r="KP67" s="585"/>
      <c r="KQ67" s="585"/>
      <c r="KR67" s="585"/>
      <c r="KS67" s="585"/>
      <c r="KT67" s="585"/>
      <c r="KU67" s="585"/>
      <c r="KV67" s="585"/>
      <c r="KW67" s="585"/>
      <c r="KX67" s="585"/>
      <c r="KY67" s="585"/>
      <c r="KZ67" s="585"/>
      <c r="LA67" s="585"/>
      <c r="LB67" s="585"/>
      <c r="LC67" s="585"/>
      <c r="LD67" s="584"/>
      <c r="LE67" s="585"/>
      <c r="LF67" s="585"/>
      <c r="LG67" s="585"/>
      <c r="LH67" s="585"/>
      <c r="LI67" s="585"/>
      <c r="LJ67" s="585"/>
      <c r="LK67" s="585"/>
      <c r="LL67" s="585"/>
      <c r="LM67" s="585"/>
      <c r="LN67" s="585"/>
      <c r="LO67" s="585"/>
      <c r="LP67" s="585"/>
      <c r="LQ67" s="585"/>
      <c r="LR67" s="585"/>
      <c r="LS67" s="585"/>
      <c r="LT67" s="585"/>
      <c r="LU67" s="585"/>
      <c r="LV67" s="585"/>
      <c r="LW67" s="585"/>
      <c r="LX67" s="585"/>
      <c r="LY67" s="585"/>
      <c r="LZ67" s="585"/>
      <c r="MA67" s="585"/>
      <c r="MB67" s="585"/>
    </row>
    <row r="68" spans="1:340">
      <c r="A68" s="14">
        <v>1</v>
      </c>
      <c r="B68" s="582"/>
      <c r="C68" s="583"/>
      <c r="D68" s="584"/>
      <c r="E68" s="584"/>
      <c r="F68" s="585"/>
      <c r="G68" s="587"/>
      <c r="H68" s="587"/>
      <c r="I68" s="587"/>
      <c r="J68" s="585"/>
      <c r="K68" s="585"/>
      <c r="L68" s="585"/>
      <c r="M68" s="585"/>
      <c r="N68" s="585"/>
      <c r="O68" s="585"/>
      <c r="P68" s="585"/>
      <c r="Q68" s="585"/>
      <c r="R68" s="585"/>
      <c r="S68" s="585"/>
      <c r="T68" s="585"/>
      <c r="U68" s="585"/>
      <c r="V68" s="585"/>
      <c r="W68" s="585"/>
      <c r="X68" s="585"/>
      <c r="Y68" s="585"/>
      <c r="Z68" s="585"/>
      <c r="AA68" s="585"/>
      <c r="AB68" s="584"/>
      <c r="AC68" s="585"/>
      <c r="AD68" s="585"/>
      <c r="AE68" s="585"/>
      <c r="AF68" s="585"/>
      <c r="AG68" s="585"/>
      <c r="AH68" s="585"/>
      <c r="AI68" s="585"/>
      <c r="AJ68" s="585"/>
      <c r="AK68" s="585"/>
      <c r="AL68" s="585"/>
      <c r="AM68" s="585"/>
      <c r="AN68" s="585"/>
      <c r="AO68" s="585"/>
      <c r="AP68" s="585"/>
      <c r="AQ68" s="585"/>
      <c r="AR68" s="585"/>
      <c r="AS68" s="585"/>
      <c r="AT68" s="585"/>
      <c r="AU68" s="585"/>
      <c r="AV68" s="585"/>
      <c r="AW68" s="585"/>
      <c r="AX68" s="585"/>
      <c r="AY68" s="585"/>
      <c r="AZ68" s="585"/>
      <c r="BA68" s="585"/>
      <c r="BB68" s="585"/>
      <c r="BC68" s="585"/>
      <c r="BD68" s="585"/>
      <c r="BE68" s="585"/>
      <c r="BF68" s="585"/>
      <c r="BG68" s="585"/>
      <c r="BH68" s="585"/>
      <c r="BI68" s="585"/>
      <c r="BJ68" s="585"/>
      <c r="BK68" s="585"/>
      <c r="BL68" s="585"/>
      <c r="BM68" s="585"/>
      <c r="BN68" s="585"/>
      <c r="BO68" s="585"/>
      <c r="BP68" s="585"/>
      <c r="BQ68" s="585"/>
      <c r="BR68" s="585"/>
      <c r="BS68" s="585"/>
      <c r="BT68" s="585"/>
      <c r="BU68" s="585"/>
      <c r="BV68" s="585"/>
      <c r="BW68" s="585"/>
      <c r="BX68" s="585"/>
      <c r="BY68" s="585"/>
      <c r="BZ68" s="585"/>
      <c r="CA68" s="585"/>
      <c r="CB68" s="585"/>
      <c r="CC68" s="585"/>
      <c r="CD68" s="585"/>
      <c r="CE68" s="585"/>
      <c r="CF68" s="585"/>
      <c r="CG68" s="585"/>
      <c r="CH68" s="585"/>
      <c r="CI68" s="585"/>
      <c r="CJ68" s="585"/>
      <c r="CK68" s="585"/>
      <c r="CL68" s="585"/>
      <c r="CM68" s="585"/>
      <c r="CN68" s="585"/>
      <c r="CO68" s="585"/>
      <c r="CP68" s="585"/>
      <c r="CQ68" s="585"/>
      <c r="CR68" s="585"/>
      <c r="CS68" s="585"/>
      <c r="CT68" s="585"/>
      <c r="CU68" s="585"/>
      <c r="CV68" s="585"/>
      <c r="CW68" s="585"/>
      <c r="CX68" s="585"/>
      <c r="CY68" s="585"/>
      <c r="CZ68" s="585"/>
      <c r="DA68" s="585"/>
      <c r="DB68" s="585"/>
      <c r="DC68" s="585"/>
      <c r="DD68" s="585"/>
      <c r="DE68" s="585"/>
      <c r="DF68" s="585"/>
      <c r="DG68" s="585"/>
      <c r="DH68" s="585"/>
      <c r="DI68" s="585"/>
      <c r="DJ68" s="585"/>
      <c r="DK68" s="585"/>
      <c r="DL68" s="585"/>
      <c r="DM68" s="585"/>
      <c r="DN68" s="585"/>
      <c r="DO68" s="585"/>
      <c r="DP68" s="585"/>
      <c r="DQ68" s="585"/>
      <c r="DR68" s="585"/>
      <c r="DS68" s="585"/>
      <c r="DT68" s="585"/>
      <c r="DU68" s="585"/>
      <c r="DV68" s="585"/>
      <c r="DW68" s="585"/>
      <c r="DX68" s="585"/>
      <c r="DY68" s="585"/>
      <c r="DZ68" s="585"/>
      <c r="EA68" s="585"/>
      <c r="EB68" s="585"/>
      <c r="EC68" s="585"/>
      <c r="ED68" s="585"/>
      <c r="EE68" s="585"/>
      <c r="EF68" s="585"/>
      <c r="EG68" s="585"/>
      <c r="EH68" s="585"/>
      <c r="EI68" s="585"/>
      <c r="EJ68" s="585"/>
      <c r="EK68" s="585"/>
      <c r="EL68" s="585"/>
      <c r="EM68" s="585"/>
      <c r="EN68" s="585"/>
      <c r="EO68" s="585"/>
      <c r="EP68" s="585"/>
      <c r="EQ68" s="585"/>
      <c r="ER68" s="585"/>
      <c r="ES68" s="585"/>
      <c r="ET68" s="585"/>
      <c r="EU68" s="585"/>
      <c r="EV68" s="585"/>
      <c r="EW68" s="585"/>
      <c r="EX68" s="585"/>
      <c r="EY68" s="585"/>
      <c r="EZ68" s="585"/>
      <c r="FA68" s="585"/>
      <c r="FB68" s="585"/>
      <c r="FC68" s="585"/>
      <c r="FD68" s="585"/>
      <c r="FE68" s="585"/>
      <c r="FF68" s="585"/>
      <c r="FG68" s="585"/>
      <c r="FH68" s="585"/>
      <c r="FI68" s="585"/>
      <c r="FJ68" s="585"/>
      <c r="FK68" s="585"/>
      <c r="FL68" s="585"/>
      <c r="FM68" s="585"/>
      <c r="FN68" s="585"/>
      <c r="FO68" s="585"/>
      <c r="FP68" s="585"/>
      <c r="FQ68" s="585"/>
      <c r="FR68" s="585"/>
      <c r="FS68" s="585"/>
      <c r="FT68" s="585"/>
      <c r="FU68" s="585"/>
      <c r="FV68" s="585"/>
      <c r="FW68" s="585"/>
      <c r="FX68" s="585"/>
      <c r="FY68" s="585"/>
      <c r="FZ68" s="585"/>
      <c r="GA68" s="585"/>
      <c r="GB68" s="585"/>
      <c r="GC68" s="585"/>
      <c r="GD68" s="585"/>
      <c r="GE68" s="585"/>
      <c r="GF68" s="585"/>
      <c r="GG68" s="585"/>
      <c r="GH68" s="585"/>
      <c r="GI68" s="585"/>
      <c r="GJ68" s="585"/>
      <c r="GK68" s="585"/>
      <c r="GL68" s="585"/>
      <c r="GM68" s="585"/>
      <c r="GN68" s="585"/>
      <c r="GO68" s="585"/>
      <c r="GP68" s="585"/>
      <c r="GQ68" s="585"/>
      <c r="GR68" s="585"/>
      <c r="GS68" s="585"/>
      <c r="GT68" s="585"/>
      <c r="GU68" s="585"/>
      <c r="GV68" s="585"/>
      <c r="GW68" s="585"/>
      <c r="GX68" s="585"/>
      <c r="GY68" s="585"/>
      <c r="GZ68" s="585"/>
      <c r="HA68" s="585"/>
      <c r="HB68" s="585"/>
      <c r="HC68" s="585"/>
      <c r="HD68" s="585"/>
      <c r="HE68" s="585"/>
      <c r="HF68" s="585"/>
      <c r="HG68" s="585"/>
      <c r="HH68" s="585"/>
      <c r="HI68" s="585"/>
      <c r="HJ68" s="585"/>
      <c r="HK68" s="585"/>
      <c r="HL68" s="585"/>
      <c r="HM68" s="585"/>
      <c r="HN68" s="585"/>
      <c r="HO68" s="585"/>
      <c r="HP68" s="585"/>
      <c r="HQ68" s="585"/>
      <c r="HR68" s="585"/>
      <c r="HS68" s="585"/>
      <c r="HT68" s="585"/>
      <c r="HU68" s="585"/>
      <c r="HV68" s="585"/>
      <c r="HW68" s="585"/>
      <c r="HX68" s="585"/>
      <c r="HY68" s="585"/>
      <c r="HZ68" s="585"/>
      <c r="IA68" s="585"/>
      <c r="IB68" s="585"/>
      <c r="IC68" s="585"/>
      <c r="ID68" s="585"/>
      <c r="IE68" s="585"/>
      <c r="IF68" s="585"/>
      <c r="IG68" s="585"/>
      <c r="IH68" s="585"/>
      <c r="II68" s="585"/>
      <c r="IJ68" s="585"/>
      <c r="IK68" s="585"/>
      <c r="IL68" s="585"/>
      <c r="IM68" s="585"/>
      <c r="IN68" s="585"/>
      <c r="IO68" s="585"/>
      <c r="IP68" s="585"/>
      <c r="IQ68" s="585"/>
      <c r="IR68" s="585"/>
      <c r="IS68" s="585"/>
      <c r="IT68" s="585"/>
      <c r="IU68" s="585"/>
      <c r="IV68" s="585"/>
      <c r="IW68" s="585"/>
      <c r="IX68" s="585"/>
      <c r="IY68" s="585"/>
      <c r="IZ68" s="585"/>
      <c r="JA68" s="585"/>
      <c r="JB68" s="585"/>
      <c r="JC68" s="585"/>
      <c r="JD68" s="585"/>
      <c r="JE68" s="585"/>
      <c r="JF68" s="585"/>
      <c r="JG68" s="585"/>
      <c r="JH68" s="585"/>
      <c r="JI68" s="585"/>
      <c r="JJ68" s="585"/>
      <c r="JK68" s="585"/>
      <c r="JL68" s="585"/>
      <c r="JM68" s="585"/>
      <c r="JN68" s="585"/>
      <c r="JO68" s="585"/>
      <c r="JP68" s="585"/>
      <c r="JQ68" s="585"/>
      <c r="JR68" s="585"/>
      <c r="JS68" s="585"/>
      <c r="JT68" s="587"/>
      <c r="JU68" s="585"/>
      <c r="JV68" s="585"/>
      <c r="JW68" s="585"/>
      <c r="JX68" s="585"/>
      <c r="JY68" s="585"/>
      <c r="JZ68" s="585"/>
      <c r="KA68" s="585"/>
      <c r="KB68" s="585"/>
      <c r="KC68" s="585"/>
      <c r="KD68" s="585"/>
      <c r="KE68" s="585"/>
      <c r="KF68" s="585"/>
      <c r="KG68" s="585"/>
      <c r="KH68" s="585"/>
      <c r="KI68" s="585"/>
      <c r="KJ68" s="585"/>
      <c r="KK68" s="585"/>
      <c r="KL68" s="585"/>
      <c r="KM68" s="585"/>
      <c r="KN68" s="585"/>
      <c r="KO68" s="585"/>
      <c r="KP68" s="585"/>
      <c r="KQ68" s="585"/>
      <c r="KR68" s="585"/>
      <c r="KS68" s="585"/>
      <c r="KT68" s="585"/>
      <c r="KU68" s="585"/>
      <c r="KV68" s="585"/>
      <c r="KW68" s="585"/>
      <c r="KX68" s="585"/>
      <c r="KY68" s="585"/>
      <c r="KZ68" s="585"/>
      <c r="LA68" s="585"/>
      <c r="LB68" s="585"/>
      <c r="LC68" s="585"/>
      <c r="LD68" s="584"/>
      <c r="LE68" s="585"/>
      <c r="LF68" s="585"/>
      <c r="LG68" s="585"/>
      <c r="LH68" s="585"/>
      <c r="LI68" s="585"/>
      <c r="LJ68" s="585"/>
      <c r="LK68" s="585"/>
      <c r="LL68" s="585"/>
      <c r="LM68" s="585"/>
      <c r="LN68" s="585"/>
      <c r="LO68" s="585"/>
      <c r="LP68" s="585"/>
      <c r="LQ68" s="585"/>
      <c r="LR68" s="585"/>
      <c r="LS68" s="585"/>
      <c r="LT68" s="585"/>
      <c r="LU68" s="585"/>
      <c r="LV68" s="585"/>
      <c r="LW68" s="585"/>
      <c r="LX68" s="585"/>
      <c r="LY68" s="585"/>
      <c r="LZ68" s="585"/>
      <c r="MA68" s="585"/>
      <c r="MB68" s="585"/>
    </row>
    <row r="69" spans="1:340">
      <c r="B69" s="582"/>
      <c r="C69" s="583"/>
      <c r="D69" s="584"/>
      <c r="E69" s="584"/>
      <c r="F69" s="585"/>
      <c r="G69" s="587"/>
      <c r="H69" s="587"/>
      <c r="I69" s="587"/>
      <c r="J69" s="585"/>
      <c r="K69" s="585"/>
      <c r="L69" s="585"/>
      <c r="M69" s="585"/>
      <c r="N69" s="585"/>
      <c r="O69" s="585"/>
      <c r="P69" s="585"/>
      <c r="Q69" s="585"/>
      <c r="R69" s="585"/>
      <c r="S69" s="585"/>
      <c r="T69" s="585"/>
      <c r="U69" s="585"/>
      <c r="V69" s="585"/>
      <c r="W69" s="585"/>
      <c r="X69" s="585"/>
      <c r="Y69" s="585"/>
      <c r="Z69" s="585"/>
      <c r="AA69" s="585"/>
      <c r="AB69" s="584"/>
      <c r="AC69" s="585"/>
      <c r="AD69" s="585"/>
      <c r="AE69" s="585"/>
      <c r="AF69" s="585"/>
      <c r="AG69" s="585"/>
      <c r="AH69" s="585"/>
      <c r="AI69" s="585"/>
      <c r="AJ69" s="585"/>
      <c r="AK69" s="585"/>
      <c r="AL69" s="585"/>
      <c r="AM69" s="585"/>
      <c r="AN69" s="585"/>
      <c r="AO69" s="585"/>
      <c r="AP69" s="585"/>
      <c r="AQ69" s="585"/>
      <c r="AR69" s="585"/>
      <c r="AS69" s="585"/>
      <c r="AT69" s="585"/>
      <c r="AU69" s="585"/>
      <c r="AV69" s="585"/>
      <c r="AW69" s="585"/>
      <c r="AX69" s="585"/>
      <c r="AY69" s="585"/>
      <c r="AZ69" s="585"/>
      <c r="BA69" s="585"/>
      <c r="BB69" s="585"/>
      <c r="BC69" s="585"/>
      <c r="BD69" s="585"/>
      <c r="BE69" s="585"/>
      <c r="BF69" s="585"/>
      <c r="BG69" s="585"/>
      <c r="BH69" s="585"/>
      <c r="BI69" s="585"/>
      <c r="BJ69" s="585"/>
      <c r="BK69" s="585"/>
      <c r="BL69" s="585"/>
      <c r="BM69" s="585"/>
      <c r="BN69" s="585"/>
      <c r="BO69" s="585"/>
      <c r="BP69" s="585"/>
      <c r="BQ69" s="585"/>
      <c r="BR69" s="585"/>
      <c r="BS69" s="585"/>
      <c r="BT69" s="585"/>
      <c r="BU69" s="585"/>
      <c r="BV69" s="585"/>
      <c r="BW69" s="585"/>
      <c r="BX69" s="585"/>
      <c r="BY69" s="585"/>
      <c r="BZ69" s="585"/>
      <c r="CA69" s="585"/>
      <c r="CB69" s="585"/>
      <c r="CC69" s="585"/>
      <c r="CD69" s="585"/>
      <c r="CE69" s="585"/>
      <c r="CF69" s="585"/>
      <c r="CG69" s="585"/>
      <c r="CH69" s="585"/>
      <c r="CI69" s="585"/>
      <c r="CJ69" s="585"/>
      <c r="CK69" s="585"/>
      <c r="CL69" s="585"/>
      <c r="CM69" s="585"/>
      <c r="CN69" s="585"/>
      <c r="CO69" s="585"/>
      <c r="CP69" s="585"/>
      <c r="CQ69" s="585"/>
      <c r="CR69" s="585"/>
      <c r="CS69" s="585"/>
      <c r="CT69" s="585"/>
      <c r="CU69" s="585"/>
      <c r="CV69" s="585"/>
      <c r="CW69" s="585"/>
      <c r="CX69" s="585"/>
      <c r="CY69" s="585"/>
      <c r="CZ69" s="585"/>
      <c r="DA69" s="585"/>
      <c r="DB69" s="585"/>
      <c r="DC69" s="585"/>
      <c r="DD69" s="585"/>
      <c r="DE69" s="585"/>
      <c r="DF69" s="585"/>
      <c r="DG69" s="585"/>
      <c r="DH69" s="585"/>
      <c r="DI69" s="585"/>
      <c r="DJ69" s="585"/>
      <c r="DK69" s="585"/>
      <c r="DL69" s="585"/>
      <c r="DM69" s="585"/>
      <c r="DN69" s="585"/>
      <c r="DO69" s="585"/>
      <c r="DP69" s="585"/>
      <c r="DQ69" s="585"/>
      <c r="DR69" s="585"/>
      <c r="DS69" s="585"/>
      <c r="DT69" s="585"/>
      <c r="DU69" s="585"/>
      <c r="DV69" s="585"/>
      <c r="DW69" s="585"/>
      <c r="DX69" s="585"/>
      <c r="DY69" s="585"/>
      <c r="DZ69" s="585"/>
      <c r="EA69" s="585"/>
      <c r="EB69" s="585"/>
      <c r="EC69" s="585"/>
      <c r="ED69" s="585"/>
      <c r="EE69" s="585"/>
      <c r="EF69" s="585"/>
      <c r="EG69" s="585"/>
      <c r="EH69" s="585"/>
      <c r="EI69" s="585"/>
      <c r="EJ69" s="585"/>
      <c r="EK69" s="585"/>
      <c r="EL69" s="585"/>
      <c r="EM69" s="585"/>
      <c r="EN69" s="585"/>
      <c r="EO69" s="585"/>
      <c r="EP69" s="585"/>
      <c r="EQ69" s="585"/>
      <c r="ER69" s="585"/>
      <c r="ES69" s="585"/>
      <c r="ET69" s="585"/>
      <c r="EU69" s="585"/>
      <c r="EV69" s="585"/>
      <c r="EW69" s="585"/>
      <c r="EX69" s="585"/>
      <c r="EY69" s="585"/>
      <c r="EZ69" s="585"/>
      <c r="FA69" s="585"/>
      <c r="FB69" s="585"/>
      <c r="FC69" s="585"/>
      <c r="FD69" s="585"/>
      <c r="FE69" s="585"/>
      <c r="FF69" s="585"/>
      <c r="FG69" s="585"/>
      <c r="FH69" s="585"/>
      <c r="FI69" s="585"/>
      <c r="FJ69" s="585"/>
      <c r="FK69" s="585"/>
      <c r="FL69" s="585"/>
      <c r="FM69" s="585"/>
      <c r="FN69" s="585"/>
      <c r="FO69" s="585"/>
      <c r="FP69" s="585"/>
      <c r="FQ69" s="585"/>
      <c r="FR69" s="585"/>
      <c r="FS69" s="585"/>
      <c r="FT69" s="585"/>
      <c r="FU69" s="585"/>
      <c r="FV69" s="585"/>
      <c r="FW69" s="585"/>
      <c r="FX69" s="585"/>
      <c r="FY69" s="585"/>
      <c r="FZ69" s="585"/>
      <c r="GA69" s="585"/>
      <c r="GB69" s="585"/>
      <c r="GC69" s="585"/>
      <c r="GD69" s="585"/>
      <c r="GE69" s="585"/>
      <c r="GF69" s="585"/>
      <c r="GG69" s="585"/>
      <c r="GH69" s="585"/>
      <c r="GI69" s="585"/>
      <c r="GJ69" s="585"/>
      <c r="GK69" s="585"/>
      <c r="GL69" s="585"/>
      <c r="GM69" s="585"/>
      <c r="GN69" s="585"/>
      <c r="GO69" s="585"/>
      <c r="GP69" s="585"/>
      <c r="GQ69" s="585"/>
      <c r="GR69" s="585"/>
      <c r="GS69" s="585"/>
      <c r="GT69" s="585"/>
      <c r="GU69" s="585"/>
      <c r="GV69" s="585"/>
      <c r="GW69" s="585"/>
      <c r="GX69" s="585"/>
      <c r="GY69" s="585"/>
      <c r="GZ69" s="585"/>
      <c r="HA69" s="585"/>
      <c r="HB69" s="585"/>
      <c r="HC69" s="585"/>
      <c r="HD69" s="585"/>
      <c r="HE69" s="585"/>
      <c r="HF69" s="585"/>
      <c r="HG69" s="585"/>
      <c r="HH69" s="585"/>
      <c r="HI69" s="585"/>
      <c r="HJ69" s="585"/>
      <c r="HK69" s="585"/>
      <c r="HL69" s="585"/>
      <c r="HM69" s="585"/>
      <c r="HN69" s="585"/>
      <c r="HO69" s="585"/>
      <c r="HP69" s="585"/>
      <c r="HQ69" s="585"/>
      <c r="HR69" s="585"/>
      <c r="HS69" s="585"/>
      <c r="HT69" s="585"/>
      <c r="HU69" s="585"/>
      <c r="HV69" s="585"/>
      <c r="HW69" s="585"/>
      <c r="HX69" s="585"/>
      <c r="HY69" s="585"/>
      <c r="HZ69" s="585"/>
      <c r="IA69" s="585"/>
      <c r="IB69" s="585"/>
      <c r="IC69" s="585"/>
      <c r="ID69" s="585"/>
      <c r="IE69" s="585"/>
      <c r="IF69" s="585"/>
      <c r="IG69" s="585"/>
      <c r="IH69" s="585"/>
      <c r="II69" s="585"/>
      <c r="IJ69" s="585"/>
      <c r="IK69" s="585"/>
      <c r="IL69" s="585"/>
      <c r="IM69" s="585"/>
      <c r="IN69" s="585"/>
      <c r="IO69" s="585"/>
      <c r="IP69" s="585"/>
      <c r="IQ69" s="585"/>
      <c r="IR69" s="585"/>
      <c r="IS69" s="585"/>
      <c r="IT69" s="585"/>
      <c r="IU69" s="585"/>
      <c r="IV69" s="585"/>
      <c r="IW69" s="585"/>
      <c r="IX69" s="585"/>
      <c r="IY69" s="585"/>
      <c r="IZ69" s="585"/>
      <c r="JA69" s="585"/>
      <c r="JB69" s="585"/>
      <c r="JC69" s="585"/>
      <c r="JD69" s="585"/>
      <c r="JE69" s="585"/>
      <c r="JF69" s="585"/>
      <c r="JG69" s="585"/>
      <c r="JH69" s="585"/>
      <c r="JI69" s="585"/>
      <c r="JJ69" s="585"/>
      <c r="JK69" s="585"/>
      <c r="JL69" s="585"/>
      <c r="JM69" s="585"/>
      <c r="JN69" s="585"/>
      <c r="JO69" s="585"/>
      <c r="JP69" s="585"/>
      <c r="JQ69" s="585"/>
      <c r="JR69" s="585"/>
      <c r="JS69" s="585"/>
      <c r="JT69" s="587"/>
      <c r="JU69" s="585"/>
      <c r="JV69" s="585"/>
      <c r="JW69" s="585"/>
      <c r="JX69" s="585"/>
      <c r="JY69" s="585"/>
      <c r="JZ69" s="585"/>
      <c r="KA69" s="585"/>
      <c r="KB69" s="585"/>
      <c r="KC69" s="585"/>
      <c r="KD69" s="585"/>
      <c r="KE69" s="585"/>
      <c r="KF69" s="585"/>
      <c r="KG69" s="585"/>
      <c r="KH69" s="585"/>
      <c r="KI69" s="585"/>
      <c r="KJ69" s="585"/>
      <c r="KK69" s="585"/>
      <c r="KL69" s="585"/>
      <c r="KM69" s="585"/>
      <c r="KN69" s="585"/>
      <c r="KO69" s="585"/>
      <c r="KP69" s="585"/>
      <c r="KQ69" s="585"/>
      <c r="KR69" s="585"/>
      <c r="KS69" s="585"/>
      <c r="KT69" s="585"/>
      <c r="KU69" s="585"/>
      <c r="KV69" s="585"/>
      <c r="KW69" s="585"/>
      <c r="KX69" s="585"/>
      <c r="KY69" s="585"/>
      <c r="KZ69" s="585"/>
      <c r="LA69" s="585"/>
      <c r="LB69" s="585"/>
      <c r="LC69" s="585"/>
      <c r="LD69" s="584"/>
      <c r="LE69" s="585"/>
      <c r="LF69" s="585"/>
      <c r="LG69" s="585"/>
      <c r="LH69" s="585"/>
      <c r="LI69" s="585"/>
      <c r="LJ69" s="585"/>
      <c r="LK69" s="585"/>
      <c r="LL69" s="585"/>
      <c r="LM69" s="585"/>
      <c r="LN69" s="585"/>
      <c r="LO69" s="585"/>
      <c r="LP69" s="585"/>
      <c r="LQ69" s="585"/>
      <c r="LR69" s="585"/>
      <c r="LS69" s="585"/>
      <c r="LT69" s="585"/>
      <c r="LU69" s="585"/>
      <c r="LV69" s="585"/>
      <c r="LW69" s="585"/>
      <c r="LX69" s="585"/>
      <c r="LY69" s="585"/>
      <c r="LZ69" s="585"/>
      <c r="MA69" s="585"/>
      <c r="MB69" s="585"/>
    </row>
    <row r="70" spans="1:340">
      <c r="B70" s="582"/>
      <c r="C70" s="583"/>
      <c r="D70" s="584"/>
      <c r="E70" s="584"/>
      <c r="F70" s="585"/>
      <c r="G70" s="587"/>
      <c r="H70" s="587"/>
      <c r="I70" s="587"/>
      <c r="J70" s="585"/>
      <c r="K70" s="585"/>
      <c r="L70" s="585"/>
      <c r="M70" s="585"/>
      <c r="N70" s="585"/>
      <c r="O70" s="585"/>
      <c r="P70" s="585"/>
      <c r="Q70" s="585"/>
      <c r="R70" s="585"/>
      <c r="S70" s="585"/>
      <c r="T70" s="585"/>
      <c r="U70" s="585"/>
      <c r="V70" s="585"/>
      <c r="W70" s="585"/>
      <c r="X70" s="585"/>
      <c r="Y70" s="585"/>
      <c r="Z70" s="585"/>
      <c r="AA70" s="585"/>
      <c r="AB70" s="584"/>
      <c r="AC70" s="585"/>
      <c r="AD70" s="585"/>
      <c r="AE70" s="585"/>
      <c r="AF70" s="585"/>
      <c r="AG70" s="585"/>
      <c r="AH70" s="585"/>
      <c r="AI70" s="585"/>
      <c r="AJ70" s="585"/>
      <c r="AK70" s="585"/>
      <c r="AL70" s="585"/>
      <c r="AM70" s="585"/>
      <c r="AN70" s="585"/>
      <c r="AO70" s="585"/>
      <c r="AP70" s="585"/>
      <c r="AQ70" s="585"/>
      <c r="AR70" s="585"/>
      <c r="AS70" s="585"/>
      <c r="AT70" s="585"/>
      <c r="AU70" s="585"/>
      <c r="AV70" s="585"/>
      <c r="AW70" s="585"/>
      <c r="AX70" s="585"/>
      <c r="AY70" s="585"/>
      <c r="AZ70" s="585"/>
      <c r="BA70" s="585"/>
      <c r="BB70" s="585"/>
      <c r="BC70" s="585"/>
      <c r="BD70" s="585"/>
      <c r="BE70" s="585"/>
      <c r="BF70" s="585"/>
      <c r="BG70" s="585"/>
      <c r="BH70" s="585"/>
      <c r="BI70" s="585"/>
      <c r="BJ70" s="585"/>
      <c r="BK70" s="585"/>
      <c r="BL70" s="585"/>
      <c r="BM70" s="585"/>
      <c r="BN70" s="585"/>
      <c r="BO70" s="585"/>
      <c r="BP70" s="585"/>
      <c r="BQ70" s="585"/>
      <c r="BR70" s="585"/>
      <c r="BS70" s="585"/>
      <c r="BT70" s="585"/>
      <c r="BU70" s="585"/>
      <c r="BV70" s="585"/>
      <c r="BW70" s="585"/>
      <c r="BX70" s="585"/>
      <c r="BY70" s="585"/>
      <c r="BZ70" s="585"/>
      <c r="CA70" s="585"/>
      <c r="CB70" s="585"/>
      <c r="CC70" s="585"/>
      <c r="CD70" s="585"/>
      <c r="CE70" s="585"/>
      <c r="CF70" s="585"/>
      <c r="CG70" s="585"/>
      <c r="CH70" s="585"/>
      <c r="CI70" s="585"/>
      <c r="CJ70" s="585"/>
      <c r="CK70" s="585"/>
      <c r="CL70" s="585"/>
      <c r="CM70" s="585"/>
      <c r="CN70" s="585"/>
      <c r="CO70" s="585"/>
      <c r="CP70" s="585"/>
      <c r="CQ70" s="585"/>
      <c r="CR70" s="585"/>
      <c r="CS70" s="585"/>
      <c r="CT70" s="585"/>
      <c r="CU70" s="585"/>
      <c r="CV70" s="585"/>
      <c r="CW70" s="585"/>
      <c r="CX70" s="585"/>
      <c r="CY70" s="585"/>
      <c r="CZ70" s="585"/>
      <c r="DA70" s="585"/>
      <c r="DB70" s="585"/>
      <c r="DC70" s="585"/>
      <c r="DD70" s="585"/>
      <c r="DE70" s="585"/>
      <c r="DF70" s="585"/>
      <c r="DG70" s="585"/>
      <c r="DH70" s="585"/>
      <c r="DI70" s="585"/>
      <c r="DJ70" s="585"/>
      <c r="DK70" s="585"/>
      <c r="DL70" s="585"/>
      <c r="DM70" s="585"/>
      <c r="DN70" s="585"/>
      <c r="DO70" s="585"/>
      <c r="DP70" s="585"/>
      <c r="DQ70" s="585"/>
      <c r="DR70" s="585"/>
      <c r="DS70" s="585"/>
      <c r="DT70" s="585"/>
      <c r="DU70" s="585"/>
      <c r="DV70" s="585"/>
      <c r="DW70" s="585"/>
      <c r="DX70" s="585"/>
      <c r="DY70" s="585"/>
      <c r="DZ70" s="585"/>
      <c r="EA70" s="585"/>
      <c r="EB70" s="585"/>
      <c r="EC70" s="585"/>
      <c r="ED70" s="585"/>
      <c r="EE70" s="585"/>
      <c r="EF70" s="585"/>
      <c r="EG70" s="585"/>
      <c r="EH70" s="585"/>
      <c r="EI70" s="585"/>
      <c r="EJ70" s="585"/>
      <c r="EK70" s="585"/>
      <c r="EL70" s="585"/>
      <c r="EM70" s="585"/>
      <c r="EN70" s="585"/>
      <c r="EO70" s="585"/>
      <c r="EP70" s="585"/>
      <c r="EQ70" s="585"/>
      <c r="ER70" s="585"/>
      <c r="ES70" s="585"/>
      <c r="ET70" s="585"/>
      <c r="EU70" s="585"/>
      <c r="EV70" s="585"/>
      <c r="EW70" s="585"/>
      <c r="EX70" s="585"/>
      <c r="EY70" s="585"/>
      <c r="EZ70" s="585"/>
      <c r="FA70" s="585"/>
      <c r="FB70" s="585"/>
      <c r="FC70" s="585"/>
      <c r="FD70" s="585"/>
      <c r="FE70" s="585"/>
      <c r="FF70" s="585"/>
      <c r="FG70" s="585"/>
      <c r="FH70" s="585"/>
      <c r="FI70" s="585"/>
      <c r="FJ70" s="585"/>
      <c r="FK70" s="585"/>
      <c r="FL70" s="585"/>
      <c r="FM70" s="585"/>
      <c r="FN70" s="585"/>
      <c r="FO70" s="585"/>
      <c r="FP70" s="585"/>
      <c r="FQ70" s="585"/>
      <c r="FR70" s="585"/>
      <c r="FS70" s="585"/>
      <c r="FT70" s="585"/>
      <c r="FU70" s="585"/>
      <c r="FV70" s="585"/>
      <c r="FW70" s="585"/>
      <c r="FX70" s="585"/>
      <c r="FY70" s="585"/>
      <c r="FZ70" s="585"/>
      <c r="GA70" s="585"/>
      <c r="GB70" s="585"/>
      <c r="GC70" s="585"/>
      <c r="GD70" s="585"/>
      <c r="GE70" s="585"/>
      <c r="GF70" s="585"/>
      <c r="GG70" s="585"/>
      <c r="GH70" s="585"/>
      <c r="GI70" s="585"/>
      <c r="GJ70" s="585"/>
      <c r="GK70" s="585"/>
      <c r="GL70" s="585"/>
      <c r="GM70" s="585"/>
      <c r="GN70" s="585"/>
      <c r="GO70" s="585"/>
      <c r="GP70" s="585"/>
      <c r="GQ70" s="585"/>
      <c r="GR70" s="585"/>
      <c r="GS70" s="585"/>
      <c r="GT70" s="585"/>
      <c r="GU70" s="585"/>
      <c r="GV70" s="585"/>
      <c r="GW70" s="585"/>
      <c r="GX70" s="585"/>
      <c r="GY70" s="585"/>
      <c r="GZ70" s="585"/>
      <c r="HA70" s="585"/>
      <c r="HB70" s="585"/>
      <c r="HC70" s="585"/>
      <c r="HD70" s="585"/>
      <c r="HE70" s="585"/>
      <c r="HF70" s="585"/>
      <c r="HG70" s="585"/>
      <c r="HH70" s="585"/>
      <c r="HI70" s="585"/>
      <c r="HJ70" s="585"/>
      <c r="HK70" s="585"/>
      <c r="HL70" s="585"/>
      <c r="HM70" s="585"/>
      <c r="HN70" s="585"/>
      <c r="HO70" s="585"/>
      <c r="HP70" s="585"/>
      <c r="HQ70" s="585"/>
      <c r="HR70" s="585"/>
      <c r="HS70" s="585"/>
      <c r="HT70" s="585"/>
      <c r="HU70" s="585"/>
      <c r="HV70" s="585"/>
      <c r="HW70" s="585"/>
      <c r="HX70" s="585"/>
      <c r="HY70" s="585"/>
      <c r="HZ70" s="585"/>
      <c r="IA70" s="585"/>
      <c r="IB70" s="585"/>
      <c r="IC70" s="585"/>
      <c r="ID70" s="585"/>
      <c r="IE70" s="585"/>
      <c r="IF70" s="585"/>
      <c r="IG70" s="585"/>
      <c r="IH70" s="585"/>
      <c r="II70" s="585"/>
      <c r="IJ70" s="585"/>
      <c r="IK70" s="585"/>
      <c r="IL70" s="585"/>
      <c r="IM70" s="585"/>
      <c r="IN70" s="585"/>
      <c r="IO70" s="585"/>
      <c r="IP70" s="585"/>
      <c r="IQ70" s="585"/>
      <c r="IR70" s="585"/>
      <c r="IS70" s="585"/>
      <c r="IT70" s="585"/>
      <c r="IU70" s="585"/>
      <c r="IV70" s="585"/>
      <c r="IW70" s="585"/>
      <c r="IX70" s="585"/>
      <c r="IY70" s="585"/>
      <c r="IZ70" s="585"/>
      <c r="JA70" s="585"/>
      <c r="JB70" s="585"/>
      <c r="JC70" s="585"/>
      <c r="JD70" s="585"/>
      <c r="JE70" s="585"/>
      <c r="JF70" s="585"/>
      <c r="JG70" s="585"/>
      <c r="JH70" s="585"/>
      <c r="JI70" s="585"/>
      <c r="JJ70" s="585"/>
      <c r="JK70" s="585"/>
      <c r="JL70" s="585"/>
      <c r="JM70" s="585"/>
      <c r="JN70" s="585"/>
      <c r="JO70" s="585"/>
      <c r="JP70" s="585"/>
      <c r="JQ70" s="585"/>
      <c r="JR70" s="585"/>
      <c r="JS70" s="585"/>
      <c r="JT70" s="587"/>
      <c r="JU70" s="585"/>
      <c r="JV70" s="585"/>
      <c r="JW70" s="585"/>
      <c r="JX70" s="585"/>
      <c r="JY70" s="585"/>
      <c r="JZ70" s="585"/>
      <c r="KA70" s="585"/>
      <c r="KB70" s="585"/>
      <c r="KC70" s="585"/>
      <c r="KD70" s="585"/>
      <c r="KE70" s="585"/>
      <c r="KF70" s="585"/>
      <c r="KG70" s="585"/>
      <c r="KH70" s="585"/>
      <c r="KI70" s="585"/>
      <c r="KJ70" s="585"/>
      <c r="KK70" s="585"/>
      <c r="KL70" s="585"/>
      <c r="KM70" s="585"/>
      <c r="KN70" s="585"/>
      <c r="KO70" s="585"/>
      <c r="KP70" s="585"/>
      <c r="KQ70" s="585"/>
      <c r="KR70" s="585"/>
      <c r="KS70" s="585"/>
      <c r="KT70" s="585"/>
      <c r="KU70" s="585"/>
      <c r="KV70" s="585"/>
      <c r="KW70" s="585"/>
      <c r="KX70" s="585"/>
      <c r="KY70" s="585"/>
      <c r="KZ70" s="585"/>
      <c r="LA70" s="585"/>
      <c r="LB70" s="585"/>
      <c r="LC70" s="585"/>
      <c r="LD70" s="584"/>
      <c r="LE70" s="585"/>
      <c r="LF70" s="585"/>
      <c r="LG70" s="585"/>
      <c r="LH70" s="585"/>
      <c r="LI70" s="585"/>
      <c r="LJ70" s="585"/>
      <c r="LK70" s="585"/>
      <c r="LL70" s="585"/>
      <c r="LM70" s="585"/>
      <c r="LN70" s="585"/>
      <c r="LO70" s="585"/>
      <c r="LP70" s="585"/>
      <c r="LQ70" s="585"/>
      <c r="LR70" s="585"/>
      <c r="LS70" s="585"/>
      <c r="LT70" s="585"/>
      <c r="LU70" s="585"/>
      <c r="LV70" s="585"/>
      <c r="LW70" s="585"/>
      <c r="LX70" s="585"/>
      <c r="LY70" s="585"/>
      <c r="LZ70" s="585"/>
      <c r="MA70" s="585"/>
      <c r="MB70" s="585"/>
    </row>
    <row r="71" spans="1:340">
      <c r="B71" s="582"/>
      <c r="C71" s="583"/>
      <c r="D71" s="584"/>
      <c r="E71" s="584"/>
      <c r="F71" s="585"/>
      <c r="G71" s="587"/>
      <c r="H71" s="587"/>
      <c r="I71" s="587"/>
      <c r="J71" s="585"/>
      <c r="K71" s="585"/>
      <c r="L71" s="585"/>
      <c r="M71" s="585"/>
      <c r="N71" s="585"/>
      <c r="O71" s="585"/>
      <c r="P71" s="585"/>
      <c r="Q71" s="585"/>
      <c r="R71" s="585"/>
      <c r="S71" s="585"/>
      <c r="T71" s="585"/>
      <c r="U71" s="585"/>
      <c r="V71" s="585"/>
      <c r="W71" s="585"/>
      <c r="X71" s="585"/>
      <c r="Y71" s="585"/>
      <c r="Z71" s="585"/>
      <c r="AA71" s="585"/>
      <c r="AB71" s="584"/>
      <c r="AC71" s="585"/>
      <c r="AD71" s="585"/>
      <c r="AE71" s="585"/>
      <c r="AF71" s="585"/>
      <c r="AG71" s="585"/>
      <c r="AH71" s="585"/>
      <c r="AI71" s="585"/>
      <c r="AJ71" s="585"/>
      <c r="AK71" s="585"/>
      <c r="AL71" s="585"/>
      <c r="AM71" s="585"/>
      <c r="AN71" s="585"/>
      <c r="AO71" s="585"/>
      <c r="AP71" s="585"/>
      <c r="AQ71" s="585"/>
      <c r="AR71" s="585"/>
      <c r="AS71" s="585"/>
      <c r="AT71" s="585"/>
      <c r="AU71" s="585"/>
      <c r="AV71" s="585"/>
      <c r="AW71" s="585"/>
      <c r="AX71" s="585"/>
      <c r="AY71" s="585"/>
      <c r="AZ71" s="585"/>
      <c r="BA71" s="585"/>
      <c r="BB71" s="585"/>
      <c r="BC71" s="585"/>
      <c r="BD71" s="585"/>
      <c r="BE71" s="585"/>
      <c r="BF71" s="585"/>
      <c r="BG71" s="585"/>
      <c r="BH71" s="585"/>
      <c r="BI71" s="585"/>
      <c r="BJ71" s="585"/>
      <c r="BK71" s="585"/>
      <c r="BL71" s="585"/>
      <c r="BM71" s="585"/>
      <c r="BN71" s="585"/>
      <c r="BO71" s="585"/>
      <c r="BP71" s="585"/>
      <c r="BQ71" s="585"/>
      <c r="BR71" s="585"/>
      <c r="BS71" s="585"/>
      <c r="BT71" s="585"/>
      <c r="BU71" s="585"/>
      <c r="BV71" s="585"/>
      <c r="BW71" s="585"/>
      <c r="BX71" s="585"/>
      <c r="BY71" s="585"/>
      <c r="BZ71" s="585"/>
      <c r="CA71" s="585"/>
      <c r="CB71" s="585"/>
      <c r="CC71" s="585"/>
      <c r="CD71" s="585"/>
      <c r="CE71" s="585"/>
      <c r="CF71" s="585"/>
      <c r="CG71" s="585"/>
      <c r="CH71" s="585"/>
      <c r="CI71" s="585"/>
      <c r="CJ71" s="585"/>
      <c r="CK71" s="585"/>
      <c r="CL71" s="585"/>
      <c r="CM71" s="585"/>
      <c r="CN71" s="585"/>
      <c r="CO71" s="585"/>
      <c r="CP71" s="585"/>
      <c r="CQ71" s="585"/>
      <c r="CR71" s="585"/>
      <c r="CS71" s="585"/>
      <c r="CT71" s="585"/>
      <c r="CU71" s="585"/>
      <c r="CV71" s="585"/>
      <c r="CW71" s="585"/>
      <c r="CX71" s="585"/>
      <c r="CY71" s="585"/>
      <c r="CZ71" s="585"/>
      <c r="DA71" s="585"/>
      <c r="DB71" s="585"/>
      <c r="DC71" s="585"/>
      <c r="DD71" s="585"/>
      <c r="DE71" s="585"/>
      <c r="DF71" s="585"/>
      <c r="DG71" s="585"/>
      <c r="DH71" s="585"/>
      <c r="DI71" s="585"/>
      <c r="DJ71" s="585"/>
      <c r="DK71" s="585"/>
      <c r="DL71" s="585"/>
      <c r="DM71" s="585"/>
      <c r="DN71" s="585"/>
      <c r="DO71" s="585"/>
      <c r="DP71" s="585"/>
      <c r="DQ71" s="585"/>
      <c r="DR71" s="585"/>
      <c r="DS71" s="585"/>
      <c r="DT71" s="585"/>
      <c r="DU71" s="585"/>
      <c r="DV71" s="585"/>
      <c r="DW71" s="585"/>
      <c r="DX71" s="585"/>
      <c r="DY71" s="585"/>
      <c r="DZ71" s="585"/>
      <c r="EA71" s="585"/>
      <c r="EB71" s="585"/>
      <c r="EC71" s="585"/>
      <c r="ED71" s="585"/>
      <c r="EE71" s="585"/>
      <c r="EF71" s="585"/>
      <c r="EG71" s="585"/>
      <c r="EH71" s="585"/>
      <c r="EI71" s="585"/>
      <c r="EJ71" s="585"/>
      <c r="EK71" s="585"/>
      <c r="EL71" s="585"/>
      <c r="EM71" s="585"/>
      <c r="EN71" s="585"/>
      <c r="EO71" s="585"/>
      <c r="EP71" s="585"/>
      <c r="EQ71" s="585"/>
      <c r="ER71" s="585"/>
      <c r="ES71" s="585"/>
      <c r="ET71" s="585"/>
      <c r="EU71" s="585"/>
      <c r="EV71" s="585"/>
      <c r="EW71" s="585"/>
      <c r="EX71" s="585"/>
      <c r="EY71" s="585"/>
      <c r="EZ71" s="585"/>
      <c r="FA71" s="585"/>
      <c r="FB71" s="585"/>
      <c r="FC71" s="585"/>
      <c r="FD71" s="585"/>
      <c r="FE71" s="585"/>
      <c r="FF71" s="585"/>
      <c r="FG71" s="585"/>
      <c r="FH71" s="585"/>
      <c r="FI71" s="585"/>
      <c r="FJ71" s="585"/>
      <c r="FK71" s="585"/>
      <c r="FL71" s="585"/>
      <c r="FM71" s="585"/>
      <c r="FN71" s="585"/>
      <c r="FO71" s="585"/>
      <c r="FP71" s="585"/>
      <c r="FQ71" s="585"/>
      <c r="FR71" s="585"/>
      <c r="FS71" s="585"/>
      <c r="FT71" s="585"/>
      <c r="FU71" s="585"/>
      <c r="FV71" s="585"/>
      <c r="FW71" s="585"/>
      <c r="FX71" s="585"/>
      <c r="FY71" s="585"/>
      <c r="FZ71" s="585"/>
      <c r="GA71" s="585"/>
      <c r="GB71" s="585"/>
      <c r="GC71" s="585"/>
      <c r="GD71" s="585"/>
      <c r="GE71" s="585"/>
      <c r="GF71" s="585"/>
      <c r="GG71" s="585"/>
      <c r="GH71" s="585"/>
      <c r="GI71" s="585"/>
      <c r="GJ71" s="585"/>
      <c r="GK71" s="585"/>
      <c r="GL71" s="585"/>
      <c r="GM71" s="585"/>
      <c r="GN71" s="585"/>
      <c r="GO71" s="585"/>
      <c r="GP71" s="585"/>
      <c r="GQ71" s="585"/>
      <c r="GR71" s="585"/>
      <c r="GS71" s="585"/>
      <c r="GT71" s="585"/>
      <c r="GU71" s="585"/>
      <c r="GV71" s="585"/>
      <c r="GW71" s="585"/>
      <c r="GX71" s="585"/>
      <c r="GY71" s="585"/>
      <c r="GZ71" s="585"/>
      <c r="HA71" s="585"/>
      <c r="HB71" s="585"/>
      <c r="HC71" s="585"/>
      <c r="HD71" s="585"/>
      <c r="HE71" s="585"/>
      <c r="HF71" s="585"/>
      <c r="HG71" s="585"/>
      <c r="HH71" s="585"/>
      <c r="HI71" s="585"/>
      <c r="HJ71" s="585"/>
      <c r="HK71" s="585"/>
      <c r="HL71" s="585"/>
      <c r="HM71" s="585"/>
      <c r="HN71" s="585"/>
      <c r="HO71" s="585"/>
      <c r="HP71" s="585"/>
      <c r="HQ71" s="585"/>
      <c r="HR71" s="585"/>
      <c r="HS71" s="585"/>
      <c r="HT71" s="585"/>
      <c r="HU71" s="585"/>
      <c r="HV71" s="585"/>
      <c r="HW71" s="585"/>
      <c r="HX71" s="585"/>
      <c r="HY71" s="585"/>
      <c r="HZ71" s="585"/>
      <c r="IA71" s="585"/>
      <c r="IB71" s="585"/>
      <c r="IC71" s="585"/>
      <c r="ID71" s="585"/>
      <c r="IE71" s="585"/>
      <c r="IF71" s="585"/>
      <c r="IG71" s="585"/>
      <c r="IH71" s="585"/>
      <c r="II71" s="585"/>
      <c r="IJ71" s="585"/>
      <c r="IK71" s="585"/>
      <c r="IL71" s="585"/>
      <c r="IM71" s="585"/>
      <c r="IN71" s="585"/>
      <c r="IO71" s="585"/>
      <c r="IP71" s="585"/>
      <c r="IQ71" s="585"/>
      <c r="IR71" s="585"/>
      <c r="IS71" s="585"/>
      <c r="IT71" s="585"/>
      <c r="IU71" s="585"/>
      <c r="IV71" s="585"/>
      <c r="IW71" s="585"/>
      <c r="IX71" s="585"/>
      <c r="IY71" s="585"/>
      <c r="IZ71" s="585"/>
      <c r="JA71" s="585"/>
      <c r="JB71" s="585"/>
      <c r="JC71" s="585"/>
      <c r="JD71" s="585"/>
      <c r="JE71" s="585"/>
      <c r="JF71" s="585"/>
      <c r="JG71" s="585"/>
      <c r="JH71" s="585"/>
      <c r="JI71" s="585"/>
      <c r="JJ71" s="585"/>
      <c r="JK71" s="585"/>
      <c r="JL71" s="585"/>
      <c r="JM71" s="585"/>
      <c r="JN71" s="585"/>
      <c r="JO71" s="585"/>
      <c r="JP71" s="585"/>
      <c r="JQ71" s="585"/>
      <c r="JR71" s="585"/>
      <c r="JS71" s="585"/>
      <c r="JT71" s="587"/>
      <c r="JU71" s="585"/>
      <c r="JV71" s="585"/>
      <c r="JW71" s="585"/>
      <c r="JX71" s="585"/>
      <c r="JY71" s="585"/>
      <c r="JZ71" s="585"/>
      <c r="KA71" s="585"/>
      <c r="KB71" s="585"/>
      <c r="KC71" s="585"/>
      <c r="KD71" s="585"/>
      <c r="KE71" s="585"/>
      <c r="KF71" s="585"/>
      <c r="KG71" s="585"/>
      <c r="KH71" s="585"/>
      <c r="KI71" s="585"/>
      <c r="KJ71" s="585"/>
      <c r="KK71" s="585"/>
      <c r="KL71" s="585"/>
      <c r="KM71" s="585"/>
      <c r="KN71" s="585"/>
      <c r="KO71" s="585"/>
      <c r="KP71" s="585"/>
      <c r="KQ71" s="585"/>
      <c r="KR71" s="585"/>
      <c r="KS71" s="585"/>
      <c r="KT71" s="585"/>
      <c r="KU71" s="585"/>
      <c r="KV71" s="585"/>
      <c r="KW71" s="585"/>
      <c r="KX71" s="585"/>
      <c r="KY71" s="585"/>
      <c r="KZ71" s="585"/>
      <c r="LA71" s="585"/>
      <c r="LB71" s="585"/>
      <c r="LC71" s="585"/>
      <c r="LD71" s="584"/>
      <c r="LE71" s="585"/>
      <c r="LF71" s="585"/>
      <c r="LG71" s="585"/>
      <c r="LH71" s="585"/>
      <c r="LI71" s="585"/>
      <c r="LJ71" s="585"/>
      <c r="LK71" s="585"/>
      <c r="LL71" s="585"/>
      <c r="LM71" s="585"/>
      <c r="LN71" s="585"/>
      <c r="LO71" s="585"/>
      <c r="LP71" s="585"/>
      <c r="LQ71" s="585"/>
      <c r="LR71" s="585"/>
      <c r="LS71" s="585"/>
      <c r="LT71" s="585"/>
      <c r="LU71" s="585"/>
      <c r="LV71" s="585"/>
      <c r="LW71" s="585"/>
      <c r="LX71" s="585"/>
      <c r="LY71" s="585"/>
      <c r="LZ71" s="585"/>
      <c r="MA71" s="585"/>
      <c r="MB71" s="585"/>
    </row>
    <row r="72" spans="1:340">
      <c r="B72" s="582"/>
      <c r="C72" s="583"/>
      <c r="D72" s="584"/>
      <c r="E72" s="584"/>
      <c r="F72" s="585"/>
      <c r="G72" s="587"/>
      <c r="H72" s="587"/>
      <c r="I72" s="587"/>
      <c r="J72" s="585"/>
      <c r="K72" s="585"/>
      <c r="L72" s="585"/>
      <c r="M72" s="585"/>
      <c r="N72" s="585"/>
      <c r="O72" s="585"/>
      <c r="P72" s="585"/>
      <c r="Q72" s="585"/>
      <c r="R72" s="585"/>
      <c r="S72" s="585"/>
      <c r="T72" s="585"/>
      <c r="U72" s="585"/>
      <c r="V72" s="585"/>
      <c r="W72" s="585"/>
      <c r="X72" s="585"/>
      <c r="Y72" s="585"/>
      <c r="Z72" s="585"/>
      <c r="AA72" s="585"/>
      <c r="AB72" s="584"/>
      <c r="AC72" s="585"/>
      <c r="AD72" s="585"/>
      <c r="AE72" s="585"/>
      <c r="AF72" s="585"/>
      <c r="AG72" s="585"/>
      <c r="AH72" s="585"/>
      <c r="AI72" s="585"/>
      <c r="AJ72" s="585"/>
      <c r="AK72" s="585"/>
      <c r="AL72" s="585"/>
      <c r="AM72" s="585"/>
      <c r="AN72" s="585"/>
      <c r="AO72" s="585"/>
      <c r="AP72" s="585"/>
      <c r="AQ72" s="585"/>
      <c r="AR72" s="585"/>
      <c r="AS72" s="585"/>
      <c r="AT72" s="585"/>
      <c r="AU72" s="585"/>
      <c r="AV72" s="585"/>
      <c r="AW72" s="585"/>
      <c r="AX72" s="585"/>
      <c r="AY72" s="585"/>
      <c r="AZ72" s="585"/>
      <c r="BA72" s="585"/>
      <c r="BB72" s="585"/>
      <c r="BC72" s="585"/>
      <c r="BD72" s="585"/>
      <c r="BE72" s="585"/>
      <c r="BF72" s="585"/>
      <c r="BG72" s="585"/>
      <c r="BH72" s="585"/>
      <c r="BI72" s="585"/>
      <c r="BJ72" s="585"/>
      <c r="BK72" s="585"/>
      <c r="BL72" s="585"/>
      <c r="BM72" s="585"/>
      <c r="BN72" s="585"/>
      <c r="BO72" s="585"/>
      <c r="BP72" s="585"/>
      <c r="BQ72" s="585"/>
      <c r="BR72" s="585"/>
      <c r="BS72" s="585"/>
      <c r="BT72" s="585"/>
      <c r="BU72" s="585"/>
      <c r="BV72" s="585"/>
      <c r="BW72" s="585"/>
      <c r="BX72" s="585"/>
      <c r="BY72" s="585"/>
      <c r="BZ72" s="585"/>
      <c r="CA72" s="585"/>
      <c r="CB72" s="585"/>
      <c r="CC72" s="585"/>
      <c r="CD72" s="585"/>
      <c r="CE72" s="585"/>
      <c r="CF72" s="585"/>
      <c r="CG72" s="585"/>
      <c r="CH72" s="585"/>
      <c r="CI72" s="585"/>
      <c r="CJ72" s="585"/>
      <c r="CK72" s="585"/>
      <c r="CL72" s="585"/>
      <c r="CM72" s="585"/>
      <c r="CN72" s="585"/>
      <c r="CO72" s="585"/>
      <c r="CP72" s="585"/>
      <c r="CQ72" s="585"/>
      <c r="CR72" s="585"/>
      <c r="CS72" s="585"/>
      <c r="CT72" s="585"/>
      <c r="CU72" s="585"/>
      <c r="CV72" s="585"/>
      <c r="CW72" s="585"/>
      <c r="CX72" s="585"/>
      <c r="CY72" s="585"/>
      <c r="CZ72" s="585"/>
      <c r="DA72" s="585"/>
      <c r="DB72" s="585"/>
      <c r="DC72" s="585"/>
      <c r="DD72" s="585"/>
      <c r="DE72" s="585"/>
      <c r="DF72" s="585"/>
      <c r="DG72" s="585"/>
      <c r="DH72" s="585"/>
      <c r="DI72" s="585"/>
      <c r="DJ72" s="585"/>
      <c r="DK72" s="585"/>
      <c r="DL72" s="585"/>
      <c r="DM72" s="585"/>
      <c r="DN72" s="585"/>
      <c r="DO72" s="585"/>
      <c r="DP72" s="585"/>
      <c r="DQ72" s="585"/>
      <c r="DR72" s="585"/>
      <c r="DS72" s="585"/>
      <c r="DT72" s="585"/>
      <c r="DU72" s="585"/>
      <c r="DV72" s="585"/>
      <c r="DW72" s="585"/>
      <c r="DX72" s="585"/>
      <c r="DY72" s="585"/>
      <c r="DZ72" s="585"/>
      <c r="EA72" s="585"/>
      <c r="EB72" s="585"/>
      <c r="EC72" s="585"/>
      <c r="ED72" s="585"/>
      <c r="EE72" s="585"/>
      <c r="EF72" s="585"/>
      <c r="EG72" s="585"/>
      <c r="EH72" s="585"/>
      <c r="EI72" s="585"/>
      <c r="EJ72" s="585"/>
      <c r="EK72" s="585"/>
      <c r="EL72" s="585"/>
      <c r="EM72" s="585"/>
      <c r="EN72" s="585"/>
      <c r="EO72" s="585"/>
      <c r="EP72" s="585"/>
      <c r="EQ72" s="585"/>
      <c r="ER72" s="585"/>
      <c r="ES72" s="585"/>
      <c r="ET72" s="585"/>
      <c r="EU72" s="585"/>
      <c r="EV72" s="585"/>
      <c r="EW72" s="585"/>
      <c r="EX72" s="585"/>
      <c r="EY72" s="585"/>
      <c r="EZ72" s="585"/>
      <c r="FA72" s="585"/>
      <c r="FB72" s="585"/>
      <c r="FC72" s="585"/>
      <c r="FD72" s="585"/>
      <c r="FE72" s="585"/>
      <c r="FF72" s="585"/>
      <c r="FG72" s="585"/>
      <c r="FH72" s="585"/>
      <c r="FI72" s="585"/>
      <c r="FJ72" s="585"/>
      <c r="FK72" s="585"/>
      <c r="FL72" s="585"/>
      <c r="FM72" s="585"/>
      <c r="FN72" s="585"/>
      <c r="FO72" s="585"/>
      <c r="FP72" s="585"/>
      <c r="FQ72" s="585"/>
      <c r="FR72" s="585"/>
      <c r="FS72" s="585"/>
      <c r="FT72" s="585"/>
      <c r="FU72" s="585"/>
      <c r="FV72" s="585"/>
      <c r="FW72" s="585"/>
      <c r="FX72" s="585"/>
      <c r="FY72" s="585"/>
      <c r="FZ72" s="585"/>
      <c r="GA72" s="585"/>
      <c r="GB72" s="585"/>
      <c r="GC72" s="585"/>
      <c r="GD72" s="585"/>
      <c r="GE72" s="585"/>
      <c r="GF72" s="585"/>
      <c r="GG72" s="585"/>
      <c r="GH72" s="585"/>
      <c r="GI72" s="585"/>
      <c r="GJ72" s="585"/>
      <c r="GK72" s="585"/>
      <c r="GL72" s="585"/>
      <c r="GM72" s="585"/>
      <c r="GN72" s="585"/>
      <c r="GO72" s="585"/>
      <c r="GP72" s="585"/>
      <c r="GQ72" s="585"/>
      <c r="GR72" s="585"/>
      <c r="GS72" s="585"/>
      <c r="GT72" s="585"/>
      <c r="GU72" s="585"/>
      <c r="GV72" s="585"/>
      <c r="GW72" s="585"/>
      <c r="GX72" s="585"/>
      <c r="GY72" s="585"/>
      <c r="GZ72" s="585"/>
      <c r="HA72" s="585"/>
      <c r="HB72" s="585"/>
      <c r="HC72" s="585"/>
      <c r="HD72" s="585"/>
      <c r="HE72" s="585"/>
      <c r="HF72" s="585"/>
      <c r="HG72" s="585"/>
      <c r="HH72" s="585"/>
      <c r="HI72" s="585"/>
      <c r="HJ72" s="585"/>
      <c r="HK72" s="585"/>
      <c r="HL72" s="585"/>
      <c r="HM72" s="585"/>
      <c r="HN72" s="585"/>
      <c r="HO72" s="585"/>
      <c r="HP72" s="585"/>
      <c r="HQ72" s="585"/>
      <c r="HR72" s="585"/>
      <c r="HS72" s="585"/>
      <c r="HT72" s="585"/>
      <c r="HU72" s="585"/>
      <c r="HV72" s="585"/>
      <c r="HW72" s="585"/>
      <c r="HX72" s="585"/>
      <c r="HY72" s="585"/>
      <c r="HZ72" s="585"/>
      <c r="IA72" s="585"/>
      <c r="IB72" s="585"/>
      <c r="IC72" s="585"/>
      <c r="ID72" s="585"/>
      <c r="IE72" s="585"/>
      <c r="IF72" s="585"/>
      <c r="IG72" s="585"/>
      <c r="IH72" s="585"/>
      <c r="II72" s="585"/>
      <c r="IJ72" s="585"/>
      <c r="IK72" s="585"/>
      <c r="IL72" s="585"/>
      <c r="IM72" s="585"/>
      <c r="IN72" s="585"/>
      <c r="IO72" s="585"/>
      <c r="IP72" s="585"/>
      <c r="IQ72" s="585"/>
      <c r="IR72" s="585"/>
      <c r="IS72" s="585"/>
      <c r="IT72" s="585"/>
      <c r="IU72" s="585"/>
      <c r="IV72" s="585"/>
      <c r="IW72" s="585"/>
      <c r="IX72" s="585"/>
      <c r="IY72" s="585"/>
      <c r="IZ72" s="585"/>
      <c r="JA72" s="585"/>
      <c r="JB72" s="585"/>
      <c r="JC72" s="585"/>
      <c r="JD72" s="585"/>
      <c r="JE72" s="585"/>
      <c r="JF72" s="585"/>
      <c r="JG72" s="585"/>
      <c r="JH72" s="585"/>
      <c r="JI72" s="585"/>
      <c r="JJ72" s="585"/>
      <c r="JK72" s="585"/>
      <c r="JL72" s="585"/>
      <c r="JM72" s="585"/>
      <c r="JN72" s="585"/>
      <c r="JO72" s="585"/>
      <c r="JP72" s="585"/>
      <c r="JQ72" s="585"/>
      <c r="JR72" s="585"/>
      <c r="JS72" s="585"/>
      <c r="JT72" s="587"/>
      <c r="JU72" s="585"/>
      <c r="JV72" s="585"/>
      <c r="JW72" s="585"/>
      <c r="JX72" s="585"/>
      <c r="JY72" s="585"/>
      <c r="JZ72" s="585"/>
      <c r="KA72" s="585"/>
      <c r="KB72" s="585"/>
      <c r="KC72" s="585"/>
      <c r="KD72" s="585"/>
      <c r="KE72" s="585"/>
      <c r="KF72" s="585"/>
      <c r="KG72" s="585"/>
      <c r="KH72" s="585"/>
      <c r="KI72" s="585"/>
      <c r="KJ72" s="585"/>
      <c r="KK72" s="585"/>
      <c r="KL72" s="585"/>
      <c r="KM72" s="585"/>
      <c r="KN72" s="585"/>
      <c r="KO72" s="585"/>
      <c r="KP72" s="585"/>
      <c r="KQ72" s="585"/>
      <c r="KR72" s="585"/>
      <c r="KS72" s="585"/>
      <c r="KT72" s="585"/>
      <c r="KU72" s="585"/>
      <c r="KV72" s="585"/>
      <c r="KW72" s="585"/>
      <c r="KX72" s="585"/>
      <c r="KY72" s="585"/>
      <c r="KZ72" s="585"/>
      <c r="LA72" s="585"/>
      <c r="LB72" s="585"/>
      <c r="LC72" s="585"/>
      <c r="LD72" s="584"/>
      <c r="LE72" s="585"/>
      <c r="LF72" s="585"/>
      <c r="LG72" s="585"/>
      <c r="LH72" s="585"/>
      <c r="LI72" s="585"/>
      <c r="LJ72" s="585"/>
      <c r="LK72" s="585"/>
      <c r="LL72" s="585"/>
      <c r="LM72" s="585"/>
      <c r="LN72" s="585"/>
      <c r="LO72" s="585"/>
      <c r="LP72" s="585"/>
      <c r="LQ72" s="585"/>
      <c r="LR72" s="585"/>
      <c r="LS72" s="585"/>
      <c r="LT72" s="585"/>
      <c r="LU72" s="585"/>
      <c r="LV72" s="585"/>
      <c r="LW72" s="585"/>
      <c r="LX72" s="585"/>
      <c r="LY72" s="585"/>
      <c r="LZ72" s="585"/>
      <c r="MA72" s="585"/>
      <c r="MB72" s="585"/>
    </row>
    <row r="73" spans="1:340">
      <c r="B73" s="582"/>
      <c r="C73" s="583"/>
      <c r="D73" s="584"/>
      <c r="E73" s="584"/>
      <c r="F73" s="585"/>
      <c r="G73" s="587"/>
      <c r="H73" s="587"/>
      <c r="I73" s="587"/>
      <c r="J73" s="585"/>
      <c r="K73" s="585"/>
      <c r="L73" s="585"/>
      <c r="M73" s="585"/>
      <c r="N73" s="585"/>
      <c r="O73" s="585"/>
      <c r="P73" s="585"/>
      <c r="Q73" s="585"/>
      <c r="R73" s="585"/>
      <c r="S73" s="585"/>
      <c r="T73" s="585"/>
      <c r="U73" s="585"/>
      <c r="V73" s="585"/>
      <c r="W73" s="585"/>
      <c r="X73" s="585"/>
      <c r="Y73" s="585"/>
      <c r="Z73" s="585"/>
      <c r="AA73" s="585"/>
      <c r="AB73" s="584"/>
      <c r="AC73" s="585"/>
      <c r="AD73" s="585"/>
      <c r="AE73" s="585"/>
      <c r="AF73" s="585"/>
      <c r="AG73" s="585"/>
      <c r="AH73" s="585"/>
      <c r="AI73" s="585"/>
      <c r="AJ73" s="585"/>
      <c r="AK73" s="585"/>
      <c r="AL73" s="585"/>
      <c r="AM73" s="585"/>
      <c r="AN73" s="585"/>
      <c r="AO73" s="585"/>
      <c r="AP73" s="585"/>
      <c r="AQ73" s="585"/>
      <c r="AR73" s="585"/>
      <c r="AS73" s="585"/>
      <c r="AT73" s="585"/>
      <c r="AU73" s="585"/>
      <c r="AV73" s="585"/>
      <c r="AW73" s="585"/>
      <c r="AX73" s="585"/>
      <c r="AY73" s="585"/>
      <c r="AZ73" s="585"/>
      <c r="BA73" s="585"/>
      <c r="BB73" s="585"/>
      <c r="BC73" s="585"/>
      <c r="BD73" s="585"/>
      <c r="BE73" s="585"/>
      <c r="BF73" s="585"/>
      <c r="BG73" s="585"/>
      <c r="BH73" s="585"/>
      <c r="BI73" s="585"/>
      <c r="BJ73" s="585"/>
      <c r="BK73" s="585"/>
      <c r="BL73" s="585"/>
      <c r="BM73" s="585"/>
      <c r="BN73" s="585"/>
      <c r="BO73" s="585"/>
      <c r="BP73" s="585"/>
      <c r="BQ73" s="585"/>
      <c r="BR73" s="585"/>
      <c r="BS73" s="585"/>
      <c r="BT73" s="585"/>
      <c r="BU73" s="585"/>
      <c r="BV73" s="585"/>
      <c r="BW73" s="585"/>
      <c r="BX73" s="585"/>
      <c r="BY73" s="585"/>
      <c r="BZ73" s="585"/>
      <c r="CA73" s="585"/>
      <c r="CB73" s="585"/>
      <c r="CC73" s="585"/>
      <c r="CD73" s="585"/>
      <c r="CE73" s="585"/>
      <c r="CF73" s="585"/>
      <c r="CG73" s="585"/>
      <c r="CH73" s="585"/>
      <c r="CI73" s="585"/>
      <c r="CJ73" s="585"/>
      <c r="CK73" s="585"/>
      <c r="CL73" s="585"/>
      <c r="CM73" s="585"/>
      <c r="CN73" s="585"/>
      <c r="CO73" s="585"/>
      <c r="CP73" s="585"/>
      <c r="CQ73" s="585"/>
      <c r="CR73" s="585"/>
      <c r="CS73" s="585"/>
      <c r="CT73" s="585"/>
      <c r="CU73" s="585"/>
      <c r="CV73" s="585"/>
      <c r="CW73" s="585"/>
      <c r="CX73" s="585"/>
      <c r="CY73" s="585"/>
      <c r="CZ73" s="585"/>
      <c r="DA73" s="585"/>
      <c r="DB73" s="585"/>
      <c r="DC73" s="585"/>
      <c r="DD73" s="585"/>
      <c r="DE73" s="585"/>
      <c r="DF73" s="585"/>
      <c r="DG73" s="585"/>
      <c r="DH73" s="585"/>
      <c r="DI73" s="585"/>
      <c r="DJ73" s="585"/>
      <c r="DK73" s="585"/>
      <c r="DL73" s="585"/>
      <c r="DM73" s="585"/>
      <c r="DN73" s="585"/>
      <c r="DO73" s="585"/>
      <c r="DP73" s="585"/>
      <c r="DQ73" s="585"/>
      <c r="DR73" s="585"/>
      <c r="DS73" s="585"/>
      <c r="DT73" s="585"/>
      <c r="DU73" s="585"/>
      <c r="DV73" s="585"/>
      <c r="DW73" s="585"/>
      <c r="DX73" s="585"/>
      <c r="DY73" s="585"/>
      <c r="DZ73" s="585"/>
      <c r="EA73" s="585"/>
      <c r="EB73" s="585"/>
      <c r="EC73" s="585"/>
      <c r="ED73" s="585"/>
      <c r="EE73" s="585"/>
      <c r="EF73" s="585"/>
      <c r="EG73" s="585"/>
      <c r="EH73" s="585"/>
      <c r="EI73" s="585"/>
      <c r="EJ73" s="585"/>
      <c r="EK73" s="585"/>
      <c r="EL73" s="585"/>
      <c r="EM73" s="585"/>
      <c r="EN73" s="585"/>
      <c r="EO73" s="585"/>
      <c r="EP73" s="585"/>
      <c r="EQ73" s="585"/>
      <c r="ER73" s="585"/>
      <c r="ES73" s="585"/>
      <c r="ET73" s="585"/>
      <c r="EU73" s="585"/>
      <c r="EV73" s="585"/>
      <c r="EW73" s="585"/>
      <c r="EX73" s="585"/>
      <c r="EY73" s="585"/>
      <c r="EZ73" s="585"/>
      <c r="FA73" s="585"/>
      <c r="FB73" s="585"/>
      <c r="FC73" s="585"/>
      <c r="FD73" s="585"/>
      <c r="FE73" s="585"/>
      <c r="FF73" s="585"/>
      <c r="FG73" s="585"/>
      <c r="FH73" s="585"/>
      <c r="FI73" s="585"/>
      <c r="FJ73" s="585"/>
      <c r="FK73" s="585"/>
      <c r="FL73" s="585"/>
      <c r="FM73" s="585"/>
      <c r="FN73" s="585"/>
      <c r="FO73" s="585"/>
      <c r="FP73" s="585"/>
      <c r="FQ73" s="585"/>
      <c r="FR73" s="585"/>
      <c r="FS73" s="585"/>
      <c r="FT73" s="585"/>
      <c r="FU73" s="585"/>
      <c r="FV73" s="585"/>
      <c r="FW73" s="585"/>
      <c r="FX73" s="585"/>
      <c r="FY73" s="585"/>
      <c r="FZ73" s="585"/>
      <c r="GA73" s="585"/>
      <c r="GB73" s="585"/>
      <c r="GC73" s="585"/>
      <c r="GD73" s="585"/>
      <c r="GE73" s="585"/>
      <c r="GF73" s="585"/>
      <c r="GG73" s="585"/>
      <c r="GH73" s="585"/>
      <c r="GI73" s="585"/>
      <c r="GJ73" s="585"/>
      <c r="GK73" s="585"/>
      <c r="GL73" s="585"/>
      <c r="GM73" s="585"/>
      <c r="GN73" s="585"/>
      <c r="GO73" s="585"/>
      <c r="GP73" s="585"/>
      <c r="GQ73" s="585"/>
      <c r="GR73" s="585"/>
      <c r="GS73" s="585"/>
      <c r="GT73" s="585"/>
      <c r="GU73" s="585"/>
      <c r="GV73" s="585"/>
      <c r="GW73" s="585"/>
      <c r="GX73" s="585"/>
      <c r="GY73" s="585"/>
      <c r="GZ73" s="585"/>
      <c r="HA73" s="585"/>
      <c r="HB73" s="585"/>
      <c r="HC73" s="585"/>
      <c r="HD73" s="585"/>
      <c r="HE73" s="585"/>
      <c r="HF73" s="585"/>
      <c r="HG73" s="585"/>
      <c r="HH73" s="585"/>
      <c r="HI73" s="585"/>
      <c r="HJ73" s="585"/>
      <c r="HK73" s="585"/>
      <c r="HL73" s="585"/>
      <c r="HM73" s="585"/>
      <c r="HN73" s="585"/>
      <c r="HO73" s="585"/>
      <c r="HP73" s="585"/>
      <c r="HQ73" s="585"/>
      <c r="HR73" s="585"/>
      <c r="HS73" s="585"/>
      <c r="HT73" s="585"/>
      <c r="HU73" s="585"/>
      <c r="HV73" s="585"/>
      <c r="HW73" s="585"/>
      <c r="HX73" s="585"/>
      <c r="HY73" s="585"/>
      <c r="HZ73" s="585"/>
      <c r="IA73" s="585"/>
      <c r="IB73" s="585"/>
      <c r="IC73" s="585"/>
      <c r="ID73" s="585"/>
      <c r="IE73" s="585"/>
      <c r="IF73" s="585"/>
      <c r="IG73" s="585"/>
      <c r="IH73" s="585"/>
      <c r="II73" s="585"/>
      <c r="IJ73" s="585"/>
      <c r="IK73" s="585"/>
      <c r="IL73" s="585"/>
      <c r="IM73" s="585"/>
      <c r="IN73" s="585"/>
      <c r="IO73" s="585"/>
      <c r="IP73" s="585"/>
      <c r="IQ73" s="585"/>
      <c r="IR73" s="585"/>
      <c r="IS73" s="585"/>
      <c r="IT73" s="585"/>
      <c r="IU73" s="585"/>
      <c r="IV73" s="585"/>
      <c r="IW73" s="585"/>
      <c r="IX73" s="585"/>
      <c r="IY73" s="585"/>
      <c r="IZ73" s="585"/>
      <c r="JA73" s="585"/>
      <c r="JB73" s="585"/>
      <c r="JC73" s="585"/>
      <c r="JD73" s="585"/>
      <c r="JE73" s="585"/>
      <c r="JF73" s="585"/>
      <c r="JG73" s="585"/>
      <c r="JH73" s="585"/>
      <c r="JI73" s="585"/>
      <c r="JJ73" s="585"/>
      <c r="JK73" s="585"/>
      <c r="JL73" s="585"/>
      <c r="JM73" s="585"/>
      <c r="JN73" s="585"/>
      <c r="JO73" s="585"/>
      <c r="JP73" s="585"/>
      <c r="JQ73" s="585"/>
      <c r="JR73" s="585"/>
      <c r="JS73" s="585"/>
      <c r="JT73" s="587"/>
      <c r="JU73" s="585"/>
      <c r="JV73" s="585"/>
      <c r="JW73" s="585"/>
      <c r="JX73" s="585"/>
      <c r="JY73" s="585"/>
      <c r="JZ73" s="585"/>
      <c r="KA73" s="585"/>
      <c r="KB73" s="585"/>
      <c r="KC73" s="585"/>
      <c r="KD73" s="585"/>
      <c r="KE73" s="585"/>
      <c r="KF73" s="585"/>
      <c r="KG73" s="585"/>
      <c r="KH73" s="585"/>
      <c r="KI73" s="585"/>
      <c r="KJ73" s="585"/>
      <c r="KK73" s="585"/>
      <c r="KL73" s="585"/>
      <c r="KM73" s="585"/>
      <c r="KN73" s="585"/>
      <c r="KO73" s="585"/>
      <c r="KP73" s="585"/>
      <c r="KQ73" s="585"/>
      <c r="KR73" s="585"/>
      <c r="KS73" s="585"/>
      <c r="KT73" s="585"/>
      <c r="KU73" s="585"/>
      <c r="KV73" s="585"/>
      <c r="KW73" s="585"/>
      <c r="KX73" s="585"/>
      <c r="KY73" s="585"/>
      <c r="KZ73" s="585"/>
      <c r="LA73" s="585"/>
      <c r="LB73" s="585"/>
      <c r="LC73" s="585"/>
      <c r="LD73" s="584"/>
      <c r="LE73" s="585"/>
      <c r="LF73" s="585"/>
      <c r="LG73" s="585"/>
      <c r="LH73" s="585"/>
      <c r="LI73" s="585"/>
      <c r="LJ73" s="585"/>
      <c r="LK73" s="585"/>
      <c r="LL73" s="585"/>
      <c r="LM73" s="585"/>
      <c r="LN73" s="585"/>
      <c r="LO73" s="585"/>
      <c r="LP73" s="585"/>
      <c r="LQ73" s="585"/>
      <c r="LR73" s="585"/>
      <c r="LS73" s="585"/>
      <c r="LT73" s="585"/>
      <c r="LU73" s="585"/>
      <c r="LV73" s="585"/>
      <c r="LW73" s="585"/>
      <c r="LX73" s="585"/>
      <c r="LY73" s="585"/>
      <c r="LZ73" s="585"/>
      <c r="MA73" s="585"/>
      <c r="MB73" s="585"/>
    </row>
    <row r="74" spans="1:340">
      <c r="B74" s="582"/>
      <c r="C74" s="583"/>
      <c r="D74" s="584"/>
      <c r="E74" s="584"/>
      <c r="F74" s="585"/>
      <c r="G74" s="587"/>
      <c r="H74" s="587"/>
      <c r="I74" s="587"/>
      <c r="J74" s="585"/>
      <c r="K74" s="585"/>
      <c r="L74" s="585"/>
      <c r="M74" s="585"/>
      <c r="N74" s="585"/>
      <c r="O74" s="585"/>
      <c r="P74" s="585"/>
      <c r="Q74" s="585"/>
      <c r="R74" s="585"/>
      <c r="S74" s="585"/>
      <c r="T74" s="585"/>
      <c r="U74" s="585"/>
      <c r="V74" s="585"/>
      <c r="W74" s="585"/>
      <c r="X74" s="585"/>
      <c r="Y74" s="585"/>
      <c r="Z74" s="585"/>
      <c r="AA74" s="585"/>
      <c r="AB74" s="584"/>
      <c r="AC74" s="585"/>
      <c r="AD74" s="585"/>
      <c r="AE74" s="585"/>
      <c r="AF74" s="585"/>
      <c r="AG74" s="585"/>
      <c r="AH74" s="585"/>
      <c r="AI74" s="585"/>
      <c r="AJ74" s="585"/>
      <c r="AK74" s="585"/>
      <c r="AL74" s="585"/>
      <c r="AM74" s="585"/>
      <c r="AN74" s="585"/>
      <c r="AO74" s="585"/>
      <c r="AP74" s="585"/>
      <c r="AQ74" s="585"/>
      <c r="AR74" s="585"/>
      <c r="AS74" s="585"/>
      <c r="AT74" s="585"/>
      <c r="AU74" s="585"/>
      <c r="AV74" s="585"/>
      <c r="AW74" s="585"/>
      <c r="AX74" s="585"/>
      <c r="AY74" s="585"/>
      <c r="AZ74" s="585"/>
      <c r="BA74" s="585"/>
      <c r="BB74" s="585"/>
      <c r="BC74" s="585"/>
      <c r="BD74" s="585"/>
      <c r="BE74" s="585"/>
      <c r="BF74" s="585"/>
      <c r="BG74" s="585"/>
      <c r="BH74" s="585"/>
      <c r="BI74" s="585"/>
      <c r="BJ74" s="585"/>
      <c r="BK74" s="585"/>
      <c r="BL74" s="585"/>
      <c r="BM74" s="585"/>
      <c r="BN74" s="585"/>
      <c r="BO74" s="585"/>
      <c r="BP74" s="585"/>
      <c r="BQ74" s="585"/>
      <c r="BR74" s="585"/>
      <c r="BS74" s="585"/>
      <c r="BT74" s="585"/>
      <c r="BU74" s="585"/>
      <c r="BV74" s="585"/>
      <c r="BW74" s="585"/>
      <c r="BX74" s="585"/>
      <c r="BY74" s="585"/>
      <c r="BZ74" s="585"/>
      <c r="CA74" s="585"/>
      <c r="CB74" s="585"/>
      <c r="CC74" s="585"/>
      <c r="CD74" s="585"/>
      <c r="CE74" s="585"/>
      <c r="CF74" s="585"/>
      <c r="CG74" s="585"/>
      <c r="CH74" s="585"/>
      <c r="CI74" s="585"/>
      <c r="CJ74" s="585"/>
      <c r="CK74" s="585"/>
      <c r="CL74" s="585"/>
      <c r="CM74" s="585"/>
      <c r="CN74" s="585"/>
      <c r="CO74" s="585"/>
      <c r="CP74" s="585"/>
      <c r="CQ74" s="585"/>
      <c r="CR74" s="585"/>
      <c r="CS74" s="585"/>
      <c r="CT74" s="585"/>
      <c r="CU74" s="585"/>
      <c r="CV74" s="585"/>
      <c r="CW74" s="585"/>
      <c r="CX74" s="585"/>
      <c r="CY74" s="585"/>
      <c r="CZ74" s="585"/>
      <c r="DA74" s="585"/>
      <c r="DB74" s="585"/>
      <c r="DC74" s="585"/>
      <c r="DD74" s="585"/>
      <c r="DE74" s="585"/>
      <c r="DF74" s="585"/>
      <c r="DG74" s="585"/>
      <c r="DH74" s="585"/>
      <c r="DI74" s="585"/>
      <c r="DJ74" s="585"/>
      <c r="DK74" s="585"/>
      <c r="DL74" s="585"/>
      <c r="DM74" s="585"/>
      <c r="DN74" s="585"/>
      <c r="DO74" s="585"/>
      <c r="DP74" s="585"/>
      <c r="DQ74" s="585"/>
      <c r="DR74" s="585"/>
      <c r="DS74" s="585"/>
      <c r="DT74" s="585"/>
      <c r="DU74" s="585"/>
      <c r="DV74" s="585"/>
      <c r="DW74" s="585"/>
      <c r="DX74" s="585"/>
      <c r="DY74" s="585"/>
      <c r="DZ74" s="585"/>
      <c r="EA74" s="585"/>
      <c r="EB74" s="585"/>
      <c r="EC74" s="585"/>
      <c r="ED74" s="585"/>
      <c r="EE74" s="585"/>
      <c r="EF74" s="585"/>
      <c r="EG74" s="585"/>
      <c r="EH74" s="585"/>
      <c r="EI74" s="585"/>
      <c r="EJ74" s="585"/>
      <c r="EK74" s="585"/>
      <c r="EL74" s="585"/>
      <c r="EM74" s="585"/>
      <c r="EN74" s="585"/>
      <c r="EO74" s="585"/>
      <c r="EP74" s="585"/>
      <c r="EQ74" s="585"/>
      <c r="ER74" s="585"/>
      <c r="ES74" s="585"/>
      <c r="ET74" s="585"/>
      <c r="EU74" s="585"/>
      <c r="EV74" s="585"/>
      <c r="EW74" s="585"/>
      <c r="EX74" s="585"/>
      <c r="EY74" s="585"/>
      <c r="EZ74" s="585"/>
      <c r="FA74" s="585"/>
      <c r="FB74" s="585"/>
      <c r="FC74" s="585"/>
      <c r="FD74" s="585"/>
      <c r="FE74" s="585"/>
      <c r="FF74" s="585"/>
      <c r="FG74" s="585"/>
      <c r="FH74" s="585"/>
      <c r="FI74" s="585"/>
      <c r="FJ74" s="585"/>
      <c r="FK74" s="585"/>
      <c r="FL74" s="585"/>
      <c r="FM74" s="585"/>
      <c r="FN74" s="585"/>
      <c r="FO74" s="585"/>
      <c r="FP74" s="585"/>
      <c r="FQ74" s="585"/>
      <c r="FR74" s="585"/>
      <c r="FS74" s="585"/>
      <c r="FT74" s="585"/>
      <c r="FU74" s="585"/>
      <c r="FV74" s="585"/>
      <c r="FW74" s="585"/>
      <c r="FX74" s="585"/>
      <c r="FY74" s="585"/>
      <c r="FZ74" s="585"/>
      <c r="GA74" s="585"/>
      <c r="GB74" s="585"/>
      <c r="GC74" s="585"/>
      <c r="GD74" s="585"/>
      <c r="GE74" s="585"/>
      <c r="GF74" s="585"/>
      <c r="GG74" s="585"/>
      <c r="GH74" s="585"/>
      <c r="GI74" s="585"/>
      <c r="GJ74" s="585"/>
      <c r="GK74" s="585"/>
      <c r="GL74" s="585"/>
      <c r="GM74" s="585"/>
      <c r="GN74" s="585"/>
      <c r="GO74" s="585"/>
      <c r="GP74" s="585"/>
      <c r="GQ74" s="585"/>
      <c r="GR74" s="585"/>
      <c r="GS74" s="585"/>
      <c r="GT74" s="585"/>
      <c r="GU74" s="585"/>
      <c r="GV74" s="585"/>
      <c r="GW74" s="585"/>
      <c r="GX74" s="585"/>
      <c r="GY74" s="585"/>
      <c r="GZ74" s="585"/>
      <c r="HA74" s="585"/>
      <c r="HB74" s="585"/>
      <c r="HC74" s="585"/>
      <c r="HD74" s="585"/>
      <c r="HE74" s="585"/>
      <c r="HF74" s="585"/>
      <c r="HG74" s="585"/>
      <c r="HH74" s="585"/>
      <c r="HI74" s="585"/>
      <c r="HJ74" s="585"/>
      <c r="HK74" s="585"/>
      <c r="HL74" s="585"/>
      <c r="HM74" s="585"/>
      <c r="HN74" s="585"/>
      <c r="HO74" s="585"/>
      <c r="HP74" s="585"/>
      <c r="HQ74" s="585"/>
      <c r="HR74" s="585"/>
      <c r="HS74" s="585"/>
      <c r="HT74" s="585"/>
      <c r="HU74" s="585"/>
      <c r="HV74" s="585"/>
      <c r="HW74" s="585"/>
      <c r="HX74" s="585"/>
      <c r="HY74" s="585"/>
      <c r="HZ74" s="585"/>
      <c r="IA74" s="585"/>
      <c r="IB74" s="585"/>
      <c r="IC74" s="585"/>
      <c r="ID74" s="585"/>
      <c r="IE74" s="585"/>
      <c r="IF74" s="585"/>
      <c r="IG74" s="585"/>
      <c r="IH74" s="585"/>
      <c r="II74" s="585"/>
      <c r="IJ74" s="585"/>
      <c r="IK74" s="585"/>
      <c r="IL74" s="585"/>
      <c r="IM74" s="585"/>
      <c r="IN74" s="585"/>
      <c r="IO74" s="585"/>
      <c r="IP74" s="585"/>
      <c r="IQ74" s="585"/>
      <c r="IR74" s="585"/>
      <c r="IS74" s="585"/>
      <c r="IT74" s="585"/>
      <c r="IU74" s="585"/>
      <c r="IV74" s="585"/>
      <c r="IW74" s="585"/>
      <c r="IX74" s="585"/>
      <c r="IY74" s="585"/>
      <c r="IZ74" s="585"/>
      <c r="JA74" s="585"/>
      <c r="JB74" s="585"/>
      <c r="JC74" s="585"/>
      <c r="JD74" s="585"/>
      <c r="JE74" s="585"/>
      <c r="JF74" s="585"/>
      <c r="JG74" s="585"/>
      <c r="JH74" s="585"/>
      <c r="JI74" s="585"/>
      <c r="JJ74" s="585"/>
      <c r="JK74" s="585"/>
      <c r="JL74" s="585"/>
      <c r="JM74" s="585"/>
      <c r="JN74" s="585"/>
      <c r="JO74" s="585"/>
      <c r="JP74" s="585"/>
      <c r="JQ74" s="585"/>
      <c r="JR74" s="585"/>
      <c r="JS74" s="585"/>
      <c r="JT74" s="587"/>
      <c r="JU74" s="585"/>
      <c r="JV74" s="585"/>
      <c r="JW74" s="585"/>
      <c r="JX74" s="585"/>
      <c r="JY74" s="585"/>
      <c r="JZ74" s="585"/>
      <c r="KA74" s="585"/>
      <c r="KB74" s="585"/>
      <c r="KC74" s="585"/>
      <c r="KD74" s="585"/>
      <c r="KE74" s="585"/>
      <c r="KF74" s="585"/>
      <c r="KG74" s="585"/>
      <c r="KH74" s="585"/>
      <c r="KI74" s="585"/>
      <c r="KJ74" s="585"/>
      <c r="KK74" s="585"/>
      <c r="KL74" s="585"/>
      <c r="KM74" s="585"/>
      <c r="KN74" s="585"/>
      <c r="KO74" s="585"/>
      <c r="KP74" s="585"/>
      <c r="KQ74" s="585"/>
      <c r="KR74" s="585"/>
      <c r="KS74" s="585"/>
      <c r="KT74" s="585"/>
      <c r="KU74" s="585"/>
      <c r="KV74" s="585"/>
      <c r="KW74" s="585"/>
      <c r="KX74" s="585"/>
      <c r="KY74" s="585"/>
      <c r="KZ74" s="585"/>
      <c r="LA74" s="585"/>
      <c r="LB74" s="585"/>
      <c r="LC74" s="585"/>
      <c r="LD74" s="584"/>
      <c r="LE74" s="585"/>
      <c r="LF74" s="585"/>
      <c r="LG74" s="585"/>
      <c r="LH74" s="585"/>
      <c r="LI74" s="585"/>
      <c r="LJ74" s="585"/>
      <c r="LK74" s="585"/>
      <c r="LL74" s="585"/>
      <c r="LM74" s="585"/>
      <c r="LN74" s="585"/>
      <c r="LO74" s="585"/>
      <c r="LP74" s="585"/>
      <c r="LQ74" s="585"/>
      <c r="LR74" s="585"/>
      <c r="LS74" s="585"/>
      <c r="LT74" s="585"/>
      <c r="LU74" s="585"/>
      <c r="LV74" s="585"/>
      <c r="LW74" s="585"/>
      <c r="LX74" s="585"/>
      <c r="LY74" s="585"/>
      <c r="LZ74" s="585"/>
      <c r="MA74" s="585"/>
      <c r="MB74" s="585"/>
    </row>
    <row r="75" spans="1:340">
      <c r="B75" s="582"/>
      <c r="C75" s="583"/>
      <c r="D75" s="584"/>
      <c r="E75" s="584"/>
      <c r="F75" s="585"/>
      <c r="G75" s="587"/>
      <c r="H75" s="587"/>
      <c r="I75" s="587"/>
      <c r="J75" s="585"/>
      <c r="K75" s="585"/>
      <c r="L75" s="585"/>
      <c r="M75" s="585"/>
      <c r="N75" s="585"/>
      <c r="O75" s="585"/>
      <c r="P75" s="585"/>
      <c r="Q75" s="585"/>
      <c r="R75" s="585"/>
      <c r="S75" s="585"/>
      <c r="T75" s="585"/>
      <c r="U75" s="585"/>
      <c r="V75" s="585"/>
      <c r="W75" s="585"/>
      <c r="X75" s="585"/>
      <c r="Y75" s="585"/>
      <c r="Z75" s="585"/>
      <c r="AA75" s="585"/>
      <c r="AB75" s="584"/>
      <c r="AC75" s="585"/>
      <c r="AD75" s="585"/>
      <c r="AE75" s="585"/>
      <c r="AF75" s="585"/>
      <c r="AG75" s="585"/>
      <c r="AH75" s="585"/>
      <c r="AI75" s="585"/>
      <c r="AJ75" s="585"/>
      <c r="AK75" s="585"/>
      <c r="AL75" s="585"/>
      <c r="AM75" s="585"/>
      <c r="AN75" s="585"/>
      <c r="AO75" s="585"/>
      <c r="AP75" s="585"/>
      <c r="AQ75" s="585"/>
      <c r="AR75" s="585"/>
      <c r="AS75" s="585"/>
      <c r="AT75" s="585"/>
      <c r="AU75" s="585"/>
      <c r="AV75" s="585"/>
      <c r="AW75" s="585"/>
      <c r="AX75" s="585"/>
      <c r="AY75" s="585"/>
      <c r="AZ75" s="585"/>
      <c r="BA75" s="585"/>
      <c r="BB75" s="585"/>
      <c r="BC75" s="585"/>
      <c r="BD75" s="585"/>
      <c r="BE75" s="585"/>
      <c r="BF75" s="585"/>
      <c r="BG75" s="585"/>
      <c r="BH75" s="585"/>
      <c r="BI75" s="585"/>
      <c r="BJ75" s="585"/>
      <c r="BK75" s="585"/>
      <c r="BL75" s="585"/>
      <c r="BM75" s="585"/>
      <c r="BN75" s="585"/>
      <c r="BO75" s="585"/>
      <c r="BP75" s="585"/>
      <c r="BQ75" s="585"/>
      <c r="BR75" s="585"/>
      <c r="BS75" s="585"/>
      <c r="BT75" s="585"/>
      <c r="BU75" s="585"/>
      <c r="BV75" s="585"/>
      <c r="BW75" s="585"/>
      <c r="BX75" s="585"/>
      <c r="BY75" s="585"/>
      <c r="BZ75" s="585"/>
      <c r="CA75" s="585"/>
      <c r="CB75" s="585"/>
      <c r="CC75" s="585"/>
      <c r="CD75" s="585"/>
      <c r="CE75" s="585"/>
      <c r="CF75" s="585"/>
      <c r="CG75" s="585"/>
      <c r="CH75" s="585"/>
      <c r="CI75" s="585"/>
      <c r="CJ75" s="585"/>
      <c r="CK75" s="585"/>
      <c r="CL75" s="585"/>
      <c r="CM75" s="585"/>
      <c r="CN75" s="585"/>
      <c r="CO75" s="585"/>
      <c r="CP75" s="585"/>
      <c r="CQ75" s="585"/>
      <c r="CR75" s="585"/>
      <c r="CS75" s="585"/>
      <c r="CT75" s="585"/>
      <c r="CU75" s="585"/>
      <c r="CV75" s="585"/>
      <c r="CW75" s="585"/>
      <c r="CX75" s="585"/>
      <c r="CY75" s="585"/>
      <c r="CZ75" s="585"/>
      <c r="DA75" s="585"/>
      <c r="DB75" s="585"/>
      <c r="DC75" s="585"/>
      <c r="DD75" s="585"/>
      <c r="DE75" s="585"/>
      <c r="DF75" s="585"/>
      <c r="DG75" s="585"/>
      <c r="DH75" s="585"/>
      <c r="DI75" s="585"/>
      <c r="DJ75" s="585"/>
      <c r="DK75" s="585"/>
      <c r="DL75" s="585"/>
      <c r="DM75" s="585"/>
      <c r="DN75" s="585"/>
      <c r="DO75" s="585"/>
      <c r="DP75" s="585"/>
      <c r="DQ75" s="585"/>
      <c r="DR75" s="585"/>
      <c r="DS75" s="585"/>
      <c r="DT75" s="585"/>
      <c r="DU75" s="585"/>
      <c r="DV75" s="585"/>
      <c r="DW75" s="585"/>
      <c r="DX75" s="585"/>
      <c r="DY75" s="585"/>
      <c r="DZ75" s="585"/>
      <c r="EA75" s="585"/>
      <c r="EB75" s="585"/>
      <c r="EC75" s="585"/>
      <c r="ED75" s="585"/>
      <c r="EE75" s="585"/>
      <c r="EF75" s="585"/>
      <c r="EG75" s="585"/>
      <c r="EH75" s="585"/>
      <c r="EI75" s="585"/>
      <c r="EJ75" s="585"/>
      <c r="EK75" s="585"/>
      <c r="EL75" s="585"/>
      <c r="EM75" s="585"/>
      <c r="EN75" s="585"/>
      <c r="EO75" s="585"/>
      <c r="EP75" s="585"/>
      <c r="EQ75" s="585"/>
      <c r="ER75" s="585"/>
      <c r="ES75" s="585"/>
      <c r="ET75" s="585"/>
      <c r="EU75" s="585"/>
      <c r="EV75" s="585"/>
      <c r="EW75" s="585"/>
      <c r="EX75" s="585"/>
      <c r="EY75" s="585"/>
      <c r="EZ75" s="585"/>
      <c r="FA75" s="585"/>
      <c r="FB75" s="585"/>
      <c r="FC75" s="585"/>
      <c r="FD75" s="585"/>
      <c r="FE75" s="585"/>
      <c r="FF75" s="585"/>
      <c r="FG75" s="585"/>
      <c r="FH75" s="585"/>
      <c r="FI75" s="585"/>
      <c r="FJ75" s="585"/>
      <c r="FK75" s="585"/>
      <c r="FL75" s="585"/>
      <c r="FM75" s="585"/>
      <c r="FN75" s="585"/>
      <c r="FO75" s="585"/>
      <c r="FP75" s="585"/>
      <c r="FQ75" s="585"/>
      <c r="FR75" s="585"/>
      <c r="FS75" s="585"/>
      <c r="FT75" s="585"/>
      <c r="FU75" s="585"/>
      <c r="FV75" s="585"/>
      <c r="FW75" s="585"/>
      <c r="FX75" s="585"/>
      <c r="FY75" s="585"/>
      <c r="FZ75" s="585"/>
      <c r="GA75" s="585"/>
      <c r="GB75" s="585"/>
      <c r="GC75" s="585"/>
      <c r="GD75" s="585"/>
      <c r="GE75" s="585"/>
      <c r="GF75" s="585"/>
      <c r="GG75" s="585"/>
      <c r="GH75" s="585"/>
      <c r="GI75" s="585"/>
      <c r="GJ75" s="585"/>
      <c r="GK75" s="585"/>
      <c r="GL75" s="585"/>
      <c r="GM75" s="585"/>
      <c r="GN75" s="585"/>
      <c r="GO75" s="585"/>
      <c r="GP75" s="585"/>
      <c r="GQ75" s="585"/>
      <c r="GR75" s="585"/>
      <c r="GS75" s="585"/>
      <c r="GT75" s="585"/>
      <c r="GU75" s="585"/>
      <c r="GV75" s="585"/>
      <c r="GW75" s="585"/>
      <c r="GX75" s="585"/>
      <c r="GY75" s="585"/>
      <c r="GZ75" s="585"/>
      <c r="HA75" s="585"/>
      <c r="HB75" s="585"/>
      <c r="HC75" s="585"/>
      <c r="HD75" s="585"/>
      <c r="HE75" s="585"/>
      <c r="HF75" s="585"/>
      <c r="HG75" s="585"/>
      <c r="HH75" s="585"/>
      <c r="HI75" s="585"/>
      <c r="HJ75" s="585"/>
      <c r="HK75" s="585"/>
      <c r="HL75" s="585"/>
      <c r="HM75" s="585"/>
      <c r="HN75" s="585"/>
      <c r="HO75" s="585"/>
      <c r="HP75" s="585"/>
      <c r="HQ75" s="585"/>
      <c r="HR75" s="585"/>
      <c r="HS75" s="585"/>
      <c r="HT75" s="585"/>
      <c r="HU75" s="585"/>
      <c r="HV75" s="585"/>
      <c r="HW75" s="585"/>
      <c r="HX75" s="585"/>
      <c r="HY75" s="585"/>
      <c r="HZ75" s="585"/>
      <c r="IA75" s="585"/>
      <c r="IB75" s="585"/>
      <c r="IC75" s="585"/>
      <c r="ID75" s="585"/>
      <c r="IE75" s="585"/>
      <c r="IF75" s="585"/>
      <c r="IG75" s="585"/>
      <c r="IH75" s="585"/>
      <c r="II75" s="585"/>
      <c r="IJ75" s="585"/>
      <c r="IK75" s="585"/>
      <c r="IL75" s="585"/>
      <c r="IM75" s="585"/>
      <c r="IN75" s="585"/>
      <c r="IO75" s="585"/>
      <c r="IP75" s="585"/>
      <c r="IQ75" s="585"/>
      <c r="IR75" s="585"/>
      <c r="IS75" s="585"/>
      <c r="IT75" s="585"/>
      <c r="IU75" s="585"/>
      <c r="IV75" s="585"/>
      <c r="IW75" s="585"/>
      <c r="IX75" s="585"/>
      <c r="IY75" s="585"/>
      <c r="IZ75" s="585"/>
      <c r="JA75" s="585"/>
      <c r="JB75" s="585"/>
      <c r="JC75" s="585"/>
      <c r="JD75" s="585"/>
      <c r="JE75" s="585"/>
      <c r="JF75" s="585"/>
      <c r="JG75" s="585"/>
      <c r="JH75" s="585"/>
      <c r="JI75" s="585"/>
      <c r="JJ75" s="585"/>
      <c r="JK75" s="585"/>
      <c r="JL75" s="585"/>
      <c r="JM75" s="585"/>
      <c r="JN75" s="585"/>
      <c r="JO75" s="585"/>
      <c r="JP75" s="585"/>
      <c r="JQ75" s="585"/>
      <c r="JR75" s="585"/>
      <c r="JS75" s="585"/>
      <c r="JT75" s="587"/>
      <c r="JU75" s="585"/>
      <c r="JV75" s="585"/>
      <c r="JW75" s="585"/>
      <c r="JX75" s="585"/>
      <c r="JY75" s="585"/>
      <c r="JZ75" s="585"/>
      <c r="KA75" s="585"/>
      <c r="KB75" s="585"/>
      <c r="KC75" s="585"/>
      <c r="KD75" s="585"/>
      <c r="KE75" s="585"/>
      <c r="KF75" s="585"/>
      <c r="KG75" s="585"/>
      <c r="KH75" s="585"/>
      <c r="KI75" s="585"/>
      <c r="KJ75" s="585"/>
      <c r="KK75" s="585"/>
      <c r="KL75" s="585"/>
      <c r="KM75" s="585"/>
      <c r="KN75" s="585"/>
      <c r="KO75" s="585"/>
      <c r="KP75" s="585"/>
      <c r="KQ75" s="585"/>
      <c r="KR75" s="585"/>
      <c r="KS75" s="585"/>
      <c r="KT75" s="585"/>
      <c r="KU75" s="585"/>
      <c r="KV75" s="585"/>
      <c r="KW75" s="585"/>
      <c r="KX75" s="585"/>
      <c r="KY75" s="585"/>
      <c r="KZ75" s="585"/>
      <c r="LA75" s="585"/>
      <c r="LB75" s="585"/>
      <c r="LC75" s="585"/>
      <c r="LD75" s="584"/>
      <c r="LE75" s="585"/>
      <c r="LF75" s="585"/>
      <c r="LG75" s="585"/>
      <c r="LH75" s="585"/>
      <c r="LI75" s="585"/>
      <c r="LJ75" s="585"/>
      <c r="LK75" s="585"/>
      <c r="LL75" s="585"/>
      <c r="LM75" s="585"/>
      <c r="LN75" s="585"/>
      <c r="LO75" s="585"/>
      <c r="LP75" s="585"/>
      <c r="LQ75" s="585"/>
      <c r="LR75" s="585"/>
      <c r="LS75" s="585"/>
      <c r="LT75" s="585"/>
      <c r="LU75" s="585"/>
      <c r="LV75" s="585"/>
      <c r="LW75" s="585"/>
      <c r="LX75" s="585"/>
      <c r="LY75" s="585"/>
      <c r="LZ75" s="585"/>
      <c r="MA75" s="585"/>
      <c r="MB75" s="585"/>
    </row>
    <row r="76" spans="1:340">
      <c r="B76" s="582"/>
      <c r="C76" s="583"/>
      <c r="D76" s="584"/>
      <c r="E76" s="584"/>
      <c r="F76" s="585"/>
      <c r="G76" s="587"/>
      <c r="H76" s="587"/>
      <c r="I76" s="587"/>
      <c r="J76" s="585"/>
      <c r="K76" s="585"/>
      <c r="L76" s="585"/>
      <c r="M76" s="585"/>
      <c r="N76" s="585"/>
      <c r="O76" s="585"/>
      <c r="P76" s="585"/>
      <c r="Q76" s="585"/>
      <c r="R76" s="585"/>
      <c r="S76" s="585"/>
      <c r="T76" s="585"/>
      <c r="U76" s="585"/>
      <c r="V76" s="585"/>
      <c r="W76" s="585"/>
      <c r="X76" s="585"/>
      <c r="Y76" s="585"/>
      <c r="Z76" s="585"/>
      <c r="AA76" s="585"/>
      <c r="AB76" s="584"/>
      <c r="AC76" s="585"/>
      <c r="AD76" s="585"/>
      <c r="AE76" s="585"/>
      <c r="AF76" s="585"/>
      <c r="AG76" s="585"/>
      <c r="AH76" s="585"/>
      <c r="AI76" s="585"/>
      <c r="AJ76" s="585"/>
      <c r="AK76" s="585"/>
      <c r="AL76" s="585"/>
      <c r="AM76" s="585"/>
      <c r="AN76" s="585"/>
      <c r="AO76" s="585"/>
      <c r="AP76" s="585"/>
      <c r="AQ76" s="585"/>
      <c r="AR76" s="585"/>
      <c r="AS76" s="585"/>
      <c r="AT76" s="585"/>
      <c r="AU76" s="585"/>
      <c r="AV76" s="585"/>
      <c r="AW76" s="585"/>
      <c r="AX76" s="585"/>
      <c r="AY76" s="585"/>
      <c r="AZ76" s="585"/>
      <c r="BA76" s="585"/>
      <c r="BB76" s="585"/>
      <c r="BC76" s="585"/>
      <c r="BD76" s="585"/>
      <c r="BE76" s="585"/>
      <c r="BF76" s="585"/>
      <c r="BG76" s="585"/>
      <c r="BH76" s="585"/>
      <c r="BI76" s="585"/>
      <c r="BJ76" s="585"/>
      <c r="BK76" s="585"/>
      <c r="BL76" s="585"/>
      <c r="BM76" s="585"/>
      <c r="BN76" s="585"/>
      <c r="BO76" s="585"/>
      <c r="BP76" s="585"/>
      <c r="BQ76" s="585"/>
      <c r="BR76" s="585"/>
      <c r="BS76" s="585"/>
      <c r="BT76" s="585"/>
      <c r="BU76" s="585"/>
      <c r="BV76" s="585"/>
      <c r="BW76" s="585"/>
      <c r="BX76" s="585"/>
      <c r="BY76" s="585"/>
      <c r="BZ76" s="585"/>
      <c r="CA76" s="585"/>
      <c r="CB76" s="585"/>
      <c r="CC76" s="585"/>
      <c r="CD76" s="585"/>
      <c r="CE76" s="585"/>
      <c r="CF76" s="585"/>
      <c r="CG76" s="585"/>
      <c r="CH76" s="585"/>
      <c r="CI76" s="585"/>
      <c r="CJ76" s="585"/>
      <c r="CK76" s="585"/>
      <c r="CL76" s="585"/>
      <c r="CM76" s="585"/>
      <c r="CN76" s="585"/>
      <c r="CO76" s="585"/>
      <c r="CP76" s="585"/>
      <c r="CQ76" s="585"/>
      <c r="CR76" s="585"/>
      <c r="CS76" s="585"/>
      <c r="CT76" s="585"/>
      <c r="CU76" s="585"/>
      <c r="CV76" s="585"/>
      <c r="CW76" s="585"/>
      <c r="CX76" s="585"/>
      <c r="CY76" s="585"/>
      <c r="CZ76" s="585"/>
      <c r="DA76" s="585"/>
      <c r="DB76" s="585"/>
      <c r="DC76" s="585"/>
      <c r="DD76" s="585"/>
      <c r="DE76" s="585"/>
      <c r="DF76" s="585"/>
      <c r="DG76" s="585"/>
      <c r="DH76" s="585"/>
      <c r="DI76" s="585"/>
      <c r="DJ76" s="585"/>
      <c r="DK76" s="585"/>
      <c r="DL76" s="585"/>
      <c r="DM76" s="585"/>
      <c r="DN76" s="585"/>
      <c r="DO76" s="585"/>
      <c r="DP76" s="585"/>
      <c r="DQ76" s="585"/>
      <c r="DR76" s="585"/>
      <c r="DS76" s="585"/>
      <c r="DT76" s="585"/>
      <c r="DU76" s="585"/>
      <c r="DV76" s="585"/>
      <c r="DW76" s="585"/>
      <c r="DX76" s="585"/>
      <c r="DY76" s="585"/>
      <c r="DZ76" s="585"/>
      <c r="EA76" s="585"/>
      <c r="EB76" s="585"/>
      <c r="EC76" s="585"/>
      <c r="ED76" s="585"/>
      <c r="EE76" s="585"/>
      <c r="EF76" s="585"/>
      <c r="EG76" s="585"/>
      <c r="EH76" s="585"/>
      <c r="EI76" s="585"/>
      <c r="EJ76" s="585"/>
      <c r="EK76" s="585"/>
      <c r="EL76" s="585"/>
      <c r="EM76" s="585"/>
      <c r="EN76" s="585"/>
      <c r="EO76" s="585"/>
      <c r="EP76" s="585"/>
      <c r="EQ76" s="585"/>
      <c r="ER76" s="585"/>
      <c r="ES76" s="585"/>
      <c r="ET76" s="585"/>
      <c r="EU76" s="585"/>
      <c r="EV76" s="585"/>
      <c r="EW76" s="585"/>
      <c r="EX76" s="585"/>
      <c r="EY76" s="585"/>
      <c r="EZ76" s="585"/>
      <c r="FA76" s="585"/>
      <c r="FB76" s="585"/>
      <c r="FC76" s="585"/>
      <c r="FD76" s="585"/>
      <c r="FE76" s="585"/>
      <c r="FF76" s="585"/>
      <c r="FG76" s="585"/>
      <c r="FH76" s="585"/>
      <c r="FI76" s="585"/>
      <c r="FJ76" s="585"/>
      <c r="FK76" s="585"/>
      <c r="FL76" s="585"/>
      <c r="FM76" s="585"/>
      <c r="FN76" s="585"/>
      <c r="FO76" s="585"/>
      <c r="FP76" s="585"/>
      <c r="FQ76" s="585"/>
      <c r="FR76" s="585"/>
      <c r="FS76" s="585"/>
      <c r="FT76" s="585"/>
      <c r="FU76" s="585"/>
      <c r="FV76" s="585"/>
      <c r="FW76" s="585"/>
      <c r="FX76" s="585"/>
      <c r="FY76" s="585"/>
      <c r="FZ76" s="585"/>
      <c r="GA76" s="585"/>
      <c r="GB76" s="585"/>
      <c r="GC76" s="585"/>
      <c r="GD76" s="585"/>
      <c r="GE76" s="585"/>
      <c r="GF76" s="585"/>
      <c r="GG76" s="585"/>
      <c r="GH76" s="585"/>
      <c r="GI76" s="585"/>
      <c r="GJ76" s="585"/>
      <c r="GK76" s="585"/>
      <c r="GL76" s="585"/>
      <c r="GM76" s="585"/>
      <c r="GN76" s="585"/>
      <c r="GO76" s="585"/>
      <c r="GP76" s="585"/>
      <c r="GQ76" s="585"/>
      <c r="GR76" s="585"/>
      <c r="GS76" s="585"/>
      <c r="GT76" s="585"/>
      <c r="GU76" s="585"/>
      <c r="GV76" s="585"/>
      <c r="GW76" s="585"/>
      <c r="GX76" s="585"/>
      <c r="GY76" s="585"/>
      <c r="GZ76" s="585"/>
      <c r="HA76" s="585"/>
      <c r="HB76" s="585"/>
      <c r="HC76" s="585"/>
      <c r="HD76" s="585"/>
      <c r="HE76" s="585"/>
      <c r="HF76" s="585"/>
      <c r="HG76" s="585"/>
      <c r="HH76" s="585"/>
      <c r="HI76" s="585"/>
      <c r="HJ76" s="585"/>
      <c r="HK76" s="585"/>
      <c r="HL76" s="585"/>
      <c r="HM76" s="585"/>
      <c r="HN76" s="585"/>
      <c r="HO76" s="585"/>
      <c r="HP76" s="585"/>
      <c r="HQ76" s="585"/>
      <c r="HR76" s="585"/>
      <c r="HS76" s="585"/>
      <c r="HT76" s="585"/>
      <c r="HU76" s="585"/>
      <c r="HV76" s="585"/>
      <c r="HW76" s="585"/>
      <c r="HX76" s="585"/>
      <c r="HY76" s="585"/>
      <c r="HZ76" s="585"/>
      <c r="IA76" s="585"/>
      <c r="IB76" s="585"/>
      <c r="IC76" s="585"/>
      <c r="ID76" s="585"/>
      <c r="IE76" s="585"/>
      <c r="IF76" s="585"/>
      <c r="IG76" s="585"/>
      <c r="IH76" s="585"/>
      <c r="II76" s="585"/>
      <c r="IJ76" s="585"/>
      <c r="IK76" s="585"/>
      <c r="IL76" s="585"/>
      <c r="IM76" s="585"/>
      <c r="IN76" s="585"/>
      <c r="IO76" s="585"/>
      <c r="IP76" s="585"/>
      <c r="IQ76" s="585"/>
      <c r="IR76" s="585"/>
      <c r="IS76" s="585"/>
      <c r="IT76" s="585"/>
      <c r="IU76" s="585"/>
      <c r="IV76" s="585"/>
      <c r="IW76" s="585"/>
      <c r="IX76" s="585"/>
      <c r="IY76" s="585"/>
      <c r="IZ76" s="585"/>
      <c r="JA76" s="585"/>
      <c r="JB76" s="585"/>
      <c r="JC76" s="585"/>
      <c r="JD76" s="585"/>
      <c r="JE76" s="585"/>
      <c r="JF76" s="585"/>
      <c r="JG76" s="585"/>
      <c r="JH76" s="585"/>
      <c r="JI76" s="585"/>
      <c r="JJ76" s="585"/>
      <c r="JK76" s="585"/>
      <c r="JL76" s="585"/>
      <c r="JM76" s="585"/>
      <c r="JN76" s="585"/>
      <c r="JO76" s="585"/>
      <c r="JP76" s="585"/>
      <c r="JQ76" s="585"/>
      <c r="JR76" s="585"/>
      <c r="JS76" s="585"/>
      <c r="JT76" s="587"/>
      <c r="JU76" s="585"/>
      <c r="JV76" s="585"/>
      <c r="JW76" s="585"/>
      <c r="JX76" s="585"/>
      <c r="JY76" s="585"/>
      <c r="JZ76" s="585"/>
      <c r="KA76" s="585"/>
      <c r="KB76" s="585"/>
      <c r="KC76" s="585"/>
      <c r="KD76" s="585"/>
      <c r="KE76" s="585"/>
      <c r="KF76" s="585"/>
      <c r="KG76" s="585"/>
      <c r="KH76" s="585"/>
      <c r="KI76" s="585"/>
      <c r="KJ76" s="585"/>
      <c r="KK76" s="585"/>
      <c r="KL76" s="585"/>
      <c r="KM76" s="585"/>
      <c r="KN76" s="585"/>
      <c r="KO76" s="585"/>
      <c r="KP76" s="585"/>
      <c r="KQ76" s="585"/>
      <c r="KR76" s="585"/>
      <c r="KS76" s="585"/>
      <c r="KT76" s="585"/>
      <c r="KU76" s="585"/>
      <c r="KV76" s="585"/>
      <c r="KW76" s="585"/>
      <c r="KX76" s="585"/>
      <c r="KY76" s="585"/>
      <c r="KZ76" s="585"/>
      <c r="LA76" s="585"/>
      <c r="LB76" s="585"/>
      <c r="LC76" s="585"/>
      <c r="LD76" s="584"/>
      <c r="LE76" s="585"/>
      <c r="LF76" s="585"/>
      <c r="LG76" s="585"/>
      <c r="LH76" s="585"/>
      <c r="LI76" s="585"/>
      <c r="LJ76" s="585"/>
      <c r="LK76" s="585"/>
      <c r="LL76" s="585"/>
      <c r="LM76" s="585"/>
      <c r="LN76" s="585"/>
      <c r="LO76" s="585"/>
      <c r="LP76" s="585"/>
      <c r="LQ76" s="585"/>
      <c r="LR76" s="585"/>
      <c r="LS76" s="585"/>
      <c r="LT76" s="585"/>
      <c r="LU76" s="585"/>
      <c r="LV76" s="585"/>
      <c r="LW76" s="585"/>
      <c r="LX76" s="585"/>
      <c r="LY76" s="585"/>
      <c r="LZ76" s="585"/>
      <c r="MA76" s="585"/>
      <c r="MB76" s="585"/>
    </row>
    <row r="77" spans="1:340">
      <c r="B77" s="582"/>
      <c r="C77" s="583"/>
      <c r="D77" s="584"/>
      <c r="E77" s="584"/>
      <c r="F77" s="585"/>
      <c r="G77" s="587"/>
      <c r="H77" s="587"/>
      <c r="I77" s="587"/>
      <c r="J77" s="585"/>
      <c r="K77" s="585"/>
      <c r="L77" s="585"/>
      <c r="M77" s="585"/>
      <c r="N77" s="585"/>
      <c r="O77" s="585"/>
      <c r="P77" s="585"/>
      <c r="Q77" s="585"/>
      <c r="R77" s="585"/>
      <c r="S77" s="585"/>
      <c r="T77" s="585"/>
      <c r="U77" s="585"/>
      <c r="V77" s="585"/>
      <c r="W77" s="585"/>
      <c r="X77" s="585"/>
      <c r="Y77" s="585"/>
      <c r="Z77" s="585"/>
      <c r="AA77" s="585"/>
      <c r="AB77" s="584"/>
      <c r="AC77" s="585"/>
      <c r="AD77" s="585"/>
      <c r="AE77" s="585"/>
      <c r="AF77" s="585"/>
      <c r="AG77" s="585"/>
      <c r="AH77" s="585"/>
      <c r="AI77" s="585"/>
      <c r="AJ77" s="585"/>
      <c r="AK77" s="585"/>
      <c r="AL77" s="585"/>
      <c r="AM77" s="585"/>
      <c r="AN77" s="585"/>
      <c r="AO77" s="585"/>
      <c r="AP77" s="585"/>
      <c r="AQ77" s="585"/>
      <c r="AR77" s="585"/>
      <c r="AS77" s="585"/>
      <c r="AT77" s="585"/>
      <c r="AU77" s="585"/>
      <c r="AV77" s="585"/>
      <c r="AW77" s="585"/>
      <c r="AX77" s="585"/>
      <c r="AY77" s="585"/>
      <c r="AZ77" s="585"/>
      <c r="BA77" s="585"/>
      <c r="BB77" s="585"/>
      <c r="BC77" s="585"/>
      <c r="BD77" s="585"/>
      <c r="BE77" s="585"/>
      <c r="BF77" s="585"/>
      <c r="BG77" s="585"/>
      <c r="BH77" s="585"/>
      <c r="BI77" s="585"/>
      <c r="BJ77" s="585"/>
      <c r="BK77" s="585"/>
      <c r="BL77" s="585"/>
      <c r="BM77" s="585"/>
      <c r="BN77" s="585"/>
      <c r="BO77" s="585"/>
      <c r="BP77" s="585"/>
      <c r="BQ77" s="585"/>
      <c r="BR77" s="585"/>
      <c r="BS77" s="585"/>
      <c r="BT77" s="585"/>
      <c r="BU77" s="585"/>
      <c r="BV77" s="585"/>
      <c r="BW77" s="585"/>
      <c r="BX77" s="585"/>
      <c r="BY77" s="585"/>
      <c r="BZ77" s="585"/>
      <c r="CA77" s="585"/>
      <c r="CB77" s="585"/>
      <c r="CC77" s="585"/>
      <c r="CD77" s="585"/>
      <c r="CE77" s="585"/>
      <c r="CF77" s="585"/>
      <c r="CG77" s="585"/>
      <c r="CH77" s="585"/>
      <c r="CI77" s="585"/>
      <c r="CJ77" s="585"/>
      <c r="CK77" s="585"/>
      <c r="CL77" s="585"/>
      <c r="CM77" s="585"/>
      <c r="CN77" s="585"/>
      <c r="CO77" s="585"/>
      <c r="CP77" s="585"/>
      <c r="CQ77" s="585"/>
      <c r="CR77" s="585"/>
      <c r="CS77" s="585"/>
      <c r="CT77" s="585"/>
      <c r="CU77" s="585"/>
      <c r="CV77" s="585"/>
      <c r="CW77" s="585"/>
      <c r="CX77" s="585"/>
      <c r="CY77" s="585"/>
      <c r="CZ77" s="585"/>
      <c r="DA77" s="585"/>
      <c r="DB77" s="585"/>
      <c r="DC77" s="585"/>
      <c r="DD77" s="585"/>
      <c r="DE77" s="585"/>
      <c r="DF77" s="585"/>
      <c r="DG77" s="585"/>
      <c r="DH77" s="585"/>
      <c r="DI77" s="585"/>
      <c r="DJ77" s="585"/>
      <c r="DK77" s="585"/>
      <c r="DL77" s="585"/>
      <c r="DM77" s="585"/>
      <c r="DN77" s="585"/>
      <c r="DO77" s="585"/>
      <c r="DP77" s="585"/>
      <c r="DQ77" s="585"/>
      <c r="DR77" s="585"/>
      <c r="DS77" s="585"/>
      <c r="DT77" s="585"/>
      <c r="DU77" s="585"/>
      <c r="DV77" s="585"/>
      <c r="DW77" s="585"/>
      <c r="DX77" s="585"/>
      <c r="DY77" s="585"/>
      <c r="DZ77" s="585"/>
      <c r="EA77" s="585"/>
      <c r="EB77" s="585"/>
      <c r="EC77" s="585"/>
      <c r="ED77" s="585"/>
      <c r="EE77" s="585"/>
      <c r="EF77" s="585"/>
      <c r="EG77" s="585"/>
      <c r="EH77" s="585"/>
      <c r="EI77" s="585"/>
      <c r="EJ77" s="585"/>
      <c r="EK77" s="585"/>
      <c r="EL77" s="585"/>
      <c r="EM77" s="585"/>
      <c r="EN77" s="585"/>
      <c r="EO77" s="585"/>
      <c r="EP77" s="585"/>
      <c r="EQ77" s="585"/>
      <c r="ER77" s="585"/>
      <c r="ES77" s="585"/>
      <c r="ET77" s="585"/>
      <c r="EU77" s="585"/>
      <c r="EV77" s="585"/>
      <c r="EW77" s="585"/>
      <c r="EX77" s="585"/>
      <c r="EY77" s="585"/>
      <c r="EZ77" s="585"/>
      <c r="FA77" s="585"/>
      <c r="FB77" s="585"/>
      <c r="FC77" s="585"/>
      <c r="FD77" s="585"/>
      <c r="FE77" s="585"/>
      <c r="FF77" s="585"/>
      <c r="FG77" s="585"/>
      <c r="FH77" s="585"/>
      <c r="FI77" s="585"/>
      <c r="FJ77" s="585"/>
      <c r="FK77" s="585"/>
      <c r="FL77" s="585"/>
      <c r="FM77" s="585"/>
      <c r="FN77" s="585"/>
      <c r="FO77" s="585"/>
      <c r="FP77" s="585"/>
      <c r="FQ77" s="585"/>
      <c r="FR77" s="585"/>
      <c r="FS77" s="585"/>
      <c r="FT77" s="585"/>
      <c r="FU77" s="585"/>
      <c r="FV77" s="585"/>
      <c r="FW77" s="585"/>
      <c r="FX77" s="585"/>
      <c r="FY77" s="585"/>
      <c r="FZ77" s="585"/>
      <c r="GA77" s="585"/>
      <c r="GB77" s="585"/>
      <c r="GC77" s="585"/>
      <c r="GD77" s="585"/>
      <c r="GE77" s="585"/>
      <c r="GF77" s="585"/>
      <c r="GG77" s="585"/>
      <c r="GH77" s="585"/>
      <c r="GI77" s="585"/>
      <c r="GJ77" s="585"/>
      <c r="GK77" s="585"/>
      <c r="GL77" s="585"/>
      <c r="GM77" s="585"/>
      <c r="GN77" s="585"/>
      <c r="GO77" s="585"/>
      <c r="GP77" s="585"/>
      <c r="GQ77" s="585"/>
      <c r="GR77" s="585"/>
      <c r="GS77" s="585"/>
      <c r="GT77" s="585"/>
      <c r="GU77" s="585"/>
      <c r="GV77" s="585"/>
      <c r="GW77" s="585"/>
      <c r="GX77" s="585"/>
      <c r="GY77" s="585"/>
      <c r="GZ77" s="585"/>
      <c r="HA77" s="585"/>
      <c r="HB77" s="585"/>
      <c r="HC77" s="585"/>
      <c r="HD77" s="585"/>
      <c r="HE77" s="585"/>
      <c r="HF77" s="585"/>
      <c r="HG77" s="585"/>
      <c r="HH77" s="585"/>
      <c r="HI77" s="585"/>
      <c r="HJ77" s="585"/>
      <c r="HK77" s="585"/>
      <c r="HL77" s="585"/>
      <c r="HM77" s="585"/>
      <c r="HN77" s="585"/>
      <c r="HO77" s="585"/>
      <c r="HP77" s="585"/>
      <c r="HQ77" s="585"/>
      <c r="HR77" s="585"/>
      <c r="HS77" s="585"/>
      <c r="HT77" s="585"/>
      <c r="HU77" s="585"/>
      <c r="HV77" s="585"/>
      <c r="HW77" s="585"/>
      <c r="HX77" s="585"/>
      <c r="HY77" s="585"/>
      <c r="HZ77" s="585"/>
      <c r="IA77" s="585"/>
      <c r="IB77" s="585"/>
      <c r="IC77" s="585"/>
      <c r="ID77" s="585"/>
      <c r="IE77" s="585"/>
      <c r="IF77" s="585"/>
      <c r="IG77" s="585"/>
      <c r="IH77" s="585"/>
      <c r="II77" s="585"/>
      <c r="IJ77" s="585"/>
      <c r="IK77" s="585"/>
      <c r="IL77" s="585"/>
      <c r="IM77" s="585"/>
      <c r="IN77" s="585"/>
      <c r="IO77" s="585"/>
      <c r="IP77" s="585"/>
      <c r="IQ77" s="585"/>
      <c r="IR77" s="585"/>
      <c r="IS77" s="585"/>
      <c r="IT77" s="585"/>
      <c r="IU77" s="585"/>
      <c r="IV77" s="585"/>
      <c r="IW77" s="585"/>
      <c r="IX77" s="585"/>
      <c r="IY77" s="585"/>
      <c r="IZ77" s="585"/>
      <c r="JA77" s="585"/>
      <c r="JB77" s="585"/>
      <c r="JC77" s="585"/>
      <c r="JD77" s="585"/>
      <c r="JE77" s="585"/>
      <c r="JF77" s="585"/>
      <c r="JG77" s="585"/>
      <c r="JH77" s="585"/>
      <c r="JI77" s="585"/>
      <c r="JJ77" s="585"/>
      <c r="JK77" s="585"/>
      <c r="JL77" s="585"/>
      <c r="JM77" s="585"/>
      <c r="JN77" s="585"/>
      <c r="JO77" s="585"/>
      <c r="JP77" s="585"/>
      <c r="JQ77" s="585"/>
      <c r="JR77" s="585"/>
      <c r="JS77" s="585"/>
      <c r="JT77" s="587"/>
      <c r="JU77" s="585"/>
      <c r="JV77" s="585"/>
      <c r="JW77" s="585"/>
      <c r="JX77" s="585"/>
      <c r="JY77" s="585"/>
      <c r="JZ77" s="585"/>
      <c r="KA77" s="585"/>
      <c r="KB77" s="585"/>
      <c r="KC77" s="585"/>
      <c r="KD77" s="585"/>
      <c r="KE77" s="585"/>
      <c r="KF77" s="585"/>
      <c r="KG77" s="585"/>
      <c r="KH77" s="585"/>
      <c r="KI77" s="585"/>
      <c r="KJ77" s="585"/>
      <c r="KK77" s="585"/>
      <c r="KL77" s="585"/>
      <c r="KM77" s="585"/>
      <c r="KN77" s="585"/>
      <c r="KO77" s="585"/>
      <c r="KP77" s="585"/>
      <c r="KQ77" s="585"/>
      <c r="KR77" s="585"/>
      <c r="KS77" s="585"/>
      <c r="KT77" s="585"/>
      <c r="KU77" s="585"/>
      <c r="KV77" s="585"/>
      <c r="KW77" s="585"/>
      <c r="KX77" s="585"/>
      <c r="KY77" s="585"/>
      <c r="KZ77" s="585"/>
      <c r="LA77" s="585"/>
      <c r="LB77" s="585"/>
      <c r="LC77" s="585"/>
      <c r="LD77" s="584"/>
      <c r="LE77" s="585"/>
      <c r="LF77" s="585"/>
      <c r="LG77" s="585"/>
      <c r="LH77" s="585"/>
      <c r="LI77" s="585"/>
      <c r="LJ77" s="585"/>
      <c r="LK77" s="585"/>
      <c r="LL77" s="585"/>
      <c r="LM77" s="585"/>
      <c r="LN77" s="585"/>
      <c r="LO77" s="585"/>
      <c r="LP77" s="585"/>
      <c r="LQ77" s="585"/>
      <c r="LR77" s="585"/>
      <c r="LS77" s="585"/>
      <c r="LT77" s="585"/>
      <c r="LU77" s="585"/>
      <c r="LV77" s="585"/>
      <c r="LW77" s="585"/>
      <c r="LX77" s="585"/>
      <c r="LY77" s="585"/>
      <c r="LZ77" s="585"/>
      <c r="MA77" s="585"/>
      <c r="MB77" s="585"/>
    </row>
    <row r="78" spans="1:340">
      <c r="B78" s="582"/>
      <c r="C78" s="583"/>
      <c r="D78" s="584"/>
      <c r="E78" s="584"/>
      <c r="F78" s="585"/>
      <c r="G78" s="587"/>
      <c r="H78" s="587"/>
      <c r="I78" s="587"/>
      <c r="J78" s="585"/>
      <c r="K78" s="585"/>
      <c r="L78" s="585"/>
      <c r="M78" s="585"/>
      <c r="N78" s="585"/>
      <c r="O78" s="585"/>
      <c r="P78" s="585"/>
      <c r="Q78" s="585"/>
      <c r="R78" s="585"/>
      <c r="S78" s="585"/>
      <c r="T78" s="585"/>
      <c r="U78" s="585"/>
      <c r="V78" s="585"/>
      <c r="W78" s="585"/>
      <c r="X78" s="585"/>
      <c r="Y78" s="585"/>
      <c r="Z78" s="585"/>
      <c r="AA78" s="585"/>
      <c r="AB78" s="584"/>
      <c r="AC78" s="585"/>
      <c r="AD78" s="585"/>
      <c r="AE78" s="585"/>
      <c r="AF78" s="585"/>
      <c r="AG78" s="585"/>
      <c r="AH78" s="585"/>
      <c r="AI78" s="585"/>
      <c r="AJ78" s="585"/>
      <c r="AK78" s="585"/>
      <c r="AL78" s="585"/>
      <c r="AM78" s="585"/>
      <c r="AN78" s="585"/>
      <c r="AO78" s="585"/>
      <c r="AP78" s="585"/>
      <c r="AQ78" s="585"/>
      <c r="AR78" s="585"/>
      <c r="AS78" s="585"/>
      <c r="AT78" s="585"/>
      <c r="AU78" s="585"/>
      <c r="AV78" s="585"/>
      <c r="AW78" s="585"/>
      <c r="AX78" s="585"/>
      <c r="AY78" s="585"/>
      <c r="AZ78" s="585"/>
      <c r="BA78" s="585"/>
      <c r="BB78" s="585"/>
      <c r="BC78" s="585"/>
      <c r="BD78" s="585"/>
      <c r="BE78" s="585"/>
      <c r="BF78" s="585"/>
      <c r="BG78" s="585"/>
      <c r="BH78" s="585"/>
      <c r="BI78" s="585"/>
      <c r="BJ78" s="585"/>
      <c r="BK78" s="585"/>
      <c r="BL78" s="585"/>
      <c r="BM78" s="585"/>
      <c r="BN78" s="585"/>
      <c r="BO78" s="585"/>
      <c r="BP78" s="585"/>
      <c r="BQ78" s="585"/>
      <c r="BR78" s="585"/>
      <c r="BS78" s="585"/>
      <c r="BT78" s="585"/>
      <c r="BU78" s="585"/>
      <c r="BV78" s="585"/>
      <c r="BW78" s="585"/>
      <c r="BX78" s="585"/>
      <c r="BY78" s="585"/>
      <c r="BZ78" s="585"/>
      <c r="CA78" s="585"/>
      <c r="CB78" s="585"/>
      <c r="CC78" s="585"/>
      <c r="CD78" s="585"/>
      <c r="CE78" s="585"/>
      <c r="CF78" s="585"/>
      <c r="CG78" s="585"/>
      <c r="CH78" s="585"/>
      <c r="CI78" s="585"/>
      <c r="CJ78" s="585"/>
      <c r="CK78" s="585"/>
      <c r="CL78" s="585"/>
      <c r="CM78" s="585"/>
      <c r="CN78" s="585"/>
      <c r="CO78" s="585"/>
      <c r="CP78" s="585"/>
      <c r="CQ78" s="585"/>
      <c r="CR78" s="585"/>
      <c r="CS78" s="585"/>
      <c r="CT78" s="585"/>
      <c r="CU78" s="585"/>
      <c r="CV78" s="585"/>
      <c r="CW78" s="585"/>
      <c r="CX78" s="585"/>
      <c r="CY78" s="585"/>
      <c r="CZ78" s="585"/>
      <c r="DA78" s="585"/>
      <c r="DB78" s="585"/>
      <c r="DC78" s="585"/>
      <c r="DD78" s="585"/>
      <c r="DE78" s="585"/>
      <c r="DF78" s="585"/>
      <c r="DG78" s="585"/>
      <c r="DH78" s="585"/>
      <c r="DI78" s="585"/>
      <c r="DJ78" s="585"/>
      <c r="DK78" s="585"/>
      <c r="DL78" s="585"/>
      <c r="DM78" s="585"/>
      <c r="DN78" s="585"/>
      <c r="DO78" s="585"/>
      <c r="DP78" s="585"/>
      <c r="DQ78" s="585"/>
      <c r="DR78" s="585"/>
      <c r="DS78" s="585"/>
      <c r="DT78" s="585"/>
      <c r="DU78" s="585"/>
      <c r="DV78" s="585"/>
      <c r="DW78" s="585"/>
      <c r="DX78" s="585"/>
      <c r="DY78" s="585"/>
      <c r="DZ78" s="585"/>
      <c r="EA78" s="585"/>
      <c r="EB78" s="585"/>
      <c r="EC78" s="585"/>
      <c r="ED78" s="585"/>
      <c r="EE78" s="585"/>
      <c r="EF78" s="585"/>
      <c r="EG78" s="585"/>
      <c r="EH78" s="585"/>
      <c r="EI78" s="585"/>
      <c r="EJ78" s="585"/>
      <c r="EK78" s="585"/>
      <c r="EL78" s="585"/>
      <c r="EM78" s="585"/>
      <c r="EN78" s="585"/>
      <c r="EO78" s="585"/>
      <c r="EP78" s="585"/>
      <c r="EQ78" s="585"/>
      <c r="ER78" s="585"/>
      <c r="ES78" s="585"/>
      <c r="ET78" s="585"/>
      <c r="EU78" s="585"/>
      <c r="EV78" s="585"/>
      <c r="EW78" s="585"/>
      <c r="EX78" s="585"/>
      <c r="EY78" s="585"/>
      <c r="EZ78" s="585"/>
      <c r="FA78" s="585"/>
      <c r="FB78" s="585"/>
      <c r="FC78" s="585"/>
      <c r="FD78" s="585"/>
      <c r="FE78" s="585"/>
      <c r="FF78" s="585"/>
      <c r="FG78" s="585"/>
      <c r="FH78" s="585"/>
      <c r="FI78" s="585"/>
      <c r="FJ78" s="585"/>
      <c r="FK78" s="585"/>
      <c r="FL78" s="585"/>
      <c r="FM78" s="585"/>
      <c r="FN78" s="585"/>
      <c r="FO78" s="585"/>
      <c r="FP78" s="585"/>
      <c r="FQ78" s="585"/>
      <c r="FR78" s="585"/>
      <c r="FS78" s="585"/>
      <c r="FT78" s="585"/>
      <c r="FU78" s="585"/>
      <c r="FV78" s="585"/>
      <c r="FW78" s="585"/>
      <c r="FX78" s="585"/>
      <c r="FY78" s="585"/>
      <c r="FZ78" s="585"/>
      <c r="GA78" s="585"/>
      <c r="GB78" s="585"/>
      <c r="GC78" s="585"/>
      <c r="GD78" s="585"/>
      <c r="GE78" s="585"/>
      <c r="GF78" s="585"/>
      <c r="GG78" s="585"/>
      <c r="GH78" s="585"/>
      <c r="GI78" s="585"/>
      <c r="GJ78" s="585"/>
      <c r="GK78" s="585"/>
      <c r="GL78" s="585"/>
      <c r="GM78" s="585"/>
      <c r="GN78" s="585"/>
      <c r="GO78" s="585"/>
      <c r="GP78" s="585"/>
      <c r="GQ78" s="585"/>
      <c r="GR78" s="585"/>
      <c r="GS78" s="585"/>
      <c r="GT78" s="585"/>
      <c r="GU78" s="585"/>
      <c r="GV78" s="585"/>
      <c r="GW78" s="585"/>
      <c r="GX78" s="585"/>
      <c r="GY78" s="585"/>
      <c r="GZ78" s="585"/>
      <c r="HA78" s="585"/>
      <c r="HB78" s="585"/>
      <c r="HC78" s="585"/>
      <c r="HD78" s="585"/>
      <c r="HE78" s="585"/>
      <c r="HF78" s="585"/>
      <c r="HG78" s="585"/>
      <c r="HH78" s="585"/>
      <c r="HI78" s="585"/>
      <c r="HJ78" s="585"/>
      <c r="HK78" s="585"/>
      <c r="HL78" s="585"/>
      <c r="HM78" s="585"/>
      <c r="HN78" s="585"/>
      <c r="HO78" s="585"/>
      <c r="HP78" s="585"/>
      <c r="HQ78" s="585"/>
      <c r="HR78" s="585"/>
      <c r="HS78" s="585"/>
      <c r="HT78" s="585"/>
      <c r="HU78" s="585"/>
      <c r="HV78" s="585"/>
      <c r="HW78" s="585"/>
      <c r="HX78" s="585"/>
      <c r="HY78" s="585"/>
      <c r="HZ78" s="585"/>
      <c r="IA78" s="585"/>
      <c r="IB78" s="585"/>
      <c r="IC78" s="585"/>
      <c r="ID78" s="585"/>
      <c r="IE78" s="585"/>
      <c r="IF78" s="585"/>
      <c r="IG78" s="585"/>
      <c r="IH78" s="585"/>
      <c r="II78" s="585"/>
      <c r="IJ78" s="585"/>
      <c r="IK78" s="585"/>
      <c r="IL78" s="585"/>
      <c r="IM78" s="585"/>
      <c r="IN78" s="585"/>
      <c r="IO78" s="585"/>
      <c r="IP78" s="585"/>
      <c r="IQ78" s="585"/>
      <c r="IR78" s="585"/>
      <c r="IS78" s="585"/>
      <c r="IT78" s="585"/>
      <c r="IU78" s="585"/>
      <c r="IV78" s="585"/>
      <c r="IW78" s="585"/>
      <c r="IX78" s="585"/>
      <c r="IY78" s="585"/>
      <c r="IZ78" s="585"/>
      <c r="JA78" s="585"/>
      <c r="JB78" s="585"/>
      <c r="JC78" s="585"/>
      <c r="JD78" s="585"/>
      <c r="JE78" s="585"/>
      <c r="JF78" s="585"/>
      <c r="JG78" s="585"/>
      <c r="JH78" s="585"/>
      <c r="JI78" s="585"/>
      <c r="JJ78" s="585"/>
      <c r="JK78" s="585"/>
      <c r="JL78" s="585"/>
      <c r="JM78" s="585"/>
      <c r="JN78" s="585"/>
      <c r="JO78" s="585"/>
      <c r="JP78" s="585"/>
      <c r="JQ78" s="585"/>
      <c r="JR78" s="585"/>
      <c r="JS78" s="585"/>
      <c r="JT78" s="587"/>
      <c r="JU78" s="585"/>
      <c r="JV78" s="585"/>
      <c r="JW78" s="585"/>
      <c r="JX78" s="585"/>
      <c r="JY78" s="585"/>
      <c r="JZ78" s="585"/>
      <c r="KA78" s="585"/>
      <c r="KB78" s="585"/>
      <c r="KC78" s="585"/>
      <c r="KD78" s="585"/>
      <c r="KE78" s="585"/>
      <c r="KF78" s="585"/>
      <c r="KG78" s="585"/>
      <c r="KH78" s="585"/>
      <c r="KI78" s="585"/>
      <c r="KJ78" s="585"/>
      <c r="KK78" s="585"/>
      <c r="KL78" s="585"/>
      <c r="KM78" s="585"/>
      <c r="KN78" s="585"/>
      <c r="KO78" s="585"/>
      <c r="KP78" s="585"/>
      <c r="KQ78" s="585"/>
      <c r="KR78" s="585"/>
      <c r="KS78" s="585"/>
      <c r="KT78" s="585"/>
      <c r="KU78" s="585"/>
      <c r="KV78" s="585"/>
      <c r="KW78" s="585"/>
      <c r="KX78" s="585"/>
      <c r="KY78" s="585"/>
      <c r="KZ78" s="585"/>
      <c r="LA78" s="585"/>
      <c r="LB78" s="585"/>
      <c r="LC78" s="585"/>
      <c r="LD78" s="584"/>
      <c r="LE78" s="585"/>
      <c r="LF78" s="585"/>
      <c r="LG78" s="585"/>
      <c r="LH78" s="585"/>
      <c r="LI78" s="585"/>
      <c r="LJ78" s="585"/>
      <c r="LK78" s="585"/>
      <c r="LL78" s="585"/>
      <c r="LM78" s="585"/>
      <c r="LN78" s="585"/>
      <c r="LO78" s="585"/>
      <c r="LP78" s="585"/>
      <c r="LQ78" s="585"/>
      <c r="LR78" s="585"/>
      <c r="LS78" s="585"/>
      <c r="LT78" s="585"/>
      <c r="LU78" s="585"/>
      <c r="LV78" s="585"/>
      <c r="LW78" s="585"/>
      <c r="LX78" s="585"/>
      <c r="LY78" s="585"/>
      <c r="LZ78" s="585"/>
      <c r="MA78" s="585"/>
      <c r="MB78" s="585"/>
    </row>
    <row r="79" spans="1:340">
      <c r="B79" s="582"/>
      <c r="C79" s="583"/>
      <c r="D79" s="584"/>
      <c r="E79" s="584"/>
      <c r="F79" s="585"/>
      <c r="G79" s="587"/>
      <c r="H79" s="587"/>
      <c r="I79" s="587"/>
      <c r="J79" s="585"/>
      <c r="K79" s="585"/>
      <c r="L79" s="585"/>
      <c r="M79" s="585"/>
      <c r="N79" s="585"/>
      <c r="O79" s="585"/>
      <c r="P79" s="585"/>
      <c r="Q79" s="585"/>
      <c r="R79" s="585"/>
      <c r="S79" s="585"/>
      <c r="T79" s="585"/>
      <c r="U79" s="585"/>
      <c r="V79" s="585"/>
      <c r="W79" s="585"/>
      <c r="X79" s="585"/>
      <c r="Y79" s="585"/>
      <c r="Z79" s="585"/>
      <c r="AA79" s="585"/>
      <c r="AB79" s="584"/>
      <c r="AC79" s="585"/>
      <c r="AD79" s="585"/>
      <c r="AE79" s="585"/>
      <c r="AF79" s="585"/>
      <c r="AG79" s="585"/>
      <c r="AH79" s="585"/>
      <c r="AI79" s="585"/>
      <c r="AJ79" s="585"/>
      <c r="AK79" s="585"/>
      <c r="AL79" s="585"/>
      <c r="AM79" s="585"/>
      <c r="AN79" s="585"/>
      <c r="AO79" s="585"/>
      <c r="AP79" s="585"/>
      <c r="AQ79" s="585"/>
      <c r="AR79" s="585"/>
      <c r="AS79" s="585"/>
      <c r="AT79" s="585"/>
      <c r="AU79" s="585"/>
      <c r="AV79" s="585"/>
      <c r="AW79" s="585"/>
      <c r="AX79" s="585"/>
      <c r="AY79" s="585"/>
      <c r="AZ79" s="585"/>
      <c r="BA79" s="585"/>
      <c r="BB79" s="585"/>
      <c r="BC79" s="585"/>
      <c r="BD79" s="585"/>
      <c r="BE79" s="585"/>
      <c r="BF79" s="585"/>
      <c r="BG79" s="585"/>
      <c r="BH79" s="585"/>
      <c r="BI79" s="585"/>
      <c r="BJ79" s="585"/>
      <c r="BK79" s="585"/>
      <c r="BL79" s="585"/>
      <c r="BM79" s="585"/>
      <c r="BN79" s="585"/>
      <c r="BO79" s="585"/>
      <c r="BP79" s="585"/>
      <c r="BQ79" s="585"/>
      <c r="BR79" s="585"/>
      <c r="BS79" s="585"/>
      <c r="BT79" s="585"/>
      <c r="BU79" s="585"/>
      <c r="BV79" s="585"/>
      <c r="BW79" s="585"/>
      <c r="BX79" s="585"/>
      <c r="BY79" s="585"/>
      <c r="BZ79" s="585"/>
      <c r="CA79" s="585"/>
      <c r="CB79" s="585"/>
      <c r="CC79" s="585"/>
      <c r="CD79" s="585"/>
      <c r="CE79" s="585"/>
      <c r="CF79" s="585"/>
      <c r="CG79" s="585"/>
      <c r="CH79" s="585"/>
      <c r="CI79" s="585"/>
      <c r="CJ79" s="585"/>
      <c r="CK79" s="585"/>
      <c r="CL79" s="585"/>
      <c r="CM79" s="585"/>
      <c r="CN79" s="585"/>
      <c r="CO79" s="585"/>
      <c r="CP79" s="585"/>
      <c r="CQ79" s="585"/>
      <c r="CR79" s="585"/>
      <c r="CS79" s="585"/>
      <c r="CT79" s="585"/>
      <c r="CU79" s="585"/>
      <c r="CV79" s="585"/>
      <c r="CW79" s="585"/>
      <c r="CX79" s="585"/>
      <c r="CY79" s="585"/>
      <c r="CZ79" s="585"/>
      <c r="DA79" s="585"/>
      <c r="DB79" s="585"/>
      <c r="DC79" s="585"/>
      <c r="DD79" s="585"/>
      <c r="DE79" s="585"/>
      <c r="DF79" s="585"/>
      <c r="DG79" s="585"/>
      <c r="DH79" s="585"/>
      <c r="DI79" s="585"/>
      <c r="DJ79" s="585"/>
      <c r="DK79" s="585"/>
      <c r="DL79" s="585"/>
      <c r="DM79" s="585"/>
      <c r="DN79" s="585"/>
      <c r="DO79" s="585"/>
      <c r="DP79" s="585"/>
      <c r="DQ79" s="585"/>
      <c r="DR79" s="585"/>
      <c r="DS79" s="585"/>
      <c r="DT79" s="585"/>
      <c r="DU79" s="585"/>
      <c r="DV79" s="585"/>
      <c r="DW79" s="585"/>
      <c r="DX79" s="585"/>
      <c r="DY79" s="585"/>
      <c r="DZ79" s="585"/>
      <c r="EA79" s="585"/>
      <c r="EB79" s="585"/>
      <c r="EC79" s="585"/>
      <c r="ED79" s="585"/>
      <c r="EE79" s="585"/>
      <c r="EF79" s="585"/>
      <c r="EG79" s="585"/>
      <c r="EH79" s="585"/>
      <c r="EI79" s="585"/>
      <c r="EJ79" s="585"/>
      <c r="EK79" s="585"/>
      <c r="EL79" s="585"/>
      <c r="EM79" s="585"/>
      <c r="EN79" s="585"/>
      <c r="EO79" s="585"/>
      <c r="EP79" s="585"/>
      <c r="EQ79" s="585"/>
      <c r="ER79" s="585"/>
      <c r="ES79" s="585"/>
      <c r="ET79" s="585"/>
      <c r="EU79" s="585"/>
      <c r="EV79" s="585"/>
      <c r="EW79" s="585"/>
      <c r="EX79" s="585"/>
      <c r="EY79" s="585"/>
      <c r="EZ79" s="585"/>
      <c r="FA79" s="585"/>
      <c r="FB79" s="585"/>
      <c r="FC79" s="585"/>
      <c r="FD79" s="585"/>
      <c r="FE79" s="585"/>
      <c r="FF79" s="585"/>
      <c r="FG79" s="585"/>
      <c r="FH79" s="585"/>
      <c r="FI79" s="585"/>
      <c r="FJ79" s="585"/>
      <c r="FK79" s="585"/>
      <c r="FL79" s="585"/>
      <c r="FM79" s="585"/>
      <c r="FN79" s="585"/>
      <c r="FO79" s="585"/>
      <c r="FP79" s="585"/>
      <c r="FQ79" s="585"/>
      <c r="FR79" s="585"/>
      <c r="FS79" s="585"/>
      <c r="FT79" s="585"/>
      <c r="FU79" s="585"/>
      <c r="FV79" s="585"/>
      <c r="FW79" s="585"/>
      <c r="FX79" s="585"/>
      <c r="FY79" s="585"/>
      <c r="FZ79" s="585"/>
      <c r="GA79" s="585"/>
      <c r="GB79" s="585"/>
      <c r="GC79" s="585"/>
      <c r="GD79" s="585"/>
      <c r="GE79" s="585"/>
      <c r="GF79" s="585"/>
      <c r="GG79" s="585"/>
      <c r="GH79" s="585"/>
      <c r="GI79" s="585"/>
      <c r="GJ79" s="585"/>
      <c r="GK79" s="585"/>
      <c r="GL79" s="585"/>
      <c r="GM79" s="585"/>
      <c r="GN79" s="585"/>
      <c r="GO79" s="585"/>
      <c r="GP79" s="585"/>
      <c r="GQ79" s="585"/>
      <c r="GR79" s="585"/>
      <c r="GS79" s="585"/>
      <c r="GT79" s="585"/>
      <c r="GU79" s="585"/>
      <c r="GV79" s="585"/>
      <c r="GW79" s="585"/>
      <c r="GX79" s="585"/>
      <c r="GY79" s="585"/>
      <c r="GZ79" s="585"/>
      <c r="HA79" s="585"/>
      <c r="HB79" s="585"/>
      <c r="HC79" s="585"/>
      <c r="HD79" s="585"/>
      <c r="HE79" s="585"/>
      <c r="HF79" s="585"/>
      <c r="HG79" s="585"/>
      <c r="HH79" s="585"/>
      <c r="HI79" s="585"/>
      <c r="HJ79" s="585"/>
      <c r="HK79" s="585"/>
      <c r="HL79" s="585"/>
      <c r="HM79" s="585"/>
      <c r="HN79" s="585"/>
      <c r="HO79" s="585"/>
      <c r="HP79" s="585"/>
      <c r="HQ79" s="585"/>
      <c r="HR79" s="585"/>
      <c r="HS79" s="585"/>
      <c r="HT79" s="585"/>
      <c r="HU79" s="585"/>
      <c r="HV79" s="585"/>
      <c r="HW79" s="585"/>
      <c r="HX79" s="585"/>
      <c r="HY79" s="585"/>
      <c r="HZ79" s="585"/>
      <c r="IA79" s="585"/>
      <c r="IB79" s="585"/>
      <c r="IC79" s="585"/>
      <c r="ID79" s="585"/>
      <c r="IE79" s="585"/>
      <c r="IF79" s="585"/>
      <c r="IG79" s="585"/>
      <c r="IH79" s="585"/>
      <c r="II79" s="585"/>
      <c r="IJ79" s="585"/>
      <c r="IK79" s="585"/>
      <c r="IL79" s="585"/>
      <c r="IM79" s="585"/>
      <c r="IN79" s="585"/>
      <c r="IO79" s="585"/>
      <c r="IP79" s="585"/>
      <c r="IQ79" s="585"/>
      <c r="IR79" s="585"/>
      <c r="IS79" s="585"/>
      <c r="IT79" s="585"/>
      <c r="IU79" s="585"/>
      <c r="IV79" s="585"/>
      <c r="IW79" s="585"/>
      <c r="IX79" s="585"/>
      <c r="IY79" s="585"/>
      <c r="IZ79" s="585"/>
      <c r="JA79" s="585"/>
      <c r="JB79" s="585"/>
      <c r="JC79" s="585"/>
      <c r="JD79" s="585"/>
      <c r="JE79" s="585"/>
      <c r="JF79" s="585"/>
      <c r="JG79" s="585"/>
      <c r="JH79" s="585"/>
      <c r="JI79" s="585"/>
      <c r="JJ79" s="585"/>
      <c r="JK79" s="585"/>
      <c r="JL79" s="585"/>
      <c r="JM79" s="585"/>
      <c r="JN79" s="585"/>
      <c r="JO79" s="585"/>
      <c r="JP79" s="585"/>
      <c r="JQ79" s="585"/>
      <c r="JR79" s="585"/>
      <c r="JS79" s="585"/>
      <c r="JT79" s="587"/>
      <c r="JU79" s="585"/>
      <c r="JV79" s="585"/>
      <c r="JW79" s="585"/>
      <c r="JX79" s="585"/>
      <c r="JY79" s="585"/>
      <c r="JZ79" s="585"/>
      <c r="KA79" s="585"/>
      <c r="KB79" s="585"/>
      <c r="KC79" s="585"/>
      <c r="KD79" s="585"/>
      <c r="KE79" s="585"/>
      <c r="KF79" s="585"/>
      <c r="KG79" s="585"/>
      <c r="KH79" s="585"/>
      <c r="KI79" s="585"/>
      <c r="KJ79" s="585"/>
      <c r="KK79" s="585"/>
      <c r="KL79" s="585"/>
      <c r="KM79" s="585"/>
      <c r="KN79" s="585"/>
      <c r="KO79" s="585"/>
      <c r="KP79" s="585"/>
      <c r="KQ79" s="585"/>
      <c r="KR79" s="585"/>
      <c r="KS79" s="585"/>
      <c r="KT79" s="585"/>
      <c r="KU79" s="585"/>
      <c r="KV79" s="585"/>
      <c r="KW79" s="585"/>
      <c r="KX79" s="585"/>
      <c r="KY79" s="585"/>
      <c r="KZ79" s="585"/>
      <c r="LA79" s="585"/>
      <c r="LB79" s="585"/>
      <c r="LC79" s="585"/>
      <c r="LD79" s="584"/>
      <c r="LE79" s="585"/>
      <c r="LF79" s="585"/>
      <c r="LG79" s="585"/>
      <c r="LH79" s="585"/>
      <c r="LI79" s="585"/>
      <c r="LJ79" s="585"/>
      <c r="LK79" s="585"/>
      <c r="LL79" s="585"/>
      <c r="LM79" s="585"/>
      <c r="LN79" s="585"/>
      <c r="LO79" s="585"/>
      <c r="LP79" s="585"/>
      <c r="LQ79" s="585"/>
      <c r="LR79" s="585"/>
      <c r="LS79" s="585"/>
      <c r="LT79" s="585"/>
      <c r="LU79" s="585"/>
      <c r="LV79" s="585"/>
      <c r="LW79" s="585"/>
      <c r="LX79" s="585"/>
      <c r="LY79" s="585"/>
      <c r="LZ79" s="585"/>
      <c r="MA79" s="585"/>
      <c r="MB79" s="585"/>
    </row>
    <row r="80" spans="1:340">
      <c r="B80" s="582"/>
      <c r="C80" s="583"/>
      <c r="D80" s="584"/>
      <c r="E80" s="584"/>
      <c r="F80" s="585"/>
      <c r="G80" s="587"/>
      <c r="H80" s="587"/>
      <c r="I80" s="587"/>
      <c r="J80" s="585"/>
      <c r="K80" s="585"/>
      <c r="L80" s="585"/>
      <c r="M80" s="585"/>
      <c r="N80" s="585"/>
      <c r="O80" s="585"/>
      <c r="P80" s="585"/>
      <c r="Q80" s="585"/>
      <c r="R80" s="585"/>
      <c r="S80" s="585"/>
      <c r="T80" s="585"/>
      <c r="U80" s="585"/>
      <c r="V80" s="585"/>
      <c r="W80" s="585"/>
      <c r="X80" s="585"/>
      <c r="Y80" s="585"/>
      <c r="Z80" s="585"/>
      <c r="AA80" s="585"/>
      <c r="AB80" s="584"/>
      <c r="AC80" s="585"/>
      <c r="AD80" s="585"/>
      <c r="AE80" s="585"/>
      <c r="AF80" s="585"/>
      <c r="AG80" s="585"/>
      <c r="AH80" s="585"/>
      <c r="AI80" s="585"/>
      <c r="AJ80" s="585"/>
      <c r="AK80" s="585"/>
      <c r="AL80" s="585"/>
      <c r="AM80" s="585"/>
      <c r="AN80" s="585"/>
      <c r="AO80" s="585"/>
      <c r="AP80" s="585"/>
      <c r="AQ80" s="585"/>
      <c r="AR80" s="585"/>
      <c r="AS80" s="585"/>
      <c r="AT80" s="585"/>
      <c r="AU80" s="585"/>
      <c r="AV80" s="585"/>
      <c r="AW80" s="585"/>
      <c r="AX80" s="585"/>
      <c r="AY80" s="585"/>
      <c r="AZ80" s="585"/>
      <c r="BA80" s="585"/>
      <c r="BB80" s="585"/>
      <c r="BC80" s="585"/>
      <c r="BD80" s="585"/>
      <c r="BE80" s="585"/>
      <c r="BF80" s="585"/>
      <c r="BG80" s="585"/>
      <c r="BH80" s="585"/>
      <c r="BI80" s="585"/>
      <c r="BJ80" s="585"/>
      <c r="BK80" s="585"/>
      <c r="BL80" s="585"/>
      <c r="BM80" s="585"/>
      <c r="BN80" s="585"/>
      <c r="BO80" s="585"/>
      <c r="BP80" s="585"/>
      <c r="BQ80" s="585"/>
      <c r="BR80" s="585"/>
      <c r="BS80" s="585"/>
      <c r="BT80" s="585"/>
      <c r="BU80" s="585"/>
      <c r="BV80" s="585"/>
      <c r="BW80" s="585"/>
      <c r="BX80" s="585"/>
      <c r="BY80" s="585"/>
      <c r="BZ80" s="585"/>
      <c r="CA80" s="585"/>
      <c r="CB80" s="585"/>
      <c r="CC80" s="585"/>
      <c r="CD80" s="585"/>
      <c r="CE80" s="585"/>
      <c r="CF80" s="585"/>
      <c r="CG80" s="585"/>
      <c r="CH80" s="585"/>
      <c r="CI80" s="585"/>
      <c r="CJ80" s="585"/>
      <c r="CK80" s="585"/>
      <c r="CL80" s="585"/>
      <c r="CM80" s="585"/>
      <c r="CN80" s="585"/>
      <c r="CO80" s="585"/>
      <c r="CP80" s="585"/>
      <c r="CQ80" s="585"/>
      <c r="CR80" s="585"/>
      <c r="CS80" s="585"/>
      <c r="CT80" s="585"/>
      <c r="CU80" s="585"/>
      <c r="CV80" s="585"/>
      <c r="CW80" s="585"/>
      <c r="CX80" s="585"/>
      <c r="CY80" s="585"/>
      <c r="CZ80" s="585"/>
      <c r="DA80" s="585"/>
      <c r="DB80" s="585"/>
      <c r="DC80" s="585"/>
      <c r="DD80" s="585"/>
      <c r="DE80" s="585"/>
      <c r="DF80" s="585"/>
      <c r="DG80" s="585"/>
      <c r="DH80" s="585"/>
      <c r="DI80" s="585"/>
      <c r="DJ80" s="585"/>
      <c r="DK80" s="585"/>
      <c r="DL80" s="585"/>
      <c r="DM80" s="585"/>
      <c r="DN80" s="585"/>
      <c r="DO80" s="585"/>
      <c r="DP80" s="585"/>
      <c r="DQ80" s="585"/>
      <c r="DR80" s="585"/>
      <c r="DS80" s="585"/>
      <c r="DT80" s="585"/>
      <c r="DU80" s="585"/>
      <c r="DV80" s="585"/>
      <c r="DW80" s="585"/>
      <c r="DX80" s="585"/>
      <c r="DY80" s="585"/>
      <c r="DZ80" s="585"/>
      <c r="EA80" s="585"/>
      <c r="EB80" s="585"/>
      <c r="EC80" s="585"/>
      <c r="ED80" s="585"/>
      <c r="EE80" s="585"/>
      <c r="EF80" s="585"/>
      <c r="EG80" s="585"/>
      <c r="EH80" s="585"/>
      <c r="EI80" s="585"/>
      <c r="EJ80" s="585"/>
      <c r="EK80" s="585"/>
      <c r="EL80" s="585"/>
      <c r="EM80" s="585"/>
      <c r="EN80" s="585"/>
      <c r="EO80" s="585"/>
      <c r="EP80" s="585"/>
      <c r="EQ80" s="585"/>
      <c r="ER80" s="585"/>
      <c r="ES80" s="585"/>
      <c r="ET80" s="585"/>
      <c r="EU80" s="585"/>
      <c r="EV80" s="585"/>
      <c r="EW80" s="585"/>
      <c r="EX80" s="585"/>
      <c r="EY80" s="585"/>
      <c r="EZ80" s="585"/>
      <c r="FA80" s="585"/>
      <c r="FB80" s="585"/>
      <c r="FC80" s="585"/>
      <c r="FD80" s="585"/>
      <c r="FE80" s="585"/>
      <c r="FF80" s="585"/>
      <c r="FG80" s="585"/>
      <c r="FH80" s="585"/>
      <c r="FI80" s="585"/>
      <c r="FJ80" s="585"/>
      <c r="FK80" s="585"/>
      <c r="FL80" s="585"/>
      <c r="FM80" s="585"/>
      <c r="FN80" s="585"/>
      <c r="FO80" s="585"/>
      <c r="FP80" s="585"/>
      <c r="FQ80" s="585"/>
      <c r="FR80" s="585"/>
      <c r="FS80" s="585"/>
      <c r="FT80" s="585"/>
      <c r="FU80" s="585"/>
      <c r="FV80" s="585"/>
      <c r="FW80" s="585"/>
      <c r="FX80" s="585"/>
      <c r="FY80" s="585"/>
      <c r="FZ80" s="585"/>
      <c r="GA80" s="585"/>
      <c r="GB80" s="585"/>
      <c r="GC80" s="585"/>
      <c r="GD80" s="585"/>
      <c r="GE80" s="585"/>
      <c r="GF80" s="585"/>
      <c r="GG80" s="585"/>
      <c r="GH80" s="585"/>
      <c r="GI80" s="585"/>
      <c r="GJ80" s="585"/>
      <c r="GK80" s="585"/>
      <c r="GL80" s="585"/>
      <c r="GM80" s="585"/>
      <c r="GN80" s="585"/>
      <c r="GO80" s="585"/>
      <c r="GP80" s="585"/>
      <c r="GQ80" s="585"/>
      <c r="GR80" s="585"/>
      <c r="GS80" s="585"/>
      <c r="GT80" s="585"/>
      <c r="GU80" s="585"/>
      <c r="GV80" s="585"/>
      <c r="GW80" s="585"/>
      <c r="GX80" s="585"/>
      <c r="GY80" s="585"/>
      <c r="GZ80" s="585"/>
      <c r="HA80" s="585"/>
      <c r="HB80" s="585"/>
      <c r="HC80" s="585"/>
      <c r="HD80" s="585"/>
      <c r="HE80" s="585"/>
      <c r="HF80" s="585"/>
      <c r="HG80" s="585"/>
      <c r="HH80" s="585"/>
      <c r="HI80" s="585"/>
      <c r="HJ80" s="585"/>
      <c r="HK80" s="585"/>
      <c r="HL80" s="585"/>
      <c r="HM80" s="585"/>
      <c r="HN80" s="585"/>
      <c r="HO80" s="585"/>
      <c r="HP80" s="585"/>
      <c r="HQ80" s="585"/>
      <c r="HR80" s="585"/>
      <c r="HS80" s="585"/>
      <c r="HT80" s="585"/>
      <c r="HU80" s="585"/>
      <c r="HV80" s="585"/>
      <c r="HW80" s="585"/>
      <c r="HX80" s="585"/>
      <c r="HY80" s="585"/>
      <c r="HZ80" s="585"/>
      <c r="IA80" s="585"/>
      <c r="IB80" s="585"/>
      <c r="IC80" s="585"/>
      <c r="ID80" s="585"/>
      <c r="IE80" s="585"/>
      <c r="IF80" s="585"/>
      <c r="IG80" s="585"/>
      <c r="IH80" s="585"/>
      <c r="II80" s="585"/>
      <c r="IJ80" s="585"/>
      <c r="IK80" s="585"/>
      <c r="IL80" s="585"/>
      <c r="IM80" s="585"/>
      <c r="IN80" s="585"/>
      <c r="IO80" s="585"/>
      <c r="IP80" s="585"/>
      <c r="IQ80" s="585"/>
      <c r="IR80" s="585"/>
      <c r="IS80" s="585"/>
      <c r="IT80" s="585"/>
      <c r="IU80" s="585"/>
      <c r="IV80" s="585"/>
      <c r="IW80" s="585"/>
      <c r="IX80" s="585"/>
      <c r="IY80" s="585"/>
      <c r="IZ80" s="585"/>
      <c r="JA80" s="585"/>
      <c r="JB80" s="585"/>
      <c r="JC80" s="585"/>
      <c r="JD80" s="585"/>
      <c r="JE80" s="585"/>
      <c r="JF80" s="585"/>
      <c r="JG80" s="585"/>
      <c r="JH80" s="585"/>
      <c r="JI80" s="585"/>
      <c r="JJ80" s="585"/>
      <c r="JK80" s="585"/>
      <c r="JL80" s="585"/>
      <c r="JM80" s="585"/>
      <c r="JN80" s="585"/>
      <c r="JO80" s="585"/>
      <c r="JP80" s="585"/>
      <c r="JQ80" s="585"/>
      <c r="JR80" s="585"/>
      <c r="JS80" s="585"/>
      <c r="JT80" s="587"/>
      <c r="JU80" s="585"/>
      <c r="JV80" s="585"/>
      <c r="JW80" s="585"/>
      <c r="JX80" s="585"/>
      <c r="JY80" s="585"/>
      <c r="JZ80" s="585"/>
      <c r="KA80" s="585"/>
      <c r="KB80" s="585"/>
      <c r="KC80" s="585"/>
      <c r="KD80" s="585"/>
      <c r="KE80" s="585"/>
      <c r="KF80" s="585"/>
      <c r="KG80" s="585"/>
      <c r="KH80" s="585"/>
      <c r="KI80" s="585"/>
      <c r="KJ80" s="585"/>
      <c r="KK80" s="585"/>
      <c r="KL80" s="585"/>
      <c r="KM80" s="585"/>
      <c r="KN80" s="585"/>
      <c r="KO80" s="585"/>
      <c r="KP80" s="585"/>
      <c r="KQ80" s="585"/>
      <c r="KR80" s="585"/>
      <c r="KS80" s="585"/>
      <c r="KT80" s="585"/>
      <c r="KU80" s="585"/>
      <c r="KV80" s="585"/>
      <c r="KW80" s="585"/>
      <c r="KX80" s="585"/>
      <c r="KY80" s="585"/>
      <c r="KZ80" s="585"/>
      <c r="LA80" s="585"/>
      <c r="LB80" s="585"/>
      <c r="LC80" s="585"/>
      <c r="LD80" s="584"/>
      <c r="LE80" s="585"/>
      <c r="LF80" s="585"/>
      <c r="LG80" s="585"/>
      <c r="LH80" s="585"/>
      <c r="LI80" s="585"/>
      <c r="LJ80" s="585"/>
      <c r="LK80" s="585"/>
      <c r="LL80" s="585"/>
      <c r="LM80" s="585"/>
      <c r="LN80" s="585"/>
      <c r="LO80" s="585"/>
      <c r="LP80" s="585"/>
      <c r="LQ80" s="585"/>
      <c r="LR80" s="585"/>
      <c r="LS80" s="585"/>
      <c r="LT80" s="585"/>
      <c r="LU80" s="585"/>
      <c r="LV80" s="585"/>
      <c r="LW80" s="585"/>
      <c r="LX80" s="585"/>
      <c r="LY80" s="585"/>
      <c r="LZ80" s="585"/>
      <c r="MA80" s="585"/>
      <c r="MB80" s="585"/>
    </row>
    <row r="81" spans="2:340">
      <c r="B81" s="582"/>
      <c r="C81" s="583"/>
      <c r="D81" s="584"/>
      <c r="E81" s="584"/>
      <c r="F81" s="585"/>
      <c r="G81" s="587"/>
      <c r="H81" s="587"/>
      <c r="I81" s="587"/>
      <c r="J81" s="585"/>
      <c r="K81" s="585"/>
      <c r="L81" s="585"/>
      <c r="M81" s="585"/>
      <c r="N81" s="585"/>
      <c r="O81" s="585"/>
      <c r="P81" s="585"/>
      <c r="Q81" s="585"/>
      <c r="R81" s="585"/>
      <c r="S81" s="585"/>
      <c r="T81" s="585"/>
      <c r="U81" s="585"/>
      <c r="V81" s="585"/>
      <c r="W81" s="585"/>
      <c r="X81" s="585"/>
      <c r="Y81" s="585"/>
      <c r="Z81" s="585"/>
      <c r="AA81" s="585"/>
      <c r="AB81" s="584"/>
      <c r="AC81" s="585"/>
      <c r="AD81" s="585"/>
      <c r="AE81" s="585"/>
      <c r="AF81" s="585"/>
      <c r="AG81" s="585"/>
      <c r="AH81" s="585"/>
      <c r="AI81" s="585"/>
      <c r="AJ81" s="585"/>
      <c r="AK81" s="585"/>
      <c r="AL81" s="585"/>
      <c r="AM81" s="585"/>
      <c r="AN81" s="585"/>
      <c r="AO81" s="585"/>
      <c r="AP81" s="585"/>
      <c r="AQ81" s="585"/>
      <c r="AR81" s="585"/>
      <c r="AS81" s="585"/>
      <c r="AT81" s="585"/>
      <c r="AU81" s="585"/>
      <c r="AV81" s="585"/>
      <c r="AW81" s="585"/>
      <c r="AX81" s="585"/>
      <c r="AY81" s="585"/>
      <c r="AZ81" s="585"/>
      <c r="BA81" s="585"/>
      <c r="BB81" s="585"/>
      <c r="BC81" s="585"/>
      <c r="BD81" s="585"/>
      <c r="BE81" s="585"/>
      <c r="BF81" s="585"/>
      <c r="BG81" s="585"/>
      <c r="BH81" s="585"/>
      <c r="BI81" s="585"/>
      <c r="BJ81" s="585"/>
      <c r="BK81" s="585"/>
      <c r="BL81" s="585"/>
      <c r="BM81" s="585"/>
      <c r="BN81" s="585"/>
      <c r="BO81" s="585"/>
      <c r="BP81" s="585"/>
      <c r="BQ81" s="585"/>
      <c r="BR81" s="585"/>
      <c r="BS81" s="585"/>
      <c r="BT81" s="585"/>
      <c r="BU81" s="585"/>
      <c r="BV81" s="585"/>
      <c r="BW81" s="585"/>
      <c r="BX81" s="585"/>
      <c r="BY81" s="585"/>
      <c r="BZ81" s="585"/>
      <c r="CA81" s="585"/>
      <c r="CB81" s="585"/>
      <c r="CC81" s="585"/>
      <c r="CD81" s="585"/>
      <c r="CE81" s="585"/>
      <c r="CF81" s="585"/>
      <c r="CG81" s="585"/>
      <c r="CH81" s="585"/>
      <c r="CI81" s="585"/>
      <c r="CJ81" s="585"/>
      <c r="CK81" s="585"/>
      <c r="CL81" s="585"/>
      <c r="CM81" s="585"/>
      <c r="CN81" s="585"/>
      <c r="CO81" s="585"/>
      <c r="CP81" s="585"/>
      <c r="CQ81" s="585"/>
      <c r="CR81" s="585"/>
      <c r="CS81" s="585"/>
      <c r="CT81" s="585"/>
      <c r="CU81" s="585"/>
      <c r="CV81" s="585"/>
      <c r="CW81" s="585"/>
      <c r="CX81" s="585"/>
      <c r="CY81" s="585"/>
      <c r="CZ81" s="585"/>
      <c r="DA81" s="585"/>
      <c r="DB81" s="585"/>
      <c r="DC81" s="585"/>
      <c r="DD81" s="585"/>
      <c r="DE81" s="585"/>
      <c r="DF81" s="585"/>
      <c r="DG81" s="585"/>
      <c r="DH81" s="585"/>
      <c r="DI81" s="585"/>
      <c r="DJ81" s="585"/>
      <c r="DK81" s="585"/>
      <c r="DL81" s="585"/>
      <c r="DM81" s="585"/>
      <c r="DN81" s="585"/>
      <c r="DO81" s="585"/>
      <c r="DP81" s="585"/>
      <c r="DQ81" s="585"/>
      <c r="DR81" s="585"/>
      <c r="DS81" s="585"/>
      <c r="DT81" s="585"/>
      <c r="DU81" s="585"/>
      <c r="DV81" s="585"/>
      <c r="DW81" s="585"/>
      <c r="DX81" s="585"/>
      <c r="DY81" s="585"/>
      <c r="DZ81" s="585"/>
      <c r="EA81" s="585"/>
      <c r="EB81" s="585"/>
      <c r="EC81" s="585"/>
      <c r="ED81" s="585"/>
      <c r="EE81" s="585"/>
      <c r="EF81" s="585"/>
      <c r="EG81" s="585"/>
      <c r="EH81" s="585"/>
      <c r="EI81" s="585"/>
      <c r="EJ81" s="585"/>
      <c r="EK81" s="585"/>
      <c r="EL81" s="585"/>
      <c r="EM81" s="585"/>
      <c r="EN81" s="585"/>
      <c r="EO81" s="585"/>
      <c r="EP81" s="585"/>
      <c r="EQ81" s="585"/>
      <c r="ER81" s="585"/>
      <c r="ES81" s="585"/>
      <c r="ET81" s="585"/>
      <c r="EU81" s="585"/>
      <c r="EV81" s="585"/>
      <c r="EW81" s="585"/>
      <c r="EX81" s="585"/>
      <c r="EY81" s="585"/>
      <c r="EZ81" s="585"/>
      <c r="FA81" s="585"/>
      <c r="FB81" s="585"/>
      <c r="FC81" s="585"/>
      <c r="FD81" s="585"/>
      <c r="FE81" s="585"/>
      <c r="FF81" s="585"/>
      <c r="FG81" s="585"/>
      <c r="FH81" s="585"/>
      <c r="FI81" s="585"/>
      <c r="FJ81" s="585"/>
      <c r="FK81" s="585"/>
      <c r="FL81" s="585"/>
      <c r="FM81" s="585"/>
      <c r="FN81" s="585"/>
      <c r="FO81" s="585"/>
      <c r="FP81" s="585"/>
      <c r="FQ81" s="585"/>
      <c r="FR81" s="585"/>
      <c r="FS81" s="585"/>
      <c r="FT81" s="585"/>
      <c r="FU81" s="585"/>
      <c r="FV81" s="585"/>
      <c r="FW81" s="585"/>
      <c r="FX81" s="585"/>
      <c r="FY81" s="585"/>
      <c r="FZ81" s="585"/>
      <c r="GA81" s="585"/>
      <c r="GB81" s="585"/>
      <c r="GC81" s="585"/>
      <c r="GD81" s="585"/>
      <c r="GE81" s="585"/>
      <c r="GF81" s="585"/>
      <c r="GG81" s="585"/>
      <c r="GH81" s="585"/>
      <c r="GI81" s="585"/>
      <c r="GJ81" s="585"/>
      <c r="GK81" s="585"/>
      <c r="GL81" s="585"/>
      <c r="GM81" s="585"/>
      <c r="GN81" s="585"/>
      <c r="GO81" s="585"/>
      <c r="GP81" s="585"/>
      <c r="GQ81" s="585"/>
      <c r="GR81" s="585"/>
      <c r="GS81" s="585"/>
      <c r="GT81" s="585"/>
      <c r="GU81" s="585"/>
      <c r="GV81" s="585"/>
      <c r="GW81" s="585"/>
      <c r="GX81" s="585"/>
      <c r="GY81" s="585"/>
      <c r="GZ81" s="585"/>
      <c r="HA81" s="585"/>
      <c r="HB81" s="585"/>
      <c r="HC81" s="585"/>
      <c r="HD81" s="585"/>
      <c r="HE81" s="585"/>
      <c r="HF81" s="585"/>
      <c r="HG81" s="585"/>
      <c r="HH81" s="585"/>
      <c r="HI81" s="585"/>
      <c r="HJ81" s="585"/>
      <c r="HK81" s="585"/>
      <c r="HL81" s="585"/>
      <c r="HM81" s="585"/>
      <c r="HN81" s="585"/>
      <c r="HO81" s="585"/>
      <c r="HP81" s="585"/>
      <c r="HQ81" s="585"/>
      <c r="HR81" s="585"/>
      <c r="HS81" s="585"/>
      <c r="HT81" s="585"/>
      <c r="HU81" s="585"/>
      <c r="HV81" s="585"/>
      <c r="HW81" s="585"/>
      <c r="HX81" s="585"/>
      <c r="HY81" s="585"/>
      <c r="HZ81" s="585"/>
      <c r="IA81" s="585"/>
      <c r="IB81" s="585"/>
      <c r="IC81" s="585"/>
      <c r="ID81" s="585"/>
      <c r="IE81" s="585"/>
      <c r="IF81" s="585"/>
      <c r="IG81" s="585"/>
      <c r="IH81" s="585"/>
      <c r="II81" s="585"/>
      <c r="IJ81" s="585"/>
      <c r="IK81" s="585"/>
      <c r="IL81" s="585"/>
      <c r="IM81" s="585"/>
      <c r="IN81" s="585"/>
      <c r="IO81" s="585"/>
      <c r="IP81" s="585"/>
      <c r="IQ81" s="585"/>
      <c r="IR81" s="585"/>
      <c r="IS81" s="585"/>
      <c r="IT81" s="585"/>
      <c r="IU81" s="585"/>
      <c r="IV81" s="585"/>
      <c r="IW81" s="585"/>
      <c r="IX81" s="585"/>
      <c r="IY81" s="585"/>
      <c r="IZ81" s="585"/>
      <c r="JA81" s="585"/>
      <c r="JB81" s="585"/>
      <c r="JC81" s="585"/>
      <c r="JD81" s="585"/>
      <c r="JE81" s="585"/>
      <c r="JF81" s="585"/>
      <c r="JG81" s="585"/>
      <c r="JH81" s="585"/>
      <c r="JI81" s="585"/>
      <c r="JJ81" s="585"/>
      <c r="JK81" s="585"/>
      <c r="JL81" s="585"/>
      <c r="JM81" s="585"/>
      <c r="JN81" s="585"/>
      <c r="JO81" s="585"/>
      <c r="JP81" s="585"/>
      <c r="JQ81" s="585"/>
      <c r="JR81" s="585"/>
      <c r="JS81" s="585"/>
      <c r="JT81" s="587"/>
      <c r="JU81" s="585"/>
      <c r="JV81" s="585"/>
      <c r="JW81" s="585"/>
      <c r="JX81" s="585"/>
      <c r="JY81" s="585"/>
      <c r="JZ81" s="585"/>
      <c r="KA81" s="585"/>
      <c r="KB81" s="585"/>
      <c r="KC81" s="585"/>
      <c r="KD81" s="585"/>
      <c r="KE81" s="585"/>
      <c r="KF81" s="585"/>
      <c r="KG81" s="585"/>
      <c r="KH81" s="585"/>
      <c r="KI81" s="585"/>
      <c r="KJ81" s="585"/>
      <c r="KK81" s="585"/>
      <c r="KL81" s="585"/>
      <c r="KM81" s="585"/>
      <c r="KN81" s="585"/>
      <c r="KO81" s="585"/>
      <c r="KP81" s="585"/>
      <c r="KQ81" s="585"/>
      <c r="KR81" s="585"/>
      <c r="KS81" s="585"/>
      <c r="KT81" s="585"/>
      <c r="KU81" s="585"/>
      <c r="KV81" s="585"/>
      <c r="KW81" s="585"/>
      <c r="KX81" s="585"/>
      <c r="KY81" s="585"/>
      <c r="KZ81" s="585"/>
      <c r="LA81" s="585"/>
      <c r="LB81" s="585"/>
      <c r="LC81" s="585"/>
      <c r="LD81" s="584"/>
      <c r="LE81" s="585"/>
      <c r="LF81" s="585"/>
      <c r="LG81" s="585"/>
      <c r="LH81" s="585"/>
      <c r="LI81" s="585"/>
      <c r="LJ81" s="585"/>
      <c r="LK81" s="585"/>
      <c r="LL81" s="585"/>
      <c r="LM81" s="585"/>
      <c r="LN81" s="585"/>
      <c r="LO81" s="585"/>
      <c r="LP81" s="585"/>
      <c r="LQ81" s="585"/>
      <c r="LR81" s="585"/>
      <c r="LS81" s="585"/>
      <c r="LT81" s="585"/>
      <c r="LU81" s="585"/>
      <c r="LV81" s="585"/>
      <c r="LW81" s="585"/>
      <c r="LX81" s="585"/>
      <c r="LY81" s="585"/>
      <c r="LZ81" s="585"/>
      <c r="MA81" s="585"/>
      <c r="MB81" s="585"/>
    </row>
  </sheetData>
  <autoFilter ref="A7:MB68"/>
  <mergeCells count="24">
    <mergeCell ref="LT3:LV4"/>
    <mergeCell ref="LW3:LZ4"/>
    <mergeCell ref="MA3:MA4"/>
    <mergeCell ref="MB3:MB4"/>
    <mergeCell ref="L4:P4"/>
    <mergeCell ref="Q4:Q5"/>
    <mergeCell ref="R4:R5"/>
    <mergeCell ref="LG4:LO4"/>
    <mergeCell ref="LP4:LP5"/>
    <mergeCell ref="LQ4:LQ5"/>
    <mergeCell ref="Z3:Z4"/>
    <mergeCell ref="AA3:AA4"/>
    <mergeCell ref="LD3:LD5"/>
    <mergeCell ref="LE3:LE5"/>
    <mergeCell ref="LF3:LF5"/>
    <mergeCell ref="LG3:LS3"/>
    <mergeCell ref="LR4:LR5"/>
    <mergeCell ref="LS4:LS5"/>
    <mergeCell ref="E3:E5"/>
    <mergeCell ref="J3:J5"/>
    <mergeCell ref="K3:K5"/>
    <mergeCell ref="L3:R3"/>
    <mergeCell ref="S3:U4"/>
    <mergeCell ref="V3:Y4"/>
  </mergeCells>
  <pageMargins left="0.11811023622047245" right="0.11811023622047245" top="0.35433070866141736" bottom="0.35433070866141736" header="0.31496062992125984" footer="0.31496062992125984"/>
  <pageSetup paperSize="9" scale="43" fitToWidth="2" orientation="landscape" verticalDpi="0" r:id="rId1"/>
  <colBreaks count="1" manualBreakCount="1">
    <brk id="27" max="1048575" man="1"/>
  </col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12</vt:i4>
      </vt:variant>
    </vt:vector>
  </HeadingPairs>
  <TitlesOfParts>
    <vt:vector size="18" baseType="lpstr">
      <vt:lpstr>БАЗА</vt:lpstr>
      <vt:lpstr>НВВ 2022</vt:lpstr>
      <vt:lpstr>ЗДЕСЬ ЗАПОЛНЯЕМ ИСХОДНЫЙ 2024</vt:lpstr>
      <vt:lpstr>!!ЗДЕСЬ ЗАПОЛНЯЕ ТАР ОБЪЕМ  (2</vt:lpstr>
      <vt:lpstr> 2026</vt:lpstr>
      <vt:lpstr>СМЕТА 2021-2022</vt:lpstr>
      <vt:lpstr>' 2026'!OLE_LINK1</vt:lpstr>
      <vt:lpstr>' 2026'!Заголовки_для_печати</vt:lpstr>
      <vt:lpstr>'!!ЗДЕСЬ ЗАПОЛНЯЕ ТАР ОБЪЕМ  (2'!Заголовки_для_печати</vt:lpstr>
      <vt:lpstr>'ЗДЕСЬ ЗАПОЛНЯЕМ ИСХОДНЫЙ 2024'!Заголовки_для_печати</vt:lpstr>
      <vt:lpstr>'НВВ 2022'!Заголовки_для_печати</vt:lpstr>
      <vt:lpstr>'СМЕТА 2021-2022'!Заголовки_для_печати</vt:lpstr>
      <vt:lpstr>' 2026'!Область_печати</vt:lpstr>
      <vt:lpstr>'!!ЗДЕСЬ ЗАПОЛНЯЕ ТАР ОБЪЕМ  (2'!Область_печати</vt:lpstr>
      <vt:lpstr>'ЗДЕСЬ ЗАПОЛНЯЕМ ИСХОДНЫЙ 2024'!Область_печати</vt:lpstr>
      <vt:lpstr>'НВВ 2022'!Область_печати</vt:lpstr>
      <vt:lpstr>'СМЕТА 2021-2022'!СПИСОК_СТОЛБЦОВ_2</vt:lpstr>
      <vt:lpstr>СПИСОК_СТОЛБЦОВ_2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teplo2</cp:lastModifiedBy>
  <cp:lastPrinted>2025-02-05T09:59:16Z</cp:lastPrinted>
  <dcterms:created xsi:type="dcterms:W3CDTF">2015-09-24T13:26:40Z</dcterms:created>
  <dcterms:modified xsi:type="dcterms:W3CDTF">2026-05-20T07:03:17Z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</vt:lpwstr>
  </property>
  <property fmtid="{D5CDD505-2E9C-101B-9397-08002B2CF9AE}" pid="3" name="Version">
    <vt:lpwstr>1.0</vt:lpwstr>
  </property>
</Properties>
</file>